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4" activeTab="16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M10" i="52" s="1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<sst xmlns="http://schemas.openxmlformats.org/spreadsheetml/2006/main" count="1279" uniqueCount="308">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</sst>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28" xfId="11" applyFont="1" applyBorder="1" applyAlignment="1">
      <alignment horizontal="center" vertical="center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4" fillId="7" borderId="0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15" t="s">
        <v>70</v>
      </c>
      <c r="D1" s="615"/>
      <c r="E1" s="615"/>
      <c r="F1" s="615"/>
      <c r="G1" s="615"/>
      <c r="H1" s="615"/>
      <c r="I1" s="615"/>
      <c r="J1" s="615"/>
      <c r="K1" s="615"/>
      <c r="L1" s="615"/>
      <c r="M1" s="615"/>
      <c r="N1" s="615"/>
      <c r="O1" s="615"/>
      <c r="P1" s="615"/>
      <c r="Q1" s="615"/>
      <c r="R1" s="615"/>
      <c r="S1" s="615"/>
      <c r="T1" s="615"/>
      <c r="U1" s="615"/>
      <c r="V1" s="615"/>
      <c r="W1" s="615"/>
      <c r="X1" s="615"/>
      <c r="Y1" s="615"/>
      <c r="Z1" s="615"/>
      <c r="AA1" s="615"/>
      <c r="AB1" s="615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16" t="s">
        <v>21</v>
      </c>
      <c r="AF2" s="616"/>
      <c r="AG2" s="81" t="s">
        <v>22</v>
      </c>
    </row>
    <row r="3" spans="1:33">
      <c r="A3" s="611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26</v>
      </c>
      <c r="P3" s="91">
        <f>'CRH1-250材料匹配'!F2+'CRH1-250材料匹配'!F3</f>
        <v>0</v>
      </c>
      <c r="Q3" s="91">
        <f>'CRH1-250材料匹配'!G2+'CRH1-250材料匹配'!G3</f>
        <v>0</v>
      </c>
      <c r="R3" s="91">
        <f>'CRH1-250材料匹配'!H2+'CRH1-250材料匹配'!H3</f>
        <v>0</v>
      </c>
      <c r="S3" s="91">
        <f>'CRH1-250材料匹配'!I2+'CRH1-250材料匹配'!I3</f>
        <v>75</v>
      </c>
      <c r="T3" s="91">
        <f>'CRH1-250材料匹配'!J2+'CRH1-250材料匹配'!J3</f>
        <v>0</v>
      </c>
      <c r="U3" s="91">
        <f>'CRH1-250材料匹配'!K2+'CRH1-250材料匹配'!K3</f>
        <v>0</v>
      </c>
      <c r="V3" s="91">
        <f>'CRH1-250材料匹配'!L2+'CRH1-250材料匹配'!L3</f>
        <v>0</v>
      </c>
      <c r="W3" s="91">
        <f>'CRH1-250材料匹配'!M2+'CRH1-250材料匹配'!M3</f>
        <v>10</v>
      </c>
      <c r="X3" s="91">
        <f>'CRH1-250材料匹配'!N2+'CRH1-250材料匹配'!N3</f>
        <v>2</v>
      </c>
      <c r="Y3" s="91">
        <f>'CRH1-250材料匹配'!O2+'CRH1-250材料匹配'!O3</f>
        <v>42</v>
      </c>
      <c r="Z3" s="91">
        <f>'CRH1-250材料匹配'!P2+'CRH1-250材料匹配'!P3</f>
        <v>0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01">
        <v>2</v>
      </c>
      <c r="AG3" s="602">
        <v>4</v>
      </c>
    </row>
    <row r="4" spans="1:33">
      <c r="A4" s="612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0</v>
      </c>
      <c r="P4" s="73">
        <f>'CRH1-250材料匹配'!F9+'CRH1-250材料匹配'!F10</f>
        <v>0</v>
      </c>
      <c r="Q4" s="73">
        <f>'CRH1-250材料匹配'!G9+'CRH1-250材料匹配'!G10</f>
        <v>0</v>
      </c>
      <c r="R4" s="73">
        <f>'CRH1-250材料匹配'!H9+'CRH1-250材料匹配'!H10</f>
        <v>0</v>
      </c>
      <c r="S4" s="73">
        <f>'CRH1-250材料匹配'!I9+'CRH1-250材料匹配'!I10</f>
        <v>0</v>
      </c>
      <c r="T4" s="73">
        <f>'CRH1-250材料匹配'!J9+'CRH1-250材料匹配'!J10</f>
        <v>0</v>
      </c>
      <c r="U4" s="73">
        <f>'CRH1-250材料匹配'!K9+'CRH1-250材料匹配'!K10</f>
        <v>0</v>
      </c>
      <c r="V4" s="73">
        <f>'CRH1-250材料匹配'!L9+'CRH1-250材料匹配'!L10</f>
        <v>0</v>
      </c>
      <c r="W4" s="73">
        <f>'CRH1-250材料匹配'!M9+'CRH1-250材料匹配'!M10</f>
        <v>0</v>
      </c>
      <c r="X4" s="73">
        <f>'CRH1-250材料匹配'!N9+'CRH1-250材料匹配'!N10</f>
        <v>21</v>
      </c>
      <c r="Y4" s="73">
        <f>'CRH1-250材料匹配'!O9+'CRH1-250材料匹配'!O10</f>
        <v>77</v>
      </c>
      <c r="Z4" s="73">
        <f>'CRH1-250材料匹配'!P9+'CRH1-250材料匹配'!P10</f>
        <v>9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02"/>
      <c r="AG4" s="602"/>
    </row>
    <row r="5" spans="1:33">
      <c r="A5" s="612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150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04"/>
      <c r="AG5" s="604"/>
    </row>
    <row r="6" spans="1:33" s="85" customFormat="1">
      <c r="A6" s="614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0</v>
      </c>
      <c r="P6" s="92">
        <f>'CRH1-250材料匹配'!F23+'CRH1-250材料匹配'!F24</f>
        <v>52</v>
      </c>
      <c r="Q6" s="92">
        <f>'CRH1-250材料匹配'!G23+'CRH1-250材料匹配'!G24</f>
        <v>0</v>
      </c>
      <c r="R6" s="92">
        <f>'CRH1-250材料匹配'!H23+'CRH1-250材料匹配'!H24</f>
        <v>0</v>
      </c>
      <c r="S6" s="92">
        <f>'CRH1-250材料匹配'!I23+'CRH1-250材料匹配'!I24</f>
        <v>0</v>
      </c>
      <c r="T6" s="92">
        <f>'CRH1-250材料匹配'!J23+'CRH1-250材料匹配'!J24</f>
        <v>0</v>
      </c>
      <c r="U6" s="92">
        <f>'CRH1-250材料匹配'!K23+'CRH1-250材料匹配'!K24</f>
        <v>0</v>
      </c>
      <c r="V6" s="92">
        <f>'CRH1-250材料匹配'!L23+'CRH1-250材料匹配'!L24</f>
        <v>0</v>
      </c>
      <c r="W6" s="92">
        <f>'CRH1-250材料匹配'!M23+'CRH1-250材料匹配'!M24</f>
        <v>8</v>
      </c>
      <c r="X6" s="92">
        <f>'CRH1-250材料匹配'!N23+'CRH1-250材料匹配'!N24</f>
        <v>48</v>
      </c>
      <c r="Y6" s="92">
        <f>'CRH1-250材料匹配'!O23+'CRH1-250材料匹配'!O24</f>
        <v>68</v>
      </c>
      <c r="Z6" s="92">
        <f>'CRH1-250材料匹配'!P23+'CRH1-250材料匹配'!P24</f>
        <v>4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11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4</v>
      </c>
      <c r="P7" s="91">
        <f>'CRH1-380材料匹配'!F2+'CRH1-380材料匹配'!F3+'CRH1-380材料匹配'!F4</f>
        <v>46</v>
      </c>
      <c r="Q7" s="91">
        <f>'CRH1-380材料匹配'!G2+'CRH1-380材料匹配'!G3+'CRH1-380材料匹配'!G4</f>
        <v>16</v>
      </c>
      <c r="R7" s="91">
        <f>'CRH1-380材料匹配'!H2+'CRH1-380材料匹配'!H3+'CRH1-380材料匹配'!H4</f>
        <v>2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16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01">
        <v>1.5</v>
      </c>
      <c r="AG7" s="601">
        <v>2</v>
      </c>
    </row>
    <row r="8" spans="1:33">
      <c r="A8" s="612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1</v>
      </c>
      <c r="Q8" s="73">
        <f>'CRH1-380材料匹配'!G9+'CRH1-380材料匹配'!G10+'CRH1-380材料匹配'!G11</f>
        <v>25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02"/>
      <c r="AG8" s="602"/>
    </row>
    <row r="9" spans="1:33">
      <c r="A9" s="612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9</v>
      </c>
      <c r="Q9" s="75">
        <f>'CRH1-380材料匹配'!G16+'CRH1-380材料匹配'!G17+'CRH1-380材料匹配'!G18</f>
        <v>108</v>
      </c>
      <c r="R9" s="75">
        <f>'CRH1-380材料匹配'!H16+'CRH1-380材料匹配'!H17+'CRH1-380材料匹配'!H18</f>
        <v>16</v>
      </c>
      <c r="S9" s="75">
        <f>'CRH1-380材料匹配'!I16+'CRH1-380材料匹配'!I17+'CRH1-380材料匹配'!I18</f>
        <v>4</v>
      </c>
      <c r="T9" s="75">
        <f>'CRH1-380材料匹配'!J16+'CRH1-380材料匹配'!J17+'CRH1-380材料匹配'!J18</f>
        <v>0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0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32</v>
      </c>
      <c r="Y9" s="75">
        <f>'CRH1-380材料匹配'!O16+'CRH1-380材料匹配'!O17+'CRH1-380材料匹配'!O18</f>
        <v>32</v>
      </c>
      <c r="Z9" s="75">
        <f>'CRH1-380材料匹配'!P16+'CRH1-380材料匹配'!P17+'CRH1-380材料匹配'!P18</f>
        <v>0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02"/>
      <c r="AG9" s="602"/>
    </row>
    <row r="10" spans="1:33">
      <c r="A10" s="617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50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0</v>
      </c>
      <c r="U10" s="93">
        <f>'CRH1-380材料匹配'!K23+'CRH1-380材料匹配'!K24+'CRH1-380材料匹配'!K25</f>
        <v>2</v>
      </c>
      <c r="V10" s="93">
        <f>'CRH1-380材料匹配'!L23+'CRH1-380材料匹配'!L24+'CRH1-380材料匹配'!L25</f>
        <v>0</v>
      </c>
      <c r="W10" s="93">
        <f>'CRH1-380材料匹配'!M23+'CRH1-380材料匹配'!M24+'CRH1-380材料匹配'!M25</f>
        <v>6</v>
      </c>
      <c r="X10" s="93">
        <f>'CRH1-380材料匹配'!N23+'CRH1-380材料匹配'!N24+'CRH1-380材料匹配'!N25</f>
        <v>2</v>
      </c>
      <c r="Y10" s="93">
        <f>'CRH1-380材料匹配'!O23+'CRH1-380材料匹配'!O24+'CRH1-380材料匹配'!O25</f>
        <v>0</v>
      </c>
      <c r="Z10" s="93">
        <f>'CRH1-380材料匹配'!P23+'CRH1-380材料匹配'!P24+'CRH1-380材料匹配'!P25</f>
        <v>0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03"/>
      <c r="AG10" s="603"/>
    </row>
    <row r="11" spans="1:33" ht="17.25" customHeight="1">
      <c r="A11" s="618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127</v>
      </c>
      <c r="P11" s="94">
        <f>CRH2材料匹配!F2+CRH2材料匹配!F3</f>
        <v>20</v>
      </c>
      <c r="Q11" s="94">
        <f>CRH2材料匹配!G2+CRH2材料匹配!G3</f>
        <v>25</v>
      </c>
      <c r="R11" s="94">
        <f>CRH2材料匹配!H2+CRH2材料匹配!H3</f>
        <v>19</v>
      </c>
      <c r="S11" s="94">
        <f>CRH2材料匹配!I2+CRH2材料匹配!I3</f>
        <v>54</v>
      </c>
      <c r="T11" s="94">
        <f>CRH2材料匹配!J2+CRH2材料匹配!J3</f>
        <v>48</v>
      </c>
      <c r="U11" s="94">
        <f>CRH2材料匹配!K2+CRH2材料匹配!K3</f>
        <v>18</v>
      </c>
      <c r="V11" s="94">
        <f>CRH2材料匹配!L2+CRH2材料匹配!L3</f>
        <v>32</v>
      </c>
      <c r="W11" s="94">
        <f>CRH2材料匹配!M2+CRH2材料匹配!M3</f>
        <v>232</v>
      </c>
      <c r="X11" s="94">
        <f>CRH2材料匹配!N2+CRH2材料匹配!N3</f>
        <v>944</v>
      </c>
      <c r="Y11" s="94">
        <f>CRH2材料匹配!O2+CRH2材料匹配!O3</f>
        <v>832</v>
      </c>
      <c r="Z11" s="94">
        <f>CRH2材料匹配!P2+CRH2材料匹配!P3</f>
        <v>848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01">
        <v>38</v>
      </c>
      <c r="AG11" s="605">
        <v>40</v>
      </c>
    </row>
    <row r="12" spans="1:33">
      <c r="A12" s="619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0</v>
      </c>
      <c r="P12" s="73">
        <f>CRH2材料匹配!F8+CRH2材料匹配!F9</f>
        <v>20</v>
      </c>
      <c r="Q12" s="73">
        <f>CRH2材料匹配!G8+CRH2材料匹配!G9</f>
        <v>0</v>
      </c>
      <c r="R12" s="73">
        <f>CRH2材料匹配!H8+CRH2材料匹配!H9</f>
        <v>3</v>
      </c>
      <c r="S12" s="73">
        <f>CRH2材料匹配!I8+CRH2材料匹配!I9</f>
        <v>0</v>
      </c>
      <c r="T12" s="73">
        <f>CRH2材料匹配!J8+CRH2材料匹配!J9</f>
        <v>32</v>
      </c>
      <c r="U12" s="73">
        <f>CRH2材料匹配!K8+CRH2材料匹配!K9</f>
        <v>16</v>
      </c>
      <c r="V12" s="73">
        <f>CRH2材料匹配!L8+CRH2材料匹配!L9</f>
        <v>5</v>
      </c>
      <c r="W12" s="73">
        <f>CRH2材料匹配!M8+CRH2材料匹配!M9</f>
        <v>0</v>
      </c>
      <c r="X12" s="73">
        <f>CRH2材料匹配!N8+CRH2材料匹配!N9</f>
        <v>134</v>
      </c>
      <c r="Y12" s="73">
        <f>CRH2材料匹配!O8+CRH2材料匹配!O9</f>
        <v>94</v>
      </c>
      <c r="Z12" s="73">
        <f>CRH2材料匹配!P8+CRH2材料匹配!P9</f>
        <v>20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04"/>
      <c r="AG12" s="606"/>
    </row>
    <row r="13" spans="1:33">
      <c r="A13" s="619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517</v>
      </c>
      <c r="P13" s="73">
        <f>CRH2材料匹配!F14+CRH2材料匹配!F15</f>
        <v>490</v>
      </c>
      <c r="Q13" s="73">
        <f>CRH2材料匹配!G14+CRH2材料匹配!G15</f>
        <v>786</v>
      </c>
      <c r="R13" s="73">
        <f>CRH2材料匹配!H14+CRH2材料匹配!H15</f>
        <v>940</v>
      </c>
      <c r="S13" s="73">
        <f>CRH2材料匹配!I14+CRH2材料匹配!I15</f>
        <v>454</v>
      </c>
      <c r="T13" s="73">
        <f>CRH2材料匹配!J14+CRH2材料匹配!J15</f>
        <v>512</v>
      </c>
      <c r="U13" s="73">
        <f>CRH2材料匹配!K14+CRH2材料匹配!K15</f>
        <v>304</v>
      </c>
      <c r="V13" s="73">
        <f>CRH2材料匹配!L14+CRH2材料匹配!L15</f>
        <v>340</v>
      </c>
      <c r="W13" s="73">
        <f>CRH2材料匹配!M14+CRH2材料匹配!M15</f>
        <v>460</v>
      </c>
      <c r="X13" s="73">
        <f>CRH2材料匹配!N14+CRH2材料匹配!N15</f>
        <v>4156</v>
      </c>
      <c r="Y13" s="73">
        <f>CRH2材料匹配!O14+CRH2材料匹配!O15</f>
        <v>2304</v>
      </c>
      <c r="Z13" s="73">
        <f>CRH2材料匹配!P14+CRH2材料匹配!P15</f>
        <v>2188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07"/>
    </row>
    <row r="14" spans="1:33">
      <c r="A14" s="619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20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11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236</v>
      </c>
      <c r="P16" s="91">
        <f>'CRH3-380+标动材料匹配'!F2+'CRH3-380+标动材料匹配'!F3+'CRH3-380+标动材料匹配'!F5</f>
        <v>267</v>
      </c>
      <c r="Q16" s="91">
        <f>'CRH3-380+标动材料匹配'!G2+'CRH3-380+标动材料匹配'!G3+'CRH3-380+标动材料匹配'!G5</f>
        <v>368</v>
      </c>
      <c r="R16" s="91">
        <f>'CRH3-380+标动材料匹配'!H2+'CRH3-380+标动材料匹配'!H3+'CRH3-380+标动材料匹配'!H5</f>
        <v>205</v>
      </c>
      <c r="S16" s="91">
        <f>'CRH3-380+标动材料匹配'!I2+'CRH3-380+标动材料匹配'!I3+'CRH3-380+标动材料匹配'!I5</f>
        <v>326</v>
      </c>
      <c r="T16" s="91">
        <f>'CRH3-380+标动材料匹配'!J2+'CRH3-380+标动材料匹配'!J3+'CRH3-380+标动材料匹配'!J5</f>
        <v>408</v>
      </c>
      <c r="U16" s="91">
        <f>'CRH3-380+标动材料匹配'!K2+'CRH3-380+标动材料匹配'!K3+'CRH3-380+标动材料匹配'!K5</f>
        <v>353</v>
      </c>
      <c r="V16" s="91">
        <f>'CRH3-380+标动材料匹配'!L2+'CRH3-380+标动材料匹配'!L3+'CRH3-380+标动材料匹配'!L5</f>
        <v>266</v>
      </c>
      <c r="W16" s="91">
        <f>'CRH3-380+标动材料匹配'!M2+'CRH3-380+标动材料匹配'!M3+'CRH3-380+标动材料匹配'!M5</f>
        <v>585</v>
      </c>
      <c r="X16" s="91">
        <f>'CRH3-380+标动材料匹配'!N2+'CRH3-380+标动材料匹配'!N3+'CRH3-380+标动材料匹配'!N5</f>
        <v>1121</v>
      </c>
      <c r="Y16" s="91">
        <f>'CRH3-380+标动材料匹配'!O2+'CRH3-380+标动材料匹配'!O3+'CRH3-380+标动材料匹配'!O5</f>
        <v>627</v>
      </c>
      <c r="Z16" s="91">
        <f>'CRH3-380+标动材料匹配'!P2+'CRH3-380+标动材料匹配'!P3+'CRH3-380+标动材料匹配'!P5</f>
        <v>409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08">
        <v>20</v>
      </c>
    </row>
    <row r="17" spans="1:33">
      <c r="A17" s="612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162</v>
      </c>
      <c r="P17" s="73">
        <f>'CRH3-380+标动材料匹配'!F10+'CRH3-380+标动材料匹配'!F11+'CRH3-380+标动材料匹配'!F12</f>
        <v>320</v>
      </c>
      <c r="Q17" s="73">
        <f>'CRH3-380+标动材料匹配'!G10+'CRH3-380+标动材料匹配'!G11+'CRH3-380+标动材料匹配'!G12</f>
        <v>472</v>
      </c>
      <c r="R17" s="73">
        <f>'CRH3-380+标动材料匹配'!H10+'CRH3-380+标动材料匹配'!H11+'CRH3-380+标动材料匹配'!H12</f>
        <v>358</v>
      </c>
      <c r="S17" s="73">
        <f>'CRH3-380+标动材料匹配'!I10+'CRH3-380+标动材料匹配'!I11+'CRH3-380+标动材料匹配'!I12</f>
        <v>438</v>
      </c>
      <c r="T17" s="73">
        <f>'CRH3-380+标动材料匹配'!J10+'CRH3-380+标动材料匹配'!J11+'CRH3-380+标动材料匹配'!J12</f>
        <v>338</v>
      </c>
      <c r="U17" s="73">
        <f>'CRH3-380+标动材料匹配'!K10+'CRH3-380+标动材料匹配'!K11+'CRH3-380+标动材料匹配'!K12</f>
        <v>288</v>
      </c>
      <c r="V17" s="73">
        <f>'CRH3-380+标动材料匹配'!L10+'CRH3-380+标动材料匹配'!L11+'CRH3-380+标动材料匹配'!L12</f>
        <v>266</v>
      </c>
      <c r="W17" s="73">
        <f>'CRH3-380+标动材料匹配'!M10+'CRH3-380+标动材料匹配'!M11+'CRH3-380+标动材料匹配'!M12</f>
        <v>464</v>
      </c>
      <c r="X17" s="73">
        <f>'CRH3-380+标动材料匹配'!N10+'CRH3-380+标动材料匹配'!N11+'CRH3-380+标动材料匹配'!N12</f>
        <v>799</v>
      </c>
      <c r="Y17" s="73">
        <f>'CRH3-380+标动材料匹配'!O10+'CRH3-380+标动材料匹配'!O11+'CRH3-380+标动材料匹配'!O12</f>
        <v>795</v>
      </c>
      <c r="Z17" s="73">
        <f>'CRH3-380+标动材料匹配'!P10+'CRH3-380+标动材料匹配'!P11+'CRH3-380+标动材料匹配'!P12</f>
        <v>227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09"/>
    </row>
    <row r="18" spans="1:33">
      <c r="A18" s="612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1451</v>
      </c>
      <c r="P18" s="73">
        <f>'CRH3-380+标动材料匹配'!F18+'CRH3-380+标动材料匹配'!F19+'CRH3-380+标动材料匹配'!F20</f>
        <v>847</v>
      </c>
      <c r="Q18" s="73">
        <f>'CRH3-380+标动材料匹配'!G18+'CRH3-380+标动材料匹配'!G19+'CRH3-380+标动材料匹配'!G20</f>
        <v>1090</v>
      </c>
      <c r="R18" s="73">
        <f>'CRH3-380+标动材料匹配'!H18+'CRH3-380+标动材料匹配'!H19+'CRH3-380+标动材料匹配'!H20</f>
        <v>1884</v>
      </c>
      <c r="S18" s="73">
        <f>'CRH3-380+标动材料匹配'!I18+'CRH3-380+标动材料匹配'!I19+'CRH3-380+标动材料匹配'!I20</f>
        <v>1435</v>
      </c>
      <c r="T18" s="73">
        <f>'CRH3-380+标动材料匹配'!J18+'CRH3-380+标动材料匹配'!J19+'CRH3-380+标动材料匹配'!J20</f>
        <v>1407</v>
      </c>
      <c r="U18" s="73">
        <f>'CRH3-380+标动材料匹配'!K18+'CRH3-380+标动材料匹配'!K19+'CRH3-380+标动材料匹配'!K20</f>
        <v>1492</v>
      </c>
      <c r="V18" s="73">
        <f>'CRH3-380+标动材料匹配'!L18+'CRH3-380+标动材料匹配'!L19+'CRH3-380+标动材料匹配'!L20</f>
        <v>1203</v>
      </c>
      <c r="W18" s="73">
        <f>'CRH3-380+标动材料匹配'!M18+'CRH3-380+标动材料匹配'!M19+'CRH3-380+标动材料匹配'!M20</f>
        <v>1854</v>
      </c>
      <c r="X18" s="73">
        <f>'CRH3-380+标动材料匹配'!N18+'CRH3-380+标动材料匹配'!N19+'CRH3-380+标动材料匹配'!N20</f>
        <v>4572</v>
      </c>
      <c r="Y18" s="73">
        <f>'CRH3-380+标动材料匹配'!O18+'CRH3-380+标动材料匹配'!O19+'CRH3-380+标动材料匹配'!O20</f>
        <v>6007</v>
      </c>
      <c r="Z18" s="73">
        <f>'CRH3-380+标动材料匹配'!P18+'CRH3-380+标动材料匹配'!P19+'CRH3-380+标动材料匹配'!P20</f>
        <v>4672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09"/>
    </row>
    <row r="19" spans="1:33">
      <c r="A19" s="612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488</v>
      </c>
      <c r="P19" s="73">
        <f>'CRH3-380+标动材料匹配'!F26+'CRH3-380+标动材料匹配'!F27+'CRH3-380+标动材料匹配'!F28</f>
        <v>484</v>
      </c>
      <c r="Q19" s="73">
        <f>'CRH3-380+标动材料匹配'!G26+'CRH3-380+标动材料匹配'!G27+'CRH3-380+标动材料匹配'!G28</f>
        <v>538</v>
      </c>
      <c r="R19" s="73">
        <f>'CRH3-380+标动材料匹配'!H26+'CRH3-380+标动材料匹配'!H27+'CRH3-380+标动材料匹配'!H28</f>
        <v>228</v>
      </c>
      <c r="S19" s="73">
        <f>'CRH3-380+标动材料匹配'!I26+'CRH3-380+标动材料匹配'!I27+'CRH3-380+标动材料匹配'!I28</f>
        <v>496</v>
      </c>
      <c r="T19" s="73">
        <f>'CRH3-380+标动材料匹配'!J26+'CRH3-380+标动材料匹配'!J27+'CRH3-380+标动材料匹配'!J28</f>
        <v>256</v>
      </c>
      <c r="U19" s="73">
        <f>'CRH3-380+标动材料匹配'!K26+'CRH3-380+标动材料匹配'!K27+'CRH3-380+标动材料匹配'!K28</f>
        <v>192</v>
      </c>
      <c r="V19" s="73">
        <f>'CRH3-380+标动材料匹配'!L26+'CRH3-380+标动材料匹配'!L27+'CRH3-380+标动材料匹配'!L28</f>
        <v>240</v>
      </c>
      <c r="W19" s="73">
        <f>'CRH3-380+标动材料匹配'!M26+'CRH3-380+标动材料匹配'!M27+'CRH3-380+标动材料匹配'!M28</f>
        <v>368</v>
      </c>
      <c r="X19" s="73">
        <f>'CRH3-380+标动材料匹配'!N26+'CRH3-380+标动材料匹配'!N27+'CRH3-380+标动材料匹配'!N28</f>
        <v>1000</v>
      </c>
      <c r="Y19" s="73">
        <f>'CRH3-380+标动材料匹配'!O26+'CRH3-380+标动材料匹配'!O27+'CRH3-380+标动材料匹配'!O28</f>
        <v>1188</v>
      </c>
      <c r="Z19" s="73">
        <f>'CRH3-380+标动材料匹配'!P26+'CRH3-380+标动材料匹配'!P27+'CRH3-380+标动材料匹配'!P28</f>
        <v>928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09"/>
    </row>
    <row r="20" spans="1:33">
      <c r="A20" s="613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20</v>
      </c>
      <c r="V20" s="95">
        <f>CRH5材料匹配!L2+CRH5材料匹配!L3+CRH5材料匹配!L4</f>
        <v>20</v>
      </c>
      <c r="W20" s="95">
        <f>CRH5材料匹配!M2+CRH5材料匹配!M3+CRH5材料匹配!M4</f>
        <v>20</v>
      </c>
      <c r="X20" s="95">
        <f>CRH5材料匹配!N2+CRH5材料匹配!N3+CRH5材料匹配!N4</f>
        <v>20</v>
      </c>
      <c r="Y20" s="95">
        <f>CRH5材料匹配!O2+CRH5材料匹配!O3+CRH5材料匹配!O4</f>
        <v>20</v>
      </c>
      <c r="Z20" s="95">
        <f>CRH5材料匹配!P2+CRH5材料匹配!P3+CRH5材料匹配!P4</f>
        <v>23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05">
        <v>5</v>
      </c>
    </row>
    <row r="21" spans="1:33">
      <c r="A21" s="612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0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44</v>
      </c>
      <c r="V21" s="73">
        <f>CRH5材料匹配!L9+CRH5材料匹配!L10+CRH5材料匹配!L11</f>
        <v>44</v>
      </c>
      <c r="W21" s="73">
        <f>CRH5材料匹配!M9+CRH5材料匹配!M10+CRH5材料匹配!M11</f>
        <v>44</v>
      </c>
      <c r="X21" s="73">
        <f>CRH5材料匹配!N9+CRH5材料匹配!N10+CRH5材料匹配!N11</f>
        <v>44</v>
      </c>
      <c r="Y21" s="73">
        <f>CRH5材料匹配!O9+CRH5材料匹配!O10+CRH5材料匹配!O11</f>
        <v>44</v>
      </c>
      <c r="Z21" s="73">
        <f>CRH5材料匹配!P9+CRH5材料匹配!P10+CRH5材料匹配!P11</f>
        <v>47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06"/>
    </row>
    <row r="22" spans="1:33">
      <c r="A22" s="614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141</v>
      </c>
      <c r="P22" s="97">
        <f>CRH5材料匹配!F16+CRH5材料匹配!F17+CRH5材料匹配!F18</f>
        <v>259</v>
      </c>
      <c r="Q22" s="97">
        <f>CRH5材料匹配!G16+CRH5材料匹配!G17+CRH5材料匹配!G18</f>
        <v>150</v>
      </c>
      <c r="R22" s="97">
        <f>CRH5材料匹配!H16+CRH5材料匹配!H17+CRH5材料匹配!H18</f>
        <v>128</v>
      </c>
      <c r="S22" s="97">
        <f>CRH5材料匹配!I16+CRH5材料匹配!I17+CRH5材料匹配!I18</f>
        <v>128</v>
      </c>
      <c r="T22" s="97">
        <f>CRH5材料匹配!J16+CRH5材料匹配!J17+CRH5材料匹配!J18</f>
        <v>128</v>
      </c>
      <c r="U22" s="97">
        <f>CRH5材料匹配!K16+CRH5材料匹配!K17+CRH5材料匹配!K18</f>
        <v>128</v>
      </c>
      <c r="V22" s="97">
        <f>CRH5材料匹配!L16+CRH5材料匹配!L17+CRH5材料匹配!L18</f>
        <v>128</v>
      </c>
      <c r="W22" s="97">
        <f>CRH5材料匹配!M16+CRH5材料匹配!M17+CRH5材料匹配!M18</f>
        <v>128</v>
      </c>
      <c r="X22" s="97">
        <f>CRH5材料匹配!N16+CRH5材料匹配!N17+CRH5材料匹配!N18</f>
        <v>128</v>
      </c>
      <c r="Y22" s="97">
        <f>CRH5材料匹配!O16+CRH5材料匹配!O17+CRH5材料匹配!O18</f>
        <v>512</v>
      </c>
      <c r="Z22" s="97">
        <f>CRH5材料匹配!P16+CRH5材料匹配!P17+CRH5材料匹配!P18</f>
        <v>128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10"/>
    </row>
    <row r="23" spans="1:33">
      <c r="A23" s="611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20</v>
      </c>
      <c r="P23" s="91">
        <f>CRH6材料匹配!F2+CRH6材料匹配!F3</f>
        <v>72</v>
      </c>
      <c r="Q23" s="91">
        <f>CRH6材料匹配!G2+CRH6材料匹配!G3</f>
        <v>4</v>
      </c>
      <c r="R23" s="91">
        <f>CRH6材料匹配!H2+CRH6材料匹配!H3</f>
        <v>14</v>
      </c>
      <c r="S23" s="91">
        <f>CRH6材料匹配!I2+CRH6材料匹配!I3</f>
        <v>14</v>
      </c>
      <c r="T23" s="91">
        <f>CRH6材料匹配!J2+CRH6材料匹配!J3</f>
        <v>16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41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01">
        <v>1.5</v>
      </c>
      <c r="AG23" s="601">
        <v>2</v>
      </c>
    </row>
    <row r="24" spans="1:33">
      <c r="A24" s="612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80</v>
      </c>
      <c r="P24" s="73">
        <f>CRH6材料匹配!F9+CRH6材料匹配!F10</f>
        <v>12</v>
      </c>
      <c r="Q24" s="73">
        <f>CRH6材料匹配!G9+CRH6材料匹配!G10</f>
        <v>64</v>
      </c>
      <c r="R24" s="73">
        <f>CRH6材料匹配!H9+CRH6材料匹配!H10</f>
        <v>4</v>
      </c>
      <c r="S24" s="73">
        <f>CRH6材料匹配!I9+CRH6材料匹配!I10</f>
        <v>22</v>
      </c>
      <c r="T24" s="73">
        <f>CRH6材料匹配!J9+CRH6材料匹配!J10</f>
        <v>14</v>
      </c>
      <c r="U24" s="73">
        <f>CRH6材料匹配!K9+CRH6材料匹配!K10</f>
        <v>8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7</v>
      </c>
      <c r="Y24" s="73">
        <f>CRH6材料匹配!O9+CRH6材料匹配!O10</f>
        <v>7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02"/>
      <c r="AG24" s="602"/>
    </row>
    <row r="25" spans="1:33">
      <c r="A25" s="614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320</v>
      </c>
      <c r="P25" s="97">
        <f>CRH6材料匹配!F16+CRH6材料匹配!F17</f>
        <v>24</v>
      </c>
      <c r="Q25" s="97">
        <f>CRH6材料匹配!G16+CRH6材料匹配!G17</f>
        <v>304</v>
      </c>
      <c r="R25" s="97">
        <f>CRH6材料匹配!H16+CRH6材料匹配!H17</f>
        <v>136</v>
      </c>
      <c r="S25" s="97">
        <f>CRH6材料匹配!I16+CRH6材料匹配!I17</f>
        <v>72</v>
      </c>
      <c r="T25" s="97">
        <f>CRH6材料匹配!J16+CRH6材料匹配!J17</f>
        <v>56</v>
      </c>
      <c r="U25" s="97">
        <f>CRH6材料匹配!K16+CRH6材料匹配!K17</f>
        <v>48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76</v>
      </c>
      <c r="Y25" s="97">
        <f>CRH6材料匹配!O16+CRH6材料匹配!O17</f>
        <v>34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03"/>
      <c r="AG25" s="603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655</v>
      </c>
      <c r="P26" s="98">
        <f>P3+P4+P7+P8+P11+P12+P16+P17+P20+P21+P23+P24</f>
        <v>758</v>
      </c>
      <c r="Q26" s="98">
        <f>Q3+Q4+Q7+Q8+Q11+Q12+Q16+Q17+Q20+Q21+Q23+Q24</f>
        <v>974</v>
      </c>
      <c r="R26" s="98">
        <f>R3+R4+R7+R8+R11+R12+R16+R17+R20+R21+R23+R24</f>
        <v>605</v>
      </c>
      <c r="S26" s="98">
        <f>S3+S4+S7+S8+S11+S12+S16+S17+S20+S21+S23+S24</f>
        <v>929</v>
      </c>
      <c r="T26" s="98">
        <f t="shared" ref="T26:Z26" si="5">T3+T4+T7+T8+T11+T12+T16+T17+T20+T21+T23+T24</f>
        <v>856</v>
      </c>
      <c r="U26" s="98">
        <f t="shared" si="5"/>
        <v>747</v>
      </c>
      <c r="V26" s="98">
        <f t="shared" si="5"/>
        <v>638</v>
      </c>
      <c r="W26" s="98">
        <f t="shared" si="5"/>
        <v>1373</v>
      </c>
      <c r="X26" s="98">
        <f t="shared" si="5"/>
        <v>3150</v>
      </c>
      <c r="Y26" s="98">
        <f t="shared" si="5"/>
        <v>2570</v>
      </c>
      <c r="Z26" s="98">
        <f t="shared" si="5"/>
        <v>1775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20.46875</v>
      </c>
      <c r="P28" s="86">
        <f t="shared" si="8"/>
        <v>23.6875</v>
      </c>
      <c r="Q28" s="86">
        <f t="shared" si="8"/>
        <v>30.4375</v>
      </c>
      <c r="R28" s="86">
        <f t="shared" si="8"/>
        <v>18.90625</v>
      </c>
      <c r="S28" s="86">
        <f t="shared" ref="S28:Z28" si="9">S26/32</f>
        <v>29.03125</v>
      </c>
      <c r="T28" s="86">
        <f t="shared" si="9"/>
        <v>26.75</v>
      </c>
      <c r="U28" s="86">
        <f t="shared" si="9"/>
        <v>23.34375</v>
      </c>
      <c r="V28" s="86">
        <f t="shared" si="9"/>
        <v>19.9375</v>
      </c>
      <c r="W28" s="86">
        <f t="shared" si="9"/>
        <v>42.90625</v>
      </c>
      <c r="X28" s="86">
        <f t="shared" si="9"/>
        <v>98.4375</v>
      </c>
      <c r="Y28" s="86">
        <f t="shared" si="9"/>
        <v>80.3125</v>
      </c>
      <c r="Z28" s="86">
        <f t="shared" si="9"/>
        <v>55.46875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C1:AB1"/>
    <mergeCell ref="AE2:AF2"/>
    <mergeCell ref="A3:A6"/>
    <mergeCell ref="A7:A10"/>
    <mergeCell ref="A11:A15"/>
    <mergeCell ref="A16:A19"/>
    <mergeCell ref="A20:A22"/>
    <mergeCell ref="A23:A25"/>
    <mergeCell ref="AF3:AF5"/>
    <mergeCell ref="AF7:AF10"/>
    <mergeCell ref="AF11:AF12"/>
    <mergeCell ref="AF23:AF25"/>
    <mergeCell ref="AG23:AG25"/>
    <mergeCell ref="AG3:AG5"/>
    <mergeCell ref="AG7:AG10"/>
    <mergeCell ref="AG11:AG13"/>
    <mergeCell ref="AG16:AG19"/>
    <mergeCell ref="AG20:AG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39"/>
      <c r="D1" s="639"/>
      <c r="E1" s="639"/>
      <c r="F1" s="639"/>
      <c r="G1" s="639"/>
      <c r="H1" s="639"/>
      <c r="I1" s="639"/>
      <c r="J1" s="639"/>
      <c r="K1" s="639"/>
      <c r="L1" s="639"/>
      <c r="M1" s="639"/>
      <c r="N1" s="639"/>
      <c r="O1" s="639"/>
      <c r="P1" s="639"/>
      <c r="Q1" s="639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40" t="s">
        <v>21</v>
      </c>
      <c r="U2" s="640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10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54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4">
        <v>2</v>
      </c>
      <c r="V3" s="625">
        <v>4</v>
      </c>
    </row>
    <row r="4" spans="1:22" s="242" customFormat="1" ht="21" thickBot="1">
      <c r="A4" s="634"/>
      <c r="B4" s="238" t="s">
        <v>120</v>
      </c>
      <c r="C4" s="238">
        <f>'CRH1-250材料匹配'!E3</f>
        <v>26</v>
      </c>
      <c r="D4" s="238">
        <f>'CRH1-250材料匹配'!F3</f>
        <v>0</v>
      </c>
      <c r="E4" s="238">
        <f>'CRH1-250材料匹配'!G3</f>
        <v>0</v>
      </c>
      <c r="F4" s="238">
        <f>'CRH1-250材料匹配'!H3</f>
        <v>0</v>
      </c>
      <c r="G4" s="238">
        <f>'CRH1-250材料匹配'!I3</f>
        <v>75</v>
      </c>
      <c r="H4" s="238">
        <f>'CRH1-250材料匹配'!J3</f>
        <v>0</v>
      </c>
      <c r="I4" s="238">
        <f>'CRH1-250材料匹配'!K3</f>
        <v>0</v>
      </c>
      <c r="J4" s="238">
        <f>'CRH1-250材料匹配'!L3</f>
        <v>0</v>
      </c>
      <c r="K4" s="238">
        <f>'CRH1-250材料匹配'!M3</f>
        <v>0</v>
      </c>
      <c r="L4" s="238">
        <f>'CRH1-250材料匹配'!N3</f>
        <v>0</v>
      </c>
      <c r="M4" s="238">
        <f>'CRH1-250材料匹配'!O3</f>
        <v>0</v>
      </c>
      <c r="N4" s="238">
        <f>'CRH1-250材料匹配'!P3</f>
        <v>0</v>
      </c>
      <c r="O4" s="313">
        <f>SUM(C4:N4)</f>
        <v>101</v>
      </c>
      <c r="P4" s="239" t="e">
        <f>#REF!+O3</f>
        <v>#REF!</v>
      </c>
      <c r="Q4" s="240"/>
      <c r="R4" s="240"/>
      <c r="S4" s="240"/>
      <c r="T4" s="241"/>
      <c r="U4" s="625"/>
      <c r="V4" s="625"/>
    </row>
    <row r="5" spans="1:22" ht="20.25">
      <c r="A5" s="622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21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107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5"/>
      <c r="V5" s="625"/>
    </row>
    <row r="6" spans="1:22" s="242" customFormat="1" ht="21" thickBot="1">
      <c r="A6" s="622"/>
      <c r="B6" s="239" t="s">
        <v>122</v>
      </c>
      <c r="C6" s="239">
        <f>'CRH1-250材料匹配'!E10</f>
        <v>0</v>
      </c>
      <c r="D6" s="239">
        <f>'CRH1-250材料匹配'!F10</f>
        <v>0</v>
      </c>
      <c r="E6" s="239">
        <f>'CRH1-250材料匹配'!G10</f>
        <v>0</v>
      </c>
      <c r="F6" s="239">
        <f>'CRH1-250材料匹配'!H10</f>
        <v>0</v>
      </c>
      <c r="G6" s="239">
        <f>'CRH1-250材料匹配'!I10</f>
        <v>0</v>
      </c>
      <c r="H6" s="239">
        <f>'CRH1-250材料匹配'!J10</f>
        <v>0</v>
      </c>
      <c r="I6" s="239">
        <f>'CRH1-250材料匹配'!K10</f>
        <v>0</v>
      </c>
      <c r="J6" s="239">
        <f>'CRH1-250材料匹配'!L10</f>
        <v>0</v>
      </c>
      <c r="K6" s="239">
        <f>'CRH1-250材料匹配'!M10</f>
        <v>0</v>
      </c>
      <c r="L6" s="239">
        <f>'CRH1-250材料匹配'!N10</f>
        <v>0</v>
      </c>
      <c r="M6" s="239">
        <f>'CRH1-250材料匹配'!O10</f>
        <v>0</v>
      </c>
      <c r="N6" s="239">
        <f>'CRH1-250材料匹配'!P10</f>
        <v>0</v>
      </c>
      <c r="O6" s="313">
        <f t="shared" si="0"/>
        <v>0</v>
      </c>
      <c r="P6" s="239" t="e">
        <f>#REF!+O5</f>
        <v>#REF!</v>
      </c>
      <c r="Q6" s="246"/>
      <c r="R6" s="246"/>
      <c r="S6" s="246"/>
      <c r="T6" s="247"/>
      <c r="U6" s="625"/>
      <c r="V6" s="625"/>
    </row>
    <row r="7" spans="1:22" ht="20.25">
      <c r="A7" s="622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0"/>
      <c r="V7" s="630"/>
    </row>
    <row r="8" spans="1:22" s="242" customFormat="1" ht="21" thickBot="1">
      <c r="A8" s="638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150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150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38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40</v>
      </c>
      <c r="M9" s="254">
        <f>'CRH1-250材料匹配'!O23</f>
        <v>68</v>
      </c>
      <c r="N9" s="254">
        <f>'CRH1-250材料匹配'!P23</f>
        <v>4</v>
      </c>
      <c r="O9" s="312">
        <f t="shared" si="0"/>
        <v>112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23"/>
      <c r="B10" s="258" t="s">
        <v>126</v>
      </c>
      <c r="C10" s="258">
        <f>'CRH1-250材料匹配'!E24</f>
        <v>0</v>
      </c>
      <c r="D10" s="258">
        <f>'CRH1-250材料匹配'!F24</f>
        <v>52</v>
      </c>
      <c r="E10" s="258">
        <f>'CRH1-250材料匹配'!G24</f>
        <v>0</v>
      </c>
      <c r="F10" s="258">
        <f>'CRH1-250材料匹配'!H24</f>
        <v>0</v>
      </c>
      <c r="G10" s="258">
        <f>'CRH1-250材料匹配'!I24</f>
        <v>0</v>
      </c>
      <c r="H10" s="258">
        <f>'CRH1-250材料匹配'!J24</f>
        <v>0</v>
      </c>
      <c r="I10" s="258">
        <f>'CRH1-250材料匹配'!K24</f>
        <v>0</v>
      </c>
      <c r="J10" s="258">
        <f>'CRH1-250材料匹配'!L24</f>
        <v>0</v>
      </c>
      <c r="K10" s="258">
        <f>'CRH1-250材料匹配'!M24</f>
        <v>8</v>
      </c>
      <c r="L10" s="258">
        <f>'CRH1-250材料匹配'!N24</f>
        <v>8</v>
      </c>
      <c r="M10" s="258">
        <f>'CRH1-250材料匹配'!O24</f>
        <v>0</v>
      </c>
      <c r="N10" s="258">
        <f>'CRH1-250材料匹配'!P24</f>
        <v>0</v>
      </c>
      <c r="O10" s="313">
        <f t="shared" si="0"/>
        <v>68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16</v>
      </c>
      <c r="M11" s="234">
        <f>'CRH1-380材料匹配'!O2</f>
        <v>0</v>
      </c>
      <c r="N11" s="234">
        <f>'CRH1-380材料匹配'!P2</f>
        <v>0</v>
      </c>
      <c r="O11" s="312">
        <f t="shared" si="0"/>
        <v>37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4">
        <v>1.5</v>
      </c>
      <c r="V11" s="624">
        <v>2</v>
      </c>
    </row>
    <row r="12" spans="1:22" s="242" customFormat="1" ht="21" thickBot="1">
      <c r="A12" s="634"/>
      <c r="B12" s="238" t="s">
        <v>128</v>
      </c>
      <c r="C12" s="238">
        <f>'CRH1-380材料匹配'!E3</f>
        <v>4</v>
      </c>
      <c r="D12" s="238">
        <f>'CRH1-380材料匹配'!F3</f>
        <v>46</v>
      </c>
      <c r="E12" s="238">
        <f>'CRH1-380材料匹配'!G3</f>
        <v>16</v>
      </c>
      <c r="F12" s="238">
        <f>'CRH1-380材料匹配'!H3</f>
        <v>2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68</v>
      </c>
      <c r="P12" s="239" t="e">
        <f>#REF!+O11</f>
        <v>#REF!</v>
      </c>
      <c r="Q12" s="240"/>
      <c r="R12" s="240"/>
      <c r="S12" s="240"/>
      <c r="T12" s="241"/>
      <c r="U12" s="625"/>
      <c r="V12" s="625"/>
    </row>
    <row r="13" spans="1:22" ht="20.25">
      <c r="A13" s="622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5"/>
      <c r="V13" s="625"/>
    </row>
    <row r="14" spans="1:22" s="242" customFormat="1" ht="21" thickBot="1">
      <c r="A14" s="622"/>
      <c r="B14" s="239" t="s">
        <v>122</v>
      </c>
      <c r="C14" s="239">
        <f>'CRH1-380材料匹配'!E10</f>
        <v>0</v>
      </c>
      <c r="D14" s="239">
        <f>'CRH1-380材料匹配'!F10</f>
        <v>1</v>
      </c>
      <c r="E14" s="239">
        <f>'CRH1-380材料匹配'!G10</f>
        <v>25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26</v>
      </c>
      <c r="P14" s="239" t="e">
        <f>#REF!+O13</f>
        <v>#REF!</v>
      </c>
      <c r="Q14" s="246"/>
      <c r="R14" s="246"/>
      <c r="S14" s="246"/>
      <c r="T14" s="247"/>
      <c r="U14" s="625"/>
      <c r="V14" s="625"/>
    </row>
    <row r="15" spans="1:22" ht="20.25">
      <c r="A15" s="622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32</v>
      </c>
      <c r="N15" s="248">
        <f>'CRH1-380材料匹配'!P16</f>
        <v>0</v>
      </c>
      <c r="O15" s="312">
        <f t="shared" si="0"/>
        <v>74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5"/>
      <c r="V15" s="625"/>
    </row>
    <row r="16" spans="1:22" s="242" customFormat="1" ht="21" thickBot="1">
      <c r="A16" s="638"/>
      <c r="B16" s="239" t="s">
        <v>130</v>
      </c>
      <c r="C16" s="249">
        <f>'CRH1-380材料匹配'!E17</f>
        <v>0</v>
      </c>
      <c r="D16" s="249">
        <f>'CRH1-380材料匹配'!F17</f>
        <v>9</v>
      </c>
      <c r="E16" s="249">
        <f>'CRH1-380材料匹配'!G17</f>
        <v>108</v>
      </c>
      <c r="F16" s="249">
        <f>'CRH1-380材料匹配'!H17</f>
        <v>16</v>
      </c>
      <c r="G16" s="249">
        <f>'CRH1-380材料匹配'!I17</f>
        <v>4</v>
      </c>
      <c r="H16" s="249">
        <f>'CRH1-380材料匹配'!J17</f>
        <v>0</v>
      </c>
      <c r="I16" s="249">
        <f>'CRH1-380材料匹配'!K17</f>
        <v>2</v>
      </c>
      <c r="J16" s="249">
        <f>'CRH1-380材料匹配'!L17</f>
        <v>0</v>
      </c>
      <c r="K16" s="249">
        <f>'CRH1-380材料匹配'!M17</f>
        <v>2</v>
      </c>
      <c r="L16" s="249">
        <f>'CRH1-380材料匹配'!N17</f>
        <v>0</v>
      </c>
      <c r="M16" s="249">
        <f>'CRH1-380材料匹配'!O17</f>
        <v>0</v>
      </c>
      <c r="N16" s="249">
        <f>'CRH1-380材料匹配'!P17</f>
        <v>0</v>
      </c>
      <c r="O16" s="313">
        <f t="shared" si="0"/>
        <v>141</v>
      </c>
      <c r="P16" s="239" t="e">
        <f>#REF!+O15</f>
        <v>#REF!</v>
      </c>
      <c r="Q16" s="250"/>
      <c r="R16" s="250"/>
      <c r="S16" s="250"/>
      <c r="T16" s="251"/>
      <c r="U16" s="625"/>
      <c r="V16" s="625"/>
    </row>
    <row r="17" spans="1:22" ht="20.25">
      <c r="A17" s="638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5"/>
      <c r="V17" s="625"/>
    </row>
    <row r="18" spans="1:22" s="242" customFormat="1" ht="21" thickBot="1">
      <c r="A18" s="638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50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0</v>
      </c>
      <c r="I18" s="249">
        <f>'CRH1-380材料匹配'!K24</f>
        <v>2</v>
      </c>
      <c r="J18" s="249">
        <f>'CRH1-380材料匹配'!L24</f>
        <v>0</v>
      </c>
      <c r="K18" s="249">
        <f>'CRH1-380材料匹配'!M24</f>
        <v>2</v>
      </c>
      <c r="L18" s="249">
        <f>'CRH1-380材料匹配'!N24</f>
        <v>0</v>
      </c>
      <c r="M18" s="249">
        <f>'CRH1-380材料匹配'!O24</f>
        <v>0</v>
      </c>
      <c r="N18" s="249">
        <f>'CRH1-380材料匹配'!P24</f>
        <v>0</v>
      </c>
      <c r="O18" s="313">
        <f t="shared" si="0"/>
        <v>54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6"/>
      <c r="V18" s="626"/>
    </row>
    <row r="19" spans="1:22" ht="17.25" customHeight="1">
      <c r="A19" s="627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232</v>
      </c>
      <c r="L19" s="243">
        <f>CRH2材料匹配!N2</f>
        <v>944</v>
      </c>
      <c r="M19" s="243">
        <f>CRH2材料匹配!O2</f>
        <v>832</v>
      </c>
      <c r="N19" s="243">
        <f>CRH2材料匹配!P2</f>
        <v>848</v>
      </c>
      <c r="O19" s="312">
        <f t="shared" si="0"/>
        <v>2888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4">
        <v>38</v>
      </c>
      <c r="V19" s="631">
        <v>40</v>
      </c>
    </row>
    <row r="20" spans="1:22" s="242" customFormat="1" ht="17.25" customHeight="1" thickBot="1">
      <c r="A20" s="628"/>
      <c r="B20" s="238" t="s">
        <v>128</v>
      </c>
      <c r="C20" s="239">
        <f>CRH2材料匹配!E3</f>
        <v>127</v>
      </c>
      <c r="D20" s="239">
        <f>CRH2材料匹配!F3</f>
        <v>20</v>
      </c>
      <c r="E20" s="239">
        <f>CRH2材料匹配!G3</f>
        <v>25</v>
      </c>
      <c r="F20" s="239">
        <f>CRH2材料匹配!H3</f>
        <v>19</v>
      </c>
      <c r="G20" s="239">
        <f>CRH2材料匹配!I3</f>
        <v>54</v>
      </c>
      <c r="H20" s="239">
        <f>CRH2材料匹配!J3</f>
        <v>48</v>
      </c>
      <c r="I20" s="239">
        <f>CRH2材料匹配!K3</f>
        <v>18</v>
      </c>
      <c r="J20" s="239">
        <f>CRH2材料匹配!L3</f>
        <v>0</v>
      </c>
      <c r="K20" s="239">
        <f>CRH2材料匹配!M3</f>
        <v>0</v>
      </c>
      <c r="L20" s="239">
        <f>CRH2材料匹配!N3</f>
        <v>0</v>
      </c>
      <c r="M20" s="239">
        <f>CRH2材料匹配!O3</f>
        <v>0</v>
      </c>
      <c r="N20" s="239">
        <f>CRH2材料匹配!P3</f>
        <v>0</v>
      </c>
      <c r="O20" s="313">
        <f t="shared" si="0"/>
        <v>311</v>
      </c>
      <c r="P20" s="239" t="e">
        <f>#REF!+O19</f>
        <v>#REF!</v>
      </c>
      <c r="Q20" s="279"/>
      <c r="R20" s="280"/>
      <c r="S20" s="240"/>
      <c r="T20" s="241"/>
      <c r="U20" s="625"/>
      <c r="V20" s="632"/>
    </row>
    <row r="21" spans="1:22" ht="20.25">
      <c r="A21" s="628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94</v>
      </c>
      <c r="N21" s="243">
        <f>CRH2材料匹配!P8</f>
        <v>20</v>
      </c>
      <c r="O21" s="312">
        <f t="shared" si="0"/>
        <v>248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0"/>
      <c r="V21" s="632"/>
    </row>
    <row r="22" spans="1:22" s="242" customFormat="1" ht="21" thickBot="1">
      <c r="A22" s="628"/>
      <c r="B22" s="239" t="s">
        <v>122</v>
      </c>
      <c r="C22" s="239">
        <f>CRH2材料匹配!E9</f>
        <v>0</v>
      </c>
      <c r="D22" s="239">
        <f>CRH2材料匹配!F9</f>
        <v>20</v>
      </c>
      <c r="E22" s="239">
        <f>CRH2材料匹配!G9</f>
        <v>0</v>
      </c>
      <c r="F22" s="239">
        <f>CRH2材料匹配!H9</f>
        <v>3</v>
      </c>
      <c r="G22" s="239">
        <f>CRH2材料匹配!I9</f>
        <v>0</v>
      </c>
      <c r="H22" s="239">
        <f>CRH2材料匹配!J9</f>
        <v>32</v>
      </c>
      <c r="I22" s="239">
        <f>CRH2材料匹配!K9</f>
        <v>16</v>
      </c>
      <c r="J22" s="239">
        <f>CRH2材料匹配!L9</f>
        <v>5</v>
      </c>
      <c r="K22" s="239">
        <f>CRH2材料匹配!M9</f>
        <v>0</v>
      </c>
      <c r="L22" s="239">
        <f>CRH2材料匹配!N9</f>
        <v>0</v>
      </c>
      <c r="M22" s="239">
        <f>CRH2材料匹配!O9</f>
        <v>0</v>
      </c>
      <c r="N22" s="239">
        <f>CRH2材料匹配!P9</f>
        <v>0</v>
      </c>
      <c r="O22" s="313">
        <f t="shared" si="0"/>
        <v>76</v>
      </c>
      <c r="P22" s="239" t="e">
        <f>#REF!+O21</f>
        <v>#REF!</v>
      </c>
      <c r="Q22" s="283"/>
      <c r="R22" s="284"/>
      <c r="S22" s="246"/>
      <c r="T22" s="247"/>
      <c r="U22" s="303"/>
      <c r="V22" s="632"/>
    </row>
    <row r="23" spans="1:22" ht="20.25">
      <c r="A23" s="628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4092</v>
      </c>
      <c r="M23" s="243">
        <f>CRH2材料匹配!O14</f>
        <v>2112</v>
      </c>
      <c r="N23" s="243">
        <f>CRH2材料匹配!P14</f>
        <v>1996</v>
      </c>
      <c r="O23" s="312">
        <f t="shared" si="0"/>
        <v>8500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3"/>
    </row>
    <row r="24" spans="1:22" ht="21" thickBot="1">
      <c r="A24" s="628"/>
      <c r="B24" s="239" t="s">
        <v>133</v>
      </c>
      <c r="C24" s="238">
        <f>CRH2材料匹配!E15</f>
        <v>517</v>
      </c>
      <c r="D24" s="238">
        <f>CRH2材料匹配!F15</f>
        <v>490</v>
      </c>
      <c r="E24" s="238">
        <f>CRH2材料匹配!G15</f>
        <v>786</v>
      </c>
      <c r="F24" s="238">
        <f>CRH2材料匹配!H15</f>
        <v>940</v>
      </c>
      <c r="G24" s="238">
        <f>CRH2材料匹配!I15</f>
        <v>454</v>
      </c>
      <c r="H24" s="238">
        <f>CRH2材料匹配!J15</f>
        <v>512</v>
      </c>
      <c r="I24" s="238">
        <f>CRH2材料匹配!K15</f>
        <v>304</v>
      </c>
      <c r="J24" s="238">
        <f>CRH2材料匹配!L15</f>
        <v>340</v>
      </c>
      <c r="K24" s="238">
        <f>CRH2材料匹配!M15</f>
        <v>160</v>
      </c>
      <c r="L24" s="238">
        <f>CRH2材料匹配!N15</f>
        <v>64</v>
      </c>
      <c r="M24" s="238">
        <f>CRH2材料匹配!O15</f>
        <v>192</v>
      </c>
      <c r="N24" s="238">
        <f>CRH2材料匹配!P15</f>
        <v>192</v>
      </c>
      <c r="O24" s="313">
        <f t="shared" si="0"/>
        <v>4951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28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0</v>
      </c>
      <c r="N25" s="275">
        <f>CRH2材料匹配!P20</f>
        <v>0</v>
      </c>
      <c r="O25" s="312">
        <f t="shared" si="0"/>
        <v>64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29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0</v>
      </c>
      <c r="N26" s="276">
        <f>CRH2材料匹配!P26</f>
        <v>0</v>
      </c>
      <c r="O26" s="313">
        <f t="shared" si="0"/>
        <v>32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4</v>
      </c>
      <c r="I27" s="234">
        <f>'CRH3-380+标动材料匹配'!K2</f>
        <v>1</v>
      </c>
      <c r="J27" s="234">
        <f>'CRH3-380+标动材料匹配'!L2</f>
        <v>4</v>
      </c>
      <c r="K27" s="234">
        <f>'CRH3-380+标动材料匹配'!M2</f>
        <v>295</v>
      </c>
      <c r="L27" s="234">
        <f>'CRH3-380+标动材料匹配'!N2</f>
        <v>833</v>
      </c>
      <c r="M27" s="234">
        <f>'CRH3-380+标动材料匹配'!O2</f>
        <v>339</v>
      </c>
      <c r="N27" s="234">
        <f>'CRH3-380+标动材料匹配'!P2</f>
        <v>409</v>
      </c>
      <c r="O27" s="312">
        <f t="shared" si="0"/>
        <v>1885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5">
        <v>20</v>
      </c>
    </row>
    <row r="28" spans="1:22" s="242" customFormat="1" ht="21" thickBot="1">
      <c r="A28" s="634"/>
      <c r="B28" s="238" t="s">
        <v>119</v>
      </c>
      <c r="C28" s="238">
        <f>'CRH3-380+标动材料匹配'!E3</f>
        <v>236</v>
      </c>
      <c r="D28" s="238">
        <f>'CRH3-380+标动材料匹配'!F3</f>
        <v>267</v>
      </c>
      <c r="E28" s="238">
        <f>'CRH3-380+标动材料匹配'!G3</f>
        <v>368</v>
      </c>
      <c r="F28" s="238">
        <f>'CRH3-380+标动材料匹配'!H3</f>
        <v>205</v>
      </c>
      <c r="G28" s="238">
        <f>'CRH3-380+标动材料匹配'!I3</f>
        <v>326</v>
      </c>
      <c r="H28" s="238">
        <f>'CRH3-380+标动材料匹配'!J3</f>
        <v>404</v>
      </c>
      <c r="I28" s="238">
        <f>'CRH3-380+标动材料匹配'!K3</f>
        <v>352</v>
      </c>
      <c r="J28" s="238">
        <f>'CRH3-380+标动材料匹配'!L3</f>
        <v>262</v>
      </c>
      <c r="K28" s="238">
        <f>'CRH3-380+标动材料匹配'!M3</f>
        <v>290</v>
      </c>
      <c r="L28" s="238">
        <f>'CRH3-380+标动材料匹配'!N3</f>
        <v>288</v>
      </c>
      <c r="M28" s="238">
        <f>'CRH3-380+标动材料匹配'!O3</f>
        <v>288</v>
      </c>
      <c r="N28" s="238">
        <f>'CRH3-380+标动材料匹配'!P3</f>
        <v>0</v>
      </c>
      <c r="O28" s="313">
        <f t="shared" si="0"/>
        <v>3286</v>
      </c>
      <c r="P28" s="239" t="e">
        <f>#REF!+O27</f>
        <v>#REF!</v>
      </c>
      <c r="Q28" s="279"/>
      <c r="R28" s="280"/>
      <c r="S28" s="240"/>
      <c r="T28" s="241"/>
      <c r="U28" s="281"/>
      <c r="V28" s="630"/>
    </row>
    <row r="29" spans="1:22" ht="20.25">
      <c r="A29" s="622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174</v>
      </c>
      <c r="L29" s="243">
        <f>'CRH3-380+标动材料匹配'!N10</f>
        <v>495</v>
      </c>
      <c r="M29" s="243">
        <f>'CRH3-380+标动材料匹配'!O10</f>
        <v>491</v>
      </c>
      <c r="N29" s="243">
        <f>'CRH3-380+标动材料匹配'!P10</f>
        <v>227</v>
      </c>
      <c r="O29" s="312">
        <f t="shared" si="0"/>
        <v>1387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6"/>
    </row>
    <row r="30" spans="1:22" s="242" customFormat="1" ht="21" thickBot="1">
      <c r="A30" s="622"/>
      <c r="B30" s="239" t="s">
        <v>122</v>
      </c>
      <c r="C30" s="239">
        <f>'CRH3-380+标动材料匹配'!E11</f>
        <v>162</v>
      </c>
      <c r="D30" s="239">
        <f>'CRH3-380+标动材料匹配'!F11</f>
        <v>320</v>
      </c>
      <c r="E30" s="239">
        <f>'CRH3-380+标动材料匹配'!G11</f>
        <v>472</v>
      </c>
      <c r="F30" s="239">
        <f>'CRH3-380+标动材料匹配'!H11</f>
        <v>358</v>
      </c>
      <c r="G30" s="239">
        <f>'CRH3-380+标动材料匹配'!I11</f>
        <v>438</v>
      </c>
      <c r="H30" s="239">
        <f>'CRH3-380+标动材料匹配'!J11</f>
        <v>338</v>
      </c>
      <c r="I30" s="239">
        <f>'CRH3-380+标动材料匹配'!K11</f>
        <v>288</v>
      </c>
      <c r="J30" s="239">
        <f>'CRH3-380+标动材料匹配'!L11</f>
        <v>266</v>
      </c>
      <c r="K30" s="239">
        <f>'CRH3-380+标动材料匹配'!M11</f>
        <v>290</v>
      </c>
      <c r="L30" s="239">
        <f>'CRH3-380+标动材料匹配'!N11</f>
        <v>304</v>
      </c>
      <c r="M30" s="239">
        <f>'CRH3-380+标动材料匹配'!O11</f>
        <v>304</v>
      </c>
      <c r="N30" s="239">
        <f>'CRH3-380+标动材料匹配'!P11</f>
        <v>0</v>
      </c>
      <c r="O30" s="313">
        <f t="shared" si="0"/>
        <v>3540</v>
      </c>
      <c r="P30" s="239" t="e">
        <f>#REF!+O29</f>
        <v>#REF!</v>
      </c>
      <c r="Q30" s="283"/>
      <c r="R30" s="284"/>
      <c r="S30" s="246"/>
      <c r="T30" s="247"/>
      <c r="U30" s="285"/>
      <c r="V30" s="636"/>
    </row>
    <row r="31" spans="1:22" ht="20.25">
      <c r="A31" s="622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20</v>
      </c>
      <c r="J31" s="243">
        <f>'CRH3-380+标动材料匹配'!L18</f>
        <v>0</v>
      </c>
      <c r="K31" s="243">
        <f>'CRH3-380+标动材料匹配'!M18</f>
        <v>496</v>
      </c>
      <c r="L31" s="243">
        <f>'CRH3-380+标动材料匹配'!N18</f>
        <v>3260</v>
      </c>
      <c r="M31" s="243">
        <f>'CRH3-380+标动材料匹配'!O18</f>
        <v>4823</v>
      </c>
      <c r="N31" s="243">
        <f>'CRH3-380+标动材料匹配'!P18</f>
        <v>4064</v>
      </c>
      <c r="O31" s="312">
        <f t="shared" si="0"/>
        <v>12663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6"/>
    </row>
    <row r="32" spans="1:22" s="242" customFormat="1" ht="21" thickBot="1">
      <c r="A32" s="622"/>
      <c r="B32" s="239" t="s">
        <v>130</v>
      </c>
      <c r="C32" s="239">
        <f>'CRH3-380+标动材料匹配'!E19</f>
        <v>1451</v>
      </c>
      <c r="D32" s="239">
        <f>'CRH3-380+标动材料匹配'!F19</f>
        <v>847</v>
      </c>
      <c r="E32" s="239">
        <f>'CRH3-380+标动材料匹配'!G19</f>
        <v>1090</v>
      </c>
      <c r="F32" s="239">
        <f>'CRH3-380+标动材料匹配'!H19</f>
        <v>1884</v>
      </c>
      <c r="G32" s="239">
        <f>'CRH3-380+标动材料匹配'!I19</f>
        <v>1435</v>
      </c>
      <c r="H32" s="239">
        <f>'CRH3-380+标动材料匹配'!J19</f>
        <v>1407</v>
      </c>
      <c r="I32" s="239">
        <f>'CRH3-380+标动材料匹配'!K19</f>
        <v>1472</v>
      </c>
      <c r="J32" s="239">
        <f>'CRH3-380+标动材料匹配'!L19</f>
        <v>1203</v>
      </c>
      <c r="K32" s="239">
        <f>'CRH3-380+标动材料匹配'!M19</f>
        <v>1358</v>
      </c>
      <c r="L32" s="239">
        <f>'CRH3-380+标动材料匹配'!N19</f>
        <v>1312</v>
      </c>
      <c r="M32" s="239">
        <f>'CRH3-380+标动材料匹配'!O19</f>
        <v>1184</v>
      </c>
      <c r="N32" s="239">
        <f>'CRH3-380+标动材料匹配'!P19</f>
        <v>608</v>
      </c>
      <c r="O32" s="313">
        <f t="shared" si="0"/>
        <v>15251</v>
      </c>
      <c r="P32" s="239" t="e">
        <f>#REF!+O31</f>
        <v>#REF!</v>
      </c>
      <c r="Q32" s="283"/>
      <c r="R32" s="284"/>
      <c r="S32" s="246"/>
      <c r="T32" s="247"/>
      <c r="U32" s="285"/>
      <c r="V32" s="636"/>
    </row>
    <row r="33" spans="1:22" ht="20.25">
      <c r="A33" s="622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760</v>
      </c>
      <c r="M33" s="243">
        <f>'CRH3-380+标动材料匹配'!O26</f>
        <v>948</v>
      </c>
      <c r="N33" s="243">
        <f>'CRH3-380+标动材料匹配'!P26</f>
        <v>688</v>
      </c>
      <c r="O33" s="312">
        <f t="shared" si="0"/>
        <v>2396</v>
      </c>
      <c r="P33" s="235" t="e">
        <f>#REF!+O33</f>
        <v>#REF!</v>
      </c>
      <c r="Q33" s="267"/>
      <c r="R33" s="268"/>
      <c r="S33" s="244"/>
      <c r="T33" s="245"/>
      <c r="U33" s="282"/>
      <c r="V33" s="636"/>
    </row>
    <row r="34" spans="1:22" s="242" customFormat="1" ht="21" thickBot="1">
      <c r="A34" s="622"/>
      <c r="B34" s="239" t="s">
        <v>132</v>
      </c>
      <c r="C34" s="239">
        <f>'CRH3-380+标动材料匹配'!E27</f>
        <v>488</v>
      </c>
      <c r="D34" s="239">
        <f>'CRH3-380+标动材料匹配'!F27</f>
        <v>484</v>
      </c>
      <c r="E34" s="239">
        <f>'CRH3-380+标动材料匹配'!G27</f>
        <v>538</v>
      </c>
      <c r="F34" s="239">
        <f>'CRH3-380+标动材料匹配'!H27</f>
        <v>228</v>
      </c>
      <c r="G34" s="239">
        <f>'CRH3-380+标动材料匹配'!I27</f>
        <v>496</v>
      </c>
      <c r="H34" s="239">
        <f>'CRH3-380+标动材料匹配'!J27</f>
        <v>256</v>
      </c>
      <c r="I34" s="239">
        <f>'CRH3-380+标动材料匹配'!K27</f>
        <v>192</v>
      </c>
      <c r="J34" s="239">
        <f>'CRH3-380+标动材料匹配'!L27</f>
        <v>240</v>
      </c>
      <c r="K34" s="239">
        <f>'CRH3-380+标动材料匹配'!M27</f>
        <v>368</v>
      </c>
      <c r="L34" s="239">
        <f>'CRH3-380+标动材料匹配'!N27</f>
        <v>240</v>
      </c>
      <c r="M34" s="239">
        <f>'CRH3-380+标动材料匹配'!O27</f>
        <v>240</v>
      </c>
      <c r="N34" s="239">
        <f>'CRH3-380+标动材料匹配'!P27</f>
        <v>240</v>
      </c>
      <c r="O34" s="313">
        <f t="shared" si="0"/>
        <v>4010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6"/>
    </row>
    <row r="35" spans="1:22" ht="20.25">
      <c r="A35" s="634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1">
        <v>5</v>
      </c>
    </row>
    <row r="36" spans="1:22" ht="21" thickBot="1">
      <c r="A36" s="622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2"/>
    </row>
    <row r="37" spans="1:22" ht="21" thickBot="1">
      <c r="A37" s="623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384</v>
      </c>
      <c r="N37" s="288">
        <f>CRH5材料匹配!P16</f>
        <v>0</v>
      </c>
      <c r="O37" s="312">
        <f t="shared" si="0"/>
        <v>384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37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41</v>
      </c>
      <c r="M38" s="234">
        <f>CRH6材料匹配!O2</f>
        <v>32</v>
      </c>
      <c r="N38" s="234">
        <f>CRH6材料匹配!P2</f>
        <v>112</v>
      </c>
      <c r="O38" s="313">
        <f t="shared" si="0"/>
        <v>185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4">
        <v>1.5</v>
      </c>
      <c r="V38" s="624">
        <v>2</v>
      </c>
    </row>
    <row r="39" spans="1:22" ht="20.25">
      <c r="A39" s="622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7</v>
      </c>
      <c r="M39" s="243">
        <f>CRH6材料匹配!O9</f>
        <v>7</v>
      </c>
      <c r="N39" s="243">
        <f>CRH6材料匹配!P9</f>
        <v>80</v>
      </c>
      <c r="O39" s="312">
        <f t="shared" si="0"/>
        <v>94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5"/>
      <c r="V39" s="625"/>
    </row>
    <row r="40" spans="1:22" ht="21" thickBot="1">
      <c r="A40" s="623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76</v>
      </c>
      <c r="M40" s="253">
        <f>CRH6材料匹配!O16</f>
        <v>34</v>
      </c>
      <c r="N40" s="253">
        <f>CRH6材料匹配!P16</f>
        <v>320</v>
      </c>
      <c r="O40" s="313">
        <f t="shared" si="0"/>
        <v>430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6"/>
      <c r="V40" s="626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4</v>
      </c>
      <c r="I41" s="298">
        <f t="shared" si="1"/>
        <v>1</v>
      </c>
      <c r="J41" s="298">
        <f t="shared" si="1"/>
        <v>41</v>
      </c>
      <c r="K41" s="298">
        <f t="shared" si="1"/>
        <v>729</v>
      </c>
      <c r="L41" s="298">
        <f t="shared" si="1"/>
        <v>2494</v>
      </c>
      <c r="M41" s="298">
        <f t="shared" si="1"/>
        <v>1914</v>
      </c>
      <c r="N41" s="298">
        <f t="shared" si="1"/>
        <v>1711</v>
      </c>
      <c r="O41" s="298">
        <f>O3+O5+O11+O13+O3+O5+O11+O13+O19+O21+O27+O29+O35+O38</f>
        <v>6998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555</v>
      </c>
      <c r="D42" s="298">
        <f t="shared" ref="D42:N42" si="2">D4+D6+D12+D14+D20+D22+D28+D30</f>
        <v>674</v>
      </c>
      <c r="E42" s="298">
        <f t="shared" si="2"/>
        <v>906</v>
      </c>
      <c r="F42" s="298">
        <f t="shared" si="2"/>
        <v>587</v>
      </c>
      <c r="G42" s="298">
        <f t="shared" si="2"/>
        <v>893</v>
      </c>
      <c r="H42" s="298">
        <f t="shared" si="2"/>
        <v>822</v>
      </c>
      <c r="I42" s="298">
        <f t="shared" si="2"/>
        <v>674</v>
      </c>
      <c r="J42" s="298">
        <f t="shared" si="2"/>
        <v>533</v>
      </c>
      <c r="K42" s="298">
        <f t="shared" si="2"/>
        <v>580</v>
      </c>
      <c r="L42" s="298">
        <f t="shared" si="2"/>
        <v>592</v>
      </c>
      <c r="M42" s="298">
        <f t="shared" si="2"/>
        <v>592</v>
      </c>
      <c r="N42" s="298">
        <f t="shared" si="2"/>
        <v>0</v>
      </c>
      <c r="O42" s="313">
        <f t="shared" si="0"/>
        <v>7408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555</v>
      </c>
      <c r="D43" s="301">
        <f t="shared" si="3"/>
        <v>674</v>
      </c>
      <c r="E43" s="301">
        <f t="shared" si="3"/>
        <v>906</v>
      </c>
      <c r="F43" s="301">
        <f t="shared" si="3"/>
        <v>587</v>
      </c>
      <c r="G43" s="301">
        <f t="shared" si="3"/>
        <v>893</v>
      </c>
      <c r="H43" s="301">
        <f t="shared" si="3"/>
        <v>826</v>
      </c>
      <c r="I43" s="301">
        <f t="shared" si="3"/>
        <v>675</v>
      </c>
      <c r="J43" s="301">
        <f t="shared" si="3"/>
        <v>574</v>
      </c>
      <c r="K43" s="301">
        <f t="shared" si="3"/>
        <v>1309</v>
      </c>
      <c r="L43" s="301">
        <f t="shared" si="3"/>
        <v>3086</v>
      </c>
      <c r="M43" s="301">
        <f t="shared" si="3"/>
        <v>2506</v>
      </c>
      <c r="N43" s="301">
        <f t="shared" si="3"/>
        <v>1711</v>
      </c>
      <c r="O43" s="312">
        <f t="shared" si="0"/>
        <v>14302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20</v>
      </c>
      <c r="J44" s="298">
        <f t="shared" si="4"/>
        <v>0</v>
      </c>
      <c r="K44" s="298">
        <f t="shared" si="4"/>
        <v>810</v>
      </c>
      <c r="L44" s="298">
        <f t="shared" si="4"/>
        <v>8398</v>
      </c>
      <c r="M44" s="298">
        <f t="shared" si="4"/>
        <v>8745</v>
      </c>
      <c r="N44" s="298">
        <f t="shared" si="4"/>
        <v>7072</v>
      </c>
      <c r="O44" s="298">
        <f t="shared" si="4"/>
        <v>25045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2456</v>
      </c>
      <c r="D45" s="298">
        <f t="shared" ref="D45:O45" si="5">D8+D10+D16+D18+D24+D32+D34</f>
        <v>1882</v>
      </c>
      <c r="E45" s="298">
        <f t="shared" si="5"/>
        <v>2572</v>
      </c>
      <c r="F45" s="298">
        <f t="shared" si="5"/>
        <v>3068</v>
      </c>
      <c r="G45" s="298">
        <f t="shared" si="5"/>
        <v>2389</v>
      </c>
      <c r="H45" s="298">
        <f t="shared" si="5"/>
        <v>2325</v>
      </c>
      <c r="I45" s="298">
        <f t="shared" si="5"/>
        <v>1972</v>
      </c>
      <c r="J45" s="298">
        <f t="shared" si="5"/>
        <v>1783</v>
      </c>
      <c r="K45" s="298">
        <f t="shared" si="5"/>
        <v>1898</v>
      </c>
      <c r="L45" s="298">
        <f t="shared" si="5"/>
        <v>1624</v>
      </c>
      <c r="M45" s="298">
        <f t="shared" si="5"/>
        <v>1616</v>
      </c>
      <c r="N45" s="298">
        <f t="shared" si="5"/>
        <v>1040</v>
      </c>
      <c r="O45" s="298">
        <f t="shared" si="5"/>
        <v>24625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2456</v>
      </c>
      <c r="D46" s="299">
        <f t="shared" si="6"/>
        <v>1882</v>
      </c>
      <c r="E46" s="299">
        <f t="shared" si="6"/>
        <v>2572</v>
      </c>
      <c r="F46" s="299">
        <f t="shared" si="6"/>
        <v>3068</v>
      </c>
      <c r="G46" s="299">
        <f t="shared" si="6"/>
        <v>2389</v>
      </c>
      <c r="H46" s="299">
        <f t="shared" si="6"/>
        <v>2325</v>
      </c>
      <c r="I46" s="299">
        <f t="shared" si="6"/>
        <v>1992</v>
      </c>
      <c r="J46" s="299">
        <f t="shared" si="6"/>
        <v>1783</v>
      </c>
      <c r="K46" s="299">
        <f t="shared" si="6"/>
        <v>2708</v>
      </c>
      <c r="L46" s="299">
        <f t="shared" si="6"/>
        <v>10022</v>
      </c>
      <c r="M46" s="299">
        <f t="shared" si="6"/>
        <v>10361</v>
      </c>
      <c r="N46" s="299">
        <f t="shared" si="6"/>
        <v>8112</v>
      </c>
      <c r="O46" s="313">
        <f t="shared" si="0"/>
        <v>49670</v>
      </c>
      <c r="P46" s="239" t="e">
        <f>#REF!+O45</f>
        <v>#REF!</v>
      </c>
    </row>
  </sheetData>
  <mergeCells count="18">
    <mergeCell ref="A11:A18"/>
    <mergeCell ref="U11:U18"/>
    <mergeCell ref="V11:V18"/>
    <mergeCell ref="C1:Q1"/>
    <mergeCell ref="T2:U2"/>
    <mergeCell ref="A3:A10"/>
    <mergeCell ref="U3:U7"/>
    <mergeCell ref="V3:V7"/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155</v>
      </c>
      <c r="E4" s="158" t="e">
        <f>'汇报-订单需求情况'!#REF!</f>
        <v>#REF!</v>
      </c>
      <c r="F4" s="158">
        <f>'汇报-订单需求情况'!E2</f>
        <v>202</v>
      </c>
      <c r="G4" s="163" t="e">
        <f>C4+D4+E4+F4</f>
        <v>#REF!</v>
      </c>
      <c r="H4" s="73">
        <f>'CRH1-250材料匹配'!D5</f>
        <v>266</v>
      </c>
      <c r="I4" s="73">
        <f>'CRH1-250材料匹配'!E8</f>
        <v>240</v>
      </c>
      <c r="J4" s="73">
        <f>'CRH1-250材料匹配'!F8</f>
        <v>240</v>
      </c>
      <c r="K4" s="73">
        <f>'CRH1-250材料匹配'!G8</f>
        <v>240</v>
      </c>
      <c r="L4" s="73">
        <f>'CRH1-250材料匹配'!H8</f>
        <v>240</v>
      </c>
      <c r="M4" s="73">
        <f>'CRH1-250材料匹配'!I8</f>
        <v>165</v>
      </c>
      <c r="N4" s="73">
        <f>'CRH1-250材料匹配'!J8</f>
        <v>165</v>
      </c>
      <c r="O4" s="73">
        <f>'CRH1-250材料匹配'!K8</f>
        <v>165</v>
      </c>
      <c r="P4" s="73">
        <f>'CRH1-250材料匹配'!L8</f>
        <v>165</v>
      </c>
      <c r="Q4" s="73">
        <f>'CRH1-250材料匹配'!M8</f>
        <v>155</v>
      </c>
      <c r="R4" s="73">
        <f>'CRH1-250材料匹配'!N8</f>
        <v>153</v>
      </c>
      <c r="S4" s="73">
        <f>'CRH1-250材料匹配'!O8</f>
        <v>111</v>
      </c>
      <c r="T4" s="73">
        <f>'CRH1-250材料匹配'!P8</f>
        <v>111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107</v>
      </c>
      <c r="E5" s="206" t="e">
        <f>'汇报-订单需求情况'!#REF!</f>
        <v>#REF!</v>
      </c>
      <c r="F5" s="206">
        <f>'汇报-订单需求情况'!E3</f>
        <v>0</v>
      </c>
      <c r="G5" s="163" t="e">
        <f>C5+D5+E5+F5</f>
        <v>#REF!</v>
      </c>
      <c r="H5" s="73">
        <f>'CRH1-250材料匹配'!D12</f>
        <v>212</v>
      </c>
      <c r="I5" s="73">
        <f>'CRH1-250材料匹配'!E15</f>
        <v>212</v>
      </c>
      <c r="J5" s="73">
        <f>'CRH1-250材料匹配'!F15</f>
        <v>212</v>
      </c>
      <c r="K5" s="73">
        <f>'CRH1-250材料匹配'!G15</f>
        <v>212</v>
      </c>
      <c r="L5" s="73">
        <f>'CRH1-250材料匹配'!H15</f>
        <v>212</v>
      </c>
      <c r="M5" s="73">
        <f>'CRH1-250材料匹配'!I15</f>
        <v>212</v>
      </c>
      <c r="N5" s="73">
        <f>'CRH1-250材料匹配'!J15</f>
        <v>212</v>
      </c>
      <c r="O5" s="73">
        <f>'CRH1-250材料匹配'!K15</f>
        <v>212</v>
      </c>
      <c r="P5" s="73">
        <f>'CRH1-250材料匹配'!L15</f>
        <v>212</v>
      </c>
      <c r="Q5" s="73">
        <f>'CRH1-250材料匹配'!M15</f>
        <v>212</v>
      </c>
      <c r="R5" s="73">
        <f>'CRH1-250材料匹配'!N15</f>
        <v>191</v>
      </c>
      <c r="S5" s="73">
        <f>'CRH1-250材料匹配'!O15</f>
        <v>114</v>
      </c>
      <c r="T5" s="73">
        <f>'CRH1-250材料匹配'!P15</f>
        <v>105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300</v>
      </c>
      <c r="G6" s="163" t="e">
        <f>C6+D6+E6+F6</f>
        <v>#REF!</v>
      </c>
      <c r="H6" s="73">
        <f>'CRH1-250材料匹配'!D19</f>
        <v>335</v>
      </c>
      <c r="I6" s="73">
        <f>'CRH1-250材料匹配'!E22</f>
        <v>335</v>
      </c>
      <c r="J6" s="73">
        <f>'CRH1-250材料匹配'!F22</f>
        <v>335</v>
      </c>
      <c r="K6" s="73">
        <f>'CRH1-250材料匹配'!G22</f>
        <v>335</v>
      </c>
      <c r="L6" s="73">
        <f>'CRH1-250材料匹配'!H22</f>
        <v>335</v>
      </c>
      <c r="M6" s="73">
        <f>'CRH1-250材料匹配'!I22</f>
        <v>335</v>
      </c>
      <c r="N6" s="73">
        <f>'CRH1-250材料匹配'!J22</f>
        <v>185</v>
      </c>
      <c r="O6" s="73">
        <f>'CRH1-250材料匹配'!K22</f>
        <v>185</v>
      </c>
      <c r="P6" s="73">
        <f>'CRH1-250材料匹配'!L22</f>
        <v>185</v>
      </c>
      <c r="Q6" s="73">
        <f>'CRH1-250材料匹配'!M22</f>
        <v>185</v>
      </c>
      <c r="R6" s="73">
        <f>'CRH1-250材料匹配'!N22</f>
        <v>145</v>
      </c>
      <c r="S6" s="73">
        <f>'CRH1-250材料匹配'!O22</f>
        <v>-199</v>
      </c>
      <c r="T6" s="73">
        <f>'CRH1-250材料匹配'!P22</f>
        <v>-199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180</v>
      </c>
      <c r="E7" s="206" t="e">
        <f>'汇报-订单需求情况'!#REF!</f>
        <v>#REF!</v>
      </c>
      <c r="F7" s="206">
        <f>'汇报-订单需求情况'!E5</f>
        <v>136</v>
      </c>
      <c r="G7" s="163" t="e">
        <f>C7+D7+E7+F7</f>
        <v>#REF!</v>
      </c>
      <c r="H7" s="73">
        <f>'CRH1-250材料匹配'!D26</f>
        <v>1403</v>
      </c>
      <c r="I7" s="73">
        <f>'CRH1-250材料匹配'!E29</f>
        <v>1403</v>
      </c>
      <c r="J7" s="73">
        <f>'CRH1-250材料匹配'!F29</f>
        <v>1351</v>
      </c>
      <c r="K7" s="73">
        <f>'CRH1-250材料匹配'!G29</f>
        <v>1351</v>
      </c>
      <c r="L7" s="73">
        <f>'CRH1-250材料匹配'!H29</f>
        <v>1351</v>
      </c>
      <c r="M7" s="73">
        <f>'CRH1-250材料匹配'!I29</f>
        <v>1351</v>
      </c>
      <c r="N7" s="328">
        <f>'CRH1-250材料匹配'!J29</f>
        <v>1351</v>
      </c>
      <c r="O7" s="328">
        <f>'CRH1-250材料匹配'!K29</f>
        <v>1351</v>
      </c>
      <c r="P7" s="73">
        <f>'CRH1-250材料匹配'!L29</f>
        <v>1351</v>
      </c>
      <c r="Q7" s="328">
        <f>'CRH1-250材料匹配'!M29</f>
        <v>1343</v>
      </c>
      <c r="R7" s="328">
        <f>'CRH1-250材料匹配'!N29</f>
        <v>1295</v>
      </c>
      <c r="S7" s="328">
        <f>'CRH1-250材料匹配'!O29</f>
        <v>1227</v>
      </c>
      <c r="T7" s="328">
        <f>'CRH1-250材料匹配'!P29</f>
        <v>1223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136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58</v>
      </c>
      <c r="J8" s="73">
        <f>'CRH1-380材料匹配'!F8</f>
        <v>12</v>
      </c>
      <c r="K8" s="73">
        <f>'CRH1-380材料匹配'!G8</f>
        <v>-4</v>
      </c>
      <c r="L8" s="73">
        <f>'CRH1-380材料匹配'!H8</f>
        <v>-6</v>
      </c>
      <c r="M8" s="73">
        <f>'CRH1-380材料匹配'!I8</f>
        <v>-6</v>
      </c>
      <c r="N8" s="73">
        <f>'CRH1-380材料匹配'!J8</f>
        <v>-6</v>
      </c>
      <c r="O8" s="73">
        <f>'CRH1-380材料匹配'!K8</f>
        <v>-6</v>
      </c>
      <c r="P8" s="73">
        <f>'CRH1-380材料匹配'!L8</f>
        <v>-11</v>
      </c>
      <c r="Q8" s="73">
        <f>'CRH1-380材料匹配'!M8</f>
        <v>-27</v>
      </c>
      <c r="R8" s="73">
        <f>'CRH1-380材料匹配'!N8</f>
        <v>-43</v>
      </c>
      <c r="S8" s="73">
        <f>'CRH1-380材料匹配'!O8</f>
        <v>-43</v>
      </c>
      <c r="T8" s="73">
        <f>'CRH1-380材料匹配'!P8</f>
        <v>-43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52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45</v>
      </c>
      <c r="K9" s="73">
        <f>'CRH1-380材料匹配'!G15</f>
        <v>20</v>
      </c>
      <c r="L9" s="73">
        <f>'CRH1-380材料匹配'!H15</f>
        <v>20</v>
      </c>
      <c r="M9" s="73">
        <f>'CRH1-380材料匹配'!I15</f>
        <v>20</v>
      </c>
      <c r="N9" s="73">
        <f>'CRH1-380材料匹配'!J15</f>
        <v>20</v>
      </c>
      <c r="O9" s="73">
        <f>'CRH1-380材料匹配'!K15</f>
        <v>20</v>
      </c>
      <c r="P9" s="73">
        <f>'CRH1-380材料匹配'!L15</f>
        <v>20</v>
      </c>
      <c r="Q9" s="73">
        <f>'CRH1-380材料匹配'!M15</f>
        <v>18</v>
      </c>
      <c r="R9" s="73">
        <f>'CRH1-380材料匹配'!N15</f>
        <v>17</v>
      </c>
      <c r="S9" s="73">
        <f>'CRH1-380材料匹配'!O15</f>
        <v>17</v>
      </c>
      <c r="T9" s="73">
        <f>'CRH1-380材料匹配'!P15</f>
        <v>17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282</v>
      </c>
      <c r="G10" s="163" t="e">
        <f t="shared" si="0"/>
        <v>#REF!</v>
      </c>
      <c r="H10" s="73">
        <f>'CRH1-380材料匹配'!D22</f>
        <v>188</v>
      </c>
      <c r="I10" s="73">
        <f>'CRH1-380材料匹配'!E22</f>
        <v>188</v>
      </c>
      <c r="J10" s="73">
        <f>'CRH1-380材料匹配'!F22</f>
        <v>179</v>
      </c>
      <c r="K10" s="73">
        <f>'CRH1-380材料匹配'!G22</f>
        <v>71</v>
      </c>
      <c r="L10" s="73">
        <f>'CRH1-380材料匹配'!H22</f>
        <v>55</v>
      </c>
      <c r="M10" s="73">
        <f>'CRH1-380材料匹配'!I22</f>
        <v>51</v>
      </c>
      <c r="N10" s="73">
        <f>'CRH1-380材料匹配'!J22</f>
        <v>51</v>
      </c>
      <c r="O10" s="73">
        <f>'CRH1-380材料匹配'!K22</f>
        <v>49</v>
      </c>
      <c r="P10" s="73">
        <f>'CRH1-380材料匹配'!L22</f>
        <v>49</v>
      </c>
      <c r="Q10" s="73">
        <f>'CRH1-380材料匹配'!M22</f>
        <v>37</v>
      </c>
      <c r="R10" s="73">
        <f>'CRH1-380材料匹配'!N22</f>
        <v>5</v>
      </c>
      <c r="S10" s="73">
        <f>'CRH1-380材料匹配'!O22</f>
        <v>-27</v>
      </c>
      <c r="T10" s="73">
        <f>'CRH1-380材料匹配'!P22</f>
        <v>-27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108</v>
      </c>
      <c r="G11" s="163" t="e">
        <f t="shared" si="0"/>
        <v>#REF!</v>
      </c>
      <c r="H11" s="73">
        <f>'CRH1-380材料匹配'!D29</f>
        <v>197</v>
      </c>
      <c r="I11" s="73">
        <f>'CRH1-380材料匹配'!E29</f>
        <v>197</v>
      </c>
      <c r="J11" s="73">
        <f>'CRH1-380材料匹配'!F29</f>
        <v>197</v>
      </c>
      <c r="K11" s="73">
        <f>'CRH1-380材料匹配'!G29</f>
        <v>147</v>
      </c>
      <c r="L11" s="73">
        <f>'CRH1-380材料匹配'!H29</f>
        <v>147</v>
      </c>
      <c r="M11" s="73">
        <f>'CRH1-380材料匹配'!I29</f>
        <v>147</v>
      </c>
      <c r="N11" s="73">
        <f>'CRH1-380材料匹配'!J29</f>
        <v>147</v>
      </c>
      <c r="O11" s="73">
        <f>'CRH1-380材料匹配'!K29</f>
        <v>145</v>
      </c>
      <c r="P11" s="73">
        <f>'CRH1-380材料匹配'!L29</f>
        <v>145</v>
      </c>
      <c r="Q11" s="73">
        <f>'CRH1-380材料匹配'!M29</f>
        <v>139</v>
      </c>
      <c r="R11" s="73">
        <f>'CRH1-380材料匹配'!N29</f>
        <v>137</v>
      </c>
      <c r="S11" s="73">
        <f>'CRH1-380材料匹配'!O29</f>
        <v>137</v>
      </c>
      <c r="T11" s="73">
        <f>'CRH1-380材料匹配'!P29</f>
        <v>137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4922</v>
      </c>
      <c r="E12" s="206" t="e">
        <f>'汇报-订单需求情况'!#REF!</f>
        <v>#REF!</v>
      </c>
      <c r="F12" s="206">
        <f>'汇报-订单需求情况'!E10</f>
        <v>450</v>
      </c>
      <c r="G12" s="163" t="e">
        <f t="shared" si="0"/>
        <v>#REF!</v>
      </c>
      <c r="H12" s="73">
        <f>CRH2材料匹配!D7</f>
        <v>541</v>
      </c>
      <c r="I12" s="73">
        <f>CRH2材料匹配!E7</f>
        <v>414</v>
      </c>
      <c r="J12" s="73">
        <f>CRH2材料匹配!F7</f>
        <v>394</v>
      </c>
      <c r="K12" s="73">
        <f>CRH2材料匹配!G7</f>
        <v>369</v>
      </c>
      <c r="L12" s="73">
        <f>CRH2材料匹配!H7</f>
        <v>350</v>
      </c>
      <c r="M12" s="73">
        <f>CRH2材料匹配!I7</f>
        <v>296</v>
      </c>
      <c r="N12" s="73">
        <f>CRH2材料匹配!J7</f>
        <v>248</v>
      </c>
      <c r="O12" s="73">
        <f>CRH2材料匹配!K7</f>
        <v>230</v>
      </c>
      <c r="P12" s="73">
        <f>CRH2材料匹配!L7</f>
        <v>198</v>
      </c>
      <c r="Q12" s="73">
        <f>CRH2材料匹配!M7</f>
        <v>-34</v>
      </c>
      <c r="R12" s="73">
        <f>CRH2材料匹配!N7</f>
        <v>-978</v>
      </c>
      <c r="S12" s="73">
        <f>CRH2材料匹配!O7</f>
        <v>-1810</v>
      </c>
      <c r="T12" s="73">
        <f>CRH2材料匹配!P7</f>
        <v>-2658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132</v>
      </c>
      <c r="G13" s="163" t="e">
        <f t="shared" si="0"/>
        <v>#REF!</v>
      </c>
      <c r="H13" s="73">
        <f>CRH2材料匹配!D13</f>
        <v>953</v>
      </c>
      <c r="I13" s="73">
        <f>CRH2材料匹配!E13</f>
        <v>953</v>
      </c>
      <c r="J13" s="73">
        <f>CRH2材料匹配!F13</f>
        <v>933</v>
      </c>
      <c r="K13" s="73">
        <f>CRH2材料匹配!G13</f>
        <v>933</v>
      </c>
      <c r="L13" s="73">
        <f>CRH2材料匹配!H13</f>
        <v>930</v>
      </c>
      <c r="M13" s="73">
        <f>CRH2材料匹配!I13</f>
        <v>930</v>
      </c>
      <c r="N13" s="73">
        <f>CRH2材料匹配!J13</f>
        <v>898</v>
      </c>
      <c r="O13" s="73">
        <f>CRH2材料匹配!K13</f>
        <v>882</v>
      </c>
      <c r="P13" s="73">
        <f>CRH2材料匹配!L13</f>
        <v>877</v>
      </c>
      <c r="Q13" s="73">
        <f>CRH2材料匹配!M13</f>
        <v>877</v>
      </c>
      <c r="R13" s="73">
        <f>CRH2材料匹配!N13</f>
        <v>743</v>
      </c>
      <c r="S13" s="73">
        <f>CRH2材料匹配!O13</f>
        <v>649</v>
      </c>
      <c r="T13" s="73">
        <f>CRH2材料匹配!P13</f>
        <v>629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28288</v>
      </c>
      <c r="E14" s="206" t="e">
        <f>'汇报-订单需求情况'!#REF!</f>
        <v>#REF!</v>
      </c>
      <c r="F14" s="206">
        <f>'汇报-订单需求情况'!E12</f>
        <v>8109</v>
      </c>
      <c r="G14" s="163" t="e">
        <f t="shared" si="0"/>
        <v>#REF!</v>
      </c>
      <c r="H14" s="74">
        <f>CRH2材料匹配!D19</f>
        <v>2138</v>
      </c>
      <c r="I14" s="74">
        <f>CRH2材料匹配!E19</f>
        <v>1621</v>
      </c>
      <c r="J14" s="74">
        <f>CRH2材料匹配!F19</f>
        <v>1131</v>
      </c>
      <c r="K14" s="74">
        <f>CRH2材料匹配!G19</f>
        <v>345</v>
      </c>
      <c r="L14" s="74">
        <f>CRH2材料匹配!H19</f>
        <v>-595</v>
      </c>
      <c r="M14" s="74">
        <f>CRH2材料匹配!I19</f>
        <v>-1049</v>
      </c>
      <c r="N14" s="357">
        <f>CRH2材料匹配!J19</f>
        <v>-1561</v>
      </c>
      <c r="O14" s="357">
        <f>CRH2材料匹配!K19</f>
        <v>-1865</v>
      </c>
      <c r="P14" s="357">
        <f>CRH2材料匹配!L19</f>
        <v>-2205</v>
      </c>
      <c r="Q14" s="357">
        <f>CRH2材料匹配!M19</f>
        <v>-2665</v>
      </c>
      <c r="R14" s="357">
        <f>CRH2材料匹配!N19</f>
        <v>-6821</v>
      </c>
      <c r="S14" s="74">
        <f>CRH2材料匹配!O19</f>
        <v>-9125</v>
      </c>
      <c r="T14" s="74">
        <f>CRH2材料匹配!P19</f>
        <v>-11313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264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179</v>
      </c>
      <c r="K15" s="74">
        <f>CRH2材料匹配!G25</f>
        <v>179</v>
      </c>
      <c r="L15" s="74">
        <f>CRH2材料匹配!H25</f>
        <v>179</v>
      </c>
      <c r="M15" s="74">
        <f>CRH2材料匹配!I25</f>
        <v>159</v>
      </c>
      <c r="N15" s="74">
        <f>CRH2材料匹配!J25</f>
        <v>159</v>
      </c>
      <c r="O15" s="74">
        <f>CRH2材料匹配!K25</f>
        <v>51</v>
      </c>
      <c r="P15" s="74">
        <f>CRH2材料匹配!L25</f>
        <v>51</v>
      </c>
      <c r="Q15" s="74">
        <f>CRH2材料匹配!M25</f>
        <v>51</v>
      </c>
      <c r="R15" s="74">
        <f>CRH2材料匹配!N25</f>
        <v>-13</v>
      </c>
      <c r="S15" s="74">
        <f>CRH2材料匹配!O25</f>
        <v>-13</v>
      </c>
      <c r="T15" s="74">
        <f>CRH2材料匹配!P25</f>
        <v>-13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232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325</v>
      </c>
      <c r="K16" s="74">
        <f>CRH2材料匹配!G31</f>
        <v>293</v>
      </c>
      <c r="L16" s="74">
        <f>CRH2材料匹配!H31</f>
        <v>293</v>
      </c>
      <c r="M16" s="74">
        <f>CRH2材料匹配!I31</f>
        <v>293</v>
      </c>
      <c r="N16" s="74">
        <f>CRH2材料匹配!J31</f>
        <v>229</v>
      </c>
      <c r="O16" s="74">
        <f>CRH2材料匹配!K31</f>
        <v>197</v>
      </c>
      <c r="P16" s="74">
        <f>CRH2材料匹配!L31</f>
        <v>197</v>
      </c>
      <c r="Q16" s="74">
        <f>CRH2材料匹配!M31</f>
        <v>197</v>
      </c>
      <c r="R16" s="74">
        <f>CRH2材料匹配!N31</f>
        <v>165</v>
      </c>
      <c r="S16" s="74">
        <f>CRH2材料匹配!O31</f>
        <v>165</v>
      </c>
      <c r="T16" s="74">
        <f>CRH2材料匹配!P31</f>
        <v>165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5171</v>
      </c>
      <c r="E17" s="206" t="e">
        <f>'汇报-订单需求情况'!#REF!</f>
        <v>#REF!</v>
      </c>
      <c r="F17" s="206">
        <f>'汇报-订单需求情况'!E15</f>
        <v>6572</v>
      </c>
      <c r="G17" s="163" t="e">
        <f t="shared" si="0"/>
        <v>#REF!</v>
      </c>
      <c r="H17" s="73">
        <f>'CRH3-380+标动材料匹配'!D9</f>
        <v>2855</v>
      </c>
      <c r="I17" s="328">
        <f>'CRH3-380+标动材料匹配'!E9</f>
        <v>2619</v>
      </c>
      <c r="J17" s="328">
        <f>'CRH3-380+标动材料匹配'!F9</f>
        <v>2352</v>
      </c>
      <c r="K17" s="328">
        <f>'CRH3-380+标动材料匹配'!G9</f>
        <v>1984</v>
      </c>
      <c r="L17" s="368">
        <f>'CRH3-380+标动材料匹配'!H9</f>
        <v>1779</v>
      </c>
      <c r="M17" s="368">
        <f>'CRH3-380+标动材料匹配'!I9</f>
        <v>1453</v>
      </c>
      <c r="N17" s="368">
        <f>'CRH3-380+标动材料匹配'!J9</f>
        <v>1045</v>
      </c>
      <c r="O17" s="73">
        <f>'CRH3-380+标动材料匹配'!K9</f>
        <v>692</v>
      </c>
      <c r="P17" s="73">
        <f>'CRH3-380+标动材料匹配'!L9</f>
        <v>426</v>
      </c>
      <c r="Q17" s="73">
        <f>'CRH3-380+标动材料匹配'!M9</f>
        <v>-159</v>
      </c>
      <c r="R17" s="73">
        <f>'CRH3-380+标动材料匹配'!N9</f>
        <v>-1280</v>
      </c>
      <c r="S17" s="73">
        <f>'CRH3-380+标动材料匹配'!O9</f>
        <v>-1907</v>
      </c>
      <c r="T17" s="73">
        <f>'CRH3-380+标动材料匹配'!P9</f>
        <v>-2316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4928</v>
      </c>
      <c r="E18" s="206" t="e">
        <f>'汇报-订单需求情况'!#REF!</f>
        <v>#REF!</v>
      </c>
      <c r="F18" s="206">
        <f>'汇报-订单需求情况'!E16</f>
        <v>7080</v>
      </c>
      <c r="G18" s="163" t="e">
        <f t="shared" si="0"/>
        <v>#REF!</v>
      </c>
      <c r="H18" s="73">
        <f>'CRH3-380+标动材料匹配'!D17</f>
        <v>2810</v>
      </c>
      <c r="I18" s="73">
        <f>'CRH3-380+标动材料匹配'!E17</f>
        <v>2648</v>
      </c>
      <c r="J18" s="73">
        <f>'CRH3-380+标动材料匹配'!F17</f>
        <v>2328</v>
      </c>
      <c r="K18" s="328">
        <f>'CRH3-380+标动材料匹配'!G17</f>
        <v>1856</v>
      </c>
      <c r="L18" s="73">
        <f>'CRH3-380+标动材料匹配'!H17</f>
        <v>1498</v>
      </c>
      <c r="M18" s="73">
        <f>'CRH3-380+标动材料匹配'!I17</f>
        <v>1060</v>
      </c>
      <c r="N18" s="73">
        <f>'CRH3-380+标动材料匹配'!J17</f>
        <v>722</v>
      </c>
      <c r="O18" s="73">
        <f>'CRH3-380+标动材料匹配'!K17</f>
        <v>434</v>
      </c>
      <c r="P18" s="73">
        <f>'CRH3-380+标动材料匹配'!L17</f>
        <v>168</v>
      </c>
      <c r="Q18" s="73">
        <f>'CRH3-380+标动材料匹配'!M17</f>
        <v>-296</v>
      </c>
      <c r="R18" s="73">
        <f>'CRH3-380+标动材料匹配'!N17</f>
        <v>-1095</v>
      </c>
      <c r="S18" s="73">
        <f>'CRH3-380+标动材料匹配'!O17</f>
        <v>-1890</v>
      </c>
      <c r="T18" s="73">
        <f>'CRH3-380+标动材料匹配'!P17</f>
        <v>-2117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43165</v>
      </c>
      <c r="E19" s="206" t="e">
        <f>'汇报-订单需求情况'!#REF!</f>
        <v>#REF!</v>
      </c>
      <c r="F19" s="206">
        <f>'汇报-订单需求情况'!E17</f>
        <v>30502</v>
      </c>
      <c r="G19" s="163" t="e">
        <f t="shared" si="0"/>
        <v>#REF!</v>
      </c>
      <c r="H19" s="73">
        <f>'CRH3-380+标动材料匹配'!D25</f>
        <v>5720</v>
      </c>
      <c r="I19" s="73">
        <f>'CRH3-380+标动材料匹配'!E25</f>
        <v>4269</v>
      </c>
      <c r="J19" s="73">
        <f>'CRH3-380+标动材料匹配'!F25</f>
        <v>3422</v>
      </c>
      <c r="K19" s="328">
        <f>'CRH3-380+标动材料匹配'!G25</f>
        <v>2332</v>
      </c>
      <c r="L19" s="328">
        <f>'CRH3-380+标动材料匹配'!H25</f>
        <v>448</v>
      </c>
      <c r="M19" s="328">
        <f>'CRH3-380+标动材料匹配'!I25</f>
        <v>-987</v>
      </c>
      <c r="N19" s="328">
        <f>'CRH3-380+标动材料匹配'!J25</f>
        <v>-2394</v>
      </c>
      <c r="O19" s="73">
        <f>'CRH3-380+标动材料匹配'!K25</f>
        <v>-3886</v>
      </c>
      <c r="P19" s="328">
        <f>'CRH3-380+标动材料匹配'!L25</f>
        <v>-5089</v>
      </c>
      <c r="Q19" s="328">
        <f>'CRH3-380+标动材料匹配'!M25</f>
        <v>-6943</v>
      </c>
      <c r="R19" s="328">
        <f>'CRH3-380+标动材料匹配'!N25</f>
        <v>-11515</v>
      </c>
      <c r="S19" s="328">
        <f>'CRH3-380+标动材料匹配'!O25</f>
        <v>-17522</v>
      </c>
      <c r="T19" s="73">
        <f>'CRH3-380+标动材料匹配'!P25</f>
        <v>-22194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10354</v>
      </c>
      <c r="E20" s="206" t="e">
        <f>'汇报-订单需求情况'!#REF!</f>
        <v>#REF!</v>
      </c>
      <c r="F20" s="206">
        <f>'汇报-订单需求情况'!E18</f>
        <v>8020</v>
      </c>
      <c r="G20" s="163" t="e">
        <f t="shared" si="0"/>
        <v>#REF!</v>
      </c>
      <c r="H20" s="73">
        <f>'CRH3-380+标动材料匹配'!D33</f>
        <v>3049</v>
      </c>
      <c r="I20" s="73">
        <f>'CRH3-380+标动材料匹配'!E33</f>
        <v>2561</v>
      </c>
      <c r="J20" s="73">
        <f>'CRH3-380+标动材料匹配'!F33</f>
        <v>2077</v>
      </c>
      <c r="K20" s="73">
        <f>'CRH3-380+标动材料匹配'!G33</f>
        <v>1539</v>
      </c>
      <c r="L20" s="73">
        <f>'CRH3-380+标动材料匹配'!H33</f>
        <v>1311</v>
      </c>
      <c r="M20" s="73">
        <f>'CRH3-380+标动材料匹配'!I33</f>
        <v>815</v>
      </c>
      <c r="N20" s="73">
        <f>'CRH3-380+标动材料匹配'!J33</f>
        <v>559</v>
      </c>
      <c r="O20" s="73">
        <f>'CRH3-380+标动材料匹配'!K33</f>
        <v>367</v>
      </c>
      <c r="P20" s="73">
        <f>'CRH3-380+标动材料匹配'!L33</f>
        <v>127</v>
      </c>
      <c r="Q20" s="73">
        <f>'CRH3-380+标动材料匹配'!M33</f>
        <v>-241</v>
      </c>
      <c r="R20" s="73">
        <f>'CRH3-380+标动材料匹配'!N33</f>
        <v>-1241</v>
      </c>
      <c r="S20" s="73">
        <f>'CRH3-380+标动材料匹配'!O33</f>
        <v>-2429</v>
      </c>
      <c r="T20" s="73">
        <f>'CRH3-380+标动材料匹配'!P33</f>
        <v>-3357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2951</v>
      </c>
      <c r="J21" s="73">
        <f>'CRH3-380+标动材料匹配'!F41</f>
        <v>1943</v>
      </c>
      <c r="K21" s="73">
        <f>'CRH3-380+标动材料匹配'!G41</f>
        <v>1303</v>
      </c>
      <c r="L21" s="73">
        <f>'CRH3-380+标动材料匹配'!H41</f>
        <v>279</v>
      </c>
      <c r="M21" s="73">
        <f>'CRH3-380+标动材料匹配'!I41</f>
        <v>-745</v>
      </c>
      <c r="N21" s="73">
        <f>'CRH3-380+标动材料匹配'!J41</f>
        <v>-1769</v>
      </c>
      <c r="O21" s="73">
        <f>'CRH3-380+标动材料匹配'!K41</f>
        <v>-2793</v>
      </c>
      <c r="P21" s="73">
        <f>'CRH3-380+标动材料匹配'!L41</f>
        <v>-3817</v>
      </c>
      <c r="Q21" s="73">
        <f>'CRH3-380+标动材料匹配'!M41</f>
        <v>-4841</v>
      </c>
      <c r="R21" s="73">
        <f>'CRH3-380+标动材料匹配'!N41</f>
        <v>-5993</v>
      </c>
      <c r="S21" s="73">
        <f>'CRH3-380+标动材料匹配'!O41</f>
        <v>-9289</v>
      </c>
      <c r="T21" s="73">
        <f>'CRH3-380+标动材料匹配'!P41</f>
        <v>-12753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3864</v>
      </c>
      <c r="E22" s="219" t="e">
        <f>'汇报-订单需求情况'!#REF!</f>
        <v>#REF!</v>
      </c>
      <c r="F22" s="219">
        <f>'汇报-订单需求情况'!E20</f>
        <v>5368</v>
      </c>
      <c r="G22" s="163" t="e">
        <f>C22+D22+E22+F22</f>
        <v>#REF!</v>
      </c>
      <c r="H22" s="73">
        <f>'CRH3-380+标动材料匹配'!D38</f>
        <v>3651</v>
      </c>
      <c r="I22" s="73">
        <f>'CRH3-380+标动材料匹配'!E49</f>
        <v>173</v>
      </c>
      <c r="J22" s="73">
        <f>'CRH3-380+标动材料匹配'!F49</f>
        <v>-311</v>
      </c>
      <c r="K22" s="73">
        <f>'CRH3-380+标动材料匹配'!G49</f>
        <v>-849</v>
      </c>
      <c r="L22" s="73">
        <f>'CRH3-380+标动材料匹配'!H49</f>
        <v>-1077</v>
      </c>
      <c r="M22" s="73">
        <f>'CRH3-380+标动材料匹配'!I49</f>
        <v>-1573</v>
      </c>
      <c r="N22" s="73">
        <f>'CRH3-380+标动材料匹配'!J49</f>
        <v>-1831</v>
      </c>
      <c r="O22" s="73">
        <f>'CRH3-380+标动材料匹配'!K49</f>
        <v>-2023</v>
      </c>
      <c r="P22" s="73">
        <f>'CRH3-380+标动材料匹配'!L49</f>
        <v>-2023</v>
      </c>
      <c r="Q22" s="73">
        <f>'CRH3-380+标动材料匹配'!M49</f>
        <v>-2023</v>
      </c>
      <c r="R22" s="73">
        <f>'CRH3-380+标动材料匹配'!N49</f>
        <v>-2403</v>
      </c>
      <c r="S22" s="73">
        <f>'CRH3-380+标动材料匹配'!O49</f>
        <v>-2855</v>
      </c>
      <c r="T22" s="73">
        <f>'CRH3-380+标动材料匹配'!P49</f>
        <v>-3203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3864</v>
      </c>
      <c r="E23" s="219" t="e">
        <f>'汇报-订单需求情况'!#REF!</f>
        <v>#REF!</v>
      </c>
      <c r="F23" s="219">
        <f>'汇报-订单需求情况'!E21</f>
        <v>5368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149</v>
      </c>
      <c r="J23" s="544">
        <f>'CRH3-380+标动材料匹配'!F57</f>
        <v>-335</v>
      </c>
      <c r="K23" s="544">
        <f>'CRH3-380+标动材料匹配'!G57</f>
        <v>-873</v>
      </c>
      <c r="L23" s="544">
        <f>'CRH3-380+标动材料匹配'!H57</f>
        <v>-1101</v>
      </c>
      <c r="M23" s="544">
        <f>'CRH3-380+标动材料匹配'!I57</f>
        <v>-1597</v>
      </c>
      <c r="N23" s="544">
        <f>'CRH3-380+标动材料匹配'!J57</f>
        <v>-1855</v>
      </c>
      <c r="O23" s="544">
        <f>'CRH3-380+标动材料匹配'!K57</f>
        <v>-2047</v>
      </c>
      <c r="P23" s="544">
        <f>'CRH3-380+标动材料匹配'!L57</f>
        <v>-2047</v>
      </c>
      <c r="Q23" s="544">
        <f>'CRH3-380+标动材料匹配'!M57</f>
        <v>-2047</v>
      </c>
      <c r="R23" s="544">
        <f>'CRH3-380+标动材料匹配'!N57</f>
        <v>-2427</v>
      </c>
      <c r="S23" s="544">
        <f>'CRH3-380+标动材料匹配'!O57</f>
        <v>-2879</v>
      </c>
      <c r="T23" s="544">
        <f>'CRH3-380+标动材料匹配'!P57</f>
        <v>-3227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240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288</v>
      </c>
      <c r="P24" s="75">
        <f>CRH5材料匹配!L8</f>
        <v>268</v>
      </c>
      <c r="Q24" s="75">
        <f>CRH5材料匹配!M8</f>
        <v>248</v>
      </c>
      <c r="R24" s="75">
        <f>CRH5材料匹配!N8</f>
        <v>228</v>
      </c>
      <c r="S24" s="75">
        <f>CRH5材料匹配!O8</f>
        <v>208</v>
      </c>
      <c r="T24" s="73">
        <f>CRH5材料匹配!P8</f>
        <v>185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528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586</v>
      </c>
      <c r="M25" s="75">
        <f>CRH5材料匹配!I15</f>
        <v>586</v>
      </c>
      <c r="N25" s="75">
        <f>CRH5材料匹配!J15</f>
        <v>586</v>
      </c>
      <c r="O25" s="75">
        <f>CRH5材料匹配!K15</f>
        <v>542</v>
      </c>
      <c r="P25" s="75">
        <f>CRH5材料匹配!L15</f>
        <v>498</v>
      </c>
      <c r="Q25" s="75">
        <f>CRH5材料匹配!M15</f>
        <v>454</v>
      </c>
      <c r="R25" s="75">
        <f>CRH5材料匹配!N15</f>
        <v>410</v>
      </c>
      <c r="S25" s="75">
        <f>CRH5材料匹配!O15</f>
        <v>366</v>
      </c>
      <c r="T25" s="73">
        <f>CRH5材料匹配!P15</f>
        <v>319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3404</v>
      </c>
      <c r="G26" s="163" t="e">
        <f t="shared" si="0"/>
        <v>#REF!</v>
      </c>
      <c r="H26" s="73">
        <f>CRH5材料匹配!D22</f>
        <v>1471</v>
      </c>
      <c r="I26" s="328">
        <f>CRH5材料匹配!E22</f>
        <v>1330</v>
      </c>
      <c r="J26" s="328">
        <f>CRH5材料匹配!F22</f>
        <v>1071</v>
      </c>
      <c r="K26" s="328">
        <f>CRH5材料匹配!G22</f>
        <v>921</v>
      </c>
      <c r="L26" s="328">
        <f>CRH5材料匹配!H22</f>
        <v>793</v>
      </c>
      <c r="M26" s="75">
        <f>CRH5材料匹配!I22</f>
        <v>665</v>
      </c>
      <c r="N26" s="75">
        <f>CRH5材料匹配!J22</f>
        <v>537</v>
      </c>
      <c r="O26" s="75">
        <f>CRH5材料匹配!K22</f>
        <v>409</v>
      </c>
      <c r="P26" s="75">
        <f>CRH5材料匹配!L22</f>
        <v>281</v>
      </c>
      <c r="Q26" s="75">
        <f>CRH5材料匹配!M22</f>
        <v>153</v>
      </c>
      <c r="R26" s="75">
        <f>CRH5材料匹配!N22</f>
        <v>25</v>
      </c>
      <c r="S26" s="75">
        <f>CRH5材料匹配!O22</f>
        <v>-487</v>
      </c>
      <c r="T26" s="73">
        <f>CRH5材料匹配!P22</f>
        <v>-615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280</v>
      </c>
      <c r="G27" s="163" t="e">
        <f t="shared" si="0"/>
        <v>#REF!</v>
      </c>
      <c r="H27" s="74">
        <f>CRH6材料匹配!D8</f>
        <v>137</v>
      </c>
      <c r="I27" s="74">
        <f>CRH6材料匹配!E8</f>
        <v>117</v>
      </c>
      <c r="J27" s="74">
        <f>CRH6材料匹配!F8</f>
        <v>45</v>
      </c>
      <c r="K27" s="74">
        <f>CRH6材料匹配!G8</f>
        <v>41</v>
      </c>
      <c r="L27" s="74">
        <f>CRH6材料匹配!H8</f>
        <v>27</v>
      </c>
      <c r="M27" s="74">
        <f>CRH6材料匹配!I8</f>
        <v>13</v>
      </c>
      <c r="N27" s="74">
        <f>CRH6材料匹配!J8</f>
        <v>-3</v>
      </c>
      <c r="O27" s="74">
        <f>CRH6材料匹配!K8</f>
        <v>-3</v>
      </c>
      <c r="P27" s="74">
        <f>CRH6材料匹配!L8</f>
        <v>-3</v>
      </c>
      <c r="Q27" s="74">
        <f>CRH6材料匹配!M8</f>
        <v>-3</v>
      </c>
      <c r="R27" s="74">
        <f>CRH6材料匹配!N8</f>
        <v>-44</v>
      </c>
      <c r="S27" s="74">
        <f>CRH6材料匹配!O8</f>
        <v>-76</v>
      </c>
      <c r="T27" s="74">
        <f>CRH6材料匹配!P8</f>
        <v>-188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408</v>
      </c>
      <c r="G28" s="163" t="e">
        <f t="shared" si="0"/>
        <v>#REF!</v>
      </c>
      <c r="H28" s="74">
        <f>CRH6材料匹配!D15</f>
        <v>60</v>
      </c>
      <c r="I28" s="74">
        <f>CRH6材料匹配!E15</f>
        <v>-20</v>
      </c>
      <c r="J28" s="74">
        <f>CRH6材料匹配!F15</f>
        <v>-32</v>
      </c>
      <c r="K28" s="74">
        <f>CRH6材料匹配!G15</f>
        <v>-96</v>
      </c>
      <c r="L28" s="74">
        <f>CRH6材料匹配!H15</f>
        <v>-100</v>
      </c>
      <c r="M28" s="74">
        <f>CRH6材料匹配!I15</f>
        <v>-122</v>
      </c>
      <c r="N28" s="74">
        <f>CRH6材料匹配!J15</f>
        <v>-136</v>
      </c>
      <c r="O28" s="74">
        <f>CRH6材料匹配!K15</f>
        <v>-144</v>
      </c>
      <c r="P28" s="74">
        <f>CRH6材料匹配!L15</f>
        <v>-144</v>
      </c>
      <c r="Q28" s="74">
        <f>CRH6材料匹配!M15</f>
        <v>-144</v>
      </c>
      <c r="R28" s="74">
        <f>CRH6材料匹配!N15</f>
        <v>-151</v>
      </c>
      <c r="S28" s="74">
        <f>CRH6材料匹配!O15</f>
        <v>-158</v>
      </c>
      <c r="T28" s="74">
        <f>CRH6材料匹配!P15</f>
        <v>-238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1920</v>
      </c>
      <c r="G29" s="163" t="e">
        <f t="shared" si="0"/>
        <v>#REF!</v>
      </c>
      <c r="H29" s="74">
        <f>CRH6材料匹配!D22</f>
        <v>203</v>
      </c>
      <c r="I29" s="74">
        <f>CRH6材料匹配!E22</f>
        <v>-117</v>
      </c>
      <c r="J29" s="74">
        <f>CRH6材料匹配!F22</f>
        <v>-141</v>
      </c>
      <c r="K29" s="74">
        <f>CRH6材料匹配!G22</f>
        <v>-445</v>
      </c>
      <c r="L29" s="74">
        <f>CRH6材料匹配!H22</f>
        <v>-581</v>
      </c>
      <c r="M29" s="74">
        <f>CRH6材料匹配!I22</f>
        <v>-653</v>
      </c>
      <c r="N29" s="74">
        <f>CRH6材料匹配!J22</f>
        <v>-709</v>
      </c>
      <c r="O29" s="74">
        <f>CRH6材料匹配!K22</f>
        <v>-757</v>
      </c>
      <c r="P29" s="74">
        <f>CRH6材料匹配!L22</f>
        <v>-757</v>
      </c>
      <c r="Q29" s="74">
        <f>CRH6材料匹配!M22</f>
        <v>-757</v>
      </c>
      <c r="R29" s="74">
        <f>CRH6材料匹配!N22</f>
        <v>-833</v>
      </c>
      <c r="S29" s="74">
        <f>CRH6材料匹配!O22</f>
        <v>-867</v>
      </c>
      <c r="T29" s="74">
        <f>CRH6材料匹配!P22</f>
        <v>-1187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8181</v>
      </c>
      <c r="J30" s="156">
        <f t="shared" si="1"/>
        <v>7423</v>
      </c>
      <c r="K30" s="156">
        <f t="shared" si="1"/>
        <v>6449</v>
      </c>
      <c r="L30" s="156">
        <f t="shared" si="1"/>
        <v>5844</v>
      </c>
      <c r="M30" s="156">
        <f t="shared" si="1"/>
        <v>4915</v>
      </c>
      <c r="N30" s="156">
        <f t="shared" si="1"/>
        <v>4059</v>
      </c>
      <c r="O30" s="156">
        <f t="shared" si="1"/>
        <v>3312</v>
      </c>
      <c r="P30" s="156">
        <f t="shared" si="1"/>
        <v>2674</v>
      </c>
      <c r="Q30" s="156">
        <f t="shared" si="1"/>
        <v>1301</v>
      </c>
      <c r="R30" s="156">
        <f t="shared" si="1"/>
        <v>-1849</v>
      </c>
      <c r="S30" s="156">
        <f t="shared" si="1"/>
        <v>-4419</v>
      </c>
      <c r="T30" s="145">
        <f t="shared" si="1"/>
        <v>-6194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15224</v>
      </c>
      <c r="I31" s="151">
        <f t="shared" si="2"/>
        <v>12307</v>
      </c>
      <c r="J31" s="78">
        <f t="shared" si="2"/>
        <v>10126</v>
      </c>
      <c r="K31" s="78">
        <f t="shared" si="2"/>
        <v>7068</v>
      </c>
      <c r="L31" s="78">
        <f t="shared" si="2"/>
        <v>3736</v>
      </c>
      <c r="M31" s="78">
        <f t="shared" si="2"/>
        <v>1127</v>
      </c>
      <c r="N31" s="78">
        <f t="shared" si="2"/>
        <v>-1446</v>
      </c>
      <c r="O31" s="78">
        <f t="shared" si="2"/>
        <v>-3754</v>
      </c>
      <c r="P31" s="78">
        <f t="shared" si="2"/>
        <v>-5665</v>
      </c>
      <c r="Q31" s="78">
        <f t="shared" si="2"/>
        <v>-8501</v>
      </c>
      <c r="R31" s="78">
        <f t="shared" si="2"/>
        <v>-18651</v>
      </c>
      <c r="S31" s="78">
        <f t="shared" si="2"/>
        <v>-29140</v>
      </c>
      <c r="T31" s="80">
        <f t="shared" si="2"/>
        <v>-37380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16778</v>
      </c>
      <c r="E32" s="165" t="e">
        <f t="shared" si="3"/>
        <v>#REF!</v>
      </c>
      <c r="F32" s="165">
        <f t="shared" si="3"/>
        <v>16080</v>
      </c>
      <c r="G32" s="165" t="e">
        <f t="shared" si="3"/>
        <v>#REF!</v>
      </c>
      <c r="H32" s="165">
        <f t="shared" si="3"/>
        <v>8836</v>
      </c>
      <c r="I32" s="154">
        <f>I5+I8+I9+I12+I13+I17+I18+I24+I25+I27+I28</f>
        <v>7941</v>
      </c>
      <c r="J32" s="154">
        <f>J5+J8+J9+J12+J13+J17+J18+J24+J25+J27+J28</f>
        <v>7183</v>
      </c>
      <c r="K32" s="154">
        <f>K5+K8+K9+K12+K13+K17+K18+K24+K25+K27+K28</f>
        <v>6209</v>
      </c>
      <c r="L32" s="154">
        <f>L5+L8+L9+L12+L13+L17+L18+L24+L25+L27+L28</f>
        <v>5604</v>
      </c>
      <c r="M32" s="154">
        <f>M5+M8+M9+M12+M13+M17+M18+M24+M25+M27+M28</f>
        <v>4750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86790</v>
      </c>
      <c r="E33" s="165" t="e">
        <f t="shared" si="4"/>
        <v>#REF!</v>
      </c>
      <c r="F33" s="165">
        <f t="shared" si="4"/>
        <v>53277</v>
      </c>
      <c r="G33" s="165" t="e">
        <f t="shared" si="4"/>
        <v>#REF!</v>
      </c>
      <c r="H33" s="165">
        <f t="shared" si="4"/>
        <v>15224</v>
      </c>
      <c r="I33" s="154">
        <f t="shared" si="4"/>
        <v>12307</v>
      </c>
      <c r="J33" s="154">
        <f t="shared" si="4"/>
        <v>10126</v>
      </c>
      <c r="K33" s="154">
        <f t="shared" si="4"/>
        <v>7068</v>
      </c>
      <c r="L33" s="154">
        <f t="shared" si="4"/>
        <v>3736</v>
      </c>
      <c r="M33" s="154">
        <f t="shared" si="4"/>
        <v>1127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26</v>
      </c>
      <c r="D2" s="213">
        <f>'CRH1-250材料匹配'!AC2</f>
        <v>155</v>
      </c>
      <c r="E2" s="213">
        <f>'CRH1-250材料匹配'!AC3</f>
        <v>202</v>
      </c>
      <c r="F2" s="213">
        <f>C2+D2</f>
        <v>181</v>
      </c>
      <c r="G2" s="213">
        <f>D2+E2</f>
        <v>357</v>
      </c>
    </row>
    <row r="3" spans="1:7" ht="16.5">
      <c r="A3" s="649"/>
      <c r="B3" s="212" t="s">
        <v>24</v>
      </c>
      <c r="C3" s="213">
        <f>'CRH1-250材料匹配'!AE10</f>
        <v>0</v>
      </c>
      <c r="D3" s="213">
        <f>'CRH1-250材料匹配'!AC9</f>
        <v>107</v>
      </c>
      <c r="E3" s="213">
        <f>'CRH1-250材料匹配'!AC10</f>
        <v>0</v>
      </c>
      <c r="F3" s="374">
        <f t="shared" ref="F3:F27" si="0">C3+D3</f>
        <v>107</v>
      </c>
      <c r="G3" s="374">
        <f t="shared" ref="G3:G27" si="1">D3+E3</f>
        <v>107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300</v>
      </c>
      <c r="F4" s="374">
        <f t="shared" si="0"/>
        <v>684</v>
      </c>
      <c r="G4" s="374">
        <f t="shared" si="1"/>
        <v>984</v>
      </c>
    </row>
    <row r="5" spans="1:7" ht="16.5">
      <c r="A5" s="649"/>
      <c r="B5" s="212" t="s">
        <v>41</v>
      </c>
      <c r="C5" s="213">
        <f>'CRH1-250材料匹配'!AE24</f>
        <v>68</v>
      </c>
      <c r="D5" s="213">
        <f>'CRH1-250材料匹配'!AC23</f>
        <v>180</v>
      </c>
      <c r="E5" s="213">
        <f>'CRH1-250材料匹配'!AC24</f>
        <v>136</v>
      </c>
      <c r="F5" s="374">
        <f t="shared" si="0"/>
        <v>248</v>
      </c>
      <c r="G5" s="374">
        <f t="shared" si="1"/>
        <v>316</v>
      </c>
    </row>
    <row r="6" spans="1:7" ht="16.5">
      <c r="A6" s="649" t="s">
        <v>2</v>
      </c>
      <c r="B6" s="212" t="s">
        <v>23</v>
      </c>
      <c r="C6" s="213">
        <f>'CRH1-380材料匹配'!AE3</f>
        <v>66</v>
      </c>
      <c r="D6" s="213">
        <f>'CRH1-380材料匹配'!AC2</f>
        <v>105</v>
      </c>
      <c r="E6" s="213">
        <f>'CRH1-380材料匹配'!AC3</f>
        <v>136</v>
      </c>
      <c r="F6" s="374">
        <f t="shared" si="0"/>
        <v>171</v>
      </c>
      <c r="G6" s="374">
        <f t="shared" si="1"/>
        <v>241</v>
      </c>
    </row>
    <row r="7" spans="1:7" ht="16.5">
      <c r="A7" s="649"/>
      <c r="B7" s="212" t="s">
        <v>24</v>
      </c>
      <c r="C7" s="213">
        <f>'CRH1-380材料匹配'!AE10</f>
        <v>26</v>
      </c>
      <c r="D7" s="213">
        <f>'CRH1-380材料匹配'!AC9</f>
        <v>29</v>
      </c>
      <c r="E7" s="213">
        <f>'CRH1-380材料匹配'!AC10</f>
        <v>52</v>
      </c>
      <c r="F7" s="374">
        <f t="shared" si="0"/>
        <v>55</v>
      </c>
      <c r="G7" s="374">
        <f t="shared" si="1"/>
        <v>81</v>
      </c>
    </row>
    <row r="8" spans="1:7" ht="16.5">
      <c r="A8" s="649"/>
      <c r="B8" s="212" t="s">
        <v>27</v>
      </c>
      <c r="C8" s="213">
        <f>'CRH1-380材料匹配'!AE17</f>
        <v>121</v>
      </c>
      <c r="D8" s="213">
        <f>'CRH1-380材料匹配'!AC16</f>
        <v>215</v>
      </c>
      <c r="E8" s="213">
        <f>'CRH1-380材料匹配'!AC17</f>
        <v>282</v>
      </c>
      <c r="F8" s="374">
        <f t="shared" si="0"/>
        <v>336</v>
      </c>
      <c r="G8" s="374">
        <f t="shared" si="1"/>
        <v>497</v>
      </c>
    </row>
    <row r="9" spans="1:7" ht="16.5">
      <c r="A9" s="649"/>
      <c r="B9" s="212" t="s">
        <v>28</v>
      </c>
      <c r="C9" s="213">
        <f>'CRH1-380材料匹配'!AE24</f>
        <v>54</v>
      </c>
      <c r="D9" s="213">
        <f>'CRH1-380材料匹配'!AC23</f>
        <v>60</v>
      </c>
      <c r="E9" s="213">
        <f>'CRH1-380材料匹配'!AC24</f>
        <v>108</v>
      </c>
      <c r="F9" s="374">
        <f t="shared" si="0"/>
        <v>114</v>
      </c>
      <c r="G9" s="374">
        <f t="shared" si="1"/>
        <v>168</v>
      </c>
    </row>
    <row r="10" spans="1:7" ht="16.5">
      <c r="A10" s="649" t="s">
        <v>29</v>
      </c>
      <c r="B10" s="212" t="s">
        <v>23</v>
      </c>
      <c r="C10" s="213">
        <f>CRH2材料匹配!AF3</f>
        <v>190</v>
      </c>
      <c r="D10" s="213">
        <f>CRH2材料匹配!AD2</f>
        <v>4922</v>
      </c>
      <c r="E10" s="213">
        <f>CRH2材料匹配!AD3</f>
        <v>450</v>
      </c>
      <c r="F10" s="374">
        <f t="shared" si="0"/>
        <v>5112</v>
      </c>
      <c r="G10" s="374">
        <f t="shared" si="1"/>
        <v>5372</v>
      </c>
    </row>
    <row r="11" spans="1:7" ht="16.5">
      <c r="A11" s="649"/>
      <c r="B11" s="212" t="s">
        <v>24</v>
      </c>
      <c r="C11" s="213">
        <f>CRH2材料匹配!AF9</f>
        <v>41</v>
      </c>
      <c r="D11" s="213">
        <f>CRH2材料匹配!AD8</f>
        <v>348</v>
      </c>
      <c r="E11" s="213">
        <f>CRH2材料匹配!AD9</f>
        <v>132</v>
      </c>
      <c r="F11" s="374">
        <f t="shared" si="0"/>
        <v>389</v>
      </c>
      <c r="G11" s="374">
        <f t="shared" si="1"/>
        <v>480</v>
      </c>
    </row>
    <row r="12" spans="1:7" ht="16.5">
      <c r="A12" s="649"/>
      <c r="B12" s="212" t="s">
        <v>42</v>
      </c>
      <c r="C12" s="213">
        <f>CRH2材料匹配!AF15</f>
        <v>3045</v>
      </c>
      <c r="D12" s="213">
        <f>CRH2材料匹配!AD14</f>
        <v>28288</v>
      </c>
      <c r="E12" s="213">
        <f>CRH2材料匹配!AD15</f>
        <v>8109</v>
      </c>
      <c r="F12" s="374">
        <f t="shared" si="0"/>
        <v>31333</v>
      </c>
      <c r="G12" s="374">
        <f t="shared" si="1"/>
        <v>36397</v>
      </c>
    </row>
    <row r="13" spans="1:7" ht="16.5">
      <c r="A13" s="649"/>
      <c r="B13" s="212" t="s">
        <v>31</v>
      </c>
      <c r="C13" s="213">
        <f>CRH2材料匹配!AF21</f>
        <v>116</v>
      </c>
      <c r="D13" s="213">
        <f>CRH2材料匹配!AD20</f>
        <v>200</v>
      </c>
      <c r="E13" s="213">
        <f>CRH2材料匹配!AD21</f>
        <v>264</v>
      </c>
      <c r="F13" s="374">
        <f t="shared" si="0"/>
        <v>316</v>
      </c>
      <c r="G13" s="374">
        <f t="shared" si="1"/>
        <v>464</v>
      </c>
    </row>
    <row r="14" spans="1:7" ht="16.5">
      <c r="A14" s="649"/>
      <c r="B14" s="212" t="s">
        <v>32</v>
      </c>
      <c r="C14" s="213">
        <f>CRH2材料匹配!AF27</f>
        <v>72</v>
      </c>
      <c r="D14" s="213">
        <f>CRH2材料匹配!AD26</f>
        <v>168</v>
      </c>
      <c r="E14" s="213">
        <f>CRH2材料匹配!AD27</f>
        <v>232</v>
      </c>
      <c r="F14" s="374">
        <f t="shared" si="0"/>
        <v>240</v>
      </c>
      <c r="G14" s="374">
        <f t="shared" si="1"/>
        <v>400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2351</v>
      </c>
      <c r="D15" s="213">
        <f>'CRH3-380+标动材料匹配'!AC2</f>
        <v>5171</v>
      </c>
      <c r="E15" s="213">
        <f>'CRH3-380+标动材料匹配'!AC3</f>
        <v>6572</v>
      </c>
      <c r="F15" s="374">
        <f t="shared" si="0"/>
        <v>7522</v>
      </c>
      <c r="G15" s="374">
        <f t="shared" si="1"/>
        <v>11743</v>
      </c>
    </row>
    <row r="16" spans="1:7" ht="16.5">
      <c r="A16" s="651"/>
      <c r="B16" s="212" t="s">
        <v>24</v>
      </c>
      <c r="C16" s="213">
        <f>'CRH3-380+标动材料匹配'!AE11</f>
        <v>2406</v>
      </c>
      <c r="D16" s="213">
        <f>'CRH3-380+标动材料匹配'!AC10</f>
        <v>4928</v>
      </c>
      <c r="E16" s="213">
        <f>'CRH3-380+标动材料匹配'!AC11</f>
        <v>7080</v>
      </c>
      <c r="F16" s="374">
        <f t="shared" si="0"/>
        <v>7334</v>
      </c>
      <c r="G16" s="374">
        <f t="shared" si="1"/>
        <v>12008</v>
      </c>
    </row>
    <row r="17" spans="1:7" ht="16.5">
      <c r="A17" s="651"/>
      <c r="B17" s="212" t="s">
        <v>27</v>
      </c>
      <c r="C17" s="213">
        <f>'CRH3-380+标动材料匹配'!AE19</f>
        <v>10525</v>
      </c>
      <c r="D17" s="213">
        <f>'CRH3-380+标动材料匹配'!AC18</f>
        <v>43165</v>
      </c>
      <c r="E17" s="213">
        <f>'CRH3-380+标动材料匹配'!AC19</f>
        <v>30502</v>
      </c>
      <c r="F17" s="374">
        <f t="shared" si="0"/>
        <v>53690</v>
      </c>
      <c r="G17" s="374">
        <f t="shared" si="1"/>
        <v>73667</v>
      </c>
    </row>
    <row r="18" spans="1:7" ht="16.5">
      <c r="A18" s="651"/>
      <c r="B18" s="212" t="s">
        <v>28</v>
      </c>
      <c r="C18" s="213">
        <f>'CRH3-380+标动材料匹配'!AE27</f>
        <v>3030</v>
      </c>
      <c r="D18" s="213">
        <f>'CRH3-380+标动材料匹配'!AC26</f>
        <v>10354</v>
      </c>
      <c r="E18" s="213">
        <f>'CRH3-380+标动材料匹配'!AC27</f>
        <v>8020</v>
      </c>
      <c r="F18" s="374">
        <f t="shared" si="0"/>
        <v>13384</v>
      </c>
      <c r="G18" s="374">
        <f t="shared" si="1"/>
        <v>18374</v>
      </c>
    </row>
    <row r="19" spans="1:7" ht="16.5">
      <c r="A19" s="651"/>
      <c r="B19" s="523" t="s">
        <v>223</v>
      </c>
      <c r="C19" s="374">
        <f>'CRH3-380+标动材料匹配'!AE35</f>
        <v>9004</v>
      </c>
      <c r="D19" s="374">
        <f>'CRH3-380+标动材料匹配'!AC34</f>
        <v>16404</v>
      </c>
      <c r="E19" s="374">
        <f>'CRH3-380+标动材料匹配'!AC35</f>
        <v>24152</v>
      </c>
      <c r="F19" s="374">
        <f t="shared" ref="F19:F20" si="2">C19+D19</f>
        <v>25408</v>
      </c>
      <c r="G19" s="374">
        <f t="shared" ref="G19:G20" si="3">D19+E19</f>
        <v>40556</v>
      </c>
    </row>
    <row r="20" spans="1:7" ht="16.5">
      <c r="A20" s="651"/>
      <c r="B20" s="220" t="s">
        <v>108</v>
      </c>
      <c r="C20" s="221">
        <f>'CRH3-380+标动材料匹配'!AE43</f>
        <v>1702</v>
      </c>
      <c r="D20" s="221">
        <f>'CRH3-380+标动材料匹配'!AC42</f>
        <v>3864</v>
      </c>
      <c r="E20" s="221">
        <f>'CRH3-380+标动材料匹配'!AC43</f>
        <v>5368</v>
      </c>
      <c r="F20" s="374">
        <f t="shared" si="2"/>
        <v>5566</v>
      </c>
      <c r="G20" s="374">
        <f t="shared" si="3"/>
        <v>9232</v>
      </c>
    </row>
    <row r="21" spans="1:7" ht="16.5">
      <c r="A21" s="652"/>
      <c r="B21" s="220" t="s">
        <v>109</v>
      </c>
      <c r="C21" s="221">
        <f>'CRH3-380+标动材料匹配'!AE51</f>
        <v>1702</v>
      </c>
      <c r="D21" s="221">
        <f>'CRH3-380+标动材料匹配'!AC50</f>
        <v>3864</v>
      </c>
      <c r="E21" s="221">
        <f>'CRH3-380+标动材料匹配'!AC51</f>
        <v>5368</v>
      </c>
      <c r="F21" s="374">
        <f t="shared" si="0"/>
        <v>5566</v>
      </c>
      <c r="G21" s="374">
        <f t="shared" si="1"/>
        <v>9232</v>
      </c>
    </row>
    <row r="22" spans="1:7" ht="16.5">
      <c r="A22" s="649" t="s">
        <v>82</v>
      </c>
      <c r="B22" s="212" t="s">
        <v>23</v>
      </c>
      <c r="C22" s="213">
        <f>CRH5材料匹配!AE3</f>
        <v>120</v>
      </c>
      <c r="D22" s="213">
        <f>CRH5材料匹配!AC2</f>
        <v>123</v>
      </c>
      <c r="E22" s="213">
        <f>CRH5材料匹配!AC3</f>
        <v>240</v>
      </c>
      <c r="F22" s="374">
        <f t="shared" si="0"/>
        <v>243</v>
      </c>
      <c r="G22" s="374">
        <f t="shared" si="1"/>
        <v>363</v>
      </c>
    </row>
    <row r="23" spans="1:7" ht="16.5">
      <c r="A23" s="649"/>
      <c r="B23" s="212" t="s">
        <v>24</v>
      </c>
      <c r="C23" s="213">
        <f>CRH5材料匹配!AE10</f>
        <v>264</v>
      </c>
      <c r="D23" s="213">
        <f>CRH5材料匹配!AC9</f>
        <v>267</v>
      </c>
      <c r="E23" s="213">
        <f>CRH5材料匹配!AC10</f>
        <v>528</v>
      </c>
      <c r="F23" s="374">
        <f t="shared" si="0"/>
        <v>531</v>
      </c>
      <c r="G23" s="374">
        <f t="shared" si="1"/>
        <v>795</v>
      </c>
    </row>
    <row r="24" spans="1:7" ht="16.5">
      <c r="A24" s="649"/>
      <c r="B24" s="212" t="s">
        <v>36</v>
      </c>
      <c r="C24" s="213">
        <f>CRH5材料匹配!AE17</f>
        <v>1574</v>
      </c>
      <c r="D24" s="213">
        <f>CRH5材料匹配!AC16</f>
        <v>2086</v>
      </c>
      <c r="E24" s="213">
        <f>CRH5材料匹配!AC17</f>
        <v>3404</v>
      </c>
      <c r="F24" s="374">
        <f t="shared" si="0"/>
        <v>3660</v>
      </c>
      <c r="G24" s="374">
        <f t="shared" si="1"/>
        <v>5490</v>
      </c>
    </row>
    <row r="25" spans="1:7" ht="16.5">
      <c r="A25" s="649" t="s">
        <v>83</v>
      </c>
      <c r="B25" s="212" t="s">
        <v>23</v>
      </c>
      <c r="C25" s="213">
        <f>CRH6材料匹配!AE3</f>
        <v>44</v>
      </c>
      <c r="D25" s="213">
        <f>CRH6材料匹配!AC2</f>
        <v>325</v>
      </c>
      <c r="E25" s="213">
        <f>CRH6材料匹配!AC3</f>
        <v>280</v>
      </c>
      <c r="F25" s="374">
        <f t="shared" si="0"/>
        <v>369</v>
      </c>
      <c r="G25" s="374">
        <f t="shared" si="1"/>
        <v>605</v>
      </c>
    </row>
    <row r="26" spans="1:7" ht="16.5">
      <c r="A26" s="649"/>
      <c r="B26" s="212" t="s">
        <v>24</v>
      </c>
      <c r="C26" s="213">
        <f>CRH6材料匹配!AE10</f>
        <v>48</v>
      </c>
      <c r="D26" s="213">
        <f>CRH6材料匹配!AC9</f>
        <v>298</v>
      </c>
      <c r="E26" s="213">
        <f>CRH6材料匹配!AC10</f>
        <v>408</v>
      </c>
      <c r="F26" s="374">
        <f t="shared" si="0"/>
        <v>346</v>
      </c>
      <c r="G26" s="374">
        <f t="shared" si="1"/>
        <v>706</v>
      </c>
    </row>
    <row r="27" spans="1:7" ht="16.5">
      <c r="A27" s="649"/>
      <c r="B27" s="212" t="s">
        <v>36</v>
      </c>
      <c r="C27" s="213">
        <f>CRH6材料匹配!AE17</f>
        <v>312</v>
      </c>
      <c r="D27" s="213">
        <f>CRH6材料匹配!AC16</f>
        <v>1390</v>
      </c>
      <c r="E27" s="213">
        <f>CRH6材料匹配!AC17</f>
        <v>1920</v>
      </c>
      <c r="F27" s="374">
        <f t="shared" si="0"/>
        <v>1702</v>
      </c>
      <c r="G27" s="374">
        <f t="shared" si="1"/>
        <v>3310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18917</v>
      </c>
      <c r="D28" s="214">
        <f>D4+D5+D8+D9+D12+D13+D14+D17+D18+D24+D27</f>
        <v>86790</v>
      </c>
      <c r="E28" s="214">
        <f>E4+E5+E8+E9+E12+E13+E14+E17+E18+E24+E27</f>
        <v>53277</v>
      </c>
      <c r="F28" s="372">
        <f>F4+F5+F8+F9+F12+F13+F14+F17+F18+F24+F27</f>
        <v>105707</v>
      </c>
      <c r="G28" s="372">
        <f>G4+G5+G8+G9+G12+G13+G14+G17+G18+G24+G27</f>
        <v>140067</v>
      </c>
    </row>
    <row r="29" spans="1:7" ht="16.5">
      <c r="A29" s="648"/>
      <c r="B29" s="212" t="s">
        <v>86</v>
      </c>
      <c r="C29" s="214">
        <f>C2+C3+C6+C7+C10+C11+C15+C16+C22+C23+C25+C26</f>
        <v>5582</v>
      </c>
      <c r="D29" s="214">
        <f>D2+D3+D6+D7+D10+D11+D15+D16+D22+D23+D25+D26</f>
        <v>16778</v>
      </c>
      <c r="E29" s="214">
        <f>E2+E3+E6+E7+E10+E11+E15+E16+E22+E23+E25+E26</f>
        <v>16080</v>
      </c>
      <c r="F29" s="372">
        <f>F2+F3+F6+F7+F10+F11+F15+F16+F22+F23+F25+F26</f>
        <v>22360</v>
      </c>
      <c r="G29" s="372">
        <f>G2+G3+G6+G7+G10+G11+G15+G16+G22+G23+G25+G26</f>
        <v>32858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212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212</v>
      </c>
    </row>
    <row r="4" spans="1:7" ht="36">
      <c r="A4" s="654"/>
      <c r="B4" s="388" t="s">
        <v>25</v>
      </c>
      <c r="C4" s="389">
        <f>'CRH1-250材料匹配'!D19</f>
        <v>335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346</v>
      </c>
    </row>
    <row r="5" spans="1:7" ht="36">
      <c r="A5" s="654"/>
      <c r="B5" s="388" t="s">
        <v>41</v>
      </c>
      <c r="C5" s="389">
        <f>'CRH1-250材料匹配'!D26</f>
        <v>1403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1403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188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188</v>
      </c>
    </row>
    <row r="9" spans="1:7" ht="18">
      <c r="A9" s="654"/>
      <c r="B9" s="388" t="s">
        <v>28</v>
      </c>
      <c r="C9" s="389">
        <f>'CRH1-380材料匹配'!D26</f>
        <v>197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197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2138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2138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2855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2855</v>
      </c>
    </row>
    <row r="16" spans="1:7" ht="18">
      <c r="A16" s="654"/>
      <c r="B16" s="388" t="s">
        <v>24</v>
      </c>
      <c r="C16" s="389">
        <f>'CRH3-380+标动材料匹配'!D14</f>
        <v>2810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2810</v>
      </c>
    </row>
    <row r="17" spans="1:7" ht="18">
      <c r="A17" s="654"/>
      <c r="B17" s="388" t="s">
        <v>27</v>
      </c>
      <c r="C17" s="389">
        <f>'CRH3-380+标动材料匹配'!D22</f>
        <v>5720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5720</v>
      </c>
    </row>
    <row r="18" spans="1:7" ht="18">
      <c r="A18" s="654"/>
      <c r="B18" s="388" t="s">
        <v>28</v>
      </c>
      <c r="C18" s="389">
        <f>'CRH3-380+标动材料匹配'!D30</f>
        <v>3049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3049</v>
      </c>
    </row>
    <row r="19" spans="1:7" ht="36">
      <c r="A19" s="654"/>
      <c r="B19" s="524" t="s">
        <v>223</v>
      </c>
      <c r="C19" s="389">
        <f>'CRH3-380+标动材料匹配'!D38</f>
        <v>3651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3651</v>
      </c>
    </row>
    <row r="20" spans="1:7" ht="36">
      <c r="A20" s="654"/>
      <c r="B20" s="388" t="s">
        <v>108</v>
      </c>
      <c r="C20" s="389">
        <f>'CRH3-380+标动材料匹配'!D46</f>
        <v>661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661</v>
      </c>
    </row>
    <row r="21" spans="1:7" ht="36">
      <c r="A21" s="654"/>
      <c r="B21" s="388" t="s">
        <v>109</v>
      </c>
      <c r="C21" s="389">
        <f>'CRH3-380+标动材料匹配'!D54</f>
        <v>637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637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15224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15235</v>
      </c>
    </row>
    <row r="29" spans="1:7" ht="21">
      <c r="A29" s="653"/>
      <c r="B29" s="391" t="s">
        <v>85</v>
      </c>
      <c r="C29" s="391">
        <f>C2+C3+C6+C7+C10+C11+C15+C16+C22+C23+C25+C26</f>
        <v>8836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8836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8" t="s">
        <v>0</v>
      </c>
      <c r="B4" s="658" t="s">
        <v>5</v>
      </c>
      <c r="C4" s="658" t="s">
        <v>63</v>
      </c>
      <c r="D4" s="658"/>
      <c r="E4" s="658"/>
      <c r="F4" s="658"/>
      <c r="G4" s="658"/>
      <c r="H4" s="658"/>
      <c r="I4" s="658" t="s">
        <v>97</v>
      </c>
      <c r="J4" s="658"/>
      <c r="K4" s="658"/>
      <c r="L4" s="658" t="s">
        <v>64</v>
      </c>
      <c r="M4" s="658"/>
      <c r="N4" s="658"/>
      <c r="O4" s="526"/>
      <c r="P4" s="660" t="s">
        <v>171</v>
      </c>
      <c r="Q4" s="659" t="s">
        <v>187</v>
      </c>
      <c r="R4" s="659"/>
      <c r="S4" s="659"/>
    </row>
    <row r="5" spans="1:21" ht="47.25" customHeight="1">
      <c r="A5" s="658"/>
      <c r="B5" s="658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0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61" t="s">
        <v>1</v>
      </c>
      <c r="B6" s="531" t="s">
        <v>23</v>
      </c>
      <c r="C6" s="532">
        <f>'汇报-订单需求情况'!F2</f>
        <v>181</v>
      </c>
      <c r="D6" s="532">
        <f>'汇报-订单需求情况'!G2</f>
        <v>357</v>
      </c>
      <c r="E6" s="533">
        <v>60</v>
      </c>
      <c r="F6" s="534">
        <f>C6</f>
        <v>181</v>
      </c>
      <c r="G6" s="534">
        <f>C6+E6</f>
        <v>241</v>
      </c>
      <c r="H6" s="534">
        <f>D6+E6</f>
        <v>417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85</v>
      </c>
      <c r="M6" s="538">
        <f>K6-G6</f>
        <v>25</v>
      </c>
      <c r="N6" s="538">
        <f>K6-H6</f>
        <v>-151</v>
      </c>
      <c r="O6" s="538">
        <f>K6-D6</f>
        <v>-91</v>
      </c>
      <c r="P6" s="656" t="s">
        <v>188</v>
      </c>
      <c r="Q6" s="218">
        <v>79</v>
      </c>
      <c r="R6" s="218">
        <v>19</v>
      </c>
      <c r="S6" s="218">
        <v>2</v>
      </c>
    </row>
    <row r="7" spans="1:21" ht="16.5">
      <c r="A7" s="661"/>
      <c r="B7" s="531" t="s">
        <v>24</v>
      </c>
      <c r="C7" s="532">
        <f>'汇报-订单需求情况'!F3</f>
        <v>107</v>
      </c>
      <c r="D7" s="532">
        <f>'汇报-订单需求情况'!G3</f>
        <v>107</v>
      </c>
      <c r="E7" s="533">
        <v>36</v>
      </c>
      <c r="F7" s="534">
        <f t="shared" ref="F7:F31" si="0">C7</f>
        <v>107</v>
      </c>
      <c r="G7" s="534">
        <f t="shared" ref="G7:G31" si="1">C7+E7</f>
        <v>143</v>
      </c>
      <c r="H7" s="534">
        <f t="shared" ref="H7:H31" si="2">D7+E7</f>
        <v>143</v>
      </c>
      <c r="I7" s="535">
        <f>汇报—采购情况!C3</f>
        <v>212</v>
      </c>
      <c r="J7" s="536">
        <f>汇报—采购情况!D3+汇报—采购情况!E3</f>
        <v>0</v>
      </c>
      <c r="K7" s="537">
        <f t="shared" ref="K7:K31" si="3">I7+J7</f>
        <v>212</v>
      </c>
      <c r="L7" s="538">
        <f t="shared" ref="L7:L31" si="4">K7-F7</f>
        <v>105</v>
      </c>
      <c r="M7" s="538">
        <f>K7-G7</f>
        <v>69</v>
      </c>
      <c r="N7" s="538">
        <f t="shared" ref="N7:N31" si="5">K7-H7</f>
        <v>69</v>
      </c>
      <c r="O7" s="538">
        <f t="shared" ref="O7:O31" si="6">K7-D7</f>
        <v>105</v>
      </c>
      <c r="P7" s="656"/>
      <c r="Q7" s="218">
        <v>74</v>
      </c>
      <c r="R7" s="218">
        <v>38</v>
      </c>
      <c r="S7" s="218">
        <v>-3</v>
      </c>
    </row>
    <row r="8" spans="1:21" ht="16.5">
      <c r="A8" s="661"/>
      <c r="B8" s="531" t="s">
        <v>25</v>
      </c>
      <c r="C8" s="532">
        <f>'汇报-订单需求情况'!F4</f>
        <v>684</v>
      </c>
      <c r="D8" s="532">
        <f>'汇报-订单需求情况'!G4</f>
        <v>984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984</v>
      </c>
      <c r="I8" s="535">
        <f>汇报—采购情况!C4</f>
        <v>335</v>
      </c>
      <c r="J8" s="536">
        <f>汇报—采购情况!D4+汇报—采购情况!E4</f>
        <v>11</v>
      </c>
      <c r="K8" s="537">
        <f t="shared" si="3"/>
        <v>346</v>
      </c>
      <c r="L8" s="538">
        <f t="shared" si="4"/>
        <v>-338</v>
      </c>
      <c r="M8" s="538">
        <f t="shared" ref="M8:M31" si="7">K8-G8</f>
        <v>-338</v>
      </c>
      <c r="N8" s="538">
        <f t="shared" si="5"/>
        <v>-638</v>
      </c>
      <c r="O8" s="538">
        <f t="shared" si="6"/>
        <v>-638</v>
      </c>
      <c r="P8" s="656"/>
      <c r="Q8" s="218">
        <v>197</v>
      </c>
      <c r="R8" s="218">
        <v>197</v>
      </c>
      <c r="S8" s="218">
        <v>197</v>
      </c>
    </row>
    <row r="9" spans="1:21" ht="16.5">
      <c r="A9" s="661"/>
      <c r="B9" s="531" t="s">
        <v>41</v>
      </c>
      <c r="C9" s="532">
        <f>'汇报-订单需求情况'!F5</f>
        <v>248</v>
      </c>
      <c r="D9" s="532">
        <f>'汇报-订单需求情况'!G5</f>
        <v>316</v>
      </c>
      <c r="E9" s="533">
        <v>320</v>
      </c>
      <c r="F9" s="534">
        <f t="shared" si="0"/>
        <v>248</v>
      </c>
      <c r="G9" s="534">
        <f t="shared" si="1"/>
        <v>568</v>
      </c>
      <c r="H9" s="534">
        <f t="shared" si="2"/>
        <v>636</v>
      </c>
      <c r="I9" s="535">
        <f>汇报—采购情况!C5</f>
        <v>1403</v>
      </c>
      <c r="J9" s="536">
        <f>汇报—采购情况!D5+汇报—采购情况!E5</f>
        <v>0</v>
      </c>
      <c r="K9" s="537">
        <f t="shared" si="3"/>
        <v>1403</v>
      </c>
      <c r="L9" s="538">
        <f>K9-F9</f>
        <v>1155</v>
      </c>
      <c r="M9" s="539">
        <f>K9-G9</f>
        <v>835</v>
      </c>
      <c r="N9" s="539">
        <f t="shared" si="5"/>
        <v>767</v>
      </c>
      <c r="O9" s="538">
        <f t="shared" si="6"/>
        <v>1087</v>
      </c>
      <c r="P9" s="656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61" t="s">
        <v>2</v>
      </c>
      <c r="B10" s="531" t="s">
        <v>23</v>
      </c>
      <c r="C10" s="532">
        <f>'汇报-订单需求情况'!F6</f>
        <v>171</v>
      </c>
      <c r="D10" s="532">
        <f>'汇报-订单需求情况'!G6</f>
        <v>241</v>
      </c>
      <c r="E10" s="531"/>
      <c r="F10" s="534">
        <f t="shared" si="0"/>
        <v>171</v>
      </c>
      <c r="G10" s="534">
        <f t="shared" si="1"/>
        <v>171</v>
      </c>
      <c r="H10" s="534">
        <f t="shared" si="2"/>
        <v>241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-109</v>
      </c>
      <c r="M10" s="539">
        <f t="shared" si="7"/>
        <v>-109</v>
      </c>
      <c r="N10" s="539">
        <f t="shared" si="5"/>
        <v>-179</v>
      </c>
      <c r="O10" s="538">
        <f t="shared" si="6"/>
        <v>-179</v>
      </c>
      <c r="P10" s="657" t="s">
        <v>189</v>
      </c>
      <c r="Q10" s="218">
        <v>11</v>
      </c>
      <c r="R10" s="218">
        <v>11</v>
      </c>
      <c r="S10" s="218">
        <v>11</v>
      </c>
    </row>
    <row r="11" spans="1:21" ht="16.5">
      <c r="A11" s="661"/>
      <c r="B11" s="531" t="s">
        <v>24</v>
      </c>
      <c r="C11" s="532">
        <f>'汇报-订单需求情况'!F7</f>
        <v>55</v>
      </c>
      <c r="D11" s="532">
        <f>'汇报-订单需求情况'!G7</f>
        <v>81</v>
      </c>
      <c r="E11" s="531"/>
      <c r="F11" s="534">
        <f t="shared" si="0"/>
        <v>55</v>
      </c>
      <c r="G11" s="534">
        <f t="shared" si="1"/>
        <v>55</v>
      </c>
      <c r="H11" s="534">
        <f t="shared" si="2"/>
        <v>81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-9</v>
      </c>
      <c r="M11" s="538">
        <f t="shared" si="7"/>
        <v>-9</v>
      </c>
      <c r="N11" s="538">
        <f t="shared" si="5"/>
        <v>-35</v>
      </c>
      <c r="O11" s="538">
        <f t="shared" si="6"/>
        <v>-35</v>
      </c>
      <c r="P11" s="657"/>
      <c r="Q11" s="218">
        <v>47</v>
      </c>
      <c r="R11" s="218">
        <v>47</v>
      </c>
      <c r="S11" s="218">
        <v>47</v>
      </c>
    </row>
    <row r="12" spans="1:21" ht="16.5">
      <c r="A12" s="661"/>
      <c r="B12" s="531" t="s">
        <v>27</v>
      </c>
      <c r="C12" s="532">
        <f>'汇报-订单需求情况'!F8</f>
        <v>336</v>
      </c>
      <c r="D12" s="532">
        <f>'汇报-订单需求情况'!G8</f>
        <v>497</v>
      </c>
      <c r="E12" s="531"/>
      <c r="F12" s="534">
        <f t="shared" si="0"/>
        <v>336</v>
      </c>
      <c r="G12" s="534">
        <f t="shared" si="1"/>
        <v>336</v>
      </c>
      <c r="H12" s="534">
        <f t="shared" si="2"/>
        <v>497</v>
      </c>
      <c r="I12" s="535">
        <f>汇报—采购情况!C8</f>
        <v>188</v>
      </c>
      <c r="J12" s="536">
        <f>汇报—采购情况!D8+汇报—采购情况!E8</f>
        <v>0</v>
      </c>
      <c r="K12" s="537">
        <f t="shared" si="3"/>
        <v>188</v>
      </c>
      <c r="L12" s="538">
        <f t="shared" si="4"/>
        <v>-148</v>
      </c>
      <c r="M12" s="539">
        <f t="shared" si="7"/>
        <v>-148</v>
      </c>
      <c r="N12" s="539">
        <f t="shared" si="5"/>
        <v>-309</v>
      </c>
      <c r="O12" s="538">
        <f t="shared" si="6"/>
        <v>-309</v>
      </c>
      <c r="P12" s="657"/>
      <c r="Q12" s="218">
        <v>62</v>
      </c>
      <c r="R12" s="218">
        <v>62</v>
      </c>
      <c r="S12" s="218">
        <v>62</v>
      </c>
    </row>
    <row r="13" spans="1:21" ht="16.5">
      <c r="A13" s="661"/>
      <c r="B13" s="531" t="s">
        <v>28</v>
      </c>
      <c r="C13" s="532">
        <f>'汇报-订单需求情况'!F9</f>
        <v>114</v>
      </c>
      <c r="D13" s="532">
        <f>'汇报-订单需求情况'!G9</f>
        <v>168</v>
      </c>
      <c r="E13" s="531"/>
      <c r="F13" s="534">
        <f t="shared" si="0"/>
        <v>114</v>
      </c>
      <c r="G13" s="534">
        <f t="shared" si="1"/>
        <v>114</v>
      </c>
      <c r="H13" s="534">
        <f t="shared" si="2"/>
        <v>168</v>
      </c>
      <c r="I13" s="535">
        <f>汇报—采购情况!C9</f>
        <v>197</v>
      </c>
      <c r="J13" s="536">
        <f>汇报—采购情况!D9+汇报—采购情况!E9</f>
        <v>0</v>
      </c>
      <c r="K13" s="537">
        <f t="shared" si="3"/>
        <v>197</v>
      </c>
      <c r="L13" s="538">
        <f t="shared" si="4"/>
        <v>83</v>
      </c>
      <c r="M13" s="538">
        <f t="shared" si="7"/>
        <v>83</v>
      </c>
      <c r="N13" s="539">
        <f t="shared" si="5"/>
        <v>29</v>
      </c>
      <c r="O13" s="538">
        <f t="shared" si="6"/>
        <v>29</v>
      </c>
      <c r="P13" s="657"/>
      <c r="Q13" s="218">
        <v>205</v>
      </c>
      <c r="R13" s="218">
        <v>205</v>
      </c>
      <c r="S13" s="218">
        <v>205</v>
      </c>
    </row>
    <row r="14" spans="1:21" ht="23.25" customHeight="1">
      <c r="A14" s="661" t="s">
        <v>29</v>
      </c>
      <c r="B14" s="531" t="s">
        <v>23</v>
      </c>
      <c r="C14" s="532">
        <f>'汇报-订单需求情况'!F10</f>
        <v>5112</v>
      </c>
      <c r="D14" s="532">
        <f>'汇报-订单需求情况'!G10</f>
        <v>5372</v>
      </c>
      <c r="E14" s="531">
        <v>80</v>
      </c>
      <c r="F14" s="534">
        <f t="shared" si="0"/>
        <v>5112</v>
      </c>
      <c r="G14" s="534">
        <f t="shared" si="1"/>
        <v>5192</v>
      </c>
      <c r="H14" s="534">
        <f t="shared" si="2"/>
        <v>5452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-4571</v>
      </c>
      <c r="M14" s="538">
        <f t="shared" si="7"/>
        <v>-4651</v>
      </c>
      <c r="N14" s="538">
        <f t="shared" si="5"/>
        <v>-4911</v>
      </c>
      <c r="O14" s="538">
        <f t="shared" si="6"/>
        <v>-4831</v>
      </c>
      <c r="P14" s="657" t="s">
        <v>190</v>
      </c>
      <c r="Q14" s="218">
        <v>233</v>
      </c>
      <c r="R14" s="218">
        <v>153</v>
      </c>
      <c r="S14" s="218">
        <v>153</v>
      </c>
    </row>
    <row r="15" spans="1:21" ht="16.5">
      <c r="A15" s="661"/>
      <c r="B15" s="531" t="s">
        <v>24</v>
      </c>
      <c r="C15" s="532">
        <f>'汇报-订单需求情况'!F11</f>
        <v>389</v>
      </c>
      <c r="D15" s="532">
        <f>'汇报-订单需求情况'!G11</f>
        <v>480</v>
      </c>
      <c r="E15" s="531">
        <v>48</v>
      </c>
      <c r="F15" s="534">
        <f t="shared" si="0"/>
        <v>389</v>
      </c>
      <c r="G15" s="534">
        <f t="shared" si="1"/>
        <v>437</v>
      </c>
      <c r="H15" s="534">
        <f t="shared" si="2"/>
        <v>528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564</v>
      </c>
      <c r="M15" s="538">
        <f t="shared" si="7"/>
        <v>516</v>
      </c>
      <c r="N15" s="538">
        <f t="shared" si="5"/>
        <v>425</v>
      </c>
      <c r="O15" s="538">
        <f t="shared" si="6"/>
        <v>473</v>
      </c>
      <c r="P15" s="657"/>
      <c r="Q15" s="218">
        <v>880</v>
      </c>
      <c r="R15" s="218">
        <v>832</v>
      </c>
      <c r="S15" s="218">
        <v>832</v>
      </c>
    </row>
    <row r="16" spans="1:21" ht="16.5">
      <c r="A16" s="661"/>
      <c r="B16" s="531" t="s">
        <v>42</v>
      </c>
      <c r="C16" s="532">
        <f>'汇报-订单需求情况'!F12</f>
        <v>31333</v>
      </c>
      <c r="D16" s="532">
        <f>'汇报-订单需求情况'!G12</f>
        <v>36397</v>
      </c>
      <c r="E16" s="531">
        <f>6*64</f>
        <v>384</v>
      </c>
      <c r="F16" s="534">
        <f t="shared" si="0"/>
        <v>31333</v>
      </c>
      <c r="G16" s="534">
        <f t="shared" si="1"/>
        <v>31717</v>
      </c>
      <c r="H16" s="534">
        <f t="shared" si="2"/>
        <v>36781</v>
      </c>
      <c r="I16" s="535">
        <f>汇报—采购情况!C12</f>
        <v>2138</v>
      </c>
      <c r="J16" s="536">
        <f>汇报—采购情况!D12+汇报—采购情况!E12</f>
        <v>0</v>
      </c>
      <c r="K16" s="537">
        <f t="shared" si="3"/>
        <v>2138</v>
      </c>
      <c r="L16" s="538">
        <f>K16-F16</f>
        <v>-29195</v>
      </c>
      <c r="M16" s="539">
        <f t="shared" si="7"/>
        <v>-29579</v>
      </c>
      <c r="N16" s="539">
        <f t="shared" si="5"/>
        <v>-34643</v>
      </c>
      <c r="O16" s="538">
        <f t="shared" si="6"/>
        <v>-34259</v>
      </c>
      <c r="P16" s="657"/>
      <c r="Q16" s="218">
        <v>-1436</v>
      </c>
      <c r="R16" s="218">
        <v>-1820</v>
      </c>
      <c r="S16" s="218">
        <v>-1904</v>
      </c>
    </row>
    <row r="17" spans="1:20" ht="16.5">
      <c r="A17" s="661"/>
      <c r="B17" s="531" t="s">
        <v>31</v>
      </c>
      <c r="C17" s="532">
        <f>'汇报-订单需求情况'!F13</f>
        <v>316</v>
      </c>
      <c r="D17" s="532">
        <f>'汇报-订单需求情况'!G13</f>
        <v>464</v>
      </c>
      <c r="E17" s="531"/>
      <c r="F17" s="534">
        <f t="shared" si="0"/>
        <v>316</v>
      </c>
      <c r="G17" s="534">
        <f t="shared" si="1"/>
        <v>316</v>
      </c>
      <c r="H17" s="534">
        <f t="shared" si="2"/>
        <v>464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-129</v>
      </c>
      <c r="M17" s="538">
        <f t="shared" si="7"/>
        <v>-129</v>
      </c>
      <c r="N17" s="538">
        <f t="shared" si="5"/>
        <v>-277</v>
      </c>
      <c r="O17" s="538">
        <f t="shared" si="6"/>
        <v>-277</v>
      </c>
      <c r="P17" s="657"/>
      <c r="Q17" s="218">
        <v>-30</v>
      </c>
      <c r="R17" s="218">
        <v>-30</v>
      </c>
      <c r="S17" s="218">
        <v>-30</v>
      </c>
    </row>
    <row r="18" spans="1:20" ht="18.75" customHeight="1">
      <c r="A18" s="661"/>
      <c r="B18" s="531" t="s">
        <v>32</v>
      </c>
      <c r="C18" s="532">
        <f>'汇报-订单需求情况'!F14</f>
        <v>240</v>
      </c>
      <c r="D18" s="532">
        <f>'汇报-订单需求情况'!G14</f>
        <v>400</v>
      </c>
      <c r="E18" s="531"/>
      <c r="F18" s="534">
        <f t="shared" si="0"/>
        <v>240</v>
      </c>
      <c r="G18" s="534">
        <f t="shared" si="1"/>
        <v>240</v>
      </c>
      <c r="H18" s="534">
        <f t="shared" si="2"/>
        <v>400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93</v>
      </c>
      <c r="M18" s="538">
        <f t="shared" si="7"/>
        <v>93</v>
      </c>
      <c r="N18" s="538">
        <f t="shared" si="5"/>
        <v>-67</v>
      </c>
      <c r="O18" s="538">
        <f t="shared" si="6"/>
        <v>-67</v>
      </c>
      <c r="P18" s="657"/>
      <c r="Q18" s="218">
        <v>146</v>
      </c>
      <c r="R18" s="218">
        <v>146</v>
      </c>
      <c r="S18" s="218">
        <v>146</v>
      </c>
    </row>
    <row r="19" spans="1:20" ht="23.25" customHeight="1">
      <c r="A19" s="662" t="s">
        <v>43</v>
      </c>
      <c r="B19" s="531" t="s">
        <v>23</v>
      </c>
      <c r="C19" s="532">
        <f>'汇报-订单需求情况'!F15</f>
        <v>7522</v>
      </c>
      <c r="D19" s="532">
        <f>'汇报-订单需求情况'!G15</f>
        <v>11743</v>
      </c>
      <c r="E19" s="531">
        <v>848</v>
      </c>
      <c r="F19" s="534">
        <f t="shared" si="0"/>
        <v>7522</v>
      </c>
      <c r="G19" s="534">
        <f t="shared" si="1"/>
        <v>8370</v>
      </c>
      <c r="H19" s="534">
        <f t="shared" si="2"/>
        <v>12591</v>
      </c>
      <c r="I19" s="535">
        <f>汇报—采购情况!C15</f>
        <v>2855</v>
      </c>
      <c r="J19" s="536">
        <f>汇报—采购情况!D15+汇报—采购情况!E15</f>
        <v>0</v>
      </c>
      <c r="K19" s="537">
        <f t="shared" si="3"/>
        <v>2855</v>
      </c>
      <c r="L19" s="538">
        <f t="shared" si="4"/>
        <v>-4667</v>
      </c>
      <c r="M19" s="538">
        <f>K19-G19</f>
        <v>-5515</v>
      </c>
      <c r="N19" s="538">
        <f t="shared" si="5"/>
        <v>-9736</v>
      </c>
      <c r="O19" s="538">
        <f t="shared" si="6"/>
        <v>-8888</v>
      </c>
      <c r="P19" s="657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63"/>
      <c r="B20" s="531" t="s">
        <v>24</v>
      </c>
      <c r="C20" s="532">
        <f>'汇报-订单需求情况'!F16</f>
        <v>7334</v>
      </c>
      <c r="D20" s="532">
        <f>'汇报-订单需求情况'!G16</f>
        <v>12008</v>
      </c>
      <c r="E20" s="531">
        <v>848</v>
      </c>
      <c r="F20" s="534">
        <f t="shared" si="0"/>
        <v>7334</v>
      </c>
      <c r="G20" s="534">
        <f t="shared" si="1"/>
        <v>8182</v>
      </c>
      <c r="H20" s="534">
        <f t="shared" si="2"/>
        <v>12856</v>
      </c>
      <c r="I20" s="535">
        <f>汇报—采购情况!C16</f>
        <v>2810</v>
      </c>
      <c r="J20" s="536">
        <f>汇报—采购情况!D16+汇报—采购情况!E16</f>
        <v>0</v>
      </c>
      <c r="K20" s="537">
        <f t="shared" si="3"/>
        <v>2810</v>
      </c>
      <c r="L20" s="538">
        <f t="shared" si="4"/>
        <v>-4524</v>
      </c>
      <c r="M20" s="538">
        <f t="shared" si="7"/>
        <v>-5372</v>
      </c>
      <c r="N20" s="538">
        <f t="shared" si="5"/>
        <v>-10046</v>
      </c>
      <c r="O20" s="538">
        <f t="shared" si="6"/>
        <v>-9198</v>
      </c>
      <c r="P20" s="657"/>
      <c r="Q20" s="218">
        <v>-328</v>
      </c>
      <c r="R20" s="218">
        <v>520</v>
      </c>
      <c r="S20" s="218">
        <v>520</v>
      </c>
    </row>
    <row r="21" spans="1:20" ht="16.5">
      <c r="A21" s="663"/>
      <c r="B21" s="531" t="s">
        <v>27</v>
      </c>
      <c r="C21" s="532">
        <f>'汇报-订单需求情况'!F17</f>
        <v>53690</v>
      </c>
      <c r="D21" s="532">
        <f>'汇报-订单需求情况'!G17</f>
        <v>73667</v>
      </c>
      <c r="E21" s="531">
        <f>5*32+50*64</f>
        <v>3360</v>
      </c>
      <c r="F21" s="534">
        <f t="shared" si="0"/>
        <v>53690</v>
      </c>
      <c r="G21" s="534">
        <f t="shared" si="1"/>
        <v>57050</v>
      </c>
      <c r="H21" s="534">
        <f t="shared" si="2"/>
        <v>77027</v>
      </c>
      <c r="I21" s="535">
        <f>汇报—采购情况!C17</f>
        <v>5720</v>
      </c>
      <c r="J21" s="536">
        <f>汇报—采购情况!D17+汇报—采购情况!E17</f>
        <v>0</v>
      </c>
      <c r="K21" s="537">
        <f t="shared" si="3"/>
        <v>5720</v>
      </c>
      <c r="L21" s="538">
        <f t="shared" si="4"/>
        <v>-47970</v>
      </c>
      <c r="M21" s="538">
        <f t="shared" si="7"/>
        <v>-51330</v>
      </c>
      <c r="N21" s="539">
        <f t="shared" si="5"/>
        <v>-71307</v>
      </c>
      <c r="O21" s="538">
        <f t="shared" si="6"/>
        <v>-67947</v>
      </c>
      <c r="P21" s="657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63"/>
      <c r="B22" s="531" t="s">
        <v>28</v>
      </c>
      <c r="C22" s="532">
        <f>'汇报-订单需求情况'!F18</f>
        <v>13384</v>
      </c>
      <c r="D22" s="532">
        <f>'汇报-订单需求情况'!G18</f>
        <v>18374</v>
      </c>
      <c r="E22" s="531">
        <f>5*32</f>
        <v>160</v>
      </c>
      <c r="F22" s="534">
        <f t="shared" si="0"/>
        <v>13384</v>
      </c>
      <c r="G22" s="534">
        <f t="shared" si="1"/>
        <v>13544</v>
      </c>
      <c r="H22" s="534">
        <f t="shared" si="2"/>
        <v>18534</v>
      </c>
      <c r="I22" s="535">
        <f>汇报—采购情况!C18</f>
        <v>3049</v>
      </c>
      <c r="J22" s="536">
        <f>汇报—采购情况!D18+汇报—采购情况!E18</f>
        <v>0</v>
      </c>
      <c r="K22" s="537">
        <f t="shared" si="3"/>
        <v>3049</v>
      </c>
      <c r="L22" s="538">
        <f t="shared" si="4"/>
        <v>-10335</v>
      </c>
      <c r="M22" s="538">
        <f t="shared" si="7"/>
        <v>-10495</v>
      </c>
      <c r="N22" s="539">
        <f t="shared" si="5"/>
        <v>-15485</v>
      </c>
      <c r="O22" s="538">
        <f t="shared" si="6"/>
        <v>-15325</v>
      </c>
      <c r="P22" s="657"/>
      <c r="Q22" s="218">
        <v>-2618</v>
      </c>
      <c r="R22" s="218">
        <v>-2778</v>
      </c>
      <c r="S22" s="218">
        <v>-2778</v>
      </c>
      <c r="T22" s="655" t="s">
        <v>110</v>
      </c>
    </row>
    <row r="23" spans="1:20" ht="16.5">
      <c r="A23" s="663"/>
      <c r="B23" s="531" t="s">
        <v>108</v>
      </c>
      <c r="C23" s="532">
        <f>'汇报-订单需求情况'!F20</f>
        <v>5566</v>
      </c>
      <c r="D23" s="532">
        <f>'汇报-订单需求情况'!G20</f>
        <v>9232</v>
      </c>
      <c r="E23" s="531">
        <v>160</v>
      </c>
      <c r="F23" s="534">
        <f t="shared" ref="F23:F25" si="8">C23</f>
        <v>5566</v>
      </c>
      <c r="G23" s="534">
        <f>C23+E23</f>
        <v>5726</v>
      </c>
      <c r="H23" s="534">
        <f t="shared" ref="H23:H25" si="9">D23+E23</f>
        <v>9392</v>
      </c>
      <c r="I23" s="535">
        <f>汇报—采购情况!C20</f>
        <v>661</v>
      </c>
      <c r="J23" s="536">
        <f>汇报—采购情况!D20+汇报—采购情况!E20</f>
        <v>0</v>
      </c>
      <c r="K23" s="537">
        <f>I23+J23</f>
        <v>661</v>
      </c>
      <c r="L23" s="538">
        <f>K23-F23</f>
        <v>-4905</v>
      </c>
      <c r="M23" s="539">
        <f>K23-G23</f>
        <v>-5065</v>
      </c>
      <c r="N23" s="539">
        <f>K23-H23</f>
        <v>-8731</v>
      </c>
      <c r="O23" s="538">
        <f t="shared" si="6"/>
        <v>-8571</v>
      </c>
      <c r="P23" s="657"/>
      <c r="Q23" s="218"/>
      <c r="R23" s="218"/>
      <c r="S23" s="218"/>
      <c r="T23" s="655"/>
    </row>
    <row r="24" spans="1:20" ht="16.5">
      <c r="A24" s="663"/>
      <c r="B24" s="531" t="s">
        <v>109</v>
      </c>
      <c r="C24" s="532">
        <f>'汇报-订单需求情况'!F21</f>
        <v>5566</v>
      </c>
      <c r="D24" s="532">
        <f>'汇报-订单需求情况'!G21</f>
        <v>9232</v>
      </c>
      <c r="E24" s="531">
        <v>160</v>
      </c>
      <c r="F24" s="534">
        <f t="shared" si="8"/>
        <v>5566</v>
      </c>
      <c r="G24" s="534">
        <f t="shared" ref="G24:G25" si="10">C24+E24</f>
        <v>5726</v>
      </c>
      <c r="H24" s="534">
        <f t="shared" si="9"/>
        <v>9392</v>
      </c>
      <c r="I24" s="535">
        <f>汇报—采购情况!C21</f>
        <v>637</v>
      </c>
      <c r="J24" s="536">
        <f>汇报—采购情况!D21+汇报—采购情况!E21</f>
        <v>0</v>
      </c>
      <c r="K24" s="537">
        <f>I24+J24</f>
        <v>637</v>
      </c>
      <c r="L24" s="538">
        <f>K24-F24</f>
        <v>-4929</v>
      </c>
      <c r="M24" s="539">
        <f>K24-G24</f>
        <v>-5089</v>
      </c>
      <c r="N24" s="539">
        <f>K24-H24</f>
        <v>-8755</v>
      </c>
      <c r="O24" s="538">
        <f t="shared" si="6"/>
        <v>-8595</v>
      </c>
      <c r="P24" s="657"/>
      <c r="Q24" s="218"/>
      <c r="R24" s="218"/>
      <c r="S24" s="218"/>
      <c r="T24" s="655"/>
    </row>
    <row r="25" spans="1:20" ht="16.5">
      <c r="A25" s="664"/>
      <c r="B25" s="531" t="s">
        <v>222</v>
      </c>
      <c r="C25" s="532">
        <f>'汇报-订单需求情况'!F19</f>
        <v>25408</v>
      </c>
      <c r="D25" s="532">
        <f>'汇报-订单需求情况'!G19</f>
        <v>40556</v>
      </c>
      <c r="E25" s="531">
        <v>3200</v>
      </c>
      <c r="F25" s="534">
        <f t="shared" si="8"/>
        <v>25408</v>
      </c>
      <c r="G25" s="534">
        <f t="shared" si="10"/>
        <v>28608</v>
      </c>
      <c r="H25" s="534">
        <f t="shared" si="9"/>
        <v>43756</v>
      </c>
      <c r="I25" s="535">
        <f>汇报—采购情况!C19</f>
        <v>3651</v>
      </c>
      <c r="J25" s="536">
        <f>汇报—采购情况!F19</f>
        <v>0</v>
      </c>
      <c r="K25" s="537">
        <f>I25+J25</f>
        <v>3651</v>
      </c>
      <c r="L25" s="538">
        <f>K25-F25</f>
        <v>-21757</v>
      </c>
      <c r="M25" s="539">
        <f>K25-G25</f>
        <v>-24957</v>
      </c>
      <c r="N25" s="539">
        <f>K25-H25</f>
        <v>-40105</v>
      </c>
      <c r="O25" s="538">
        <f t="shared" ref="O25" si="11">K25-D25</f>
        <v>-36905</v>
      </c>
      <c r="P25" s="542"/>
      <c r="Q25" s="218"/>
      <c r="R25" s="218"/>
      <c r="S25" s="218"/>
      <c r="T25" s="543"/>
    </row>
    <row r="26" spans="1:20" ht="26.25" customHeight="1">
      <c r="A26" s="661" t="s">
        <v>82</v>
      </c>
      <c r="B26" s="531" t="s">
        <v>23</v>
      </c>
      <c r="C26" s="532">
        <f>'汇报-订单需求情况'!F22</f>
        <v>243</v>
      </c>
      <c r="D26" s="532">
        <f>'汇报-订单需求情况'!G22</f>
        <v>363</v>
      </c>
      <c r="E26" s="531">
        <v>20</v>
      </c>
      <c r="F26" s="534">
        <f t="shared" si="0"/>
        <v>243</v>
      </c>
      <c r="G26" s="534">
        <f t="shared" si="1"/>
        <v>263</v>
      </c>
      <c r="H26" s="534">
        <f t="shared" si="2"/>
        <v>383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65</v>
      </c>
      <c r="M26" s="538">
        <f t="shared" si="7"/>
        <v>45</v>
      </c>
      <c r="N26" s="538">
        <f t="shared" si="5"/>
        <v>-75</v>
      </c>
      <c r="O26" s="538">
        <f t="shared" si="6"/>
        <v>-55</v>
      </c>
      <c r="P26" s="656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61"/>
      <c r="B27" s="531" t="s">
        <v>24</v>
      </c>
      <c r="C27" s="532">
        <f>'汇报-订单需求情况'!F23</f>
        <v>531</v>
      </c>
      <c r="D27" s="532">
        <f>'汇报-订单需求情况'!G23</f>
        <v>795</v>
      </c>
      <c r="E27" s="531">
        <v>44</v>
      </c>
      <c r="F27" s="534">
        <f t="shared" si="0"/>
        <v>531</v>
      </c>
      <c r="G27" s="534">
        <f t="shared" si="1"/>
        <v>575</v>
      </c>
      <c r="H27" s="534">
        <f t="shared" si="2"/>
        <v>839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55</v>
      </c>
      <c r="M27" s="538">
        <f t="shared" si="7"/>
        <v>11</v>
      </c>
      <c r="N27" s="538">
        <f t="shared" si="5"/>
        <v>-253</v>
      </c>
      <c r="O27" s="538">
        <f t="shared" si="6"/>
        <v>-209</v>
      </c>
      <c r="P27" s="656"/>
      <c r="Q27" s="218">
        <v>-43</v>
      </c>
      <c r="R27" s="218">
        <v>1</v>
      </c>
      <c r="S27" s="218">
        <v>1</v>
      </c>
    </row>
    <row r="28" spans="1:20" ht="29.25" customHeight="1">
      <c r="A28" s="661"/>
      <c r="B28" s="531" t="s">
        <v>36</v>
      </c>
      <c r="C28" s="532">
        <f>'汇报-订单需求情况'!F24</f>
        <v>3660</v>
      </c>
      <c r="D28" s="532">
        <f>'汇报-订单需求情况'!G24</f>
        <v>5490</v>
      </c>
      <c r="E28" s="531">
        <v>128</v>
      </c>
      <c r="F28" s="534">
        <f t="shared" si="0"/>
        <v>3660</v>
      </c>
      <c r="G28" s="534">
        <f t="shared" si="1"/>
        <v>3788</v>
      </c>
      <c r="H28" s="534">
        <f t="shared" si="2"/>
        <v>5618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-2189</v>
      </c>
      <c r="M28" s="539">
        <f t="shared" si="7"/>
        <v>-2317</v>
      </c>
      <c r="N28" s="539">
        <f t="shared" si="5"/>
        <v>-4147</v>
      </c>
      <c r="O28" s="538">
        <f t="shared" si="6"/>
        <v>-4019</v>
      </c>
      <c r="P28" s="656"/>
      <c r="Q28" s="218">
        <v>-122</v>
      </c>
      <c r="R28" s="218">
        <v>6</v>
      </c>
      <c r="S28" s="218">
        <v>6</v>
      </c>
    </row>
    <row r="29" spans="1:20" ht="23.25" hidden="1" customHeight="1">
      <c r="A29" s="661" t="s">
        <v>83</v>
      </c>
      <c r="B29" s="531" t="s">
        <v>23</v>
      </c>
      <c r="C29" s="532">
        <f>'汇报-订单需求情况'!F25</f>
        <v>369</v>
      </c>
      <c r="D29" s="532">
        <f>'汇报-订单需求情况'!G25</f>
        <v>605</v>
      </c>
      <c r="E29" s="531">
        <f>2*16</f>
        <v>32</v>
      </c>
      <c r="F29" s="534">
        <f t="shared" si="0"/>
        <v>369</v>
      </c>
      <c r="G29" s="534">
        <f t="shared" si="1"/>
        <v>401</v>
      </c>
      <c r="H29" s="534">
        <f t="shared" si="2"/>
        <v>637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-232</v>
      </c>
      <c r="M29" s="538">
        <f t="shared" si="7"/>
        <v>-264</v>
      </c>
      <c r="N29" s="538">
        <f t="shared" si="5"/>
        <v>-500</v>
      </c>
      <c r="O29" s="538">
        <f t="shared" si="6"/>
        <v>-468</v>
      </c>
      <c r="P29" s="657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61"/>
      <c r="B30" s="531" t="s">
        <v>24</v>
      </c>
      <c r="C30" s="532">
        <f>'汇报-订单需求情况'!F26</f>
        <v>346</v>
      </c>
      <c r="D30" s="532">
        <f>'汇报-订单需求情况'!G26</f>
        <v>706</v>
      </c>
      <c r="E30" s="531">
        <f>2*16</f>
        <v>32</v>
      </c>
      <c r="F30" s="534">
        <f t="shared" si="0"/>
        <v>346</v>
      </c>
      <c r="G30" s="534">
        <f t="shared" si="1"/>
        <v>378</v>
      </c>
      <c r="H30" s="534">
        <f t="shared" si="2"/>
        <v>738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-286</v>
      </c>
      <c r="M30" s="538">
        <f t="shared" si="7"/>
        <v>-318</v>
      </c>
      <c r="N30" s="538">
        <f t="shared" si="5"/>
        <v>-678</v>
      </c>
      <c r="O30" s="538">
        <f t="shared" si="6"/>
        <v>-646</v>
      </c>
      <c r="P30" s="657"/>
      <c r="Q30" s="218">
        <v>144</v>
      </c>
      <c r="R30" s="218">
        <v>176</v>
      </c>
      <c r="S30" s="218">
        <v>176</v>
      </c>
    </row>
    <row r="31" spans="1:20" ht="16.5" hidden="1">
      <c r="A31" s="661"/>
      <c r="B31" s="531" t="s">
        <v>36</v>
      </c>
      <c r="C31" s="532">
        <f>'汇报-订单需求情况'!F27</f>
        <v>1702</v>
      </c>
      <c r="D31" s="532">
        <f>'汇报-订单需求情况'!G27</f>
        <v>3310</v>
      </c>
      <c r="E31" s="531">
        <f>2*64</f>
        <v>128</v>
      </c>
      <c r="F31" s="534">
        <f t="shared" si="0"/>
        <v>1702</v>
      </c>
      <c r="G31" s="534">
        <f t="shared" si="1"/>
        <v>1830</v>
      </c>
      <c r="H31" s="534">
        <f t="shared" si="2"/>
        <v>3438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-1499</v>
      </c>
      <c r="M31" s="538">
        <f t="shared" si="7"/>
        <v>-1627</v>
      </c>
      <c r="N31" s="538">
        <f t="shared" si="5"/>
        <v>-3235</v>
      </c>
      <c r="O31" s="538">
        <f t="shared" si="6"/>
        <v>-3107</v>
      </c>
      <c r="P31" s="657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8836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15224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1298</v>
      </c>
      <c r="J35" s="321">
        <f>J23+J24</f>
        <v>0</v>
      </c>
    </row>
  </sheetData>
  <mergeCells count="20">
    <mergeCell ref="A26:A28"/>
    <mergeCell ref="A29:A31"/>
    <mergeCell ref="A4:A5"/>
    <mergeCell ref="B4:B5"/>
    <mergeCell ref="C4:H4"/>
    <mergeCell ref="A6:A9"/>
    <mergeCell ref="A10:A13"/>
    <mergeCell ref="A14:A18"/>
    <mergeCell ref="A19:A25"/>
    <mergeCell ref="I4:K4"/>
    <mergeCell ref="L4:N4"/>
    <mergeCell ref="P26:P28"/>
    <mergeCell ref="P29:P31"/>
    <mergeCell ref="Q4:S4"/>
    <mergeCell ref="P4:P5"/>
    <mergeCell ref="T22:T24"/>
    <mergeCell ref="P6:P9"/>
    <mergeCell ref="P10:P13"/>
    <mergeCell ref="P14:P18"/>
    <mergeCell ref="P19:P24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10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155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26</v>
      </c>
      <c r="F3" s="40">
        <v>0</v>
      </c>
      <c r="G3" s="37">
        <v>0</v>
      </c>
      <c r="H3" s="37">
        <v>0</v>
      </c>
      <c r="I3" s="37">
        <v>75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26</v>
      </c>
      <c r="R3" s="37">
        <v>0</v>
      </c>
      <c r="S3" s="37">
        <v>0</v>
      </c>
      <c r="T3" s="37">
        <v>0</v>
      </c>
      <c r="U3" s="37">
        <v>75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24">
        <f>SUM(D3:AB3)</f>
        <v>202</v>
      </c>
      <c r="AD3" s="376"/>
      <c r="AE3" s="376">
        <f>K3+L3+M3+N3+O3+P3+Q3+R3+S3</f>
        <v>26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240</v>
      </c>
      <c r="F8" s="382">
        <f t="shared" ref="F8:V8" si="0">E8+F6+F7-F2-F3-F4</f>
        <v>240</v>
      </c>
      <c r="G8" s="382">
        <f t="shared" si="0"/>
        <v>240</v>
      </c>
      <c r="H8" s="382">
        <f t="shared" si="0"/>
        <v>240</v>
      </c>
      <c r="I8" s="382">
        <f t="shared" si="0"/>
        <v>165</v>
      </c>
      <c r="J8" s="382">
        <f t="shared" si="0"/>
        <v>165</v>
      </c>
      <c r="K8" s="382">
        <f t="shared" si="0"/>
        <v>165</v>
      </c>
      <c r="L8" s="382">
        <f t="shared" si="0"/>
        <v>165</v>
      </c>
      <c r="M8" s="382">
        <f t="shared" si="0"/>
        <v>155</v>
      </c>
      <c r="N8" s="382">
        <f t="shared" si="0"/>
        <v>153</v>
      </c>
      <c r="O8" s="382">
        <f t="shared" si="0"/>
        <v>111</v>
      </c>
      <c r="P8" s="382">
        <f t="shared" si="0"/>
        <v>111</v>
      </c>
      <c r="Q8" s="382">
        <f t="shared" si="0"/>
        <v>59</v>
      </c>
      <c r="R8" s="382">
        <f t="shared" si="0"/>
        <v>59</v>
      </c>
      <c r="S8" s="382">
        <f t="shared" si="0"/>
        <v>59</v>
      </c>
      <c r="T8" s="382">
        <f t="shared" si="0"/>
        <v>59</v>
      </c>
      <c r="U8" s="382">
        <f t="shared" si="0"/>
        <v>-91</v>
      </c>
      <c r="V8" s="382">
        <f t="shared" si="0"/>
        <v>-91</v>
      </c>
      <c r="W8" s="382">
        <f t="shared" ref="W8" si="1">V8+W6+W7-W2-W3-W4</f>
        <v>-91</v>
      </c>
      <c r="X8" s="382">
        <f t="shared" ref="X8" si="2">W8+X6+X7-X2-X3-X4</f>
        <v>-91</v>
      </c>
      <c r="Y8" s="382">
        <f t="shared" ref="Y8" si="3">X8+Y6+Y7-Y2-Y3-Y4</f>
        <v>-91</v>
      </c>
      <c r="Z8" s="382">
        <f t="shared" ref="Z8" si="4">Y8+Z6+Z7-Z2-Z3-Z4</f>
        <v>-91</v>
      </c>
      <c r="AA8" s="382">
        <f t="shared" ref="AA8" si="5">Z8+AA6+AA7-AA2-AA3-AA4</f>
        <v>-91</v>
      </c>
      <c r="AB8" s="382">
        <f t="shared" ref="AB8" si="6">AA8+AB6+AB7-AB2-AB3-AB4</f>
        <v>-91</v>
      </c>
      <c r="AC8" s="71"/>
      <c r="AD8" s="382">
        <f>AB8-320</f>
        <v>-411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21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107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24">
        <f>SUM(D10:AB10)</f>
        <v>0</v>
      </c>
      <c r="AD10" s="376"/>
      <c r="AE10" s="520">
        <f>K10+L10+M10+N10+O10+P10+Q10+R10+S10</f>
        <v>0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212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212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212</v>
      </c>
      <c r="E15" s="382">
        <f t="shared" ref="E15:V15" si="7">D15+E13+E14-E9-E10-E11</f>
        <v>212</v>
      </c>
      <c r="F15" s="382">
        <f t="shared" si="7"/>
        <v>212</v>
      </c>
      <c r="G15" s="382">
        <f t="shared" si="7"/>
        <v>212</v>
      </c>
      <c r="H15" s="382">
        <f t="shared" si="7"/>
        <v>212</v>
      </c>
      <c r="I15" s="382">
        <f t="shared" si="7"/>
        <v>212</v>
      </c>
      <c r="J15" s="382">
        <f t="shared" si="7"/>
        <v>212</v>
      </c>
      <c r="K15" s="382">
        <f t="shared" si="7"/>
        <v>212</v>
      </c>
      <c r="L15" s="382">
        <f t="shared" si="7"/>
        <v>212</v>
      </c>
      <c r="M15" s="382">
        <f t="shared" si="7"/>
        <v>212</v>
      </c>
      <c r="N15" s="382">
        <f t="shared" si="7"/>
        <v>191</v>
      </c>
      <c r="O15" s="382">
        <f t="shared" si="7"/>
        <v>114</v>
      </c>
      <c r="P15" s="382">
        <f t="shared" si="7"/>
        <v>105</v>
      </c>
      <c r="Q15" s="382">
        <f t="shared" si="7"/>
        <v>105</v>
      </c>
      <c r="R15" s="382">
        <f t="shared" si="7"/>
        <v>105</v>
      </c>
      <c r="S15" s="382">
        <f t="shared" si="7"/>
        <v>105</v>
      </c>
      <c r="T15" s="382">
        <f t="shared" si="7"/>
        <v>105</v>
      </c>
      <c r="U15" s="382">
        <f t="shared" si="7"/>
        <v>105</v>
      </c>
      <c r="V15" s="382">
        <f t="shared" si="7"/>
        <v>105</v>
      </c>
      <c r="W15" s="382">
        <f t="shared" ref="W15" si="8">V15+W13+W14-W9-W10-W11</f>
        <v>105</v>
      </c>
      <c r="X15" s="382">
        <f t="shared" ref="X15" si="9">W15+X13+X14-X9-X10-X11</f>
        <v>105</v>
      </c>
      <c r="Y15" s="382">
        <f t="shared" ref="Y15" si="10">X15+Y13+Y14-Y9-Y10-Y11</f>
        <v>105</v>
      </c>
      <c r="Z15" s="382">
        <f t="shared" ref="Z15" si="11">Y15+Z13+Z14-Z9-Z10-Z11</f>
        <v>105</v>
      </c>
      <c r="AA15" s="382">
        <f t="shared" ref="AA15:AB15" si="12">Z15+AA13+AA14-AA9-AA10-AA11</f>
        <v>105</v>
      </c>
      <c r="AB15" s="382">
        <f t="shared" si="12"/>
        <v>105</v>
      </c>
      <c r="AC15" s="71"/>
      <c r="AD15" s="382">
        <f>AB15-320</f>
        <v>-215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150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150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300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335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335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335</v>
      </c>
      <c r="E22" s="382">
        <f t="shared" ref="E22:V22" si="13">D22+E20+E21-E16-E17-E18</f>
        <v>335</v>
      </c>
      <c r="F22" s="382">
        <f t="shared" si="13"/>
        <v>335</v>
      </c>
      <c r="G22" s="382">
        <f t="shared" si="13"/>
        <v>335</v>
      </c>
      <c r="H22" s="382">
        <f t="shared" si="13"/>
        <v>335</v>
      </c>
      <c r="I22" s="382">
        <f t="shared" si="13"/>
        <v>335</v>
      </c>
      <c r="J22" s="382">
        <f t="shared" si="13"/>
        <v>185</v>
      </c>
      <c r="K22" s="382">
        <f t="shared" si="13"/>
        <v>185</v>
      </c>
      <c r="L22" s="382">
        <f t="shared" si="13"/>
        <v>185</v>
      </c>
      <c r="M22" s="382">
        <f t="shared" si="13"/>
        <v>185</v>
      </c>
      <c r="N22" s="382">
        <f t="shared" si="13"/>
        <v>145</v>
      </c>
      <c r="O22" s="382">
        <f t="shared" si="13"/>
        <v>-199</v>
      </c>
      <c r="P22" s="382">
        <f t="shared" si="13"/>
        <v>-199</v>
      </c>
      <c r="Q22" s="382">
        <f t="shared" si="13"/>
        <v>-199</v>
      </c>
      <c r="R22" s="382">
        <f t="shared" si="13"/>
        <v>-199</v>
      </c>
      <c r="S22" s="382">
        <f t="shared" si="13"/>
        <v>-199</v>
      </c>
      <c r="T22" s="382">
        <f t="shared" si="13"/>
        <v>-199</v>
      </c>
      <c r="U22" s="382">
        <f t="shared" si="13"/>
        <v>-199</v>
      </c>
      <c r="V22" s="382">
        <f t="shared" si="13"/>
        <v>-649</v>
      </c>
      <c r="W22" s="382">
        <f t="shared" ref="W22" si="14">V22+W20+W21-W16-W17-W18</f>
        <v>-649</v>
      </c>
      <c r="X22" s="382">
        <f t="shared" ref="X22" si="15">W22+X20+X21-X16-X17-X18</f>
        <v>-649</v>
      </c>
      <c r="Y22" s="382">
        <f t="shared" ref="Y22" si="16">X22+Y20+Y21-Y16-Y17-Y18</f>
        <v>-649</v>
      </c>
      <c r="Z22" s="382">
        <f t="shared" ref="Z22" si="17">Y22+Z20+Z21-Z16-Z17-Z18</f>
        <v>-649</v>
      </c>
      <c r="AA22" s="382">
        <f t="shared" ref="AA22" si="18">Z22+AA20+AA21-AA16-AA17-AA18</f>
        <v>-649</v>
      </c>
      <c r="AB22" s="382">
        <f t="shared" ref="AB22" si="19">AA22+AB20+AB21-AB16-AB17-AB18</f>
        <v>-638</v>
      </c>
      <c r="AC22" s="71"/>
      <c r="AD22" s="382">
        <f>AB22-320</f>
        <v>-958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40</v>
      </c>
      <c r="O23" s="40">
        <v>68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180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0</v>
      </c>
      <c r="F24" s="37">
        <v>52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8</v>
      </c>
      <c r="N24" s="37">
        <v>8</v>
      </c>
      <c r="O24" s="37">
        <v>0</v>
      </c>
      <c r="P24" s="40">
        <v>0</v>
      </c>
      <c r="Q24" s="37">
        <v>0</v>
      </c>
      <c r="R24" s="37">
        <v>52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8</v>
      </c>
      <c r="Z24" s="37">
        <v>8</v>
      </c>
      <c r="AA24" s="37">
        <v>0</v>
      </c>
      <c r="AB24" s="37">
        <v>0</v>
      </c>
      <c r="AC24" s="24">
        <f>SUM(D24:AB24)</f>
        <v>136</v>
      </c>
      <c r="AD24" s="376"/>
      <c r="AE24" s="520">
        <f>K24+L24+M24+N24+O24+P24+Q24+R24+S24</f>
        <v>68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1403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1403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1403</v>
      </c>
      <c r="E29" s="382">
        <f t="shared" ref="E29:V29" si="20">D29+E27+E28-E23-E24-E25</f>
        <v>1403</v>
      </c>
      <c r="F29" s="382">
        <f t="shared" si="20"/>
        <v>1351</v>
      </c>
      <c r="G29" s="382">
        <f t="shared" si="20"/>
        <v>1351</v>
      </c>
      <c r="H29" s="382">
        <f t="shared" si="20"/>
        <v>1351</v>
      </c>
      <c r="I29" s="382">
        <f t="shared" si="20"/>
        <v>1351</v>
      </c>
      <c r="J29" s="382">
        <f t="shared" si="20"/>
        <v>1351</v>
      </c>
      <c r="K29" s="382">
        <f t="shared" si="20"/>
        <v>1351</v>
      </c>
      <c r="L29" s="382">
        <f t="shared" si="20"/>
        <v>1351</v>
      </c>
      <c r="M29" s="382">
        <f t="shared" si="20"/>
        <v>1343</v>
      </c>
      <c r="N29" s="382">
        <f t="shared" si="20"/>
        <v>1295</v>
      </c>
      <c r="O29" s="382">
        <f t="shared" si="20"/>
        <v>1227</v>
      </c>
      <c r="P29" s="382">
        <f t="shared" si="20"/>
        <v>1223</v>
      </c>
      <c r="Q29" s="382">
        <f t="shared" si="20"/>
        <v>1223</v>
      </c>
      <c r="R29" s="382">
        <f t="shared" si="20"/>
        <v>1119</v>
      </c>
      <c r="S29" s="382">
        <f t="shared" si="20"/>
        <v>1119</v>
      </c>
      <c r="T29" s="382">
        <f t="shared" si="20"/>
        <v>1119</v>
      </c>
      <c r="U29" s="382">
        <f t="shared" si="20"/>
        <v>1119</v>
      </c>
      <c r="V29" s="382">
        <f t="shared" si="20"/>
        <v>1119</v>
      </c>
      <c r="W29" s="382">
        <f t="shared" ref="W29" si="21">V29+W27+W28-W23-W24-W25</f>
        <v>1119</v>
      </c>
      <c r="X29" s="382">
        <f t="shared" ref="X29" si="22">W29+X27+X28-X23-X24-X25</f>
        <v>1119</v>
      </c>
      <c r="Y29" s="382">
        <f t="shared" ref="Y29" si="23">X29+Y27+Y28-Y23-Y24-Y25</f>
        <v>1103</v>
      </c>
      <c r="Z29" s="382">
        <f t="shared" ref="Z29" si="24">Y29+Z27+Z28-Z23-Z24-Z25</f>
        <v>1087</v>
      </c>
      <c r="AA29" s="382">
        <f t="shared" ref="AA29" si="25">Z29+AA27+AA28-AA23-AA24-AA25</f>
        <v>1087</v>
      </c>
      <c r="AB29" s="382">
        <f t="shared" ref="AB29" si="26">AA29+AB27+AB28-AB23-AB24-AB25</f>
        <v>1087</v>
      </c>
      <c r="AC29" s="71"/>
      <c r="AD29" s="382">
        <f>AB29-320</f>
        <v>767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16</v>
      </c>
      <c r="O2" s="21">
        <v>0</v>
      </c>
      <c r="P2" s="21">
        <v>0</v>
      </c>
      <c r="Q2" s="9">
        <v>4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4</v>
      </c>
      <c r="F3" s="9">
        <v>46</v>
      </c>
      <c r="G3" s="9">
        <v>16</v>
      </c>
      <c r="H3" s="9">
        <v>2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4</v>
      </c>
      <c r="R3" s="9">
        <v>46</v>
      </c>
      <c r="S3" s="9">
        <v>16</v>
      </c>
      <c r="T3" s="9">
        <v>2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24">
        <f>SUM(D3:AB3)</f>
        <v>136</v>
      </c>
      <c r="AD3" s="44"/>
      <c r="AE3" s="44">
        <f>K3+L3+M3+N3+O3+P3+Q3+R3+S3</f>
        <v>66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58</v>
      </c>
      <c r="F8" s="370">
        <f t="shared" ref="F8:V8" si="0">E8+F6+F7-F2-F3-F4</f>
        <v>12</v>
      </c>
      <c r="G8" s="370">
        <f t="shared" si="0"/>
        <v>-4</v>
      </c>
      <c r="H8" s="370">
        <f t="shared" si="0"/>
        <v>-6</v>
      </c>
      <c r="I8" s="370">
        <f t="shared" si="0"/>
        <v>-6</v>
      </c>
      <c r="J8" s="370">
        <f t="shared" si="0"/>
        <v>-6</v>
      </c>
      <c r="K8" s="370">
        <f t="shared" si="0"/>
        <v>-6</v>
      </c>
      <c r="L8" s="412">
        <f t="shared" si="0"/>
        <v>-11</v>
      </c>
      <c r="M8" s="412">
        <f t="shared" si="0"/>
        <v>-27</v>
      </c>
      <c r="N8" s="412">
        <f t="shared" si="0"/>
        <v>-43</v>
      </c>
      <c r="O8" s="370">
        <f t="shared" si="0"/>
        <v>-43</v>
      </c>
      <c r="P8" s="370">
        <f t="shared" si="0"/>
        <v>-43</v>
      </c>
      <c r="Q8" s="370">
        <f t="shared" si="0"/>
        <v>-51</v>
      </c>
      <c r="R8" s="370">
        <f t="shared" si="0"/>
        <v>-143</v>
      </c>
      <c r="S8" s="370">
        <f t="shared" si="0"/>
        <v>-175</v>
      </c>
      <c r="T8" s="370">
        <f t="shared" si="0"/>
        <v>-179</v>
      </c>
      <c r="U8" s="370">
        <f>T8+U6+U7-U2-U3-U4</f>
        <v>-179</v>
      </c>
      <c r="V8" s="370">
        <f t="shared" si="0"/>
        <v>-179</v>
      </c>
      <c r="W8" s="416">
        <f t="shared" ref="W8" si="1">V8+W6+W7-W2-W3-W4</f>
        <v>-179</v>
      </c>
      <c r="X8" s="416">
        <f t="shared" ref="X8" si="2">W8+X6+X7-X2-X3-X4</f>
        <v>-179</v>
      </c>
      <c r="Y8" s="416">
        <f t="shared" ref="Y8" si="3">X8+Y6+Y7-Y2-Y3-Y4</f>
        <v>-179</v>
      </c>
      <c r="Z8" s="416">
        <f t="shared" ref="Z8" si="4">Y8+Z6+Z7-Z2-Z3-Z4</f>
        <v>-179</v>
      </c>
      <c r="AA8" s="416">
        <f t="shared" ref="AA8" si="5">Z8+AA6+AA7-AA2-AA3-AA4</f>
        <v>-179</v>
      </c>
      <c r="AB8" s="416">
        <f t="shared" ref="AB8" si="6">AA8+AB6+AB7-AB2-AB3-AB4</f>
        <v>-179</v>
      </c>
      <c r="AC8" s="24"/>
      <c r="AD8" s="46">
        <f>AB8-0</f>
        <v>-179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1</v>
      </c>
      <c r="G10" s="367">
        <v>25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0</v>
      </c>
      <c r="R10" s="370">
        <v>1</v>
      </c>
      <c r="S10" s="370">
        <v>25</v>
      </c>
      <c r="T10" s="370">
        <v>0</v>
      </c>
      <c r="U10" s="370">
        <v>0</v>
      </c>
      <c r="V10" s="370">
        <v>0</v>
      </c>
      <c r="W10" s="416">
        <v>0</v>
      </c>
      <c r="X10" s="416">
        <v>0</v>
      </c>
      <c r="Y10" s="416">
        <v>0</v>
      </c>
      <c r="Z10" s="416">
        <v>0</v>
      </c>
      <c r="AA10" s="416">
        <v>0</v>
      </c>
      <c r="AB10" s="416">
        <v>0</v>
      </c>
      <c r="AC10" s="24">
        <f>SUM(D10:AB10)</f>
        <v>52</v>
      </c>
      <c r="AD10" s="44"/>
      <c r="AE10" s="44">
        <f>K10+L10+M10+N10+O10+P10+Q10+R10+S10</f>
        <v>26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45</v>
      </c>
      <c r="G15" s="370">
        <f t="shared" si="7"/>
        <v>20</v>
      </c>
      <c r="H15" s="370">
        <f t="shared" si="7"/>
        <v>20</v>
      </c>
      <c r="I15" s="370">
        <f t="shared" si="7"/>
        <v>20</v>
      </c>
      <c r="J15" s="370">
        <f t="shared" si="7"/>
        <v>20</v>
      </c>
      <c r="K15" s="370">
        <f t="shared" si="7"/>
        <v>20</v>
      </c>
      <c r="L15" s="370">
        <f t="shared" si="7"/>
        <v>20</v>
      </c>
      <c r="M15" s="370">
        <f t="shared" si="7"/>
        <v>18</v>
      </c>
      <c r="N15" s="370">
        <f t="shared" si="7"/>
        <v>17</v>
      </c>
      <c r="O15" s="370">
        <f t="shared" si="7"/>
        <v>17</v>
      </c>
      <c r="P15" s="370">
        <f t="shared" si="7"/>
        <v>17</v>
      </c>
      <c r="Q15" s="370">
        <f t="shared" si="7"/>
        <v>17</v>
      </c>
      <c r="R15" s="370">
        <f t="shared" si="7"/>
        <v>15</v>
      </c>
      <c r="S15" s="370">
        <f t="shared" si="7"/>
        <v>-35</v>
      </c>
      <c r="T15" s="370">
        <f t="shared" si="7"/>
        <v>-35</v>
      </c>
      <c r="U15" s="370">
        <f>T15+U13+U14-U9-U10-U11</f>
        <v>-35</v>
      </c>
      <c r="V15" s="370">
        <f t="shared" si="7"/>
        <v>-35</v>
      </c>
      <c r="W15" s="416">
        <f t="shared" ref="W15" si="8">V15+W13+W14-W9-W10-W11</f>
        <v>-35</v>
      </c>
      <c r="X15" s="416">
        <f t="shared" ref="X15" si="9">W15+X13+X14-X9-X10-X11</f>
        <v>-35</v>
      </c>
      <c r="Y15" s="416">
        <f t="shared" ref="Y15" si="10">X15+Y13+Y14-Y9-Y10-Y11</f>
        <v>-35</v>
      </c>
      <c r="Z15" s="416">
        <f t="shared" ref="Z15" si="11">Y15+Z13+Z14-Z9-Z10-Z11</f>
        <v>-35</v>
      </c>
      <c r="AA15" s="416">
        <f t="shared" ref="AA15" si="12">Z15+AA13+AA14-AA9-AA10-AA11</f>
        <v>-35</v>
      </c>
      <c r="AB15" s="416">
        <f t="shared" ref="AB15" si="13">AA15+AB13+AB14-AB9-AB10-AB11</f>
        <v>-35</v>
      </c>
      <c r="AC15" s="24"/>
      <c r="AD15" s="46">
        <f>AB15-0</f>
        <v>-35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32</v>
      </c>
      <c r="P16" s="21">
        <v>0</v>
      </c>
      <c r="Q16" s="9">
        <v>0</v>
      </c>
      <c r="R16" s="9">
        <v>9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9</v>
      </c>
      <c r="G17" s="367">
        <v>108</v>
      </c>
      <c r="H17" s="367">
        <v>16</v>
      </c>
      <c r="I17" s="367">
        <v>4</v>
      </c>
      <c r="J17" s="367">
        <v>0</v>
      </c>
      <c r="K17" s="367">
        <v>2</v>
      </c>
      <c r="L17" s="9">
        <v>0</v>
      </c>
      <c r="M17" s="9">
        <v>2</v>
      </c>
      <c r="N17" s="9">
        <v>0</v>
      </c>
      <c r="O17" s="9">
        <v>0</v>
      </c>
      <c r="P17" s="21">
        <v>0</v>
      </c>
      <c r="Q17" s="9">
        <v>0</v>
      </c>
      <c r="R17" s="9">
        <v>9</v>
      </c>
      <c r="S17" s="9">
        <v>108</v>
      </c>
      <c r="T17" s="9">
        <v>16</v>
      </c>
      <c r="U17" s="9">
        <v>4</v>
      </c>
      <c r="V17" s="9">
        <v>0</v>
      </c>
      <c r="W17" s="9">
        <v>2</v>
      </c>
      <c r="X17" s="9">
        <v>0</v>
      </c>
      <c r="Y17" s="9">
        <v>2</v>
      </c>
      <c r="Z17" s="9">
        <v>0</v>
      </c>
      <c r="AA17" s="9">
        <v>0</v>
      </c>
      <c r="AB17" s="9">
        <v>0</v>
      </c>
      <c r="AC17" s="24">
        <f>SUM(D17:AB17)</f>
        <v>282</v>
      </c>
      <c r="AD17" s="44"/>
      <c r="AE17" s="44">
        <f>K17+L17+M17+N17+O17+P17+Q17+R17+S17</f>
        <v>121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188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188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188</v>
      </c>
      <c r="E22" s="370">
        <f t="shared" ref="E22:V22" si="14">D22+E20+E21-E16-E17-E18</f>
        <v>188</v>
      </c>
      <c r="F22" s="370">
        <f t="shared" si="14"/>
        <v>179</v>
      </c>
      <c r="G22" s="370">
        <f t="shared" si="14"/>
        <v>71</v>
      </c>
      <c r="H22" s="370">
        <f t="shared" si="14"/>
        <v>55</v>
      </c>
      <c r="I22" s="411">
        <f t="shared" si="14"/>
        <v>51</v>
      </c>
      <c r="J22" s="411">
        <f t="shared" si="14"/>
        <v>51</v>
      </c>
      <c r="K22" s="411">
        <f t="shared" si="14"/>
        <v>49</v>
      </c>
      <c r="L22" s="411">
        <f t="shared" si="14"/>
        <v>49</v>
      </c>
      <c r="M22" s="411">
        <f t="shared" si="14"/>
        <v>37</v>
      </c>
      <c r="N22" s="411">
        <f t="shared" si="14"/>
        <v>5</v>
      </c>
      <c r="O22" s="411">
        <f t="shared" si="14"/>
        <v>-27</v>
      </c>
      <c r="P22" s="411">
        <f t="shared" si="14"/>
        <v>-27</v>
      </c>
      <c r="Q22" s="411">
        <f t="shared" si="14"/>
        <v>-27</v>
      </c>
      <c r="R22" s="411">
        <f t="shared" si="14"/>
        <v>-45</v>
      </c>
      <c r="S22" s="411">
        <f t="shared" si="14"/>
        <v>-261</v>
      </c>
      <c r="T22" s="411">
        <f t="shared" si="14"/>
        <v>-293</v>
      </c>
      <c r="U22" s="411">
        <f>T22+U20+U21-U16-U17-U18</f>
        <v>-301</v>
      </c>
      <c r="V22" s="411">
        <f t="shared" si="14"/>
        <v>-301</v>
      </c>
      <c r="W22" s="416">
        <f t="shared" ref="W22" si="15">V22+W20+W21-W16-W17-W18</f>
        <v>-305</v>
      </c>
      <c r="X22" s="416">
        <f t="shared" ref="X22" si="16">W22+X20+X21-X16-X17-X18</f>
        <v>-305</v>
      </c>
      <c r="Y22" s="416">
        <f t="shared" ref="Y22" si="17">X22+Y20+Y21-Y16-Y17-Y18</f>
        <v>-309</v>
      </c>
      <c r="Z22" s="416">
        <f t="shared" ref="Z22" si="18">Y22+Z20+Z21-Z16-Z17-Z18</f>
        <v>-309</v>
      </c>
      <c r="AA22" s="416">
        <f t="shared" ref="AA22" si="19">Z22+AA20+AA21-AA16-AA17-AA18</f>
        <v>-309</v>
      </c>
      <c r="AB22" s="416">
        <f t="shared" ref="AB22" si="20">AA22+AB20+AB21-AB16-AB17-AB18</f>
        <v>-309</v>
      </c>
      <c r="AC22" s="24"/>
      <c r="AD22" s="46">
        <f>AB22-0</f>
        <v>-309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50</v>
      </c>
      <c r="H24" s="9">
        <v>0</v>
      </c>
      <c r="I24" s="9">
        <v>0</v>
      </c>
      <c r="J24" s="9">
        <v>0</v>
      </c>
      <c r="K24" s="9">
        <v>2</v>
      </c>
      <c r="L24" s="9">
        <v>0</v>
      </c>
      <c r="M24" s="9">
        <v>2</v>
      </c>
      <c r="N24" s="9">
        <v>0</v>
      </c>
      <c r="O24" s="9">
        <v>0</v>
      </c>
      <c r="P24" s="21">
        <v>0</v>
      </c>
      <c r="Q24" s="9">
        <v>0</v>
      </c>
      <c r="R24" s="9">
        <v>0</v>
      </c>
      <c r="S24" s="9">
        <v>50</v>
      </c>
      <c r="T24" s="9">
        <v>0</v>
      </c>
      <c r="U24" s="9">
        <v>0</v>
      </c>
      <c r="V24" s="9">
        <v>0</v>
      </c>
      <c r="W24" s="9">
        <v>2</v>
      </c>
      <c r="X24" s="9">
        <v>0</v>
      </c>
      <c r="Y24" s="9">
        <v>2</v>
      </c>
      <c r="Z24" s="9">
        <v>0</v>
      </c>
      <c r="AA24" s="9">
        <v>0</v>
      </c>
      <c r="AB24" s="9">
        <v>0</v>
      </c>
      <c r="AC24" s="24">
        <f>SUM(D24:AB24)</f>
        <v>108</v>
      </c>
      <c r="AD24" s="44"/>
      <c r="AE24" s="44">
        <f>K24+L24+M24+N24+O24+P24+Q24+R24+S24</f>
        <v>54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197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197</v>
      </c>
      <c r="E29" s="370">
        <f t="shared" ref="E29:V29" si="21">D29+E27+E28-E23-E24-E25</f>
        <v>197</v>
      </c>
      <c r="F29" s="370">
        <f t="shared" si="21"/>
        <v>197</v>
      </c>
      <c r="G29" s="370">
        <f t="shared" si="21"/>
        <v>147</v>
      </c>
      <c r="H29" s="370">
        <f t="shared" si="21"/>
        <v>147</v>
      </c>
      <c r="I29" s="370">
        <f t="shared" si="21"/>
        <v>147</v>
      </c>
      <c r="J29" s="370">
        <f t="shared" si="21"/>
        <v>147</v>
      </c>
      <c r="K29" s="370">
        <f t="shared" si="21"/>
        <v>145</v>
      </c>
      <c r="L29" s="370">
        <f t="shared" si="21"/>
        <v>145</v>
      </c>
      <c r="M29" s="370">
        <f t="shared" si="21"/>
        <v>139</v>
      </c>
      <c r="N29" s="370">
        <f t="shared" si="21"/>
        <v>137</v>
      </c>
      <c r="O29" s="370">
        <f t="shared" si="21"/>
        <v>137</v>
      </c>
      <c r="P29" s="370">
        <f t="shared" si="21"/>
        <v>137</v>
      </c>
      <c r="Q29" s="370">
        <f t="shared" si="21"/>
        <v>137</v>
      </c>
      <c r="R29" s="370">
        <f t="shared" si="21"/>
        <v>137</v>
      </c>
      <c r="S29" s="370">
        <f t="shared" si="21"/>
        <v>37</v>
      </c>
      <c r="T29" s="370">
        <f t="shared" si="21"/>
        <v>37</v>
      </c>
      <c r="U29" s="370">
        <f>T29+U27+U28-U23-U24-U25</f>
        <v>37</v>
      </c>
      <c r="V29" s="370">
        <f t="shared" si="21"/>
        <v>37</v>
      </c>
      <c r="W29" s="416">
        <f t="shared" ref="W29" si="22">V29+W27+W28-W23-W24-W25</f>
        <v>33</v>
      </c>
      <c r="X29" s="416">
        <f t="shared" ref="X29:Y29" si="23">W29+X27+X28-X23-X24-X25</f>
        <v>33</v>
      </c>
      <c r="Y29" s="416">
        <f t="shared" si="23"/>
        <v>29</v>
      </c>
      <c r="Z29" s="416">
        <f t="shared" ref="Z29" si="24">Y29+Z27+Z28-Z23-Z24-Z25</f>
        <v>29</v>
      </c>
      <c r="AA29" s="416">
        <f t="shared" ref="AA29" si="25">Z29+AA27+AA28-AA23-AA24-AA25</f>
        <v>29</v>
      </c>
      <c r="AB29" s="416">
        <f t="shared" ref="AB29" si="26">AA29+AB27+AB28-AB23-AB24-AB25</f>
        <v>29</v>
      </c>
      <c r="AC29" s="24"/>
      <c r="AD29" s="46">
        <f>AB29-0</f>
        <v>29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232</v>
      </c>
      <c r="N2" s="40">
        <v>944</v>
      </c>
      <c r="O2" s="40">
        <v>832</v>
      </c>
      <c r="P2" s="40">
        <v>848</v>
      </c>
      <c r="Q2" s="40">
        <v>1016</v>
      </c>
      <c r="R2" s="40">
        <v>84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4922</v>
      </c>
      <c r="AE2" s="44"/>
      <c r="AF2" s="44"/>
    </row>
    <row r="3" spans="1:32">
      <c r="A3" s="666"/>
      <c r="B3" s="558"/>
      <c r="C3" s="11" t="s">
        <v>47</v>
      </c>
      <c r="D3" s="37"/>
      <c r="E3" s="42">
        <v>127</v>
      </c>
      <c r="F3" s="37">
        <v>20</v>
      </c>
      <c r="G3" s="37">
        <v>25</v>
      </c>
      <c r="H3" s="37">
        <v>19</v>
      </c>
      <c r="I3" s="37">
        <v>54</v>
      </c>
      <c r="J3" s="40">
        <v>48</v>
      </c>
      <c r="K3" s="40">
        <v>18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127</v>
      </c>
      <c r="R3" s="40">
        <v>20</v>
      </c>
      <c r="S3" s="40">
        <v>25</v>
      </c>
      <c r="T3" s="40">
        <v>19</v>
      </c>
      <c r="U3" s="40">
        <v>54</v>
      </c>
      <c r="V3" s="40">
        <v>48</v>
      </c>
      <c r="W3" s="40">
        <v>18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450</v>
      </c>
      <c r="AE3" s="44"/>
      <c r="AF3" s="44">
        <f>K3+L3+M3+N3+O3+P3+Q3+R3+S3</f>
        <v>190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414</v>
      </c>
      <c r="F7" s="207">
        <f t="shared" ref="F7:O7" si="1">E7+F5+F6-F2-F3</f>
        <v>394</v>
      </c>
      <c r="G7" s="207">
        <f t="shared" si="1"/>
        <v>369</v>
      </c>
      <c r="H7" s="207">
        <f t="shared" si="1"/>
        <v>350</v>
      </c>
      <c r="I7" s="207">
        <f t="shared" si="1"/>
        <v>296</v>
      </c>
      <c r="J7" s="207">
        <f t="shared" si="1"/>
        <v>248</v>
      </c>
      <c r="K7" s="207">
        <f t="shared" si="1"/>
        <v>230</v>
      </c>
      <c r="L7" s="207">
        <f t="shared" si="1"/>
        <v>198</v>
      </c>
      <c r="M7" s="207">
        <f t="shared" si="1"/>
        <v>-34</v>
      </c>
      <c r="N7" s="207">
        <f t="shared" si="1"/>
        <v>-978</v>
      </c>
      <c r="O7" s="207">
        <f t="shared" si="1"/>
        <v>-1810</v>
      </c>
      <c r="P7" s="19">
        <f>O7+P5+P6-P2-P3</f>
        <v>-2658</v>
      </c>
      <c r="Q7" s="370">
        <f t="shared" ref="Q7:V7" si="2">P7+Q5+Q6-Q2-Q3</f>
        <v>-3801</v>
      </c>
      <c r="R7" s="19">
        <f t="shared" si="2"/>
        <v>-3905</v>
      </c>
      <c r="S7" s="370">
        <f t="shared" si="2"/>
        <v>-4130</v>
      </c>
      <c r="T7" s="19">
        <f t="shared" si="2"/>
        <v>-4301</v>
      </c>
      <c r="U7" s="370">
        <f t="shared" si="2"/>
        <v>-4409</v>
      </c>
      <c r="V7" s="19">
        <f t="shared" si="2"/>
        <v>-4841</v>
      </c>
      <c r="W7" s="19">
        <f t="shared" ref="W7" si="3">V7+W5+W6-W2-W3</f>
        <v>-5003</v>
      </c>
      <c r="X7" s="525">
        <f t="shared" ref="X7" si="4">W7+X5+X6-X2-X3</f>
        <v>-5003</v>
      </c>
      <c r="Y7" s="19">
        <f t="shared" ref="Y7" si="5">X7+Y5+Y6-Y2-Y3</f>
        <v>-5003</v>
      </c>
      <c r="Z7" s="19">
        <f t="shared" ref="Z7" si="6">Y7+Z5+Z6-Z2-Z3</f>
        <v>-5003</v>
      </c>
      <c r="AA7" s="525">
        <f t="shared" ref="AA7" si="7">Z7+AA5+AA6-AA2-AA3</f>
        <v>-5003</v>
      </c>
      <c r="AB7" s="546">
        <f t="shared" ref="AB7" si="8">AA7+AB5+AB6-AB2-AB3</f>
        <v>-5003</v>
      </c>
      <c r="AC7" s="546"/>
      <c r="AD7" s="24"/>
      <c r="AE7" s="46">
        <f>AB7-80</f>
        <v>-5083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94</v>
      </c>
      <c r="P8" s="40">
        <v>20</v>
      </c>
      <c r="Q8" s="40">
        <v>0</v>
      </c>
      <c r="R8" s="40">
        <v>36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0</v>
      </c>
      <c r="F9" s="37">
        <v>20</v>
      </c>
      <c r="G9" s="37">
        <v>0</v>
      </c>
      <c r="H9" s="37">
        <v>3</v>
      </c>
      <c r="I9" s="37">
        <v>0</v>
      </c>
      <c r="J9" s="40">
        <v>32</v>
      </c>
      <c r="K9" s="40">
        <v>16</v>
      </c>
      <c r="L9" s="40">
        <v>5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20</v>
      </c>
      <c r="S9" s="40">
        <v>0</v>
      </c>
      <c r="T9" s="40">
        <v>3</v>
      </c>
      <c r="U9" s="40">
        <v>0</v>
      </c>
      <c r="V9" s="40">
        <v>32</v>
      </c>
      <c r="W9" s="40">
        <v>16</v>
      </c>
      <c r="X9" s="40">
        <v>5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132</v>
      </c>
      <c r="AE9" s="44"/>
      <c r="AF9" s="44">
        <f>K9+L9+M9+N9+O9+P9+Q9+R9+S9</f>
        <v>41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953</v>
      </c>
      <c r="F13" s="207">
        <f t="shared" ref="F13:P13" si="9">E13+F11+F12-F8-F9</f>
        <v>933</v>
      </c>
      <c r="G13" s="207">
        <f t="shared" si="9"/>
        <v>933</v>
      </c>
      <c r="H13" s="207">
        <f t="shared" si="9"/>
        <v>930</v>
      </c>
      <c r="I13" s="207">
        <f t="shared" si="9"/>
        <v>930</v>
      </c>
      <c r="J13" s="207">
        <f t="shared" si="9"/>
        <v>898</v>
      </c>
      <c r="K13" s="207">
        <f t="shared" si="9"/>
        <v>882</v>
      </c>
      <c r="L13" s="207">
        <f t="shared" si="9"/>
        <v>877</v>
      </c>
      <c r="M13" s="207">
        <f t="shared" si="9"/>
        <v>877</v>
      </c>
      <c r="N13" s="207">
        <f t="shared" si="9"/>
        <v>743</v>
      </c>
      <c r="O13" s="207">
        <f t="shared" si="9"/>
        <v>649</v>
      </c>
      <c r="P13" s="19">
        <f t="shared" si="9"/>
        <v>629</v>
      </c>
      <c r="Q13" s="19">
        <f t="shared" ref="Q13:U13" si="10">P13+Q11+Q12-Q8-Q9</f>
        <v>629</v>
      </c>
      <c r="R13" s="19">
        <f t="shared" si="10"/>
        <v>573</v>
      </c>
      <c r="S13" s="19">
        <f t="shared" si="10"/>
        <v>573</v>
      </c>
      <c r="T13" s="19">
        <f t="shared" si="10"/>
        <v>564</v>
      </c>
      <c r="U13" s="19">
        <f t="shared" si="10"/>
        <v>564</v>
      </c>
      <c r="V13" s="19">
        <f t="shared" ref="V13" si="11">U13+V11+V12-V8-V9</f>
        <v>500</v>
      </c>
      <c r="W13" s="19">
        <f t="shared" ref="W13" si="12">V13+W11+W12-W8-W9</f>
        <v>468</v>
      </c>
      <c r="X13" s="19">
        <f t="shared" ref="X13" si="13">W13+X11+X12-X8-X9</f>
        <v>453</v>
      </c>
      <c r="Y13" s="19">
        <f t="shared" ref="Y13" si="14">X13+Y11+Y12-Y8-Y9</f>
        <v>453</v>
      </c>
      <c r="Z13" s="19">
        <f t="shared" ref="Z13" si="15">Y13+Z11+Z12-Z8-Z9</f>
        <v>453</v>
      </c>
      <c r="AA13" s="19">
        <f t="shared" ref="AA13" si="16">Z13+AA11+AA12-AA8-AA9</f>
        <v>453</v>
      </c>
      <c r="AB13" s="546">
        <f t="shared" ref="AB13" si="17">AA13+AB11+AB12-AB8-AB9</f>
        <v>453</v>
      </c>
      <c r="AC13" s="546"/>
      <c r="AD13" s="24"/>
      <c r="AE13" s="46">
        <f>AB13-80</f>
        <v>373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4092</v>
      </c>
      <c r="O14" s="40">
        <v>2112</v>
      </c>
      <c r="P14" s="40">
        <v>1996</v>
      </c>
      <c r="Q14" s="40">
        <v>2068</v>
      </c>
      <c r="R14" s="40">
        <v>1960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28288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517</v>
      </c>
      <c r="F15" s="37">
        <v>490</v>
      </c>
      <c r="G15" s="37">
        <v>786</v>
      </c>
      <c r="H15" s="37">
        <v>940</v>
      </c>
      <c r="I15" s="37">
        <v>454</v>
      </c>
      <c r="J15" s="40">
        <v>512</v>
      </c>
      <c r="K15" s="40">
        <v>304</v>
      </c>
      <c r="L15" s="40">
        <v>340</v>
      </c>
      <c r="M15" s="40">
        <v>160</v>
      </c>
      <c r="N15" s="40">
        <v>64</v>
      </c>
      <c r="O15" s="40">
        <v>192</v>
      </c>
      <c r="P15" s="40">
        <v>192</v>
      </c>
      <c r="Q15" s="40">
        <v>517</v>
      </c>
      <c r="R15" s="40">
        <v>490</v>
      </c>
      <c r="S15" s="40">
        <v>786</v>
      </c>
      <c r="T15" s="40">
        <v>940</v>
      </c>
      <c r="U15" s="40">
        <v>454</v>
      </c>
      <c r="V15" s="40">
        <v>512</v>
      </c>
      <c r="W15" s="40">
        <v>304</v>
      </c>
      <c r="X15" s="40">
        <v>340</v>
      </c>
      <c r="Y15" s="40">
        <v>160</v>
      </c>
      <c r="Z15" s="40">
        <v>64</v>
      </c>
      <c r="AA15" s="40">
        <v>192</v>
      </c>
      <c r="AB15" s="37">
        <v>192</v>
      </c>
      <c r="AC15" s="37"/>
      <c r="AD15" s="24">
        <f t="shared" si="0"/>
        <v>8109</v>
      </c>
      <c r="AE15" s="44"/>
      <c r="AF15" s="44">
        <f>K15+L15+M15+N15+O15+P15+Q15+R15+S15</f>
        <v>3045</v>
      </c>
    </row>
    <row r="16" spans="1:32">
      <c r="A16" s="666"/>
      <c r="B16" s="558"/>
      <c r="C16" s="39" t="s">
        <v>49</v>
      </c>
      <c r="D16" s="9">
        <v>2138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9260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2138</v>
      </c>
      <c r="E19" s="211">
        <f>D19+E17+E18-E14-E15</f>
        <v>1621</v>
      </c>
      <c r="F19" s="211">
        <f t="shared" ref="F19:P19" si="18">E19+F17+F18-F14-F15</f>
        <v>1131</v>
      </c>
      <c r="G19" s="211">
        <f t="shared" si="18"/>
        <v>345</v>
      </c>
      <c r="H19" s="211">
        <f t="shared" si="18"/>
        <v>-595</v>
      </c>
      <c r="I19" s="211">
        <f t="shared" si="18"/>
        <v>-1049</v>
      </c>
      <c r="J19" s="211">
        <f t="shared" si="18"/>
        <v>-1561</v>
      </c>
      <c r="K19" s="211">
        <f t="shared" si="18"/>
        <v>-1865</v>
      </c>
      <c r="L19" s="211">
        <f t="shared" si="18"/>
        <v>-2205</v>
      </c>
      <c r="M19" s="211">
        <f t="shared" si="18"/>
        <v>-2665</v>
      </c>
      <c r="N19" s="211">
        <f t="shared" si="18"/>
        <v>-6821</v>
      </c>
      <c r="O19" s="211">
        <f t="shared" si="18"/>
        <v>-9125</v>
      </c>
      <c r="P19" s="19">
        <f t="shared" si="18"/>
        <v>-11313</v>
      </c>
      <c r="Q19" s="19">
        <f t="shared" ref="Q19:V19" si="19">P19+Q17+Q18-Q14-Q15</f>
        <v>-13898</v>
      </c>
      <c r="R19" s="19">
        <f t="shared" si="19"/>
        <v>-16348</v>
      </c>
      <c r="S19" s="19">
        <f t="shared" si="19"/>
        <v>-20278</v>
      </c>
      <c r="T19" s="19">
        <f t="shared" si="19"/>
        <v>-24978</v>
      </c>
      <c r="U19" s="19">
        <f t="shared" si="19"/>
        <v>-27248</v>
      </c>
      <c r="V19" s="19">
        <f t="shared" si="19"/>
        <v>-29808</v>
      </c>
      <c r="W19" s="19">
        <f t="shared" ref="W19" si="20">V19+W17+W18-W14-W15</f>
        <v>-31328</v>
      </c>
      <c r="X19" s="19">
        <f t="shared" ref="X19" si="21">W19+X17+X18-X14-X15</f>
        <v>-33012</v>
      </c>
      <c r="Y19" s="19">
        <f t="shared" ref="Y19" si="22">X19+Y17+Y18-Y14-Y15</f>
        <v>-33812</v>
      </c>
      <c r="Z19" s="19">
        <f t="shared" ref="Z19" si="23">Y19+Z17+Z18-Z14-Z15</f>
        <v>-34132</v>
      </c>
      <c r="AA19" s="19">
        <f t="shared" ref="AA19" si="24">Z19+AA17+AA18-AA14-AA15</f>
        <v>-35092</v>
      </c>
      <c r="AB19" s="546">
        <f t="shared" ref="AB19" si="25">AA19+AB17+AB18-AB14-AB15</f>
        <v>-36052</v>
      </c>
      <c r="AC19" s="546"/>
      <c r="AD19" s="24"/>
      <c r="AE19" s="46">
        <f>AB19-80</f>
        <v>-36132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0</v>
      </c>
      <c r="P20" s="41">
        <v>0</v>
      </c>
      <c r="Q20" s="41">
        <v>0</v>
      </c>
      <c r="R20" s="41">
        <v>8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8</v>
      </c>
      <c r="G21" s="37">
        <v>0</v>
      </c>
      <c r="H21" s="37">
        <v>0</v>
      </c>
      <c r="I21" s="37">
        <v>20</v>
      </c>
      <c r="J21" s="40">
        <v>0</v>
      </c>
      <c r="K21" s="40">
        <v>108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8</v>
      </c>
      <c r="S21" s="40">
        <v>0</v>
      </c>
      <c r="T21" s="40">
        <v>0</v>
      </c>
      <c r="U21" s="40">
        <v>20</v>
      </c>
      <c r="V21" s="40">
        <v>0</v>
      </c>
      <c r="W21" s="40">
        <v>108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264</v>
      </c>
      <c r="AE21" s="44"/>
      <c r="AF21" s="44">
        <f>K21+L21+M21+N21+O21+P21+Q21+R21+S21</f>
        <v>116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179</v>
      </c>
      <c r="G25" s="589">
        <f t="shared" ref="G25" si="27">F25+G23+G24-G20-G21</f>
        <v>179</v>
      </c>
      <c r="H25" s="589">
        <f t="shared" ref="H25" si="28">G25+H23+H24-H20-H21</f>
        <v>179</v>
      </c>
      <c r="I25" s="589">
        <f t="shared" ref="I25" si="29">H25+I23+I24-I20-I21</f>
        <v>159</v>
      </c>
      <c r="J25" s="589">
        <f t="shared" ref="J25" si="30">I25+J23+J24-J20-J21</f>
        <v>159</v>
      </c>
      <c r="K25" s="589">
        <f t="shared" ref="K25" si="31">J25+K23+K24-K20-K21</f>
        <v>51</v>
      </c>
      <c r="L25" s="589">
        <f t="shared" ref="L25" si="32">K25+L23+L24-L20-L21</f>
        <v>51</v>
      </c>
      <c r="M25" s="589">
        <f t="shared" ref="M25" si="33">L25+M23+M24-M20-M21</f>
        <v>51</v>
      </c>
      <c r="N25" s="589">
        <f t="shared" ref="N25" si="34">M25+N23+N24-N20-N21</f>
        <v>-13</v>
      </c>
      <c r="O25" s="589">
        <f t="shared" ref="O25" si="35">N25+O23+O24-O20-O21</f>
        <v>-13</v>
      </c>
      <c r="P25" s="19">
        <f t="shared" ref="P25" si="36">O25+P23+P24-P20-P21</f>
        <v>-13</v>
      </c>
      <c r="Q25" s="19">
        <f t="shared" ref="Q25" si="37">P25+Q23+Q24-Q20-Q21</f>
        <v>-13</v>
      </c>
      <c r="R25" s="19">
        <f t="shared" ref="R25" si="38">Q25+R23+R24-R20-R21</f>
        <v>-29</v>
      </c>
      <c r="S25" s="19">
        <f t="shared" ref="S25" si="39">R25+S23+S24-S20-S21</f>
        <v>-29</v>
      </c>
      <c r="T25" s="19">
        <f t="shared" ref="T25" si="40">S25+T23+T24-T20-T21</f>
        <v>-29</v>
      </c>
      <c r="U25" s="19">
        <f t="shared" ref="U25" si="41">T25+U23+U24-U20-U21</f>
        <v>-69</v>
      </c>
      <c r="V25" s="19">
        <f t="shared" ref="V25" si="42">U25+V23+V24-V20-V21</f>
        <v>-69</v>
      </c>
      <c r="W25" s="19">
        <f t="shared" ref="W25" si="43">V25+W23+W24-W20-W21</f>
        <v>-285</v>
      </c>
      <c r="X25" s="19">
        <f t="shared" ref="X25" si="44">W25+X23+X24-X20-X21</f>
        <v>-285</v>
      </c>
      <c r="Y25" s="19">
        <f t="shared" ref="Y25" si="45">X25+Y23+Y24-Y20-Y21</f>
        <v>-285</v>
      </c>
      <c r="Z25" s="19">
        <f t="shared" ref="Z25" si="46">Y25+Z23+Z24-Z20-Z21</f>
        <v>-285</v>
      </c>
      <c r="AA25" s="19">
        <f t="shared" ref="AA25" si="47">Z25+AA23+AA24-AA20-AA21</f>
        <v>-285</v>
      </c>
      <c r="AB25" s="589">
        <f t="shared" ref="AB25" si="48">AA25+AB23+AB24-AB20-AB21</f>
        <v>-285</v>
      </c>
      <c r="AC25" s="546"/>
      <c r="AD25" s="24"/>
      <c r="AE25" s="46">
        <f>AB25-80</f>
        <v>-365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0</v>
      </c>
      <c r="P26" s="41">
        <v>0</v>
      </c>
      <c r="Q26" s="41">
        <v>0</v>
      </c>
      <c r="R26" s="41">
        <v>8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8</v>
      </c>
      <c r="G27" s="37">
        <v>32</v>
      </c>
      <c r="H27" s="37">
        <v>0</v>
      </c>
      <c r="I27" s="37">
        <v>0</v>
      </c>
      <c r="J27" s="37">
        <v>64</v>
      </c>
      <c r="K27" s="37">
        <v>32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8</v>
      </c>
      <c r="S27" s="40">
        <v>32</v>
      </c>
      <c r="T27" s="40">
        <v>0</v>
      </c>
      <c r="U27" s="40">
        <v>0</v>
      </c>
      <c r="V27" s="40">
        <v>64</v>
      </c>
      <c r="W27" s="40">
        <v>32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232</v>
      </c>
      <c r="AE27" s="44"/>
      <c r="AF27" s="44">
        <f>K27+L27+M27+N27+O27+P27+Q27+R27+S27</f>
        <v>72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325</v>
      </c>
      <c r="G31" s="375">
        <f t="shared" si="49"/>
        <v>293</v>
      </c>
      <c r="H31" s="375">
        <f t="shared" si="49"/>
        <v>293</v>
      </c>
      <c r="I31" s="375">
        <f t="shared" si="49"/>
        <v>293</v>
      </c>
      <c r="J31" s="375">
        <f t="shared" si="49"/>
        <v>229</v>
      </c>
      <c r="K31" s="375">
        <f t="shared" si="49"/>
        <v>197</v>
      </c>
      <c r="L31" s="375">
        <f t="shared" si="49"/>
        <v>197</v>
      </c>
      <c r="M31" s="375">
        <f t="shared" si="49"/>
        <v>197</v>
      </c>
      <c r="N31" s="375">
        <f t="shared" si="49"/>
        <v>165</v>
      </c>
      <c r="O31" s="375">
        <f t="shared" si="49"/>
        <v>165</v>
      </c>
      <c r="P31" s="19">
        <f t="shared" si="49"/>
        <v>165</v>
      </c>
      <c r="Q31" s="19">
        <f t="shared" si="49"/>
        <v>165</v>
      </c>
      <c r="R31" s="19">
        <f t="shared" si="49"/>
        <v>149</v>
      </c>
      <c r="S31" s="19">
        <f t="shared" si="49"/>
        <v>85</v>
      </c>
      <c r="T31" s="19">
        <f t="shared" si="49"/>
        <v>85</v>
      </c>
      <c r="U31" s="19">
        <f t="shared" ref="U31" si="50">T31+U29+U30-U26-U27</f>
        <v>85</v>
      </c>
      <c r="V31" s="19">
        <f t="shared" ref="V31" si="51">U31+V29+V30-V26-V27</f>
        <v>-43</v>
      </c>
      <c r="W31" s="19">
        <f t="shared" ref="W31" si="52">V31+W29+W30-W26-W27</f>
        <v>-107</v>
      </c>
      <c r="X31" s="19">
        <f t="shared" ref="X31" si="53">W31+X29+X30-X26-X27</f>
        <v>-107</v>
      </c>
      <c r="Y31" s="19">
        <f t="shared" ref="Y31" si="54">X31+Y29+Y30-Y26-Y27</f>
        <v>-107</v>
      </c>
      <c r="Z31" s="19">
        <f t="shared" ref="Z31" si="55">Y31+Z29+Z30-Z26-Z27</f>
        <v>-107</v>
      </c>
      <c r="AA31" s="19">
        <f t="shared" ref="AA31" si="56">Z31+AA29+AA30-AA26-AA27</f>
        <v>-107</v>
      </c>
      <c r="AB31" s="546">
        <f t="shared" ref="AB31" si="57">AA31+AB29+AB30-AB26-AB27</f>
        <v>-107</v>
      </c>
      <c r="AC31" s="546"/>
      <c r="AD31" s="24"/>
      <c r="AE31" s="46">
        <f>AB31-80</f>
        <v>-187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>
        <v>0</v>
      </c>
      <c r="F2" s="37">
        <v>0</v>
      </c>
      <c r="G2" s="37">
        <v>0</v>
      </c>
      <c r="H2" s="58">
        <v>0</v>
      </c>
      <c r="I2" s="58">
        <v>0</v>
      </c>
      <c r="J2" s="139">
        <v>4</v>
      </c>
      <c r="K2" s="139">
        <v>1</v>
      </c>
      <c r="L2" s="139">
        <v>4</v>
      </c>
      <c r="M2" s="139">
        <v>295</v>
      </c>
      <c r="N2" s="139">
        <v>833</v>
      </c>
      <c r="O2" s="139">
        <v>339</v>
      </c>
      <c r="P2" s="40">
        <v>409</v>
      </c>
      <c r="Q2" s="37">
        <v>236</v>
      </c>
      <c r="R2" s="37">
        <v>267</v>
      </c>
      <c r="S2" s="37">
        <v>368</v>
      </c>
      <c r="T2" s="37">
        <v>205</v>
      </c>
      <c r="U2" s="37">
        <v>326</v>
      </c>
      <c r="V2" s="37">
        <v>404</v>
      </c>
      <c r="W2" s="37">
        <v>352</v>
      </c>
      <c r="X2" s="37">
        <v>262</v>
      </c>
      <c r="Y2" s="37">
        <v>290</v>
      </c>
      <c r="Z2" s="37">
        <v>288</v>
      </c>
      <c r="AA2" s="37">
        <v>288</v>
      </c>
      <c r="AB2" s="37">
        <v>0</v>
      </c>
      <c r="AC2" s="24">
        <f>SUM(H2:AB2)</f>
        <v>5171</v>
      </c>
      <c r="AD2" s="575"/>
      <c r="AE2" s="44"/>
      <c r="AF2" s="44">
        <f>E2+F2+G2+H2+I2+J2+K2+L2+M2+N2+O2+P2</f>
        <v>1885</v>
      </c>
    </row>
    <row r="3" spans="1:16377">
      <c r="A3" s="670"/>
      <c r="B3" s="578"/>
      <c r="C3" s="51" t="s">
        <v>47</v>
      </c>
      <c r="D3" s="52"/>
      <c r="E3" s="42">
        <v>236</v>
      </c>
      <c r="F3" s="40">
        <v>267</v>
      </c>
      <c r="G3" s="37">
        <v>368</v>
      </c>
      <c r="H3" s="37">
        <v>205</v>
      </c>
      <c r="I3" s="37">
        <v>326</v>
      </c>
      <c r="J3" s="37">
        <v>404</v>
      </c>
      <c r="K3" s="37">
        <v>352</v>
      </c>
      <c r="L3" s="37">
        <v>262</v>
      </c>
      <c r="M3" s="37">
        <v>290</v>
      </c>
      <c r="N3" s="37">
        <v>288</v>
      </c>
      <c r="O3" s="346">
        <v>288</v>
      </c>
      <c r="P3" s="40">
        <v>0</v>
      </c>
      <c r="Q3" s="37">
        <v>236</v>
      </c>
      <c r="R3" s="37">
        <v>267</v>
      </c>
      <c r="S3" s="37">
        <v>368</v>
      </c>
      <c r="T3" s="37">
        <v>205</v>
      </c>
      <c r="U3" s="37">
        <v>326</v>
      </c>
      <c r="V3" s="37">
        <v>404</v>
      </c>
      <c r="W3" s="37">
        <v>352</v>
      </c>
      <c r="X3" s="37">
        <v>262</v>
      </c>
      <c r="Y3" s="37">
        <v>290</v>
      </c>
      <c r="Z3" s="37">
        <v>288</v>
      </c>
      <c r="AA3" s="37">
        <v>288</v>
      </c>
      <c r="AB3" s="37">
        <v>0</v>
      </c>
      <c r="AC3" s="24">
        <f>SUM(D3:AB3)</f>
        <v>6572</v>
      </c>
      <c r="AD3" s="575"/>
      <c r="AE3" s="44">
        <f>K3+L3+M3+N3+O3+P3+Q3+R3+S3</f>
        <v>2351</v>
      </c>
      <c r="AF3" s="44">
        <f>E3+F3+G3+H3+I3+J3+K3+L3+M3+N3+O3+P3</f>
        <v>3286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>
        <v>2855</v>
      </c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2855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2855</v>
      </c>
      <c r="E9" s="365">
        <f>D9+E7+E8-E2-E3-E5</f>
        <v>2619</v>
      </c>
      <c r="F9" s="366">
        <f t="shared" ref="F9:L9" si="0">E9+F7+F8-F2-F3-F5</f>
        <v>2352</v>
      </c>
      <c r="G9" s="366">
        <f t="shared" si="0"/>
        <v>1984</v>
      </c>
      <c r="H9" s="366">
        <f t="shared" si="0"/>
        <v>1779</v>
      </c>
      <c r="I9" s="366">
        <f t="shared" si="0"/>
        <v>1453</v>
      </c>
      <c r="J9" s="366">
        <f t="shared" si="0"/>
        <v>1045</v>
      </c>
      <c r="K9" s="574">
        <f t="shared" si="0"/>
        <v>692</v>
      </c>
      <c r="L9" s="574">
        <f t="shared" si="0"/>
        <v>426</v>
      </c>
      <c r="M9" s="574">
        <f t="shared" ref="M9:V9" si="1">L9+M7+M8-M2-M3-M5</f>
        <v>-159</v>
      </c>
      <c r="N9" s="574">
        <f t="shared" si="1"/>
        <v>-1280</v>
      </c>
      <c r="O9" s="574">
        <f t="shared" si="1"/>
        <v>-1907</v>
      </c>
      <c r="P9" s="574">
        <f t="shared" si="1"/>
        <v>-2316</v>
      </c>
      <c r="Q9" s="574">
        <f t="shared" si="1"/>
        <v>-2788</v>
      </c>
      <c r="R9" s="574">
        <f t="shared" si="1"/>
        <v>-3322</v>
      </c>
      <c r="S9" s="574">
        <f t="shared" si="1"/>
        <v>-4058</v>
      </c>
      <c r="T9" s="574">
        <f t="shared" si="1"/>
        <v>-4468</v>
      </c>
      <c r="U9" s="574">
        <f t="shared" si="1"/>
        <v>-5120</v>
      </c>
      <c r="V9" s="574">
        <f t="shared" si="1"/>
        <v>-5928</v>
      </c>
      <c r="W9" s="574">
        <f t="shared" ref="W9" si="2">V9+W7+W8-W2-W3-W5</f>
        <v>-6632</v>
      </c>
      <c r="X9" s="574">
        <f t="shared" ref="X9" si="3">W9+X7+X8-X2-X3-X5</f>
        <v>-7156</v>
      </c>
      <c r="Y9" s="574">
        <f t="shared" ref="Y9" si="4">X9+Y7+Y8-Y2-Y3-Y5</f>
        <v>-7736</v>
      </c>
      <c r="Z9" s="574">
        <f t="shared" ref="Z9" si="5">Y9+Z7+Z8-Z2-Z3-Z5</f>
        <v>-8312</v>
      </c>
      <c r="AA9" s="574">
        <f t="shared" ref="AA9" si="6">Z9+AA7+AA8-AA2-AA3-AA5</f>
        <v>-8888</v>
      </c>
      <c r="AB9" s="574">
        <f t="shared" ref="AB9" si="7">AA9+AB7+AB8-AB2-AB3-AB5</f>
        <v>-8888</v>
      </c>
      <c r="AC9" s="24"/>
      <c r="AD9" s="59">
        <f>AB9-848</f>
        <v>-9736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>
        <v>0</v>
      </c>
      <c r="F10" s="37">
        <v>0</v>
      </c>
      <c r="G10" s="37">
        <v>0</v>
      </c>
      <c r="H10" s="60">
        <v>0</v>
      </c>
      <c r="I10" s="60">
        <v>0</v>
      </c>
      <c r="J10" s="140">
        <v>0</v>
      </c>
      <c r="K10" s="140">
        <v>0</v>
      </c>
      <c r="L10" s="140">
        <v>0</v>
      </c>
      <c r="M10" s="140">
        <v>174</v>
      </c>
      <c r="N10" s="140">
        <v>495</v>
      </c>
      <c r="O10" s="140">
        <v>491</v>
      </c>
      <c r="P10" s="40">
        <v>227</v>
      </c>
      <c r="Q10" s="140">
        <v>162</v>
      </c>
      <c r="R10" s="140">
        <v>320</v>
      </c>
      <c r="S10" s="140">
        <v>472</v>
      </c>
      <c r="T10" s="140">
        <v>358</v>
      </c>
      <c r="U10" s="140">
        <v>438</v>
      </c>
      <c r="V10" s="140">
        <v>339</v>
      </c>
      <c r="W10" s="140">
        <v>288</v>
      </c>
      <c r="X10" s="140">
        <v>266</v>
      </c>
      <c r="Y10" s="140">
        <v>290</v>
      </c>
      <c r="Z10" s="140">
        <v>304</v>
      </c>
      <c r="AA10" s="140">
        <v>304</v>
      </c>
      <c r="AB10" s="140">
        <v>0</v>
      </c>
      <c r="AC10" s="24">
        <f>SUM(D10:AB10)</f>
        <v>4928</v>
      </c>
      <c r="AD10" s="575"/>
      <c r="AE10" s="44"/>
      <c r="AF10" s="44">
        <f>E10+F10+G10+H10+I10+J10+K10+L10+M10+N10+O10+P10</f>
        <v>1387</v>
      </c>
    </row>
    <row r="11" spans="1:16377">
      <c r="A11" s="670"/>
      <c r="B11" s="578"/>
      <c r="C11" s="51" t="s">
        <v>47</v>
      </c>
      <c r="D11" s="52"/>
      <c r="E11" s="61">
        <v>162</v>
      </c>
      <c r="F11" s="37">
        <v>320</v>
      </c>
      <c r="G11" s="54">
        <v>472</v>
      </c>
      <c r="H11" s="37">
        <v>358</v>
      </c>
      <c r="I11" s="54">
        <v>438</v>
      </c>
      <c r="J11" s="37">
        <v>338</v>
      </c>
      <c r="K11" s="54">
        <v>288</v>
      </c>
      <c r="L11" s="37">
        <v>266</v>
      </c>
      <c r="M11" s="54">
        <v>290</v>
      </c>
      <c r="N11" s="37">
        <v>304</v>
      </c>
      <c r="O11" s="54">
        <v>304</v>
      </c>
      <c r="P11" s="37">
        <v>0</v>
      </c>
      <c r="Q11" s="37">
        <v>162</v>
      </c>
      <c r="R11" s="37">
        <v>320</v>
      </c>
      <c r="S11" s="37">
        <v>472</v>
      </c>
      <c r="T11" s="37">
        <v>358</v>
      </c>
      <c r="U11" s="37">
        <v>438</v>
      </c>
      <c r="V11" s="37">
        <v>338</v>
      </c>
      <c r="W11" s="37">
        <v>288</v>
      </c>
      <c r="X11" s="37">
        <v>266</v>
      </c>
      <c r="Y11" s="37">
        <v>290</v>
      </c>
      <c r="Z11" s="37">
        <v>304</v>
      </c>
      <c r="AA11" s="37">
        <v>304</v>
      </c>
      <c r="AB11" s="37">
        <v>0</v>
      </c>
      <c r="AC11" s="24">
        <f>SUM(D11:AB11)</f>
        <v>7080</v>
      </c>
      <c r="AD11" s="575"/>
      <c r="AE11" s="44">
        <f>K11+L11+M11+N11+O11+P11+Q11+R11+S11</f>
        <v>2406</v>
      </c>
      <c r="AF11" s="44">
        <f>E11+F11+G11+H11+I11+J11+K11+L11+M11+N11+O11+P11</f>
        <v>3540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>
        <v>2810</v>
      </c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2810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2810</v>
      </c>
      <c r="E17" s="20">
        <f t="shared" ref="E17:AB17" si="8">D17+E15+E16-E10-E11-E12</f>
        <v>2648</v>
      </c>
      <c r="F17" s="574">
        <f t="shared" si="8"/>
        <v>2328</v>
      </c>
      <c r="G17" s="366">
        <f t="shared" si="8"/>
        <v>1856</v>
      </c>
      <c r="H17" s="366">
        <f t="shared" si="8"/>
        <v>1498</v>
      </c>
      <c r="I17" s="366">
        <f t="shared" si="8"/>
        <v>1060</v>
      </c>
      <c r="J17" s="366">
        <f t="shared" si="8"/>
        <v>722</v>
      </c>
      <c r="K17" s="574">
        <f t="shared" si="8"/>
        <v>434</v>
      </c>
      <c r="L17" s="574">
        <f t="shared" si="8"/>
        <v>168</v>
      </c>
      <c r="M17" s="574">
        <f t="shared" si="8"/>
        <v>-296</v>
      </c>
      <c r="N17" s="574">
        <f t="shared" si="8"/>
        <v>-1095</v>
      </c>
      <c r="O17" s="574">
        <f t="shared" si="8"/>
        <v>-1890</v>
      </c>
      <c r="P17" s="19">
        <f t="shared" si="8"/>
        <v>-2117</v>
      </c>
      <c r="Q17" s="574">
        <f t="shared" si="8"/>
        <v>-2441</v>
      </c>
      <c r="R17" s="19">
        <f t="shared" si="8"/>
        <v>-3081</v>
      </c>
      <c r="S17" s="574">
        <f t="shared" si="8"/>
        <v>-4025</v>
      </c>
      <c r="T17" s="19">
        <f t="shared" si="8"/>
        <v>-4741</v>
      </c>
      <c r="U17" s="574">
        <f t="shared" si="8"/>
        <v>-5617</v>
      </c>
      <c r="V17" s="19">
        <f t="shared" si="8"/>
        <v>-6294</v>
      </c>
      <c r="W17" s="19">
        <f t="shared" si="8"/>
        <v>-6870</v>
      </c>
      <c r="X17" s="19">
        <f t="shared" si="8"/>
        <v>-7402</v>
      </c>
      <c r="Y17" s="19">
        <f t="shared" si="8"/>
        <v>-7982</v>
      </c>
      <c r="Z17" s="19">
        <f t="shared" si="8"/>
        <v>-8590</v>
      </c>
      <c r="AA17" s="19">
        <f t="shared" si="8"/>
        <v>-9198</v>
      </c>
      <c r="AB17" s="574">
        <f t="shared" si="8"/>
        <v>-9198</v>
      </c>
      <c r="AC17" s="24"/>
      <c r="AD17" s="59">
        <f>AB17-848</f>
        <v>-10046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>
        <v>0</v>
      </c>
      <c r="F18" s="37">
        <v>0</v>
      </c>
      <c r="G18" s="37">
        <v>0</v>
      </c>
      <c r="H18" s="58">
        <v>0</v>
      </c>
      <c r="I18" s="58">
        <v>0</v>
      </c>
      <c r="J18" s="139">
        <v>0</v>
      </c>
      <c r="K18" s="139">
        <v>20</v>
      </c>
      <c r="L18" s="139">
        <v>0</v>
      </c>
      <c r="M18" s="139">
        <v>496</v>
      </c>
      <c r="N18" s="139">
        <v>3260</v>
      </c>
      <c r="O18" s="139">
        <v>4823</v>
      </c>
      <c r="P18" s="139">
        <v>4064</v>
      </c>
      <c r="Q18" s="139">
        <v>2902</v>
      </c>
      <c r="R18" s="139">
        <v>1694</v>
      </c>
      <c r="S18" s="139">
        <v>2180</v>
      </c>
      <c r="T18" s="139">
        <v>3768</v>
      </c>
      <c r="U18" s="139">
        <v>2870</v>
      </c>
      <c r="V18" s="139">
        <v>2814</v>
      </c>
      <c r="W18" s="139">
        <v>2944</v>
      </c>
      <c r="X18" s="139">
        <v>2406</v>
      </c>
      <c r="Y18" s="139">
        <v>2716</v>
      </c>
      <c r="Z18" s="139">
        <v>2624</v>
      </c>
      <c r="AA18" s="139">
        <v>2368</v>
      </c>
      <c r="AB18" s="139">
        <v>1216</v>
      </c>
      <c r="AC18" s="24">
        <f>SUM(D18:AB18)</f>
        <v>43165</v>
      </c>
      <c r="AD18" s="9"/>
      <c r="AE18" s="44"/>
      <c r="AF18" s="44">
        <f>E18+F18+G18+H18+I18+J18+K18+L18+M18+N18+O18+P18</f>
        <v>12663</v>
      </c>
      <c r="AG18" s="130"/>
    </row>
    <row r="19" spans="1:16377">
      <c r="A19" s="670"/>
      <c r="B19" s="578"/>
      <c r="C19" s="51" t="s">
        <v>47</v>
      </c>
      <c r="D19" s="52"/>
      <c r="E19" s="42">
        <v>1451</v>
      </c>
      <c r="F19" s="37">
        <v>847</v>
      </c>
      <c r="G19" s="37">
        <v>1090</v>
      </c>
      <c r="H19" s="37">
        <v>1884</v>
      </c>
      <c r="I19" s="37">
        <v>1435</v>
      </c>
      <c r="J19" s="40">
        <v>1407</v>
      </c>
      <c r="K19" s="40">
        <v>1472</v>
      </c>
      <c r="L19" s="40">
        <v>1203</v>
      </c>
      <c r="M19" s="40">
        <v>1358</v>
      </c>
      <c r="N19" s="40">
        <v>1312</v>
      </c>
      <c r="O19" s="40">
        <v>1184</v>
      </c>
      <c r="P19" s="40">
        <v>608</v>
      </c>
      <c r="Q19" s="37">
        <v>1451</v>
      </c>
      <c r="R19" s="37">
        <v>847</v>
      </c>
      <c r="S19" s="37">
        <v>1090</v>
      </c>
      <c r="T19" s="37">
        <v>1884</v>
      </c>
      <c r="U19" s="37">
        <v>1435</v>
      </c>
      <c r="V19" s="37">
        <v>1407</v>
      </c>
      <c r="W19" s="37">
        <v>1472</v>
      </c>
      <c r="X19" s="37">
        <v>1203</v>
      </c>
      <c r="Y19" s="37">
        <v>1358</v>
      </c>
      <c r="Z19" s="37">
        <v>1312</v>
      </c>
      <c r="AA19" s="37">
        <v>1184</v>
      </c>
      <c r="AB19" s="37">
        <v>608</v>
      </c>
      <c r="AC19" s="24">
        <f>SUM(D19:AB19)</f>
        <v>30502</v>
      </c>
      <c r="AD19" s="575"/>
      <c r="AE19" s="44">
        <f>K19+L19+M19+N19+O19+P19+Q19+R19+S19</f>
        <v>10525</v>
      </c>
      <c r="AF19" s="44">
        <f>E19+F19+G19+H19+I19+J19+K19+L19+M19+N19+O19+P19</f>
        <v>15251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>
        <v>5720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5720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5720</v>
      </c>
      <c r="E25" s="384">
        <f>D25+E23+E24-E18-E19-E20</f>
        <v>4269</v>
      </c>
      <c r="F25" s="574">
        <f t="shared" ref="F25:V25" si="9">E25+F23+F24-F18-F19-F20</f>
        <v>3422</v>
      </c>
      <c r="G25" s="574">
        <f t="shared" si="9"/>
        <v>2332</v>
      </c>
      <c r="H25" s="574">
        <f t="shared" si="9"/>
        <v>448</v>
      </c>
      <c r="I25" s="574">
        <f t="shared" si="9"/>
        <v>-987</v>
      </c>
      <c r="J25" s="574">
        <f t="shared" si="9"/>
        <v>-2394</v>
      </c>
      <c r="K25" s="574">
        <f t="shared" si="9"/>
        <v>-3886</v>
      </c>
      <c r="L25" s="574">
        <f t="shared" si="9"/>
        <v>-5089</v>
      </c>
      <c r="M25" s="574">
        <f t="shared" si="9"/>
        <v>-6943</v>
      </c>
      <c r="N25" s="574">
        <f t="shared" si="9"/>
        <v>-11515</v>
      </c>
      <c r="O25" s="574">
        <f t="shared" si="9"/>
        <v>-17522</v>
      </c>
      <c r="P25" s="574">
        <f t="shared" si="9"/>
        <v>-22194</v>
      </c>
      <c r="Q25" s="410">
        <f t="shared" si="9"/>
        <v>-26547</v>
      </c>
      <c r="R25" s="20">
        <f t="shared" si="9"/>
        <v>-29088</v>
      </c>
      <c r="S25" s="20">
        <f t="shared" si="9"/>
        <v>-32358</v>
      </c>
      <c r="T25" s="20">
        <f t="shared" si="9"/>
        <v>-38010</v>
      </c>
      <c r="U25" s="20">
        <f t="shared" si="9"/>
        <v>-42315</v>
      </c>
      <c r="V25" s="20">
        <f t="shared" si="9"/>
        <v>-46536</v>
      </c>
      <c r="W25" s="20">
        <f t="shared" ref="W25" si="10">V25+W23+W24-W18-W19-W20</f>
        <v>-50952</v>
      </c>
      <c r="X25" s="20">
        <f t="shared" ref="X25" si="11">W25+X23+X24-X18-X19-X20</f>
        <v>-54561</v>
      </c>
      <c r="Y25" s="20">
        <f t="shared" ref="Y25" si="12">X25+Y23+Y24-Y18-Y19-Y20</f>
        <v>-58635</v>
      </c>
      <c r="Z25" s="20">
        <f t="shared" ref="Z25" si="13">Y25+Z23+Z24-Z18-Z19-Z20</f>
        <v>-62571</v>
      </c>
      <c r="AA25" s="20">
        <f t="shared" ref="AA25" si="14">Z25+AA23+AA24-AA18-AA19-AA20</f>
        <v>-66123</v>
      </c>
      <c r="AB25" s="20">
        <f t="shared" ref="AB25" si="15">AA25+AB23+AB24-AB18-AB19-AB20</f>
        <v>-67947</v>
      </c>
      <c r="AC25" s="24"/>
      <c r="AD25" s="59">
        <f>AB25-3360</f>
        <v>-71307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>
        <v>0</v>
      </c>
      <c r="F26" s="37">
        <v>0</v>
      </c>
      <c r="G26" s="37">
        <v>0</v>
      </c>
      <c r="H26" s="58">
        <v>0</v>
      </c>
      <c r="I26" s="58">
        <v>0</v>
      </c>
      <c r="J26" s="139">
        <v>0</v>
      </c>
      <c r="K26" s="139">
        <v>0</v>
      </c>
      <c r="L26" s="139">
        <v>0</v>
      </c>
      <c r="M26" s="139">
        <v>0</v>
      </c>
      <c r="N26" s="139">
        <v>760</v>
      </c>
      <c r="O26" s="139">
        <v>948</v>
      </c>
      <c r="P26" s="139">
        <v>688</v>
      </c>
      <c r="Q26" s="139">
        <v>976</v>
      </c>
      <c r="R26" s="58">
        <v>968</v>
      </c>
      <c r="S26" s="58">
        <v>1076</v>
      </c>
      <c r="T26" s="58">
        <v>456</v>
      </c>
      <c r="U26" s="58">
        <v>992</v>
      </c>
      <c r="V26" s="58">
        <v>450</v>
      </c>
      <c r="W26" s="58">
        <v>384</v>
      </c>
      <c r="X26" s="58">
        <v>480</v>
      </c>
      <c r="Y26" s="58">
        <v>736</v>
      </c>
      <c r="Z26" s="58">
        <v>480</v>
      </c>
      <c r="AA26" s="58">
        <v>480</v>
      </c>
      <c r="AB26" s="58">
        <v>480</v>
      </c>
      <c r="AC26" s="24">
        <f>SUM(D26:AB26)</f>
        <v>10354</v>
      </c>
      <c r="AD26" s="575"/>
      <c r="AE26" s="44"/>
      <c r="AF26" s="44">
        <f>E26+F26+G26+H26+I26+J26+K26+L26+M26+N26+O26+P26</f>
        <v>2396</v>
      </c>
    </row>
    <row r="27" spans="1:16377">
      <c r="A27" s="670"/>
      <c r="B27" s="578"/>
      <c r="C27" s="51" t="s">
        <v>47</v>
      </c>
      <c r="D27" s="37"/>
      <c r="E27" s="42">
        <v>488</v>
      </c>
      <c r="F27" s="37">
        <v>484</v>
      </c>
      <c r="G27" s="37">
        <v>538</v>
      </c>
      <c r="H27" s="37">
        <v>228</v>
      </c>
      <c r="I27" s="37">
        <v>496</v>
      </c>
      <c r="J27" s="40">
        <v>256</v>
      </c>
      <c r="K27" s="40">
        <v>192</v>
      </c>
      <c r="L27" s="40">
        <v>240</v>
      </c>
      <c r="M27" s="40">
        <v>368</v>
      </c>
      <c r="N27" s="40">
        <v>240</v>
      </c>
      <c r="O27" s="40">
        <v>240</v>
      </c>
      <c r="P27" s="40">
        <v>240</v>
      </c>
      <c r="Q27" s="37">
        <v>488</v>
      </c>
      <c r="R27" s="37">
        <v>484</v>
      </c>
      <c r="S27" s="37">
        <v>538</v>
      </c>
      <c r="T27" s="37">
        <v>228</v>
      </c>
      <c r="U27" s="37">
        <v>496</v>
      </c>
      <c r="V27" s="37">
        <v>256</v>
      </c>
      <c r="W27" s="37">
        <v>192</v>
      </c>
      <c r="X27" s="37">
        <v>240</v>
      </c>
      <c r="Y27" s="37">
        <v>368</v>
      </c>
      <c r="Z27" s="37">
        <v>240</v>
      </c>
      <c r="AA27" s="37">
        <v>240</v>
      </c>
      <c r="AB27" s="37">
        <v>240</v>
      </c>
      <c r="AC27" s="24">
        <f>SUM(D27:AB27)</f>
        <v>8020</v>
      </c>
      <c r="AD27" s="575"/>
      <c r="AE27" s="44">
        <f>K27+L27+M27+N27+O27+P27+Q27+R27+S27</f>
        <v>3030</v>
      </c>
      <c r="AF27" s="44">
        <f>E27+F27+G27+H27+I27+J27+K27+L27+M27+N27+O27+P27</f>
        <v>4010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>
        <v>3049</v>
      </c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3049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3049</v>
      </c>
      <c r="E33" s="384">
        <f>D33+E31+E32-E26-E27-E28-E29</f>
        <v>2561</v>
      </c>
      <c r="F33" s="574">
        <f t="shared" ref="F33:P33" si="16">E33+F31+F32-F26-F27-F28-F29</f>
        <v>2077</v>
      </c>
      <c r="G33" s="574">
        <f t="shared" si="16"/>
        <v>1539</v>
      </c>
      <c r="H33" s="574">
        <f t="shared" si="16"/>
        <v>1311</v>
      </c>
      <c r="I33" s="574">
        <f t="shared" si="16"/>
        <v>815</v>
      </c>
      <c r="J33" s="574">
        <f t="shared" si="16"/>
        <v>559</v>
      </c>
      <c r="K33" s="574">
        <f t="shared" si="16"/>
        <v>367</v>
      </c>
      <c r="L33" s="574">
        <f t="shared" si="16"/>
        <v>127</v>
      </c>
      <c r="M33" s="574">
        <f t="shared" si="16"/>
        <v>-241</v>
      </c>
      <c r="N33" s="574">
        <f t="shared" si="16"/>
        <v>-1241</v>
      </c>
      <c r="O33" s="574">
        <f t="shared" si="16"/>
        <v>-2429</v>
      </c>
      <c r="P33" s="377">
        <f t="shared" si="16"/>
        <v>-3357</v>
      </c>
      <c r="Q33" s="574">
        <f t="shared" ref="Q33:V33" si="17">P33+Q31+Q32-Q26-Q27-Q28-Q29</f>
        <v>-4821</v>
      </c>
      <c r="R33" s="377">
        <f t="shared" si="17"/>
        <v>-6273</v>
      </c>
      <c r="S33" s="574">
        <f t="shared" si="17"/>
        <v>-7887</v>
      </c>
      <c r="T33" s="377">
        <f t="shared" si="17"/>
        <v>-8571</v>
      </c>
      <c r="U33" s="574">
        <f t="shared" si="17"/>
        <v>-10059</v>
      </c>
      <c r="V33" s="377">
        <f t="shared" si="17"/>
        <v>-10765</v>
      </c>
      <c r="W33" s="574">
        <f t="shared" ref="W33" si="18">V33+W31+W32-W26-W27-W28-W29</f>
        <v>-11341</v>
      </c>
      <c r="X33" s="377">
        <f t="shared" ref="X33" si="19">W33+X31+X32-X26-X27-X28-X29</f>
        <v>-12061</v>
      </c>
      <c r="Y33" s="574">
        <f t="shared" ref="Y33" si="20">X33+Y31+Y32-Y26-Y27-Y28-Y29</f>
        <v>-13165</v>
      </c>
      <c r="Z33" s="377">
        <f t="shared" ref="Z33" si="21">Y33+Z31+Z32-Z26-Z27-Z28-Z29</f>
        <v>-13885</v>
      </c>
      <c r="AA33" s="574">
        <f t="shared" ref="AA33" si="22">Z33+AA31+AA32-AA26-AA27-AA28-AA29</f>
        <v>-14605</v>
      </c>
      <c r="AB33" s="377">
        <f t="shared" ref="AB33" si="23">AA33+AB31+AB32-AB26-AB27-AB28-AB29</f>
        <v>-15325</v>
      </c>
      <c r="AC33" s="24"/>
      <c r="AD33" s="59">
        <f>AB33-160</f>
        <v>-15485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>
        <v>0</v>
      </c>
      <c r="F34" s="37">
        <v>0</v>
      </c>
      <c r="G34" s="37">
        <v>0</v>
      </c>
      <c r="H34" s="58">
        <v>0</v>
      </c>
      <c r="I34" s="58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2080</v>
      </c>
      <c r="P34" s="139">
        <v>2248</v>
      </c>
      <c r="Q34" s="139">
        <v>700</v>
      </c>
      <c r="R34" s="139">
        <v>1008</v>
      </c>
      <c r="S34" s="139">
        <v>640</v>
      </c>
      <c r="T34" s="139">
        <v>1024</v>
      </c>
      <c r="U34" s="139">
        <v>1024</v>
      </c>
      <c r="V34" s="139">
        <v>1024</v>
      </c>
      <c r="W34" s="139">
        <v>1024</v>
      </c>
      <c r="X34" s="139">
        <v>1024</v>
      </c>
      <c r="Y34" s="139">
        <v>1024</v>
      </c>
      <c r="Z34" s="139">
        <v>1152</v>
      </c>
      <c r="AA34" s="139">
        <v>1216</v>
      </c>
      <c r="AB34" s="139">
        <v>1216</v>
      </c>
      <c r="AC34" s="170">
        <f>SUM(D34:AB34)</f>
        <v>16404</v>
      </c>
      <c r="AD34" s="417"/>
      <c r="AE34" s="44"/>
      <c r="AF34" s="44">
        <f>E34+F34+G34+H34+I34+J34+K34+L34+M34+N34+O34+P34</f>
        <v>4328</v>
      </c>
    </row>
    <row r="35" spans="1:16377">
      <c r="A35" s="668"/>
      <c r="B35" s="568"/>
      <c r="C35" s="173" t="s">
        <v>47</v>
      </c>
      <c r="D35" s="174"/>
      <c r="E35" s="42">
        <v>700</v>
      </c>
      <c r="F35" s="37">
        <v>1008</v>
      </c>
      <c r="G35" s="37">
        <v>640</v>
      </c>
      <c r="H35" s="37">
        <v>1024</v>
      </c>
      <c r="I35" s="37">
        <v>1024</v>
      </c>
      <c r="J35" s="40">
        <v>1024</v>
      </c>
      <c r="K35" s="40">
        <v>1024</v>
      </c>
      <c r="L35" s="40">
        <v>1024</v>
      </c>
      <c r="M35" s="40">
        <v>1024</v>
      </c>
      <c r="N35" s="40">
        <v>1152</v>
      </c>
      <c r="O35" s="40">
        <v>1216</v>
      </c>
      <c r="P35" s="40">
        <v>1216</v>
      </c>
      <c r="Q35" s="37">
        <v>700</v>
      </c>
      <c r="R35" s="37">
        <v>1008</v>
      </c>
      <c r="S35" s="37">
        <v>640</v>
      </c>
      <c r="T35" s="37">
        <v>1024</v>
      </c>
      <c r="U35" s="37">
        <v>1024</v>
      </c>
      <c r="V35" s="37">
        <v>1024</v>
      </c>
      <c r="W35" s="37">
        <v>1024</v>
      </c>
      <c r="X35" s="37">
        <v>1024</v>
      </c>
      <c r="Y35" s="37">
        <v>1024</v>
      </c>
      <c r="Z35" s="37">
        <v>1152</v>
      </c>
      <c r="AA35" s="37">
        <v>1216</v>
      </c>
      <c r="AB35" s="37">
        <v>1216</v>
      </c>
      <c r="AC35" s="170">
        <f>SUM(D35:AB35)</f>
        <v>24152</v>
      </c>
      <c r="AD35" s="417"/>
      <c r="AE35" s="44">
        <f>K35+L35+M35+N35+O35+P35+Q35+R35+S35</f>
        <v>9004</v>
      </c>
      <c r="AF35" s="44">
        <f>E35+F35+G35+H35+I35+J35+K35+L35+M35+N35+O35+P35</f>
        <v>12076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>
        <v>3651</v>
      </c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3651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3651</v>
      </c>
      <c r="E41" s="20">
        <f>D41+E39+E40-E34-E35</f>
        <v>2951</v>
      </c>
      <c r="F41" s="574">
        <f t="shared" ref="F41:P41" si="24">E41+F39+F40-F34-F35</f>
        <v>1943</v>
      </c>
      <c r="G41" s="574">
        <f t="shared" si="24"/>
        <v>1303</v>
      </c>
      <c r="H41" s="574">
        <f t="shared" si="24"/>
        <v>279</v>
      </c>
      <c r="I41" s="574">
        <f t="shared" si="24"/>
        <v>-745</v>
      </c>
      <c r="J41" s="574">
        <f t="shared" si="24"/>
        <v>-1769</v>
      </c>
      <c r="K41" s="574">
        <f t="shared" si="24"/>
        <v>-2793</v>
      </c>
      <c r="L41" s="574">
        <f t="shared" si="24"/>
        <v>-3817</v>
      </c>
      <c r="M41" s="574">
        <f t="shared" si="24"/>
        <v>-4841</v>
      </c>
      <c r="N41" s="574">
        <f t="shared" si="24"/>
        <v>-5993</v>
      </c>
      <c r="O41" s="574">
        <f t="shared" si="24"/>
        <v>-9289</v>
      </c>
      <c r="P41" s="19">
        <f t="shared" si="24"/>
        <v>-12753</v>
      </c>
      <c r="Q41" s="574">
        <f t="shared" ref="Q41:V41" si="25">P41+Q39+Q40-Q34-Q35</f>
        <v>-14153</v>
      </c>
      <c r="R41" s="19">
        <f t="shared" si="25"/>
        <v>-16169</v>
      </c>
      <c r="S41" s="574">
        <f t="shared" si="25"/>
        <v>-17449</v>
      </c>
      <c r="T41" s="19">
        <f t="shared" si="25"/>
        <v>-19497</v>
      </c>
      <c r="U41" s="574">
        <f t="shared" si="25"/>
        <v>-21545</v>
      </c>
      <c r="V41" s="19">
        <f t="shared" si="25"/>
        <v>-23593</v>
      </c>
      <c r="W41" s="574">
        <f t="shared" ref="W41" si="26">V41+W39+W40-W34-W35</f>
        <v>-25641</v>
      </c>
      <c r="X41" s="19">
        <f t="shared" ref="X41" si="27">W41+X39+X40-X34-X35</f>
        <v>-27689</v>
      </c>
      <c r="Y41" s="574">
        <f t="shared" ref="Y41" si="28">X41+Y39+Y40-Y34-Y35</f>
        <v>-29737</v>
      </c>
      <c r="Z41" s="19">
        <f t="shared" ref="Z41" si="29">Y41+Z39+Z40-Z34-Z35</f>
        <v>-32041</v>
      </c>
      <c r="AA41" s="574">
        <f t="shared" ref="AA41" si="30">Z41+AA39+AA40-AA34-AA35</f>
        <v>-34473</v>
      </c>
      <c r="AB41" s="19">
        <f t="shared" ref="AB41" si="31">AA41+AB39+AB40-AB34-AB35</f>
        <v>-36905</v>
      </c>
      <c r="AC41" s="197"/>
      <c r="AD41" s="59">
        <f>AB41-3200</f>
        <v>-40105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380</v>
      </c>
      <c r="O42" s="37">
        <v>452</v>
      </c>
      <c r="P42" s="37">
        <v>348</v>
      </c>
      <c r="Q42" s="37">
        <v>488</v>
      </c>
      <c r="R42" s="37">
        <v>484</v>
      </c>
      <c r="S42" s="139">
        <v>538</v>
      </c>
      <c r="T42" s="139">
        <v>228</v>
      </c>
      <c r="U42" s="139">
        <v>496</v>
      </c>
      <c r="V42" s="139">
        <v>258</v>
      </c>
      <c r="W42" s="139">
        <v>192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70">
        <f>SUM(D42:AB42)</f>
        <v>3864</v>
      </c>
      <c r="AD42" s="417"/>
      <c r="AE42" s="44"/>
      <c r="AF42" s="44">
        <f>E42+F42+G42+H42+I42+J42+K42+L42+M42+N42+O42+P42</f>
        <v>1180</v>
      </c>
      <c r="AI42" s="48">
        <f>AC34+AC42+AC43+AC50+AC51</f>
        <v>34868</v>
      </c>
    </row>
    <row r="43" spans="1:16377">
      <c r="A43" s="668"/>
      <c r="B43" s="568"/>
      <c r="C43" s="173" t="s">
        <v>47</v>
      </c>
      <c r="D43" s="174"/>
      <c r="E43" s="42">
        <v>488</v>
      </c>
      <c r="F43" s="37">
        <v>484</v>
      </c>
      <c r="G43" s="37">
        <v>538</v>
      </c>
      <c r="H43" s="37">
        <v>228</v>
      </c>
      <c r="I43" s="37">
        <v>496</v>
      </c>
      <c r="J43" s="37">
        <v>258</v>
      </c>
      <c r="K43" s="37">
        <v>192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488</v>
      </c>
      <c r="R43" s="37">
        <v>484</v>
      </c>
      <c r="S43" s="37">
        <v>538</v>
      </c>
      <c r="T43" s="37">
        <v>228</v>
      </c>
      <c r="U43" s="37">
        <v>496</v>
      </c>
      <c r="V43" s="37">
        <v>258</v>
      </c>
      <c r="W43" s="37">
        <v>192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170">
        <f>SUM(D43:AB43)</f>
        <v>5368</v>
      </c>
      <c r="AD43" s="417"/>
      <c r="AE43" s="44">
        <f>K43+L43+M43+N43+O43+P43+Q43+R43+S43</f>
        <v>1702</v>
      </c>
      <c r="AF43" s="44">
        <f>E43+F43+G43+H43+I43+J43+K43+L43+M43+N43+O43+P43</f>
        <v>2684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>
        <v>661</v>
      </c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661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661</v>
      </c>
      <c r="E49" s="20">
        <f t="shared" ref="E49:V49" si="32">D49+E47+E48-E42-E43</f>
        <v>173</v>
      </c>
      <c r="F49" s="574">
        <f t="shared" si="32"/>
        <v>-311</v>
      </c>
      <c r="G49" s="574">
        <f t="shared" si="32"/>
        <v>-849</v>
      </c>
      <c r="H49" s="574">
        <f t="shared" si="32"/>
        <v>-1077</v>
      </c>
      <c r="I49" s="574">
        <f t="shared" si="32"/>
        <v>-1573</v>
      </c>
      <c r="J49" s="574">
        <f t="shared" si="32"/>
        <v>-1831</v>
      </c>
      <c r="K49" s="574">
        <f t="shared" si="32"/>
        <v>-2023</v>
      </c>
      <c r="L49" s="574">
        <f t="shared" si="32"/>
        <v>-2023</v>
      </c>
      <c r="M49" s="574">
        <f t="shared" si="32"/>
        <v>-2023</v>
      </c>
      <c r="N49" s="574">
        <f t="shared" si="32"/>
        <v>-2403</v>
      </c>
      <c r="O49" s="574">
        <f t="shared" si="32"/>
        <v>-2855</v>
      </c>
      <c r="P49" s="19">
        <f t="shared" si="32"/>
        <v>-3203</v>
      </c>
      <c r="Q49" s="500">
        <f t="shared" si="32"/>
        <v>-4179</v>
      </c>
      <c r="R49" s="501">
        <f t="shared" si="32"/>
        <v>-5147</v>
      </c>
      <c r="S49" s="500">
        <f t="shared" si="32"/>
        <v>-6223</v>
      </c>
      <c r="T49" s="501">
        <f t="shared" si="32"/>
        <v>-6679</v>
      </c>
      <c r="U49" s="500">
        <f t="shared" si="32"/>
        <v>-7671</v>
      </c>
      <c r="V49" s="501">
        <f t="shared" si="32"/>
        <v>-8187</v>
      </c>
      <c r="W49" s="501">
        <f t="shared" ref="W49" si="33">V49+W47+W48-W42-W43</f>
        <v>-8571</v>
      </c>
      <c r="X49" s="501">
        <f t="shared" ref="X49" si="34">W49+X47+X48-X42-X43</f>
        <v>-8571</v>
      </c>
      <c r="Y49" s="501">
        <f t="shared" ref="Y49" si="35">X49+Y47+Y48-Y42-Y43</f>
        <v>-8571</v>
      </c>
      <c r="Z49" s="501">
        <f t="shared" ref="Z49" si="36">Y49+Z47+Z48-Z42-Z43</f>
        <v>-8571</v>
      </c>
      <c r="AA49" s="501">
        <f t="shared" ref="AA49" si="37">Z49+AA47+AA48-AA42-AA43</f>
        <v>-8571</v>
      </c>
      <c r="AB49" s="501">
        <f t="shared" ref="AB49" si="38">AA49+AB47+AB48-AB42-AB43</f>
        <v>-8571</v>
      </c>
      <c r="AC49" s="197"/>
      <c r="AD49" s="59">
        <f>AB49-160</f>
        <v>-8731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>
        <v>0</v>
      </c>
      <c r="F50" s="17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380</v>
      </c>
      <c r="O50" s="37">
        <v>452</v>
      </c>
      <c r="P50" s="37">
        <v>348</v>
      </c>
      <c r="Q50" s="37">
        <v>488</v>
      </c>
      <c r="R50" s="37">
        <v>484</v>
      </c>
      <c r="S50" s="177">
        <v>538</v>
      </c>
      <c r="T50" s="177">
        <v>228</v>
      </c>
      <c r="U50" s="177">
        <v>496</v>
      </c>
      <c r="V50" s="177">
        <v>258</v>
      </c>
      <c r="W50" s="177">
        <v>192</v>
      </c>
      <c r="X50" s="177">
        <v>0</v>
      </c>
      <c r="Y50" s="177">
        <v>0</v>
      </c>
      <c r="Z50" s="177">
        <v>0</v>
      </c>
      <c r="AA50" s="177">
        <v>0</v>
      </c>
      <c r="AB50" s="177">
        <v>0</v>
      </c>
      <c r="AC50" s="170">
        <f>SUM(D50:AB50)</f>
        <v>3864</v>
      </c>
      <c r="AD50" s="417"/>
      <c r="AE50" s="44"/>
      <c r="AF50" s="44">
        <f>E50+F50+G50+H50+I50+J50+K50+L50+M50+N50+O50+P50</f>
        <v>1180</v>
      </c>
    </row>
    <row r="51" spans="1:16377">
      <c r="A51" s="668"/>
      <c r="B51" s="568"/>
      <c r="C51" s="173" t="s">
        <v>47</v>
      </c>
      <c r="D51" s="200"/>
      <c r="E51" s="42">
        <v>488</v>
      </c>
      <c r="F51" s="37">
        <v>484</v>
      </c>
      <c r="G51" s="37">
        <v>538</v>
      </c>
      <c r="H51" s="37">
        <v>228</v>
      </c>
      <c r="I51" s="37">
        <v>496</v>
      </c>
      <c r="J51" s="37">
        <v>258</v>
      </c>
      <c r="K51" s="37">
        <v>192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488</v>
      </c>
      <c r="R51" s="37">
        <v>484</v>
      </c>
      <c r="S51" s="37">
        <v>538</v>
      </c>
      <c r="T51" s="37">
        <v>228</v>
      </c>
      <c r="U51" s="37">
        <v>496</v>
      </c>
      <c r="V51" s="37">
        <v>258</v>
      </c>
      <c r="W51" s="37">
        <v>192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170">
        <f>SUM(D51:AB51)</f>
        <v>5368</v>
      </c>
      <c r="AD51" s="417"/>
      <c r="AE51" s="44">
        <f>K51+L51+M51+N51+O51+P51+Q51+R51+S51</f>
        <v>1702</v>
      </c>
      <c r="AF51" s="44">
        <f>E51+F51+G51+H51+I51+J51+K51+L51+M51+N51+O51+P51</f>
        <v>2684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>
        <v>637</v>
      </c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637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637</v>
      </c>
      <c r="E57" s="383">
        <f t="shared" ref="E57:V57" si="39">D57+E55+E56-E50-E51</f>
        <v>149</v>
      </c>
      <c r="F57" s="35">
        <f t="shared" si="39"/>
        <v>-335</v>
      </c>
      <c r="G57" s="35">
        <f t="shared" si="39"/>
        <v>-873</v>
      </c>
      <c r="H57" s="35">
        <f t="shared" si="39"/>
        <v>-1101</v>
      </c>
      <c r="I57" s="35">
        <f t="shared" si="39"/>
        <v>-1597</v>
      </c>
      <c r="J57" s="35">
        <f t="shared" si="39"/>
        <v>-1855</v>
      </c>
      <c r="K57" s="35">
        <f t="shared" si="39"/>
        <v>-2047</v>
      </c>
      <c r="L57" s="35">
        <f t="shared" si="39"/>
        <v>-2047</v>
      </c>
      <c r="M57" s="35">
        <f t="shared" si="39"/>
        <v>-2047</v>
      </c>
      <c r="N57" s="35">
        <f t="shared" si="39"/>
        <v>-2427</v>
      </c>
      <c r="O57" s="35">
        <f t="shared" si="39"/>
        <v>-2879</v>
      </c>
      <c r="P57" s="378">
        <f t="shared" si="39"/>
        <v>-3227</v>
      </c>
      <c r="Q57" s="498">
        <f t="shared" si="39"/>
        <v>-4203</v>
      </c>
      <c r="R57" s="499">
        <f t="shared" si="39"/>
        <v>-5171</v>
      </c>
      <c r="S57" s="498">
        <f t="shared" si="39"/>
        <v>-6247</v>
      </c>
      <c r="T57" s="499">
        <f t="shared" si="39"/>
        <v>-6703</v>
      </c>
      <c r="U57" s="498">
        <f t="shared" si="39"/>
        <v>-7695</v>
      </c>
      <c r="V57" s="499">
        <f t="shared" si="39"/>
        <v>-8211</v>
      </c>
      <c r="W57" s="499">
        <f t="shared" ref="W57" si="40">V57+W55+W56-W50-W51</f>
        <v>-8595</v>
      </c>
      <c r="X57" s="499">
        <f t="shared" ref="X57" si="41">W57+X55+X56-X50-X51</f>
        <v>-8595</v>
      </c>
      <c r="Y57" s="499">
        <f t="shared" ref="Y57" si="42">X57+Y55+Y56-Y50-Y51</f>
        <v>-8595</v>
      </c>
      <c r="Z57" s="499">
        <f t="shared" ref="Z57" si="43">Y57+Z55+Z56-Z50-Z51</f>
        <v>-8595</v>
      </c>
      <c r="AA57" s="499">
        <f t="shared" ref="AA57" si="44">Z57+AA55+AA56-AA50-AA51</f>
        <v>-8595</v>
      </c>
      <c r="AB57" s="499">
        <f t="shared" ref="AB57" si="45">AA57+AB55+AB56-AB50-AB51</f>
        <v>-8595</v>
      </c>
      <c r="AC57" s="197"/>
      <c r="AD57" s="59">
        <f>AB57-160</f>
        <v>-8755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20</v>
      </c>
      <c r="L3" s="15">
        <v>20</v>
      </c>
      <c r="M3" s="15">
        <v>20</v>
      </c>
      <c r="N3" s="15">
        <v>20</v>
      </c>
      <c r="O3" s="15">
        <v>20</v>
      </c>
      <c r="P3" s="15">
        <v>20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20</v>
      </c>
      <c r="X3" s="17">
        <v>20</v>
      </c>
      <c r="Y3" s="17">
        <v>20</v>
      </c>
      <c r="Z3" s="17">
        <v>20</v>
      </c>
      <c r="AA3" s="17">
        <v>20</v>
      </c>
      <c r="AB3" s="17">
        <v>20</v>
      </c>
      <c r="AC3" s="24">
        <f>SUM(D3:AB3)</f>
        <v>240</v>
      </c>
      <c r="AD3" s="7"/>
      <c r="AE3" s="44">
        <f>I3+J3+K3+L3+M3+N3+O3+P3+Q3+R3+S3</f>
        <v>120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288</v>
      </c>
      <c r="L8" s="370">
        <f t="shared" si="0"/>
        <v>268</v>
      </c>
      <c r="M8" s="370">
        <f t="shared" si="0"/>
        <v>248</v>
      </c>
      <c r="N8" s="370">
        <f t="shared" si="0"/>
        <v>228</v>
      </c>
      <c r="O8" s="370">
        <f t="shared" si="0"/>
        <v>208</v>
      </c>
      <c r="P8" s="370">
        <f t="shared" si="0"/>
        <v>185</v>
      </c>
      <c r="Q8" s="370">
        <f t="shared" si="0"/>
        <v>185</v>
      </c>
      <c r="R8" s="370">
        <f t="shared" si="0"/>
        <v>185</v>
      </c>
      <c r="S8" s="370">
        <f t="shared" si="0"/>
        <v>185</v>
      </c>
      <c r="T8" s="370">
        <f t="shared" si="0"/>
        <v>185</v>
      </c>
      <c r="U8" s="370">
        <f t="shared" si="0"/>
        <v>185</v>
      </c>
      <c r="V8" s="370">
        <f t="shared" si="0"/>
        <v>185</v>
      </c>
      <c r="W8" s="515">
        <f t="shared" ref="W8" si="1">V8+W6+W7-W2-W3-W4</f>
        <v>145</v>
      </c>
      <c r="X8" s="515">
        <f t="shared" ref="X8" si="2">W8+X6+X7-X2-X3-X4</f>
        <v>105</v>
      </c>
      <c r="Y8" s="515">
        <f t="shared" ref="Y8" si="3">X8+Y6+Y7-Y2-Y3-Y4</f>
        <v>65</v>
      </c>
      <c r="Z8" s="515">
        <f t="shared" ref="Z8" si="4">Y8+Z6+Z7-Z2-Z3-Z4</f>
        <v>25</v>
      </c>
      <c r="AA8" s="515">
        <f t="shared" ref="AA8" si="5">Z8+AA6+AA7-AA2-AA3-AA4</f>
        <v>-15</v>
      </c>
      <c r="AB8" s="515">
        <f t="shared" ref="AB8" si="6">AA8+AB6+AB7-AB2-AB3-AB4</f>
        <v>-55</v>
      </c>
      <c r="AC8" s="24"/>
      <c r="AD8" s="28">
        <f>AB8-20</f>
        <v>-75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21">
        <v>0</v>
      </c>
      <c r="J10" s="21">
        <v>0</v>
      </c>
      <c r="K10" s="21">
        <v>44</v>
      </c>
      <c r="L10" s="419">
        <v>44</v>
      </c>
      <c r="M10" s="419">
        <v>44</v>
      </c>
      <c r="N10" s="419">
        <v>44</v>
      </c>
      <c r="O10" s="419">
        <v>44</v>
      </c>
      <c r="P10" s="21">
        <v>44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44</v>
      </c>
      <c r="X10" s="9">
        <v>44</v>
      </c>
      <c r="Y10" s="9">
        <v>44</v>
      </c>
      <c r="Z10" s="9">
        <v>44</v>
      </c>
      <c r="AA10" s="9">
        <v>44</v>
      </c>
      <c r="AB10" s="9">
        <v>44</v>
      </c>
      <c r="AC10" s="24">
        <f>SUM(D10:AB10)</f>
        <v>528</v>
      </c>
      <c r="AD10" s="7"/>
      <c r="AE10" s="44">
        <f>I10+J10+K10+L10+M10+N10+O10+P10+Q10+R10+S10</f>
        <v>264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586</v>
      </c>
      <c r="I15" s="370">
        <f t="shared" si="7"/>
        <v>586</v>
      </c>
      <c r="J15" s="370">
        <f t="shared" si="7"/>
        <v>586</v>
      </c>
      <c r="K15" s="370">
        <f t="shared" si="7"/>
        <v>542</v>
      </c>
      <c r="L15" s="370">
        <f t="shared" si="7"/>
        <v>498</v>
      </c>
      <c r="M15" s="370">
        <f t="shared" si="7"/>
        <v>454</v>
      </c>
      <c r="N15" s="370">
        <f t="shared" si="7"/>
        <v>410</v>
      </c>
      <c r="O15" s="370">
        <f t="shared" si="7"/>
        <v>366</v>
      </c>
      <c r="P15" s="370">
        <f t="shared" si="7"/>
        <v>319</v>
      </c>
      <c r="Q15" s="370">
        <f t="shared" si="7"/>
        <v>319</v>
      </c>
      <c r="R15" s="370">
        <f t="shared" si="7"/>
        <v>319</v>
      </c>
      <c r="S15" s="370">
        <f t="shared" si="7"/>
        <v>319</v>
      </c>
      <c r="T15" s="370">
        <f t="shared" si="7"/>
        <v>319</v>
      </c>
      <c r="U15" s="515">
        <f t="shared" ref="U15" si="8">T15+U13+U14-U9-U10-U11</f>
        <v>319</v>
      </c>
      <c r="V15" s="515">
        <f t="shared" ref="V15" si="9">U15+V13+V14-V9-V10-V11</f>
        <v>319</v>
      </c>
      <c r="W15" s="515">
        <f t="shared" ref="W15" si="10">V15+W13+W14-W9-W10-W11</f>
        <v>231</v>
      </c>
      <c r="X15" s="515">
        <f t="shared" ref="X15" si="11">W15+X13+X14-X9-X10-X11</f>
        <v>143</v>
      </c>
      <c r="Y15" s="515">
        <f t="shared" ref="Y15" si="12">X15+Y13+Y14-Y9-Y10-Y11</f>
        <v>55</v>
      </c>
      <c r="Z15" s="515">
        <f t="shared" ref="Z15" si="13">Y15+Z13+Z14-Z9-Z10-Z11</f>
        <v>-33</v>
      </c>
      <c r="AA15" s="515">
        <f t="shared" ref="AA15" si="14">Z15+AA13+AA14-AA9-AA10-AA11</f>
        <v>-121</v>
      </c>
      <c r="AB15" s="515">
        <f t="shared" ref="AB15" si="15">AA15+AB13+AB14-AB9-AB10-AB11</f>
        <v>-209</v>
      </c>
      <c r="AC15" s="24"/>
      <c r="AD15" s="28">
        <f>AB15-44</f>
        <v>-253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384</v>
      </c>
      <c r="P16" s="127">
        <v>0</v>
      </c>
      <c r="Q16" s="17">
        <v>141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141</v>
      </c>
      <c r="F17" s="32">
        <v>259</v>
      </c>
      <c r="G17" s="32">
        <v>150</v>
      </c>
      <c r="H17" s="17">
        <v>128</v>
      </c>
      <c r="I17" s="15">
        <v>128</v>
      </c>
      <c r="J17" s="15">
        <v>128</v>
      </c>
      <c r="K17" s="15">
        <v>128</v>
      </c>
      <c r="L17" s="15">
        <v>128</v>
      </c>
      <c r="M17" s="21">
        <v>128</v>
      </c>
      <c r="N17" s="21">
        <v>128</v>
      </c>
      <c r="O17" s="15">
        <v>128</v>
      </c>
      <c r="P17" s="15">
        <v>128</v>
      </c>
      <c r="Q17" s="17">
        <v>141</v>
      </c>
      <c r="R17" s="17">
        <v>259</v>
      </c>
      <c r="S17" s="17">
        <v>150</v>
      </c>
      <c r="T17" s="17">
        <v>128</v>
      </c>
      <c r="U17" s="17">
        <v>128</v>
      </c>
      <c r="V17" s="17">
        <v>128</v>
      </c>
      <c r="W17" s="17">
        <v>128</v>
      </c>
      <c r="X17" s="17">
        <v>128</v>
      </c>
      <c r="Y17" s="17">
        <v>128</v>
      </c>
      <c r="Z17" s="17">
        <v>128</v>
      </c>
      <c r="AA17" s="17">
        <v>128</v>
      </c>
      <c r="AB17" s="17">
        <v>128</v>
      </c>
      <c r="AC17" s="24">
        <f>SUM(D17:AB17)</f>
        <v>3404</v>
      </c>
      <c r="AD17" s="7"/>
      <c r="AE17" s="44">
        <f>I17+J17+K17+L17+M17+N17+O17+P17+Q17+R17+S17</f>
        <v>1574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1330</v>
      </c>
      <c r="F22" s="370">
        <f t="shared" si="16"/>
        <v>1071</v>
      </c>
      <c r="G22" s="370">
        <f t="shared" si="16"/>
        <v>921</v>
      </c>
      <c r="H22" s="370">
        <f t="shared" si="16"/>
        <v>793</v>
      </c>
      <c r="I22" s="370">
        <f t="shared" si="16"/>
        <v>665</v>
      </c>
      <c r="J22" s="370">
        <f t="shared" si="16"/>
        <v>537</v>
      </c>
      <c r="K22" s="370">
        <f t="shared" si="16"/>
        <v>409</v>
      </c>
      <c r="L22" s="521">
        <f t="shared" si="16"/>
        <v>281</v>
      </c>
      <c r="M22" s="370">
        <f t="shared" si="16"/>
        <v>153</v>
      </c>
      <c r="N22" s="521">
        <f t="shared" si="16"/>
        <v>25</v>
      </c>
      <c r="O22" s="370">
        <f t="shared" si="16"/>
        <v>-487</v>
      </c>
      <c r="P22" s="370">
        <f t="shared" si="16"/>
        <v>-615</v>
      </c>
      <c r="Q22" s="370">
        <f t="shared" si="16"/>
        <v>-897</v>
      </c>
      <c r="R22" s="370">
        <f t="shared" si="16"/>
        <v>-1415</v>
      </c>
      <c r="S22" s="370">
        <f t="shared" si="16"/>
        <v>-1715</v>
      </c>
      <c r="T22" s="370">
        <f t="shared" si="16"/>
        <v>-1971</v>
      </c>
      <c r="U22" s="370">
        <f t="shared" si="16"/>
        <v>-2227</v>
      </c>
      <c r="V22" s="370">
        <f t="shared" si="16"/>
        <v>-2483</v>
      </c>
      <c r="W22" s="515">
        <f t="shared" ref="W22" si="17">V22+W20+W21-W16-W17-W18</f>
        <v>-2739</v>
      </c>
      <c r="X22" s="515">
        <f t="shared" ref="X22" si="18">W22+X20+X21-X16-X17-X18</f>
        <v>-2995</v>
      </c>
      <c r="Y22" s="515">
        <f t="shared" ref="Y22" si="19">X22+Y20+Y21-Y16-Y17-Y18</f>
        <v>-3251</v>
      </c>
      <c r="Z22" s="515">
        <f t="shared" ref="Z22" si="20">Y22+Z20+Z21-Z16-Z17-Z18</f>
        <v>-3507</v>
      </c>
      <c r="AA22" s="515">
        <f t="shared" ref="AA22" si="21">Z22+AA20+AA21-AA16-AA17-AA18</f>
        <v>-3763</v>
      </c>
      <c r="AB22" s="515">
        <f t="shared" ref="AB22" si="22">AA22+AB20+AB21-AB16-AB17-AB18</f>
        <v>-4019</v>
      </c>
      <c r="AC22" s="24"/>
      <c r="AD22" s="28">
        <f>AB22-128</f>
        <v>-4147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41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14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20</v>
      </c>
      <c r="F3" s="17">
        <v>72</v>
      </c>
      <c r="G3" s="17">
        <v>4</v>
      </c>
      <c r="H3" s="17">
        <v>14</v>
      </c>
      <c r="I3" s="15">
        <v>14</v>
      </c>
      <c r="J3" s="15">
        <v>16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20</v>
      </c>
      <c r="R3" s="17">
        <v>72</v>
      </c>
      <c r="S3" s="17">
        <v>4</v>
      </c>
      <c r="T3" s="17">
        <v>14</v>
      </c>
      <c r="U3" s="17">
        <v>14</v>
      </c>
      <c r="V3" s="17">
        <v>16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280</v>
      </c>
      <c r="AD3" s="142"/>
      <c r="AE3" s="44">
        <f>H3+I3+J3+K3+L3+M3+N3+O3+P3</f>
        <v>44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117</v>
      </c>
      <c r="F8" s="355">
        <f t="shared" ref="F8:R8" si="0">E8+F6+F7-F2-F3-F4</f>
        <v>45</v>
      </c>
      <c r="G8" s="355">
        <f t="shared" si="0"/>
        <v>41</v>
      </c>
      <c r="H8" s="355">
        <f t="shared" si="0"/>
        <v>27</v>
      </c>
      <c r="I8" s="355">
        <f t="shared" si="0"/>
        <v>13</v>
      </c>
      <c r="J8" s="355">
        <f t="shared" si="0"/>
        <v>-3</v>
      </c>
      <c r="K8" s="355">
        <f t="shared" si="0"/>
        <v>-3</v>
      </c>
      <c r="L8" s="355">
        <f t="shared" si="0"/>
        <v>-3</v>
      </c>
      <c r="M8" s="355">
        <f t="shared" si="0"/>
        <v>-3</v>
      </c>
      <c r="N8" s="355">
        <f t="shared" si="0"/>
        <v>-44</v>
      </c>
      <c r="O8" s="355">
        <f t="shared" si="0"/>
        <v>-76</v>
      </c>
      <c r="P8" s="355">
        <f t="shared" si="0"/>
        <v>-188</v>
      </c>
      <c r="Q8" s="355">
        <f t="shared" si="0"/>
        <v>-228</v>
      </c>
      <c r="R8" s="355">
        <f t="shared" si="0"/>
        <v>-372</v>
      </c>
      <c r="S8" s="355">
        <f t="shared" ref="S8" si="1">R8+S6+S7-S2-S3-S4</f>
        <v>-380</v>
      </c>
      <c r="T8" s="355">
        <f t="shared" ref="T8" si="2">S8+T6+T7-T2-T3-T4</f>
        <v>-408</v>
      </c>
      <c r="U8" s="355">
        <f t="shared" ref="U8" si="3">T8+U6+U7-U2-U3-U4</f>
        <v>-436</v>
      </c>
      <c r="V8" s="355">
        <f t="shared" ref="V8" si="4">U8+V6+V7-V2-V3-V4</f>
        <v>-468</v>
      </c>
      <c r="W8" s="355">
        <f t="shared" ref="W8" si="5">V8+W6+W7-W2-W3-W4</f>
        <v>-468</v>
      </c>
      <c r="X8" s="355">
        <f t="shared" ref="X8" si="6">W8+X6+X7-X2-X3-X4</f>
        <v>-468</v>
      </c>
      <c r="Y8" s="355">
        <f t="shared" ref="Y8" si="7">X8+Y6+Y7-Y2-Y3-Y4</f>
        <v>-468</v>
      </c>
      <c r="Z8" s="355">
        <f t="shared" ref="Z8" si="8">Y8+Z6+Z7-Z2-Z3-Z4</f>
        <v>-468</v>
      </c>
      <c r="AA8" s="355">
        <f t="shared" ref="AA8" si="9">Z8+AA6+AA7-AA2-AA3-AA4</f>
        <v>-468</v>
      </c>
      <c r="AB8" s="355">
        <f t="shared" ref="AB8" si="10">AA8+AB6+AB7-AB2-AB3-AB4</f>
        <v>-468</v>
      </c>
      <c r="AC8" s="371"/>
      <c r="AD8" s="28">
        <f>AB8-2*16</f>
        <v>-500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7</v>
      </c>
      <c r="O9" s="9">
        <v>7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22</v>
      </c>
      <c r="V9" s="9">
        <v>14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80</v>
      </c>
      <c r="F10" s="9">
        <v>12</v>
      </c>
      <c r="G10" s="9">
        <v>64</v>
      </c>
      <c r="H10" s="9">
        <v>4</v>
      </c>
      <c r="I10" s="15">
        <v>22</v>
      </c>
      <c r="J10" s="15">
        <v>14</v>
      </c>
      <c r="K10" s="17">
        <v>8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80</v>
      </c>
      <c r="R10" s="17">
        <v>12</v>
      </c>
      <c r="S10" s="17">
        <v>64</v>
      </c>
      <c r="T10" s="17">
        <v>4</v>
      </c>
      <c r="U10" s="17">
        <v>22</v>
      </c>
      <c r="V10" s="17">
        <v>14</v>
      </c>
      <c r="W10" s="17">
        <v>8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408</v>
      </c>
      <c r="AD10" s="142"/>
      <c r="AE10" s="44">
        <f>H10+I10+J10+K10+L10+M10+N10+O10+P10</f>
        <v>48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-20</v>
      </c>
      <c r="F15" s="355">
        <f t="shared" si="11"/>
        <v>-32</v>
      </c>
      <c r="G15" s="355">
        <f t="shared" si="11"/>
        <v>-96</v>
      </c>
      <c r="H15" s="355">
        <f t="shared" si="11"/>
        <v>-100</v>
      </c>
      <c r="I15" s="355">
        <f t="shared" si="11"/>
        <v>-122</v>
      </c>
      <c r="J15" s="355">
        <f t="shared" si="11"/>
        <v>-136</v>
      </c>
      <c r="K15" s="355">
        <f t="shared" si="11"/>
        <v>-144</v>
      </c>
      <c r="L15" s="355">
        <f t="shared" si="11"/>
        <v>-144</v>
      </c>
      <c r="M15" s="355">
        <f t="shared" si="11"/>
        <v>-144</v>
      </c>
      <c r="N15" s="355">
        <f t="shared" si="11"/>
        <v>-151</v>
      </c>
      <c r="O15" s="355">
        <f t="shared" si="11"/>
        <v>-158</v>
      </c>
      <c r="P15" s="355">
        <f t="shared" si="11"/>
        <v>-238</v>
      </c>
      <c r="Q15" s="355">
        <f t="shared" si="11"/>
        <v>-398</v>
      </c>
      <c r="R15" s="355">
        <f t="shared" si="11"/>
        <v>-422</v>
      </c>
      <c r="S15" s="355">
        <f t="shared" si="11"/>
        <v>-550</v>
      </c>
      <c r="T15" s="355">
        <f t="shared" si="11"/>
        <v>-558</v>
      </c>
      <c r="U15" s="355">
        <f t="shared" si="11"/>
        <v>-602</v>
      </c>
      <c r="V15" s="355">
        <f t="shared" si="11"/>
        <v>-630</v>
      </c>
      <c r="W15" s="355">
        <f t="shared" ref="W15" si="12">V15+W13+W14-W9-W10-W11</f>
        <v>-646</v>
      </c>
      <c r="X15" s="355">
        <f t="shared" ref="X15" si="13">W15+X13+X14-X9-X10-X11</f>
        <v>-646</v>
      </c>
      <c r="Y15" s="355">
        <f t="shared" ref="Y15" si="14">X15+Y13+Y14-Y9-Y10-Y11</f>
        <v>-646</v>
      </c>
      <c r="Z15" s="355">
        <f t="shared" ref="Z15" si="15">Y15+Z13+Z14-Z9-Z10-Z11</f>
        <v>-646</v>
      </c>
      <c r="AA15" s="355">
        <f t="shared" ref="AA15" si="16">Z15+AA13+AA14-AA9-AA10-AA11</f>
        <v>-646</v>
      </c>
      <c r="AB15" s="355">
        <f t="shared" ref="AB15" si="17">AA15+AB13+AB14-AB9-AB10-AB11</f>
        <v>-646</v>
      </c>
      <c r="AC15" s="371"/>
      <c r="AD15" s="28">
        <f>AB15-2*16</f>
        <v>-678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76</v>
      </c>
      <c r="O16" s="9">
        <v>34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72</v>
      </c>
      <c r="V16" s="9">
        <v>56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320</v>
      </c>
      <c r="F17" s="9">
        <v>24</v>
      </c>
      <c r="G17" s="9">
        <v>304</v>
      </c>
      <c r="H17" s="9">
        <v>136</v>
      </c>
      <c r="I17" s="15">
        <v>72</v>
      </c>
      <c r="J17" s="15">
        <v>56</v>
      </c>
      <c r="K17" s="17">
        <v>48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320</v>
      </c>
      <c r="R17" s="17">
        <v>24</v>
      </c>
      <c r="S17" s="17">
        <v>304</v>
      </c>
      <c r="T17" s="17">
        <v>136</v>
      </c>
      <c r="U17" s="17">
        <v>72</v>
      </c>
      <c r="V17" s="17">
        <v>56</v>
      </c>
      <c r="W17" s="17">
        <v>48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1920</v>
      </c>
      <c r="AD17" s="142"/>
      <c r="AE17" s="44">
        <f>H17+I17+J17+K17+L17+M17+N17+O17+P17</f>
        <v>312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-117</v>
      </c>
      <c r="F22" s="355">
        <f t="shared" si="18"/>
        <v>-141</v>
      </c>
      <c r="G22" s="355">
        <f t="shared" si="18"/>
        <v>-445</v>
      </c>
      <c r="H22" s="355">
        <f t="shared" si="18"/>
        <v>-581</v>
      </c>
      <c r="I22" s="355">
        <f t="shared" si="18"/>
        <v>-653</v>
      </c>
      <c r="J22" s="355">
        <f t="shared" si="18"/>
        <v>-709</v>
      </c>
      <c r="K22" s="355">
        <f t="shared" si="18"/>
        <v>-757</v>
      </c>
      <c r="L22" s="355">
        <f t="shared" si="18"/>
        <v>-757</v>
      </c>
      <c r="M22" s="355">
        <f t="shared" si="18"/>
        <v>-757</v>
      </c>
      <c r="N22" s="355">
        <f t="shared" si="18"/>
        <v>-833</v>
      </c>
      <c r="O22" s="355">
        <f t="shared" si="18"/>
        <v>-867</v>
      </c>
      <c r="P22" s="355">
        <f t="shared" si="18"/>
        <v>-1187</v>
      </c>
      <c r="Q22" s="355">
        <f t="shared" si="18"/>
        <v>-1827</v>
      </c>
      <c r="R22" s="355">
        <f t="shared" si="18"/>
        <v>-1875</v>
      </c>
      <c r="S22" s="355">
        <f t="shared" si="18"/>
        <v>-2483</v>
      </c>
      <c r="T22" s="355">
        <f t="shared" si="18"/>
        <v>-2755</v>
      </c>
      <c r="U22" s="355">
        <f t="shared" si="18"/>
        <v>-2899</v>
      </c>
      <c r="V22" s="355">
        <f t="shared" si="18"/>
        <v>-3011</v>
      </c>
      <c r="W22" s="355">
        <f t="shared" ref="W22" si="19">V22+W20+W21-W16-W17-W18</f>
        <v>-3107</v>
      </c>
      <c r="X22" s="355">
        <f t="shared" ref="X22" si="20">W22+X20+X21-X16-X17-X18</f>
        <v>-3107</v>
      </c>
      <c r="Y22" s="355">
        <f t="shared" ref="Y22" si="21">X22+Y20+Y21-Y16-Y17-Y18</f>
        <v>-3107</v>
      </c>
      <c r="Z22" s="355">
        <f t="shared" ref="Z22" si="22">Y22+Z20+Z21-Z16-Z17-Z18</f>
        <v>-3107</v>
      </c>
      <c r="AA22" s="355">
        <f t="shared" ref="AA22" si="23">Z22+AA20+AA21-AA16-AA17-AA18</f>
        <v>-3107</v>
      </c>
      <c r="AB22" s="355">
        <f t="shared" ref="AB22" si="24">AA22+AB20+AB21-AB16-AB17-AB18</f>
        <v>-3107</v>
      </c>
      <c r="AC22" s="371"/>
      <c r="AD22" s="28">
        <f>AB22-2*64</f>
        <v>-3235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65.790000000000006</v>
      </c>
      <c r="O2" s="177">
        <v>905.62999999999897</v>
      </c>
      <c r="P2" s="177">
        <v>914.71</v>
      </c>
      <c r="Q2" s="179">
        <v>469.36</v>
      </c>
      <c r="R2" s="177">
        <v>523.53</v>
      </c>
      <c r="S2" s="177">
        <v>479.565</v>
      </c>
      <c r="T2" s="177">
        <v>622.30999999999995</v>
      </c>
      <c r="U2" s="177">
        <v>585.9</v>
      </c>
      <c r="V2" s="177">
        <v>622.36</v>
      </c>
      <c r="W2" s="177">
        <v>513.27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7400.7549999999992</v>
      </c>
    </row>
    <row r="3" spans="1:44">
      <c r="A3" s="675"/>
      <c r="B3" s="580"/>
      <c r="C3" s="476" t="s">
        <v>166</v>
      </c>
      <c r="D3" s="200"/>
      <c r="E3" s="177">
        <v>469.36</v>
      </c>
      <c r="F3" s="177">
        <v>523.53</v>
      </c>
      <c r="G3" s="177">
        <v>479.57</v>
      </c>
      <c r="H3" s="177">
        <v>622.30999999999995</v>
      </c>
      <c r="I3" s="177">
        <v>585.9</v>
      </c>
      <c r="J3" s="177">
        <v>622.36</v>
      </c>
      <c r="K3" s="177">
        <v>513.27</v>
      </c>
      <c r="L3" s="177">
        <v>404.37</v>
      </c>
      <c r="M3" s="177">
        <v>356.87</v>
      </c>
      <c r="N3" s="177">
        <v>307.14</v>
      </c>
      <c r="O3" s="177">
        <v>316.16000000000003</v>
      </c>
      <c r="P3" s="178">
        <v>310.55</v>
      </c>
      <c r="Q3" s="179">
        <v>469.36</v>
      </c>
      <c r="R3" s="177">
        <v>523.53</v>
      </c>
      <c r="S3" s="177">
        <v>479.57</v>
      </c>
      <c r="T3" s="177">
        <v>622.30999999999995</v>
      </c>
      <c r="U3" s="199">
        <v>585.9</v>
      </c>
      <c r="V3" s="199">
        <v>622.36</v>
      </c>
      <c r="W3" s="199">
        <v>513.27</v>
      </c>
      <c r="X3" s="199">
        <v>404.37</v>
      </c>
      <c r="Y3" s="199">
        <v>356.87</v>
      </c>
      <c r="Z3" s="199">
        <v>307.14</v>
      </c>
      <c r="AA3" s="199">
        <v>316.16000000000003</v>
      </c>
      <c r="AB3" s="477">
        <v>310.55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11022.78</v>
      </c>
    </row>
    <row r="4" spans="1:44">
      <c r="A4" s="675"/>
      <c r="B4" s="580"/>
      <c r="C4" s="478" t="s">
        <v>49</v>
      </c>
      <c r="D4" s="182">
        <v>2051.7750000000001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2051.7750000000001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2051.7750000000001</v>
      </c>
      <c r="E7" s="196">
        <f>D7+E5+E6-E2-E3</f>
        <v>1582.415</v>
      </c>
      <c r="F7" s="196">
        <f>E7+F5+F6-F2-F3</f>
        <v>1058.885</v>
      </c>
      <c r="G7" s="196">
        <f>F7+G5+G6-G2-G3</f>
        <v>579.31500000000005</v>
      </c>
      <c r="H7" s="196">
        <f t="shared" ref="H7:R7" si="0">G7+H5+H6-H2-H3</f>
        <v>-42.994999999999891</v>
      </c>
      <c r="I7" s="196">
        <f t="shared" si="0"/>
        <v>-628.89499999999987</v>
      </c>
      <c r="J7" s="196">
        <f t="shared" si="0"/>
        <v>-1251.2549999999999</v>
      </c>
      <c r="K7" s="196">
        <f t="shared" si="0"/>
        <v>-1764.9649999999999</v>
      </c>
      <c r="L7" s="196">
        <f t="shared" si="0"/>
        <v>-2170.7950000000001</v>
      </c>
      <c r="M7" s="196">
        <f t="shared" si="0"/>
        <v>-2529.0050000000001</v>
      </c>
      <c r="N7" s="196">
        <f t="shared" si="0"/>
        <v>-2901.9349999999999</v>
      </c>
      <c r="O7" s="196">
        <f t="shared" si="0"/>
        <v>-4123.7249999999985</v>
      </c>
      <c r="P7" s="196">
        <f t="shared" si="0"/>
        <v>-5348.9849999999988</v>
      </c>
      <c r="Q7" s="196">
        <f>P7+Q5+Q6-Q2-Q3</f>
        <v>-6287.7049999999981</v>
      </c>
      <c r="R7" s="196">
        <f t="shared" si="0"/>
        <v>-7334.7649999999976</v>
      </c>
      <c r="S7" s="196">
        <f t="shared" ref="S7:AB7" si="1">R7+S5+S6-S2-S3</f>
        <v>-8293.8999999999978</v>
      </c>
      <c r="T7" s="196">
        <f t="shared" si="1"/>
        <v>-9538.5199999999968</v>
      </c>
      <c r="U7" s="196">
        <f t="shared" si="1"/>
        <v>-10710.319999999996</v>
      </c>
      <c r="V7" s="196">
        <f t="shared" si="1"/>
        <v>-11955.039999999997</v>
      </c>
      <c r="W7" s="196">
        <f t="shared" si="1"/>
        <v>-12981.579999999998</v>
      </c>
      <c r="X7" s="196">
        <f t="shared" si="1"/>
        <v>-13790.32</v>
      </c>
      <c r="Y7" s="196">
        <f t="shared" si="1"/>
        <v>-14504.060000000001</v>
      </c>
      <c r="Z7" s="413">
        <f t="shared" si="1"/>
        <v>-15118.34</v>
      </c>
      <c r="AA7" s="196">
        <f t="shared" si="1"/>
        <v>-15750.66</v>
      </c>
      <c r="AB7" s="481">
        <f t="shared" si="1"/>
        <v>-16371.759999999998</v>
      </c>
      <c r="AC7" s="469">
        <f t="shared" ref="AC7" si="2">AB7+AC5+AC6-AC2-AC3</f>
        <v>-16371.759999999998</v>
      </c>
      <c r="AD7" s="427">
        <f t="shared" ref="AD7" si="3">AC7+AD5+AD6-AD2-AD3</f>
        <v>-16371.759999999998</v>
      </c>
      <c r="AE7" s="427">
        <f t="shared" ref="AE7" si="4">AD7+AE5+AE6-AE2-AE3</f>
        <v>-16371.759999999998</v>
      </c>
      <c r="AF7" s="427">
        <f t="shared" ref="AF7" si="5">AE7+AF5+AF6-AF2-AF3</f>
        <v>-16371.759999999998</v>
      </c>
      <c r="AG7" s="427">
        <f t="shared" ref="AG7" si="6">AF7+AG5+AG6-AG2-AG3</f>
        <v>-16371.759999999998</v>
      </c>
      <c r="AH7" s="427">
        <f t="shared" ref="AH7" si="7">AG7+AH5+AH6-AH2-AH3</f>
        <v>-16371.759999999998</v>
      </c>
      <c r="AI7" s="427">
        <f t="shared" ref="AI7" si="8">AH7+AI5+AI6-AI2-AI3</f>
        <v>-16371.759999999998</v>
      </c>
      <c r="AJ7" s="427">
        <f t="shared" ref="AJ7" si="9">AI7+AJ5+AJ6-AJ2-AJ3</f>
        <v>-16371.759999999998</v>
      </c>
      <c r="AK7" s="427">
        <f t="shared" ref="AK7" si="10">AJ7+AK5+AK6-AK2-AK3</f>
        <v>-16371.759999999998</v>
      </c>
      <c r="AL7" s="427">
        <f t="shared" ref="AL7" si="11">AK7+AL5+AL6-AL2-AL3</f>
        <v>-16371.759999999998</v>
      </c>
      <c r="AM7" s="427">
        <f t="shared" ref="AM7" si="12">AL7+AM5+AM6-AM2-AM3</f>
        <v>-16371.759999999998</v>
      </c>
      <c r="AN7" s="440"/>
      <c r="AO7" s="440"/>
      <c r="AP7" s="198">
        <f>AB7-0</f>
        <v>-16371.759999999998</v>
      </c>
      <c r="AQ7" s="172">
        <v>8.9600000000000009</v>
      </c>
      <c r="AR7" s="172">
        <f>AP7*AQ7</f>
        <v>-146690.96960000001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124.86</v>
      </c>
      <c r="O8" s="177">
        <v>1370.86</v>
      </c>
      <c r="P8" s="178">
        <v>1589.91</v>
      </c>
      <c r="Q8" s="179">
        <v>1708.35</v>
      </c>
      <c r="R8" s="177">
        <v>1547.11</v>
      </c>
      <c r="S8" s="177">
        <v>1260.56</v>
      </c>
      <c r="T8" s="177">
        <v>1248.1300000000001</v>
      </c>
      <c r="U8" s="177">
        <v>1246.17</v>
      </c>
      <c r="V8" s="177">
        <v>1125.8599999999999</v>
      </c>
      <c r="W8" s="177">
        <v>1188.98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17022.34</v>
      </c>
    </row>
    <row r="9" spans="1:44">
      <c r="A9" s="675"/>
      <c r="B9" s="580"/>
      <c r="C9" s="476" t="s">
        <v>166</v>
      </c>
      <c r="D9" s="174"/>
      <c r="E9" s="177">
        <v>1708.35</v>
      </c>
      <c r="F9" s="177">
        <v>1547.11</v>
      </c>
      <c r="G9" s="177">
        <v>1260.56</v>
      </c>
      <c r="H9" s="177">
        <v>1248.1300000000001</v>
      </c>
      <c r="I9" s="177">
        <v>1246.17</v>
      </c>
      <c r="J9" s="177">
        <v>1125.8599999999999</v>
      </c>
      <c r="K9" s="177">
        <v>1188.98</v>
      </c>
      <c r="L9" s="177">
        <v>1041.1199999999999</v>
      </c>
      <c r="M9" s="177">
        <v>965.71</v>
      </c>
      <c r="N9" s="177">
        <v>857.52</v>
      </c>
      <c r="O9" s="177">
        <v>860.16</v>
      </c>
      <c r="P9" s="178">
        <v>887.04</v>
      </c>
      <c r="Q9" s="179">
        <v>1708.35</v>
      </c>
      <c r="R9" s="177">
        <v>1547.11</v>
      </c>
      <c r="S9" s="177">
        <v>1260.56</v>
      </c>
      <c r="T9" s="199">
        <v>1248.1300000000001</v>
      </c>
      <c r="U9" s="199">
        <v>1246.17</v>
      </c>
      <c r="V9" s="199">
        <v>1125.8599999999999</v>
      </c>
      <c r="W9" s="199">
        <v>1188.98</v>
      </c>
      <c r="X9" s="199">
        <v>1041.1199999999999</v>
      </c>
      <c r="Y9" s="199">
        <v>965.71</v>
      </c>
      <c r="Z9" s="199">
        <v>857.52</v>
      </c>
      <c r="AA9" s="199">
        <v>860.16</v>
      </c>
      <c r="AB9" s="477">
        <v>887.04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27873.42</v>
      </c>
    </row>
    <row r="10" spans="1:44">
      <c r="A10" s="675"/>
      <c r="B10" s="580"/>
      <c r="C10" s="478" t="s">
        <v>49</v>
      </c>
      <c r="D10" s="418">
        <v>1517.18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1517.18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1517.18</v>
      </c>
      <c r="E13" s="196">
        <f>D13+E11+E12-E8-E9</f>
        <v>-191.16999999999985</v>
      </c>
      <c r="F13" s="196">
        <f>E13+F11+F12-F8-F9</f>
        <v>-1738.2799999999997</v>
      </c>
      <c r="G13" s="196">
        <f>F13+G11+G12-G8-G9</f>
        <v>-2998.8399999999997</v>
      </c>
      <c r="H13" s="196">
        <f t="shared" ref="H13:R13" si="13">G13+H11+H12-H8-H9</f>
        <v>-4246.9699999999993</v>
      </c>
      <c r="I13" s="196">
        <f t="shared" si="13"/>
        <v>-5493.1399999999994</v>
      </c>
      <c r="J13" s="196">
        <f t="shared" si="13"/>
        <v>-6618.9999999999991</v>
      </c>
      <c r="K13" s="196">
        <f t="shared" si="13"/>
        <v>-7807.98</v>
      </c>
      <c r="L13" s="196">
        <f t="shared" si="13"/>
        <v>-8849.0999999999985</v>
      </c>
      <c r="M13" s="196">
        <f t="shared" si="13"/>
        <v>-9814.8099999999977</v>
      </c>
      <c r="N13" s="196">
        <f t="shared" si="13"/>
        <v>-10797.189999999999</v>
      </c>
      <c r="O13" s="196">
        <f t="shared" si="13"/>
        <v>-13028.21</v>
      </c>
      <c r="P13" s="196">
        <f t="shared" si="13"/>
        <v>-15505.16</v>
      </c>
      <c r="Q13" s="196">
        <f>P13+Q11+Q12-Q8-Q9</f>
        <v>-18921.859999999997</v>
      </c>
      <c r="R13" s="196">
        <f t="shared" si="13"/>
        <v>-22016.079999999998</v>
      </c>
      <c r="S13" s="196">
        <f t="shared" ref="S13:AB13" si="14">R13+S11+S12-S8-S9</f>
        <v>-24537.200000000001</v>
      </c>
      <c r="T13" s="196">
        <f t="shared" si="14"/>
        <v>-27033.460000000003</v>
      </c>
      <c r="U13" s="196">
        <f t="shared" si="14"/>
        <v>-29525.800000000003</v>
      </c>
      <c r="V13" s="196">
        <f t="shared" si="14"/>
        <v>-31777.520000000004</v>
      </c>
      <c r="W13" s="196">
        <f t="shared" si="14"/>
        <v>-34155.48000000001</v>
      </c>
      <c r="X13" s="196">
        <f t="shared" si="14"/>
        <v>-36237.720000000016</v>
      </c>
      <c r="Y13" s="196">
        <f t="shared" si="14"/>
        <v>-38169.140000000014</v>
      </c>
      <c r="Z13" s="413">
        <f t="shared" si="14"/>
        <v>-39884.180000000008</v>
      </c>
      <c r="AA13" s="468">
        <f t="shared" si="14"/>
        <v>-41604.500000000015</v>
      </c>
      <c r="AB13" s="481">
        <f t="shared" si="14"/>
        <v>-43378.580000000016</v>
      </c>
      <c r="AC13" s="469">
        <f t="shared" ref="AC13" si="15">AB13+AC11+AC12-AC8-AC9</f>
        <v>-43378.580000000016</v>
      </c>
      <c r="AD13" s="427">
        <f t="shared" ref="AD13" si="16">AC13+AD11+AD12-AD8-AD9</f>
        <v>-43378.580000000016</v>
      </c>
      <c r="AE13" s="427">
        <f t="shared" ref="AE13" si="17">AD13+AE11+AE12-AE8-AE9</f>
        <v>-43378.580000000016</v>
      </c>
      <c r="AF13" s="427">
        <f t="shared" ref="AF13" si="18">AE13+AF11+AF12-AF8-AF9</f>
        <v>-43378.580000000016</v>
      </c>
      <c r="AG13" s="427">
        <f t="shared" ref="AG13" si="19">AF13+AG11+AG12-AG8-AG9</f>
        <v>-43378.580000000016</v>
      </c>
      <c r="AH13" s="427">
        <f t="shared" ref="AH13" si="20">AG13+AH11+AH12-AH8-AH9</f>
        <v>-43378.580000000016</v>
      </c>
      <c r="AI13" s="427">
        <f t="shared" ref="AI13" si="21">AH13+AI11+AI12-AI8-AI9</f>
        <v>-43378.580000000016</v>
      </c>
      <c r="AJ13" s="427">
        <f t="shared" ref="AJ13" si="22">AI13+AJ11+AJ12-AJ8-AJ9</f>
        <v>-43378.580000000016</v>
      </c>
      <c r="AK13" s="427">
        <f t="shared" ref="AK13" si="23">AJ13+AK11+AK12-AK8-AK9</f>
        <v>-43378.580000000016</v>
      </c>
      <c r="AL13" s="427">
        <f t="shared" ref="AL13" si="24">AK13+AL11+AL12-AL8-AL9</f>
        <v>-43378.580000000016</v>
      </c>
      <c r="AM13" s="427">
        <f t="shared" ref="AM13" si="25">AL13+AM11+AM12-AM8-AM9</f>
        <v>-43378.580000000016</v>
      </c>
      <c r="AN13" s="440"/>
      <c r="AO13" s="440"/>
      <c r="AP13" s="198">
        <f>AB13-0</f>
        <v>-43378.580000000016</v>
      </c>
      <c r="AQ13" s="172">
        <v>11.82</v>
      </c>
      <c r="AR13" s="172">
        <f>AP13*AQ13</f>
        <v>-512734.81560000021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293.37</v>
      </c>
      <c r="O14" s="177">
        <v>2815.64</v>
      </c>
      <c r="P14" s="178">
        <v>2612.21</v>
      </c>
      <c r="Q14" s="179">
        <v>597.57000000000005</v>
      </c>
      <c r="R14" s="177">
        <v>876.72</v>
      </c>
      <c r="S14" s="177">
        <v>928.62</v>
      </c>
      <c r="T14" s="177">
        <v>1484.98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17935.38</v>
      </c>
    </row>
    <row r="15" spans="1:44">
      <c r="A15" s="676"/>
      <c r="B15" s="581"/>
      <c r="C15" s="476" t="s">
        <v>166</v>
      </c>
      <c r="D15" s="174"/>
      <c r="E15" s="177">
        <v>597.57000000000005</v>
      </c>
      <c r="F15" s="177">
        <v>876.72</v>
      </c>
      <c r="G15" s="177">
        <v>928.62</v>
      </c>
      <c r="H15" s="177">
        <v>1484.98</v>
      </c>
      <c r="I15" s="177">
        <v>1389.35</v>
      </c>
      <c r="J15" s="177">
        <v>1661.29</v>
      </c>
      <c r="K15" s="177">
        <v>1189.8699999999999</v>
      </c>
      <c r="L15" s="177">
        <v>928.23</v>
      </c>
      <c r="M15" s="177">
        <v>782.02</v>
      </c>
      <c r="N15" s="177">
        <v>781.36</v>
      </c>
      <c r="O15" s="177">
        <v>819.2</v>
      </c>
      <c r="P15" s="178">
        <v>758.8</v>
      </c>
      <c r="Q15" s="179">
        <v>597.57000000000005</v>
      </c>
      <c r="R15" s="177">
        <v>876.72</v>
      </c>
      <c r="S15" s="177">
        <v>928.62</v>
      </c>
      <c r="T15" s="199">
        <v>1484.98</v>
      </c>
      <c r="U15" s="199">
        <v>1389.35</v>
      </c>
      <c r="V15" s="199">
        <v>1661.29</v>
      </c>
      <c r="W15" s="199">
        <v>1189.8699999999999</v>
      </c>
      <c r="X15" s="199">
        <v>928.23</v>
      </c>
      <c r="Y15" s="199">
        <v>782.02</v>
      </c>
      <c r="Z15" s="199">
        <v>781.36</v>
      </c>
      <c r="AA15" s="199">
        <v>819.2</v>
      </c>
      <c r="AB15" s="477">
        <v>758.8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24396.02</v>
      </c>
    </row>
    <row r="16" spans="1:44">
      <c r="A16" s="676"/>
      <c r="B16" s="581"/>
      <c r="C16" s="478" t="s">
        <v>49</v>
      </c>
      <c r="D16" s="418">
        <v>3194.13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3194.13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3194.13</v>
      </c>
      <c r="E19" s="445">
        <f>D19+E17+E18-E14-E15</f>
        <v>2596.56</v>
      </c>
      <c r="F19" s="445">
        <f>E19+F17+F18-F14-F15</f>
        <v>1719.84</v>
      </c>
      <c r="G19" s="445">
        <f>F19+G17+G18-G14-G15</f>
        <v>791.21999999999991</v>
      </c>
      <c r="H19" s="445">
        <f t="shared" ref="H19:R19" si="26">G19+H17+H18-H14-H15</f>
        <v>-693.7600000000001</v>
      </c>
      <c r="I19" s="445">
        <f t="shared" si="26"/>
        <v>-2083.11</v>
      </c>
      <c r="J19" s="445">
        <f t="shared" si="26"/>
        <v>-3744.4</v>
      </c>
      <c r="K19" s="445">
        <f t="shared" si="26"/>
        <v>-4937.67</v>
      </c>
      <c r="L19" s="445">
        <f t="shared" si="26"/>
        <v>-5871.75</v>
      </c>
      <c r="M19" s="445">
        <f t="shared" si="26"/>
        <v>-6660.67</v>
      </c>
      <c r="N19" s="445">
        <f t="shared" si="26"/>
        <v>-7735.4</v>
      </c>
      <c r="O19" s="445">
        <f t="shared" si="26"/>
        <v>-11370.24</v>
      </c>
      <c r="P19" s="445">
        <f t="shared" si="26"/>
        <v>-14741.25</v>
      </c>
      <c r="Q19" s="445">
        <f>P19+Q17+Q18-Q14-Q15</f>
        <v>-15936.39</v>
      </c>
      <c r="R19" s="445">
        <f t="shared" si="26"/>
        <v>-17689.830000000002</v>
      </c>
      <c r="S19" s="445">
        <f t="shared" ref="S19:AB19" si="27">R19+S17+S18-S14-S15</f>
        <v>-19547.07</v>
      </c>
      <c r="T19" s="445">
        <f t="shared" si="27"/>
        <v>-22517.03</v>
      </c>
      <c r="U19" s="445">
        <f t="shared" si="27"/>
        <v>-25295.729999999996</v>
      </c>
      <c r="V19" s="445">
        <f t="shared" si="27"/>
        <v>-28618.309999999998</v>
      </c>
      <c r="W19" s="445">
        <f t="shared" si="27"/>
        <v>-30998.049999999996</v>
      </c>
      <c r="X19" s="445">
        <f t="shared" si="27"/>
        <v>-32854.509999999995</v>
      </c>
      <c r="Y19" s="445">
        <f t="shared" si="27"/>
        <v>-34418.549999999988</v>
      </c>
      <c r="Z19" s="485">
        <f t="shared" si="27"/>
        <v>-35981.26999999999</v>
      </c>
      <c r="AA19" s="486">
        <f t="shared" si="27"/>
        <v>-37619.669999999984</v>
      </c>
      <c r="AB19" s="487">
        <f t="shared" si="27"/>
        <v>-39137.26999999999</v>
      </c>
      <c r="AC19" s="494">
        <f t="shared" ref="AC19" si="28">AB19+AC17+AC18-AC14-AC15</f>
        <v>-39137.26999999999</v>
      </c>
      <c r="AD19" s="443">
        <f t="shared" ref="AD19" si="29">AC19+AD17+AD18-AD14-AD15</f>
        <v>-39137.26999999999</v>
      </c>
      <c r="AE19" s="443">
        <f t="shared" ref="AE19" si="30">AD19+AE17+AE18-AE14-AE15</f>
        <v>-39137.26999999999</v>
      </c>
      <c r="AF19" s="443">
        <f t="shared" ref="AF19" si="31">AE19+AF17+AF18-AF14-AF15</f>
        <v>-39137.26999999999</v>
      </c>
      <c r="AG19" s="443">
        <f t="shared" ref="AG19" si="32">AF19+AG17+AG18-AG14-AG15</f>
        <v>-39137.26999999999</v>
      </c>
      <c r="AH19" s="443">
        <f t="shared" ref="AH19" si="33">AG19+AH17+AH18-AH14-AH15</f>
        <v>-39137.26999999999</v>
      </c>
      <c r="AI19" s="443">
        <f t="shared" ref="AI19" si="34">AH19+AI17+AI18-AI14-AI15</f>
        <v>-39137.26999999999</v>
      </c>
      <c r="AJ19" s="443">
        <f t="shared" ref="AJ19" si="35">AI19+AJ17+AJ18-AJ14-AJ15</f>
        <v>-39137.26999999999</v>
      </c>
      <c r="AK19" s="443">
        <f t="shared" ref="AK19" si="36">AJ19+AK17+AK18-AK14-AK15</f>
        <v>-39137.26999999999</v>
      </c>
      <c r="AL19" s="443">
        <f t="shared" ref="AL19" si="37">AK19+AL17+AL18-AL14-AL15</f>
        <v>-39137.26999999999</v>
      </c>
      <c r="AM19" s="495"/>
      <c r="AN19" s="488"/>
      <c r="AO19" s="440"/>
      <c r="AP19" s="198">
        <f>AB19-0</f>
        <v>-39137.26999999999</v>
      </c>
      <c r="AQ19" s="172">
        <v>11.9</v>
      </c>
      <c r="AR19" s="172">
        <f>AP19*AQ19</f>
        <v>-465733.51299999986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41.3</v>
      </c>
      <c r="P20" s="456">
        <v>160.94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319.41999999999996</v>
      </c>
    </row>
    <row r="21" spans="1:44">
      <c r="A21" s="673"/>
      <c r="B21" s="562"/>
      <c r="C21" s="476" t="s">
        <v>307</v>
      </c>
      <c r="D21" s="174"/>
      <c r="E21" s="177">
        <v>1.32</v>
      </c>
      <c r="F21" s="177">
        <v>11.7</v>
      </c>
      <c r="G21" s="177">
        <v>17.16</v>
      </c>
      <c r="H21" s="177">
        <v>0</v>
      </c>
      <c r="I21" s="177">
        <v>0</v>
      </c>
      <c r="J21" s="177">
        <v>37.5</v>
      </c>
      <c r="K21" s="177">
        <v>49.5</v>
      </c>
      <c r="L21" s="177">
        <v>0</v>
      </c>
      <c r="M21" s="177">
        <v>0</v>
      </c>
      <c r="N21" s="177">
        <v>0</v>
      </c>
      <c r="O21" s="177">
        <v>0</v>
      </c>
      <c r="P21" s="178">
        <v>0</v>
      </c>
      <c r="Q21" s="179">
        <v>1.32</v>
      </c>
      <c r="R21" s="177">
        <v>11.7</v>
      </c>
      <c r="S21" s="177">
        <v>17.16</v>
      </c>
      <c r="T21" s="199">
        <v>0</v>
      </c>
      <c r="U21" s="199">
        <v>0</v>
      </c>
      <c r="V21" s="199">
        <v>37.5</v>
      </c>
      <c r="W21" s="199">
        <v>49.5</v>
      </c>
      <c r="X21" s="199">
        <v>0</v>
      </c>
      <c r="Y21" s="199">
        <v>0</v>
      </c>
      <c r="Z21" s="199">
        <v>0</v>
      </c>
      <c r="AA21" s="199">
        <v>0</v>
      </c>
      <c r="AB21" s="477">
        <v>0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234.35999999999999</v>
      </c>
    </row>
    <row r="22" spans="1:44">
      <c r="A22" s="673"/>
      <c r="B22" s="562"/>
      <c r="C22" s="478" t="s">
        <v>49</v>
      </c>
      <c r="D22" s="418">
        <v>1149.9000000000001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1149.9000000000001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1149.9000000000001</v>
      </c>
      <c r="E25" s="434">
        <f t="shared" ref="E25:AB25" si="38">D25+E23+E24-E20-E21</f>
        <v>1148.5800000000002</v>
      </c>
      <c r="F25" s="434">
        <f>E25+F23+F24-F20-F21</f>
        <v>1136.8800000000001</v>
      </c>
      <c r="G25" s="434">
        <f>F25+G23+G24-G20-G21</f>
        <v>1119.72</v>
      </c>
      <c r="H25" s="434">
        <f t="shared" si="38"/>
        <v>1119.72</v>
      </c>
      <c r="I25" s="434">
        <f t="shared" si="38"/>
        <v>1119.72</v>
      </c>
      <c r="J25" s="434">
        <f t="shared" si="38"/>
        <v>1082.22</v>
      </c>
      <c r="K25" s="434">
        <f t="shared" si="38"/>
        <v>1032.72</v>
      </c>
      <c r="L25" s="434">
        <f t="shared" si="38"/>
        <v>1032.72</v>
      </c>
      <c r="M25" s="434">
        <f t="shared" si="38"/>
        <v>1032.72</v>
      </c>
      <c r="N25" s="434">
        <f t="shared" si="38"/>
        <v>1032.72</v>
      </c>
      <c r="O25" s="434">
        <f t="shared" si="38"/>
        <v>991.42000000000007</v>
      </c>
      <c r="P25" s="434">
        <f t="shared" si="38"/>
        <v>830.48</v>
      </c>
      <c r="Q25" s="434">
        <f>P25+Q23+Q24-Q20-Q21</f>
        <v>827.83999999999992</v>
      </c>
      <c r="R25" s="434">
        <f t="shared" si="38"/>
        <v>804.43999999999983</v>
      </c>
      <c r="S25" s="434">
        <f t="shared" si="38"/>
        <v>770.11999999999989</v>
      </c>
      <c r="T25" s="434">
        <f t="shared" si="38"/>
        <v>770.11999999999989</v>
      </c>
      <c r="U25" s="434">
        <f t="shared" si="38"/>
        <v>770.11999999999989</v>
      </c>
      <c r="V25" s="483">
        <f t="shared" si="38"/>
        <v>695.11999999999989</v>
      </c>
      <c r="W25" s="434">
        <f t="shared" si="38"/>
        <v>596.11999999999989</v>
      </c>
      <c r="X25" s="492">
        <f t="shared" si="38"/>
        <v>596.11999999999989</v>
      </c>
      <c r="Y25" s="492">
        <f t="shared" si="38"/>
        <v>596.11999999999989</v>
      </c>
      <c r="Z25" s="492">
        <f t="shared" si="38"/>
        <v>596.11999999999989</v>
      </c>
      <c r="AA25" s="492">
        <f t="shared" si="38"/>
        <v>596.11999999999989</v>
      </c>
      <c r="AB25" s="493">
        <f t="shared" si="38"/>
        <v>596.11999999999989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596.11999999999989</v>
      </c>
      <c r="AQ25" s="172">
        <v>102.22</v>
      </c>
      <c r="AR25" s="172">
        <f>AP25*AQ25</f>
        <v>60935.386399999988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6.56</v>
      </c>
      <c r="P26" s="456">
        <v>25.5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50.440000000000005</v>
      </c>
    </row>
    <row r="27" spans="1:44">
      <c r="A27" s="673"/>
      <c r="B27" s="562"/>
      <c r="C27" s="476" t="s">
        <v>166</v>
      </c>
      <c r="D27" s="174"/>
      <c r="E27" s="177">
        <v>0.2</v>
      </c>
      <c r="F27" s="177">
        <v>2.08</v>
      </c>
      <c r="G27" s="177">
        <v>2.6</v>
      </c>
      <c r="H27" s="177">
        <v>0</v>
      </c>
      <c r="I27" s="177">
        <v>0</v>
      </c>
      <c r="J27" s="177">
        <v>6</v>
      </c>
      <c r="K27" s="177">
        <v>7.5</v>
      </c>
      <c r="L27" s="177">
        <v>0</v>
      </c>
      <c r="M27" s="177">
        <v>0</v>
      </c>
      <c r="N27" s="177">
        <v>0</v>
      </c>
      <c r="O27" s="177">
        <v>0</v>
      </c>
      <c r="P27" s="178">
        <v>0</v>
      </c>
      <c r="Q27" s="179">
        <v>0.2</v>
      </c>
      <c r="R27" s="177">
        <v>2.08</v>
      </c>
      <c r="S27" s="177">
        <v>2.6</v>
      </c>
      <c r="T27" s="177">
        <v>0</v>
      </c>
      <c r="U27" s="199">
        <v>0</v>
      </c>
      <c r="V27" s="199">
        <v>6</v>
      </c>
      <c r="W27" s="199">
        <v>7.5</v>
      </c>
      <c r="X27" s="199">
        <v>0</v>
      </c>
      <c r="Y27" s="199">
        <v>0</v>
      </c>
      <c r="Z27" s="199">
        <v>0</v>
      </c>
      <c r="AA27" s="199">
        <v>0</v>
      </c>
      <c r="AB27" s="477">
        <v>0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36.760000000000005</v>
      </c>
    </row>
    <row r="28" spans="1:44">
      <c r="A28" s="673"/>
      <c r="B28" s="562"/>
      <c r="C28" s="478" t="s">
        <v>49</v>
      </c>
      <c r="D28" s="418">
        <v>207.15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207.15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207.15</v>
      </c>
      <c r="E31" s="434">
        <f t="shared" ref="E31:AB31" si="39">D31+E29+E30-E26-E27</f>
        <v>206.95000000000002</v>
      </c>
      <c r="F31" s="434">
        <f>E31+F29+F30-F26-F27</f>
        <v>204.87</v>
      </c>
      <c r="G31" s="434">
        <f>F31+G29+G30-G26-G27</f>
        <v>202.27</v>
      </c>
      <c r="H31" s="434">
        <f t="shared" si="39"/>
        <v>202.27</v>
      </c>
      <c r="I31" s="434">
        <f t="shared" si="39"/>
        <v>202.27</v>
      </c>
      <c r="J31" s="434">
        <f t="shared" si="39"/>
        <v>196.27</v>
      </c>
      <c r="K31" s="434">
        <f t="shared" si="39"/>
        <v>188.77</v>
      </c>
      <c r="L31" s="434">
        <f t="shared" si="39"/>
        <v>188.77</v>
      </c>
      <c r="M31" s="434">
        <f t="shared" si="39"/>
        <v>188.77</v>
      </c>
      <c r="N31" s="434">
        <f t="shared" si="39"/>
        <v>188.77</v>
      </c>
      <c r="O31" s="434">
        <f t="shared" si="39"/>
        <v>182.21</v>
      </c>
      <c r="P31" s="434">
        <f t="shared" si="39"/>
        <v>156.71</v>
      </c>
      <c r="Q31" s="434">
        <f>P31+Q29+Q30-Q26-Q27</f>
        <v>156.31000000000003</v>
      </c>
      <c r="R31" s="434">
        <f t="shared" si="39"/>
        <v>152.15</v>
      </c>
      <c r="S31" s="434">
        <f t="shared" si="39"/>
        <v>146.95000000000002</v>
      </c>
      <c r="T31" s="434">
        <f t="shared" si="39"/>
        <v>146.95000000000002</v>
      </c>
      <c r="U31" s="434">
        <f t="shared" si="39"/>
        <v>146.95000000000002</v>
      </c>
      <c r="V31" s="483">
        <f t="shared" si="39"/>
        <v>134.95000000000002</v>
      </c>
      <c r="W31" s="434">
        <f t="shared" si="39"/>
        <v>119.95000000000002</v>
      </c>
      <c r="X31" s="492">
        <f t="shared" si="39"/>
        <v>119.95000000000002</v>
      </c>
      <c r="Y31" s="492">
        <f t="shared" si="39"/>
        <v>119.95000000000002</v>
      </c>
      <c r="Z31" s="492">
        <f t="shared" si="39"/>
        <v>119.95000000000002</v>
      </c>
      <c r="AA31" s="492">
        <f t="shared" si="39"/>
        <v>119.95000000000002</v>
      </c>
      <c r="AB31" s="493">
        <f t="shared" si="39"/>
        <v>119.95000000000002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119.95000000000002</v>
      </c>
      <c r="AQ31" s="172">
        <v>102.22</v>
      </c>
      <c r="AR31" s="172">
        <f>AP31*AQ31</f>
        <v>12261.289000000002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6.24</v>
      </c>
      <c r="P32" s="456">
        <v>24.3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47.91</v>
      </c>
    </row>
    <row r="33" spans="1:46">
      <c r="A33" s="673"/>
      <c r="B33" s="562"/>
      <c r="C33" s="476" t="s">
        <v>166</v>
      </c>
      <c r="D33" s="174"/>
      <c r="E33" s="177">
        <v>0.2</v>
      </c>
      <c r="F33" s="177">
        <v>1.82</v>
      </c>
      <c r="G33" s="177">
        <v>2.6</v>
      </c>
      <c r="H33" s="177">
        <v>0</v>
      </c>
      <c r="I33" s="177">
        <v>0</v>
      </c>
      <c r="J33" s="177">
        <v>5.25</v>
      </c>
      <c r="K33" s="177">
        <v>7.5</v>
      </c>
      <c r="L33" s="177">
        <v>0</v>
      </c>
      <c r="M33" s="177">
        <v>0</v>
      </c>
      <c r="N33" s="177">
        <v>0</v>
      </c>
      <c r="O33" s="177">
        <v>0</v>
      </c>
      <c r="P33" s="178">
        <v>0</v>
      </c>
      <c r="Q33" s="179">
        <v>0.2</v>
      </c>
      <c r="R33" s="177">
        <v>1.82</v>
      </c>
      <c r="S33" s="177">
        <v>2.6</v>
      </c>
      <c r="T33" s="177">
        <v>0</v>
      </c>
      <c r="U33" s="199">
        <v>0</v>
      </c>
      <c r="V33" s="199">
        <v>5.25</v>
      </c>
      <c r="W33" s="199">
        <v>7.5</v>
      </c>
      <c r="X33" s="199">
        <v>0</v>
      </c>
      <c r="Y33" s="199">
        <v>0</v>
      </c>
      <c r="Z33" s="199">
        <v>0</v>
      </c>
      <c r="AA33" s="199">
        <v>0</v>
      </c>
      <c r="AB33" s="477">
        <v>0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34.74</v>
      </c>
    </row>
    <row r="34" spans="1:46">
      <c r="A34" s="673"/>
      <c r="B34" s="562"/>
      <c r="C34" s="478" t="s">
        <v>49</v>
      </c>
      <c r="D34" s="418">
        <v>260.98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260.98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260.98</v>
      </c>
      <c r="E37" s="434">
        <f t="shared" ref="E37:AB37" si="40">D37+E35+E36-E32-E33</f>
        <v>260.78000000000003</v>
      </c>
      <c r="F37" s="434">
        <f>E37+F35+F36-F32-F33</f>
        <v>258.96000000000004</v>
      </c>
      <c r="G37" s="434">
        <f>F37+G35+G36-G32-G33</f>
        <v>256.36</v>
      </c>
      <c r="H37" s="434">
        <f t="shared" si="40"/>
        <v>256.36</v>
      </c>
      <c r="I37" s="434">
        <f t="shared" si="40"/>
        <v>256.36</v>
      </c>
      <c r="J37" s="434">
        <f t="shared" si="40"/>
        <v>251.11</v>
      </c>
      <c r="K37" s="434">
        <f t="shared" si="40"/>
        <v>243.61</v>
      </c>
      <c r="L37" s="434">
        <f t="shared" si="40"/>
        <v>243.61</v>
      </c>
      <c r="M37" s="434">
        <f t="shared" si="40"/>
        <v>243.61</v>
      </c>
      <c r="N37" s="434">
        <f t="shared" si="40"/>
        <v>243.61</v>
      </c>
      <c r="O37" s="434">
        <f t="shared" si="40"/>
        <v>237.37</v>
      </c>
      <c r="P37" s="434">
        <f t="shared" si="40"/>
        <v>213.07</v>
      </c>
      <c r="Q37" s="434">
        <f>P37+Q35+Q36-Q32-Q33</f>
        <v>212.67000000000002</v>
      </c>
      <c r="R37" s="434">
        <f t="shared" si="40"/>
        <v>209.03000000000003</v>
      </c>
      <c r="S37" s="434">
        <f t="shared" si="40"/>
        <v>203.83000000000004</v>
      </c>
      <c r="T37" s="434">
        <f t="shared" si="40"/>
        <v>203.83000000000004</v>
      </c>
      <c r="U37" s="434">
        <f t="shared" si="40"/>
        <v>203.83000000000004</v>
      </c>
      <c r="V37" s="434">
        <f t="shared" si="40"/>
        <v>193.33000000000004</v>
      </c>
      <c r="W37" s="434">
        <f t="shared" si="40"/>
        <v>178.33000000000004</v>
      </c>
      <c r="X37" s="434">
        <f t="shared" si="40"/>
        <v>178.33000000000004</v>
      </c>
      <c r="Y37" s="434">
        <f t="shared" si="40"/>
        <v>178.33000000000004</v>
      </c>
      <c r="Z37" s="483">
        <f t="shared" si="40"/>
        <v>178.33000000000004</v>
      </c>
      <c r="AA37" s="434">
        <f t="shared" si="40"/>
        <v>178.33000000000004</v>
      </c>
      <c r="AB37" s="493">
        <f t="shared" si="40"/>
        <v>178.33000000000004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178.33000000000004</v>
      </c>
      <c r="AQ37" s="172">
        <v>24.76</v>
      </c>
      <c r="AR37" s="172">
        <f>AP37*AQ37</f>
        <v>4415.4508000000014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2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1"/>
      <c r="B3" s="565"/>
      <c r="C3" s="173" t="s">
        <v>47</v>
      </c>
      <c r="D3" s="424"/>
      <c r="E3" s="179">
        <v>0</v>
      </c>
      <c r="F3" s="177">
        <v>0</v>
      </c>
      <c r="G3" s="177">
        <v>0</v>
      </c>
      <c r="H3" s="177">
        <v>0</v>
      </c>
      <c r="I3" s="177">
        <v>0</v>
      </c>
      <c r="J3" s="177">
        <v>0</v>
      </c>
      <c r="K3" s="177">
        <v>0</v>
      </c>
      <c r="L3" s="177">
        <v>0</v>
      </c>
      <c r="M3" s="177">
        <v>0</v>
      </c>
      <c r="N3" s="177">
        <v>0</v>
      </c>
      <c r="O3" s="177">
        <v>0</v>
      </c>
      <c r="P3" s="178">
        <v>0</v>
      </c>
      <c r="Q3" s="179">
        <v>0</v>
      </c>
      <c r="R3" s="177">
        <v>0</v>
      </c>
      <c r="S3" s="177">
        <v>0</v>
      </c>
      <c r="T3" s="177">
        <v>0</v>
      </c>
      <c r="U3" s="177">
        <v>0</v>
      </c>
      <c r="V3" s="177">
        <v>0</v>
      </c>
      <c r="W3" s="177">
        <v>0</v>
      </c>
      <c r="X3" s="177">
        <v>0</v>
      </c>
      <c r="Y3" s="177">
        <v>0</v>
      </c>
      <c r="Z3" s="177">
        <v>0</v>
      </c>
      <c r="AA3" s="177">
        <v>0</v>
      </c>
      <c r="AB3" s="180">
        <v>0</v>
      </c>
      <c r="AC3" s="402">
        <f>SUM(K3:AB3)</f>
        <v>0</v>
      </c>
      <c r="AD3" s="399"/>
      <c r="AE3" s="399"/>
      <c r="AF3" s="171">
        <f>L3+M3+N3+O3+P3+Q3+R3+S3</f>
        <v>0</v>
      </c>
    </row>
    <row r="4" spans="1:32">
      <c r="A4" s="681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1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1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1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554</v>
      </c>
      <c r="G7" s="196">
        <f t="shared" si="0"/>
        <v>554</v>
      </c>
      <c r="H7" s="196">
        <f t="shared" si="0"/>
        <v>554</v>
      </c>
      <c r="I7" s="196">
        <f t="shared" si="0"/>
        <v>554</v>
      </c>
      <c r="J7" s="196">
        <f t="shared" si="0"/>
        <v>554</v>
      </c>
      <c r="K7" s="196">
        <f t="shared" si="0"/>
        <v>554</v>
      </c>
      <c r="L7" s="196">
        <f t="shared" si="0"/>
        <v>554</v>
      </c>
      <c r="M7" s="196">
        <f t="shared" si="0"/>
        <v>554</v>
      </c>
      <c r="N7" s="196">
        <f t="shared" si="0"/>
        <v>554</v>
      </c>
      <c r="O7" s="196">
        <f t="shared" si="0"/>
        <v>554</v>
      </c>
      <c r="P7" s="427">
        <f t="shared" si="0"/>
        <v>394</v>
      </c>
      <c r="Q7" s="427">
        <f t="shared" ref="Q7" si="1">P7+Q5+Q6-Q2-Q3</f>
        <v>394</v>
      </c>
      <c r="R7" s="427">
        <f t="shared" ref="R7" si="2">Q7+R5+R6-R2-R3</f>
        <v>394</v>
      </c>
      <c r="S7" s="427">
        <f t="shared" ref="S7" si="3">R7+S5+S6-S2-S3</f>
        <v>394</v>
      </c>
      <c r="T7" s="427">
        <f t="shared" ref="T7" si="4">S7+T5+T6-T2-T3</f>
        <v>394</v>
      </c>
      <c r="U7" s="427">
        <f t="shared" ref="U7" si="5">T7+U5+U6-U2-U3</f>
        <v>394</v>
      </c>
      <c r="V7" s="427">
        <f t="shared" ref="V7" si="6">U7+V5+V6-V2-V3</f>
        <v>394</v>
      </c>
      <c r="W7" s="427">
        <f t="shared" ref="W7" si="7">V7+W5+W6-W2-W3</f>
        <v>394</v>
      </c>
      <c r="X7" s="427">
        <f t="shared" ref="X7" si="8">W7+X5+X6-X2-X3</f>
        <v>394</v>
      </c>
      <c r="Y7" s="427">
        <f t="shared" ref="Y7" si="9">X7+Y5+Y6-Y2-Y3</f>
        <v>394</v>
      </c>
      <c r="Z7" s="427">
        <f t="shared" ref="Z7" si="10">Y7+Z5+Z6-Z2-Z3</f>
        <v>394</v>
      </c>
      <c r="AA7" s="427">
        <f t="shared" ref="AA7" si="11">Z7+AA5+AA6-AA2-AA3</f>
        <v>394</v>
      </c>
      <c r="AB7" s="427">
        <f t="shared" ref="AB7" si="12">AA7+AB5+AB6-AB2-AB3</f>
        <v>394</v>
      </c>
      <c r="AC7" s="197"/>
      <c r="AD7" s="398">
        <v>192</v>
      </c>
      <c r="AE7" s="398">
        <f>P7-AD7</f>
        <v>202</v>
      </c>
    </row>
    <row r="8" spans="1:32">
      <c r="A8" s="681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130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170</v>
      </c>
      <c r="AD8" s="399"/>
      <c r="AE8" s="399"/>
    </row>
    <row r="9" spans="1:32">
      <c r="A9" s="681"/>
      <c r="B9" s="565"/>
      <c r="C9" s="173" t="s">
        <v>47</v>
      </c>
      <c r="D9" s="424"/>
      <c r="E9" s="179">
        <v>0</v>
      </c>
      <c r="F9" s="177">
        <v>0</v>
      </c>
      <c r="G9" s="177">
        <v>0</v>
      </c>
      <c r="H9" s="177">
        <v>0</v>
      </c>
      <c r="I9" s="177">
        <v>0</v>
      </c>
      <c r="J9" s="177">
        <v>0</v>
      </c>
      <c r="K9" s="177">
        <v>0</v>
      </c>
      <c r="L9" s="177">
        <v>0</v>
      </c>
      <c r="M9" s="177">
        <v>0</v>
      </c>
      <c r="N9" s="177">
        <v>0</v>
      </c>
      <c r="O9" s="177">
        <v>0</v>
      </c>
      <c r="P9" s="178">
        <v>0</v>
      </c>
      <c r="Q9" s="178">
        <v>0</v>
      </c>
      <c r="R9" s="178">
        <v>0</v>
      </c>
      <c r="S9" s="178">
        <v>0</v>
      </c>
      <c r="T9" s="178">
        <v>0</v>
      </c>
      <c r="U9" s="178">
        <v>0</v>
      </c>
      <c r="V9" s="178">
        <v>0</v>
      </c>
      <c r="W9" s="178">
        <v>0</v>
      </c>
      <c r="X9" s="178">
        <v>0</v>
      </c>
      <c r="Y9" s="178">
        <v>0</v>
      </c>
      <c r="Z9" s="178">
        <v>0</v>
      </c>
      <c r="AA9" s="178">
        <v>0</v>
      </c>
      <c r="AB9" s="178">
        <v>0</v>
      </c>
      <c r="AC9" s="178">
        <f>SUM(K9:AB9)</f>
        <v>0</v>
      </c>
      <c r="AD9" s="399"/>
      <c r="AE9" s="399"/>
      <c r="AF9" s="171">
        <f>L9+M9+N9+O9+P9+Q9+R9+S9</f>
        <v>0</v>
      </c>
    </row>
    <row r="10" spans="1:32">
      <c r="A10" s="681"/>
      <c r="B10" s="565"/>
      <c r="C10" s="181" t="s">
        <v>49</v>
      </c>
      <c r="D10" s="425">
        <v>308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1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1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1"/>
      <c r="B13" s="565"/>
      <c r="C13" s="195" t="s">
        <v>52</v>
      </c>
      <c r="D13" s="427">
        <f>D10+D11+D12-D8-D9</f>
        <v>308</v>
      </c>
      <c r="E13" s="431">
        <f t="shared" ref="E13:P13" si="13">D13+E11+E12-E8-E9</f>
        <v>308</v>
      </c>
      <c r="F13" s="196">
        <f t="shared" si="13"/>
        <v>308</v>
      </c>
      <c r="G13" s="196">
        <f t="shared" si="13"/>
        <v>308</v>
      </c>
      <c r="H13" s="196">
        <f t="shared" si="13"/>
        <v>308</v>
      </c>
      <c r="I13" s="196">
        <f t="shared" si="13"/>
        <v>308</v>
      </c>
      <c r="J13" s="196">
        <f t="shared" si="13"/>
        <v>308</v>
      </c>
      <c r="K13" s="196">
        <f t="shared" si="13"/>
        <v>308</v>
      </c>
      <c r="L13" s="196">
        <f t="shared" si="13"/>
        <v>308</v>
      </c>
      <c r="M13" s="196">
        <f t="shared" si="13"/>
        <v>308</v>
      </c>
      <c r="N13" s="196">
        <f t="shared" si="13"/>
        <v>308</v>
      </c>
      <c r="O13" s="196">
        <f t="shared" si="13"/>
        <v>268</v>
      </c>
      <c r="P13" s="427">
        <f t="shared" si="13"/>
        <v>138</v>
      </c>
      <c r="Q13" s="427">
        <f t="shared" ref="Q13" si="14">P13+Q11+Q12-Q8-Q9</f>
        <v>138</v>
      </c>
      <c r="R13" s="427">
        <f t="shared" ref="R13" si="15">Q13+R11+R12-R8-R9</f>
        <v>138</v>
      </c>
      <c r="S13" s="427">
        <f t="shared" ref="S13" si="16">R13+S11+S12-S8-S9</f>
        <v>138</v>
      </c>
      <c r="T13" s="427">
        <f t="shared" ref="T13" si="17">S13+T11+T12-T8-T9</f>
        <v>138</v>
      </c>
      <c r="U13" s="427">
        <f t="shared" ref="U13" si="18">T13+U11+U12-U8-U9</f>
        <v>138</v>
      </c>
      <c r="V13" s="427">
        <f t="shared" ref="V13" si="19">U13+V11+V12-V8-V9</f>
        <v>138</v>
      </c>
      <c r="W13" s="427">
        <f t="shared" ref="W13" si="20">V13+W11+W12-W8-W9</f>
        <v>138</v>
      </c>
      <c r="X13" s="427">
        <f t="shared" ref="X13" si="21">W13+X11+X12-X8-X9</f>
        <v>138</v>
      </c>
      <c r="Y13" s="427">
        <f t="shared" ref="Y13" si="22">X13+Y11+Y12-Y8-Y9</f>
        <v>138</v>
      </c>
      <c r="Z13" s="427">
        <f t="shared" ref="Z13" si="23">Y13+Z11+Z12-Z8-Z9</f>
        <v>138</v>
      </c>
      <c r="AA13" s="427">
        <f t="shared" ref="AA13" si="24">Z13+AA11+AA12-AA8-AA9</f>
        <v>138</v>
      </c>
      <c r="AB13" s="427">
        <f t="shared" ref="AB13" si="25">AA13+AB11+AB12-AB8-AB9</f>
        <v>138</v>
      </c>
      <c r="AC13" s="197"/>
      <c r="AD13" s="398">
        <v>96</v>
      </c>
      <c r="AE13" s="398">
        <f>P13-AD13</f>
        <v>42</v>
      </c>
    </row>
    <row r="14" spans="1:32">
      <c r="A14" s="681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65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85</v>
      </c>
      <c r="AD14" s="399"/>
      <c r="AE14" s="399"/>
    </row>
    <row r="15" spans="1:32">
      <c r="A15" s="681"/>
      <c r="B15" s="565"/>
      <c r="C15" s="173" t="s">
        <v>47</v>
      </c>
      <c r="D15" s="424"/>
      <c r="E15" s="179">
        <v>0</v>
      </c>
      <c r="F15" s="177">
        <v>0</v>
      </c>
      <c r="G15" s="177">
        <v>0</v>
      </c>
      <c r="H15" s="177">
        <v>0</v>
      </c>
      <c r="I15" s="177">
        <v>0</v>
      </c>
      <c r="J15" s="177">
        <v>0</v>
      </c>
      <c r="K15" s="177">
        <v>0</v>
      </c>
      <c r="L15" s="177">
        <v>0</v>
      </c>
      <c r="M15" s="177">
        <v>0</v>
      </c>
      <c r="N15" s="177">
        <v>0</v>
      </c>
      <c r="O15" s="177">
        <v>0</v>
      </c>
      <c r="P15" s="177">
        <v>0</v>
      </c>
      <c r="Q15" s="179">
        <v>0</v>
      </c>
      <c r="R15" s="177">
        <v>0</v>
      </c>
      <c r="S15" s="177">
        <v>0</v>
      </c>
      <c r="T15" s="177">
        <v>0</v>
      </c>
      <c r="U15" s="177">
        <v>0</v>
      </c>
      <c r="V15" s="177">
        <v>0</v>
      </c>
      <c r="W15" s="177">
        <v>0</v>
      </c>
      <c r="X15" s="177">
        <v>0</v>
      </c>
      <c r="Y15" s="177">
        <v>0</v>
      </c>
      <c r="Z15" s="177">
        <v>0</v>
      </c>
      <c r="AA15" s="177">
        <v>0</v>
      </c>
      <c r="AB15" s="180">
        <v>0</v>
      </c>
      <c r="AC15" s="402">
        <f>SUM(K15:AB15)</f>
        <v>0</v>
      </c>
      <c r="AD15" s="399"/>
      <c r="AE15" s="399"/>
      <c r="AF15" s="171">
        <f>L15+M15+N15+O15+P15+Q15+R15+S15</f>
        <v>0</v>
      </c>
    </row>
    <row r="16" spans="1:32">
      <c r="A16" s="681"/>
      <c r="B16" s="565"/>
      <c r="C16" s="181" t="s">
        <v>49</v>
      </c>
      <c r="D16" s="425">
        <v>141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1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1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1"/>
      <c r="B19" s="565"/>
      <c r="C19" s="195" t="s">
        <v>52</v>
      </c>
      <c r="D19" s="427">
        <f>D16+D17+D18-D14-D15</f>
        <v>141</v>
      </c>
      <c r="E19" s="431">
        <f t="shared" ref="E19:M19" si="26">D19+E17+E18-E14-E15</f>
        <v>141</v>
      </c>
      <c r="F19" s="196">
        <f t="shared" si="26"/>
        <v>141</v>
      </c>
      <c r="G19" s="196">
        <f t="shared" si="26"/>
        <v>141</v>
      </c>
      <c r="H19" s="196">
        <f t="shared" si="26"/>
        <v>141</v>
      </c>
      <c r="I19" s="196">
        <f t="shared" si="26"/>
        <v>141</v>
      </c>
      <c r="J19" s="196">
        <f t="shared" si="26"/>
        <v>141</v>
      </c>
      <c r="K19" s="196">
        <f t="shared" si="26"/>
        <v>141</v>
      </c>
      <c r="L19" s="196">
        <f t="shared" si="26"/>
        <v>141</v>
      </c>
      <c r="M19" s="196">
        <f t="shared" si="26"/>
        <v>141</v>
      </c>
      <c r="N19" s="196">
        <f t="shared" ref="N19" si="27">M19+N17+N18-N14-N15</f>
        <v>141</v>
      </c>
      <c r="O19" s="196">
        <f t="shared" ref="O19" si="28">N19+O17+O18-O14-O15</f>
        <v>121</v>
      </c>
      <c r="P19" s="196">
        <f t="shared" ref="P19" si="29">O19+P17+P18-P14-P15</f>
        <v>56</v>
      </c>
      <c r="Q19" s="196">
        <f t="shared" ref="Q19" si="30">P19+Q17+Q18-Q14-Q15</f>
        <v>56</v>
      </c>
      <c r="R19" s="196">
        <f t="shared" ref="R19" si="31">Q19+R17+R18-R14-R15</f>
        <v>56</v>
      </c>
      <c r="S19" s="196">
        <f t="shared" ref="S19" si="32">R19+S17+S18-S14-S15</f>
        <v>56</v>
      </c>
      <c r="T19" s="196">
        <f t="shared" ref="T19" si="33">S19+T17+T18-T14-T15</f>
        <v>56</v>
      </c>
      <c r="U19" s="196">
        <f t="shared" ref="U19" si="34">T19+U17+U18-U14-U15</f>
        <v>56</v>
      </c>
      <c r="V19" s="196">
        <f t="shared" ref="V19" si="35">U19+V17+V18-V14-V15</f>
        <v>56</v>
      </c>
      <c r="W19" s="196">
        <f t="shared" ref="W19" si="36">V19+W17+W18-W14-W15</f>
        <v>56</v>
      </c>
      <c r="X19" s="196">
        <f t="shared" ref="X19" si="37">W19+X17+X18-X14-X15</f>
        <v>56</v>
      </c>
      <c r="Y19" s="196">
        <f t="shared" ref="Y19" si="38">X19+Y17+Y18-Y14-Y15</f>
        <v>56</v>
      </c>
      <c r="Z19" s="196">
        <f t="shared" ref="Z19" si="39">Y19+Z17+Z18-Z14-Z15</f>
        <v>56</v>
      </c>
      <c r="AA19" s="196">
        <f t="shared" ref="AA19" si="40">Z19+AA17+AA18-AA14-AA15</f>
        <v>56</v>
      </c>
      <c r="AB19" s="196">
        <f t="shared" ref="AB19" si="41">AA19+AB17+AB18-AB14-AB15</f>
        <v>56</v>
      </c>
      <c r="AC19" s="197"/>
      <c r="AD19" s="398">
        <v>48</v>
      </c>
      <c r="AE19" s="398">
        <f>P19-AD19</f>
        <v>8</v>
      </c>
    </row>
    <row r="20" spans="1:32">
      <c r="A20" s="681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0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0</v>
      </c>
      <c r="AD20" s="399"/>
      <c r="AE20" s="399"/>
    </row>
    <row r="21" spans="1:32">
      <c r="A21" s="681"/>
      <c r="B21" s="565"/>
      <c r="C21" s="173" t="s">
        <v>47</v>
      </c>
      <c r="D21" s="424"/>
      <c r="E21" s="179">
        <v>0</v>
      </c>
      <c r="F21" s="177">
        <v>0</v>
      </c>
      <c r="G21" s="177">
        <v>0</v>
      </c>
      <c r="H21" s="177">
        <v>0</v>
      </c>
      <c r="I21" s="177">
        <v>0</v>
      </c>
      <c r="J21" s="177">
        <v>0</v>
      </c>
      <c r="K21" s="177">
        <v>0</v>
      </c>
      <c r="L21" s="177">
        <v>0</v>
      </c>
      <c r="M21" s="177">
        <v>0</v>
      </c>
      <c r="N21" s="177">
        <v>0</v>
      </c>
      <c r="O21" s="177">
        <v>0</v>
      </c>
      <c r="P21" s="178">
        <v>0</v>
      </c>
      <c r="Q21" s="179">
        <v>0</v>
      </c>
      <c r="R21" s="177">
        <v>0</v>
      </c>
      <c r="S21" s="177">
        <v>0</v>
      </c>
      <c r="T21" s="177">
        <v>0</v>
      </c>
      <c r="U21" s="177">
        <v>0</v>
      </c>
      <c r="V21" s="177">
        <v>0</v>
      </c>
      <c r="W21" s="177">
        <v>0</v>
      </c>
      <c r="X21" s="177">
        <v>0</v>
      </c>
      <c r="Y21" s="177">
        <v>0</v>
      </c>
      <c r="Z21" s="177">
        <v>0</v>
      </c>
      <c r="AA21" s="177">
        <v>0</v>
      </c>
      <c r="AB21" s="180">
        <v>0</v>
      </c>
      <c r="AC21" s="402">
        <f>SUM(K21:AB21)</f>
        <v>0</v>
      </c>
      <c r="AD21" s="399"/>
      <c r="AE21" s="399"/>
      <c r="AF21" s="171">
        <f>L21+M21+N21+O21+P21+Q21+R21+S21</f>
        <v>0</v>
      </c>
    </row>
    <row r="22" spans="1:32">
      <c r="A22" s="681"/>
      <c r="B22" s="565"/>
      <c r="C22" s="181" t="s">
        <v>49</v>
      </c>
      <c r="D22" s="425">
        <v>36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1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1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1"/>
      <c r="B25" s="565"/>
      <c r="C25" s="195" t="s">
        <v>52</v>
      </c>
      <c r="D25" s="427">
        <f>D22+D23+D24-D20-D21</f>
        <v>36</v>
      </c>
      <c r="E25" s="431">
        <f t="shared" ref="E25:P25" si="42">D25+E23+E24-E20-E21</f>
        <v>36</v>
      </c>
      <c r="F25" s="196">
        <f t="shared" si="42"/>
        <v>36</v>
      </c>
      <c r="G25" s="196">
        <f t="shared" si="42"/>
        <v>36</v>
      </c>
      <c r="H25" s="196">
        <f t="shared" si="42"/>
        <v>36</v>
      </c>
      <c r="I25" s="196">
        <f t="shared" si="42"/>
        <v>36</v>
      </c>
      <c r="J25" s="196">
        <f t="shared" si="42"/>
        <v>36</v>
      </c>
      <c r="K25" s="196">
        <f t="shared" si="42"/>
        <v>36</v>
      </c>
      <c r="L25" s="196">
        <f t="shared" si="42"/>
        <v>36</v>
      </c>
      <c r="M25" s="196">
        <f t="shared" si="42"/>
        <v>36</v>
      </c>
      <c r="N25" s="196">
        <f t="shared" si="42"/>
        <v>36</v>
      </c>
      <c r="O25" s="196">
        <f t="shared" si="42"/>
        <v>36</v>
      </c>
      <c r="P25" s="427">
        <f t="shared" si="42"/>
        <v>36</v>
      </c>
      <c r="Q25" s="427">
        <f t="shared" ref="Q25" si="43">P25+Q23+Q24-Q20-Q21</f>
        <v>36</v>
      </c>
      <c r="R25" s="427">
        <f t="shared" ref="R25" si="44">Q25+R23+R24-R20-R21</f>
        <v>36</v>
      </c>
      <c r="S25" s="427">
        <f t="shared" ref="S25" si="45">R25+S23+S24-S20-S21</f>
        <v>36</v>
      </c>
      <c r="T25" s="427">
        <f t="shared" ref="T25" si="46">S25+T23+T24-T20-T21</f>
        <v>36</v>
      </c>
      <c r="U25" s="427">
        <f t="shared" ref="U25" si="47">T25+U23+U24-U20-U21</f>
        <v>36</v>
      </c>
      <c r="V25" s="427">
        <f t="shared" ref="V25" si="48">U25+V23+V24-V20-V21</f>
        <v>36</v>
      </c>
      <c r="W25" s="427">
        <f t="shared" ref="W25" si="49">V25+W23+W24-W20-W21</f>
        <v>36</v>
      </c>
      <c r="X25" s="427">
        <f t="shared" ref="X25" si="50">W25+X23+X24-X20-X21</f>
        <v>36</v>
      </c>
      <c r="Y25" s="427">
        <f t="shared" ref="Y25" si="51">X25+Y23+Y24-Y20-Y21</f>
        <v>36</v>
      </c>
      <c r="Z25" s="427">
        <f t="shared" ref="Z25" si="52">Y25+Z23+Z24-Z20-Z21</f>
        <v>36</v>
      </c>
      <c r="AA25" s="427">
        <f t="shared" ref="AA25" si="53">Z25+AA23+AA24-AA20-AA21</f>
        <v>36</v>
      </c>
      <c r="AB25" s="427">
        <f t="shared" ref="AB25" si="54">AA25+AB23+AB24-AB20-AB21</f>
        <v>36</v>
      </c>
      <c r="AC25" s="197"/>
      <c r="AD25" s="398"/>
      <c r="AE25" s="398"/>
    </row>
    <row r="26" spans="1:32">
      <c r="A26" s="678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210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250</v>
      </c>
      <c r="AD26" s="399"/>
      <c r="AE26" s="399"/>
    </row>
    <row r="27" spans="1:32">
      <c r="A27" s="678"/>
      <c r="B27" s="572"/>
      <c r="C27" s="173" t="s">
        <v>47</v>
      </c>
      <c r="D27" s="424"/>
      <c r="E27" s="179">
        <v>0</v>
      </c>
      <c r="F27" s="177">
        <v>0</v>
      </c>
      <c r="G27" s="177">
        <v>0</v>
      </c>
      <c r="H27" s="177">
        <v>0</v>
      </c>
      <c r="I27" s="177">
        <v>0</v>
      </c>
      <c r="J27" s="177">
        <v>0</v>
      </c>
      <c r="K27" s="177">
        <v>0</v>
      </c>
      <c r="L27" s="177">
        <v>0</v>
      </c>
      <c r="M27" s="177">
        <v>0</v>
      </c>
      <c r="N27" s="177">
        <v>0</v>
      </c>
      <c r="O27" s="177">
        <v>0</v>
      </c>
      <c r="P27" s="178">
        <v>0</v>
      </c>
      <c r="Q27" s="179">
        <v>0</v>
      </c>
      <c r="R27" s="177">
        <v>0</v>
      </c>
      <c r="S27" s="177">
        <v>0</v>
      </c>
      <c r="T27" s="177">
        <v>0</v>
      </c>
      <c r="U27" s="177">
        <v>0</v>
      </c>
      <c r="V27" s="177">
        <v>0</v>
      </c>
      <c r="W27" s="177">
        <v>0</v>
      </c>
      <c r="X27" s="177">
        <v>0</v>
      </c>
      <c r="Y27" s="177">
        <v>0</v>
      </c>
      <c r="Z27" s="177">
        <v>0</v>
      </c>
      <c r="AA27" s="177">
        <v>0</v>
      </c>
      <c r="AB27" s="180">
        <v>0</v>
      </c>
      <c r="AC27" s="402">
        <f>SUM(K27:AB27)</f>
        <v>0</v>
      </c>
      <c r="AD27" s="399"/>
      <c r="AE27" s="399"/>
      <c r="AF27" s="171">
        <f>L27+M27+N27+O27+P27+Q27+R27+S27</f>
        <v>0</v>
      </c>
    </row>
    <row r="28" spans="1:32">
      <c r="A28" s="678"/>
      <c r="B28" s="572"/>
      <c r="C28" s="181" t="s">
        <v>49</v>
      </c>
      <c r="D28" s="428">
        <v>108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78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78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78"/>
      <c r="B31" s="572"/>
      <c r="C31" s="195" t="s">
        <v>52</v>
      </c>
      <c r="D31" s="427">
        <f>D28+D29+D30-D26-D27</f>
        <v>108</v>
      </c>
      <c r="E31" s="431">
        <f t="shared" ref="E31:P31" si="55">D31+E29+E30-E26-E27</f>
        <v>108</v>
      </c>
      <c r="F31" s="196">
        <f t="shared" si="55"/>
        <v>108</v>
      </c>
      <c r="G31" s="196">
        <f t="shared" si="55"/>
        <v>108</v>
      </c>
      <c r="H31" s="196">
        <f t="shared" si="55"/>
        <v>108</v>
      </c>
      <c r="I31" s="196">
        <f t="shared" si="55"/>
        <v>108</v>
      </c>
      <c r="J31" s="196">
        <f t="shared" si="55"/>
        <v>108</v>
      </c>
      <c r="K31" s="196">
        <f t="shared" si="55"/>
        <v>108</v>
      </c>
      <c r="L31" s="196">
        <f t="shared" si="55"/>
        <v>108</v>
      </c>
      <c r="M31" s="196">
        <f t="shared" si="55"/>
        <v>108</v>
      </c>
      <c r="N31" s="196">
        <f t="shared" si="55"/>
        <v>108</v>
      </c>
      <c r="O31" s="196">
        <f t="shared" si="55"/>
        <v>68</v>
      </c>
      <c r="P31" s="427">
        <f t="shared" si="55"/>
        <v>-142</v>
      </c>
      <c r="Q31" s="427">
        <f t="shared" ref="Q31" si="56">P31+Q29+Q30-Q26-Q27</f>
        <v>-142</v>
      </c>
      <c r="R31" s="427">
        <f t="shared" ref="R31" si="57">Q31+R29+R30-R26-R27</f>
        <v>-142</v>
      </c>
      <c r="S31" s="427">
        <f t="shared" ref="S31" si="58">R31+S29+S30-S26-S27</f>
        <v>-142</v>
      </c>
      <c r="T31" s="427">
        <f t="shared" ref="T31" si="59">S31+T29+T30-T26-T27</f>
        <v>-142</v>
      </c>
      <c r="U31" s="427">
        <f t="shared" ref="U31" si="60">T31+U29+U30-U26-U27</f>
        <v>-142</v>
      </c>
      <c r="V31" s="427">
        <f t="shared" ref="V31" si="61">U31+V29+V30-V26-V27</f>
        <v>-142</v>
      </c>
      <c r="W31" s="427">
        <f t="shared" ref="W31" si="62">V31+W29+W30-W26-W27</f>
        <v>-142</v>
      </c>
      <c r="X31" s="427">
        <f t="shared" ref="X31" si="63">W31+X29+X30-X26-X27</f>
        <v>-142</v>
      </c>
      <c r="Y31" s="427">
        <f t="shared" ref="Y31" si="64">X31+Y29+Y30-Y26-Y27</f>
        <v>-142</v>
      </c>
      <c r="Z31" s="427">
        <f t="shared" ref="Z31" si="65">Y31+Z29+Z30-Z26-Z27</f>
        <v>-142</v>
      </c>
      <c r="AA31" s="196"/>
      <c r="AB31" s="432"/>
      <c r="AC31" s="197"/>
      <c r="AD31" s="398"/>
      <c r="AE31" s="398"/>
    </row>
    <row r="32" spans="1:32">
      <c r="A32" s="678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40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80</v>
      </c>
      <c r="AD32" s="399"/>
      <c r="AE32" s="399"/>
    </row>
    <row r="33" spans="1:32">
      <c r="A33" s="678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0</v>
      </c>
      <c r="M33" s="177">
        <v>0</v>
      </c>
      <c r="N33" s="177">
        <v>0</v>
      </c>
      <c r="O33" s="177">
        <v>0</v>
      </c>
      <c r="P33" s="178">
        <v>0</v>
      </c>
      <c r="Q33" s="179">
        <v>0</v>
      </c>
      <c r="R33" s="177">
        <v>0</v>
      </c>
      <c r="S33" s="177">
        <v>0</v>
      </c>
      <c r="T33" s="177">
        <v>0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0</v>
      </c>
      <c r="AD33" s="399"/>
      <c r="AE33" s="399"/>
      <c r="AF33" s="171">
        <f>L33+M33+N33+O33+P33+Q33+R33+S33</f>
        <v>0</v>
      </c>
    </row>
    <row r="34" spans="1:32">
      <c r="A34" s="678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78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78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79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8</v>
      </c>
      <c r="M37" s="445">
        <f t="shared" si="66"/>
        <v>8</v>
      </c>
      <c r="N37" s="445">
        <f t="shared" si="66"/>
        <v>8</v>
      </c>
      <c r="O37" s="445">
        <f t="shared" si="66"/>
        <v>-32</v>
      </c>
      <c r="P37" s="443">
        <f t="shared" si="66"/>
        <v>-72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0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0</v>
      </c>
      <c r="Q38" s="516">
        <v>0</v>
      </c>
      <c r="R38" s="455">
        <v>0</v>
      </c>
      <c r="S38" s="455">
        <v>8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1"/>
      <c r="B39" s="565"/>
      <c r="C39" s="173" t="s">
        <v>47</v>
      </c>
      <c r="D39" s="424"/>
      <c r="E39" s="179">
        <v>0</v>
      </c>
      <c r="F39" s="177">
        <v>0</v>
      </c>
      <c r="G39" s="177">
        <v>8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0</v>
      </c>
      <c r="R39" s="455">
        <v>0</v>
      </c>
      <c r="S39" s="455">
        <v>8</v>
      </c>
      <c r="T39" s="455">
        <v>0</v>
      </c>
      <c r="U39" s="455">
        <v>0</v>
      </c>
      <c r="V39" s="455">
        <v>0</v>
      </c>
      <c r="W39" s="455">
        <v>0</v>
      </c>
      <c r="X39" s="455">
        <v>0</v>
      </c>
      <c r="Y39" s="455">
        <v>0</v>
      </c>
      <c r="Z39" s="455">
        <v>0</v>
      </c>
      <c r="AA39" s="455">
        <v>0</v>
      </c>
      <c r="AB39" s="457">
        <v>0</v>
      </c>
      <c r="AC39" s="514">
        <f>SUM(K39:AB39)</f>
        <v>8</v>
      </c>
      <c r="AD39" s="399"/>
      <c r="AE39" s="399"/>
      <c r="AF39" s="171">
        <f>L39+M39+N39+O39+P39+Q39+R39+S39</f>
        <v>8</v>
      </c>
    </row>
    <row r="40" spans="1:32">
      <c r="A40" s="681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1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1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1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6</v>
      </c>
      <c r="H43" s="445">
        <f t="shared" ref="H43" si="70">G43+H41+H42-H38-H39</f>
        <v>6</v>
      </c>
      <c r="I43" s="445">
        <f t="shared" ref="I43" si="71">H43+I41+I42-I38-I39</f>
        <v>6</v>
      </c>
      <c r="J43" s="445">
        <f t="shared" ref="J43" si="72">I43+J41+J42-J38-J39</f>
        <v>6</v>
      </c>
      <c r="K43" s="486">
        <f t="shared" ref="K43" si="73">J43+K41+K42-K38-K39</f>
        <v>6</v>
      </c>
      <c r="L43" s="486">
        <f t="shared" ref="L43" si="74">K43+L41+L42-L38-L39</f>
        <v>6</v>
      </c>
      <c r="M43" s="486">
        <f t="shared" ref="M43" si="75">L43+M41+M42-M38-M39</f>
        <v>6</v>
      </c>
      <c r="N43" s="486">
        <f t="shared" ref="N43" si="76">M43+N41+N42-N38-N39</f>
        <v>-4</v>
      </c>
      <c r="O43" s="486">
        <f t="shared" ref="O43" si="77">N43+O41+O42-O38-O39</f>
        <v>-6</v>
      </c>
      <c r="P43" s="487">
        <f t="shared" ref="P43" si="78">O43+P41+P42-P38-P39</f>
        <v>-6</v>
      </c>
      <c r="Q43" s="510">
        <f t="shared" ref="Q43" si="79">P43+Q41+Q42-Q38-Q39</f>
        <v>-6</v>
      </c>
      <c r="R43" s="507">
        <f t="shared" ref="R43" si="80">Q43+R41+R42-R38-R39</f>
        <v>-6</v>
      </c>
      <c r="S43" s="507">
        <f t="shared" ref="S43" si="81">R43+S41+S42-S38-S39</f>
        <v>-22</v>
      </c>
      <c r="T43" s="507">
        <f t="shared" ref="T43" si="82">S43+T41+T42-T38-T39</f>
        <v>-22</v>
      </c>
      <c r="U43" s="507">
        <f>T43+U41+U42-U38-U39</f>
        <v>-22</v>
      </c>
      <c r="V43" s="507">
        <f t="shared" ref="V43" si="83">U43+V41+V42-V38-V39</f>
        <v>-22</v>
      </c>
      <c r="W43" s="507">
        <f t="shared" ref="W43" si="84">V43+W41+W42-W38-W39</f>
        <v>-22</v>
      </c>
      <c r="X43" s="507">
        <f t="shared" ref="X43" si="85">W43+X41+X42-X38-X39</f>
        <v>-22</v>
      </c>
      <c r="Y43" s="507">
        <f t="shared" ref="Y43" si="86">X43+Y41+Y42-Y38-Y39</f>
        <v>-22</v>
      </c>
      <c r="Z43" s="507">
        <f t="shared" ref="Z43" si="87">Y43+Z41+Z42-Z38-Z39</f>
        <v>-22</v>
      </c>
      <c r="AA43" s="507">
        <f t="shared" ref="AA43" si="88">Z43+AA41+AA42-AA38-AA39</f>
        <v>-22</v>
      </c>
      <c r="AB43" s="487">
        <f t="shared" ref="AB43" si="89">AA43+AB41+AB42-AB38-AB39</f>
        <v>-22</v>
      </c>
      <c r="AC43" s="197"/>
      <c r="AD43" s="398">
        <v>192</v>
      </c>
      <c r="AE43" s="398">
        <f>P43-AD43</f>
        <v>-198</v>
      </c>
    </row>
    <row r="44" spans="1:32" ht="15" customHeight="1">
      <c r="A44" s="680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0</v>
      </c>
      <c r="Q44" s="516">
        <v>0</v>
      </c>
      <c r="R44" s="455">
        <v>0</v>
      </c>
      <c r="S44" s="455">
        <v>16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1"/>
      <c r="B45" s="565"/>
      <c r="C45" s="173" t="s">
        <v>47</v>
      </c>
      <c r="D45" s="424"/>
      <c r="E45" s="179">
        <v>0</v>
      </c>
      <c r="F45" s="177">
        <v>0</v>
      </c>
      <c r="G45" s="177">
        <v>16</v>
      </c>
      <c r="H45" s="177">
        <v>0</v>
      </c>
      <c r="I45" s="177">
        <v>0</v>
      </c>
      <c r="J45" s="177">
        <v>0</v>
      </c>
      <c r="K45" s="177">
        <v>0</v>
      </c>
      <c r="L45" s="177">
        <v>0</v>
      </c>
      <c r="M45" s="177">
        <v>0</v>
      </c>
      <c r="N45" s="177">
        <v>0</v>
      </c>
      <c r="O45" s="177">
        <v>0</v>
      </c>
      <c r="P45" s="180">
        <v>0</v>
      </c>
      <c r="Q45" s="422">
        <v>0</v>
      </c>
      <c r="R45" s="177">
        <v>0</v>
      </c>
      <c r="S45" s="177">
        <v>16</v>
      </c>
      <c r="T45" s="177">
        <v>0</v>
      </c>
      <c r="U45" s="177">
        <v>0</v>
      </c>
      <c r="V45" s="177">
        <v>0</v>
      </c>
      <c r="W45" s="177">
        <v>0</v>
      </c>
      <c r="X45" s="177">
        <v>0</v>
      </c>
      <c r="Y45" s="177">
        <v>0</v>
      </c>
      <c r="Z45" s="177">
        <v>0</v>
      </c>
      <c r="AA45" s="177">
        <v>0</v>
      </c>
      <c r="AB45" s="180">
        <v>0</v>
      </c>
      <c r="AC45" s="402">
        <f>SUM(K45:AB45)</f>
        <v>16</v>
      </c>
      <c r="AD45" s="399"/>
      <c r="AE45" s="399"/>
      <c r="AF45" s="171">
        <f>L45+M45+N45+O45+P45+Q45+R45+S45</f>
        <v>16</v>
      </c>
    </row>
    <row r="46" spans="1:32">
      <c r="A46" s="681"/>
      <c r="B46" s="565"/>
      <c r="C46" s="181" t="s">
        <v>49</v>
      </c>
      <c r="D46" s="512">
        <v>28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1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1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1"/>
      <c r="B49" s="565"/>
      <c r="C49" s="195" t="s">
        <v>52</v>
      </c>
      <c r="D49" s="443">
        <f>D46+D47+D48-D44-D45</f>
        <v>28</v>
      </c>
      <c r="E49" s="444">
        <f t="shared" ref="E49" si="90">D49+E47+E48-E44-E45</f>
        <v>28</v>
      </c>
      <c r="F49" s="445">
        <f t="shared" ref="F49" si="91">E49+F47+F48-F44-F45</f>
        <v>28</v>
      </c>
      <c r="G49" s="445">
        <f t="shared" ref="G49" si="92">F49+G47+G48-G44-G45</f>
        <v>12</v>
      </c>
      <c r="H49" s="445">
        <f t="shared" ref="H49" si="93">G49+H47+H48-H44-H45</f>
        <v>12</v>
      </c>
      <c r="I49" s="445">
        <f t="shared" ref="I49" si="94">H49+I47+I48-I44-I45</f>
        <v>12</v>
      </c>
      <c r="J49" s="445">
        <f t="shared" ref="J49" si="95">I49+J47+J48-J44-J45</f>
        <v>12</v>
      </c>
      <c r="K49" s="486">
        <f t="shared" ref="K49" si="96">J49+K47+K48-K44-K45</f>
        <v>12</v>
      </c>
      <c r="L49" s="486">
        <f t="shared" ref="L49" si="97">K49+L47+L48-L44-L45</f>
        <v>12</v>
      </c>
      <c r="M49" s="486">
        <f t="shared" ref="M49" si="98">L49+M47+M48-M44-M45</f>
        <v>12</v>
      </c>
      <c r="N49" s="486">
        <f t="shared" ref="N49" si="99">M49+N47+N48-N44-N45</f>
        <v>-8</v>
      </c>
      <c r="O49" s="486">
        <f t="shared" ref="O49" si="100">N49+O47+O48-O44-O45</f>
        <v>-8</v>
      </c>
      <c r="P49" s="487">
        <f t="shared" ref="P49" si="101">O49+P47+P48-P44-P45</f>
        <v>-8</v>
      </c>
      <c r="Q49" s="510">
        <f t="shared" ref="Q49" si="102">P49+Q47+Q48-Q44-Q45</f>
        <v>-8</v>
      </c>
      <c r="R49" s="507">
        <f t="shared" ref="R49" si="103">Q49+R47+R48-R44-R45</f>
        <v>-8</v>
      </c>
      <c r="S49" s="507">
        <f t="shared" ref="S49" si="104">R49+S47+S48-S44-S45</f>
        <v>-40</v>
      </c>
      <c r="T49" s="507">
        <f t="shared" ref="T49" si="105">S49+T47+T48-T44-T45</f>
        <v>-40</v>
      </c>
      <c r="U49" s="507">
        <f>T49+U47+U48-U44-U45</f>
        <v>-40</v>
      </c>
      <c r="V49" s="507">
        <f t="shared" ref="V49:AB49" si="106">U49+V47+V48-V44-V45</f>
        <v>-40</v>
      </c>
      <c r="W49" s="507">
        <f t="shared" si="106"/>
        <v>-40</v>
      </c>
      <c r="X49" s="507">
        <f t="shared" si="106"/>
        <v>-40</v>
      </c>
      <c r="Y49" s="507">
        <f t="shared" si="106"/>
        <v>-40</v>
      </c>
      <c r="Z49" s="507">
        <f t="shared" si="106"/>
        <v>-40</v>
      </c>
      <c r="AA49" s="507">
        <f t="shared" si="106"/>
        <v>-40</v>
      </c>
      <c r="AB49" s="487">
        <f t="shared" si="106"/>
        <v>-40</v>
      </c>
      <c r="AC49" s="197"/>
      <c r="AD49" s="398">
        <v>192</v>
      </c>
      <c r="AE49" s="398">
        <f>P49-AD49</f>
        <v>-200</v>
      </c>
    </row>
    <row r="50" spans="1:32">
      <c r="A50" s="681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1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0</v>
      </c>
      <c r="Q51" s="421">
        <v>0</v>
      </c>
      <c r="R51" s="178">
        <v>0</v>
      </c>
      <c r="S51" s="178">
        <v>0</v>
      </c>
      <c r="T51" s="178">
        <v>0</v>
      </c>
      <c r="U51" s="178">
        <v>0</v>
      </c>
      <c r="V51" s="178">
        <v>0</v>
      </c>
      <c r="W51" s="178">
        <v>0</v>
      </c>
      <c r="X51" s="178">
        <v>0</v>
      </c>
      <c r="Y51" s="178">
        <v>0</v>
      </c>
      <c r="Z51" s="178">
        <v>0</v>
      </c>
      <c r="AA51" s="178">
        <v>0</v>
      </c>
      <c r="AB51" s="180">
        <v>0</v>
      </c>
      <c r="AC51" s="421">
        <f>SUM(K51:AB51)</f>
        <v>0</v>
      </c>
      <c r="AD51" s="399"/>
      <c r="AE51" s="399"/>
      <c r="AF51" s="171">
        <f>L51+M51+N51+O51+P51+Q51+R51+S51</f>
        <v>0</v>
      </c>
    </row>
    <row r="52" spans="1:32">
      <c r="A52" s="681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1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1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1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2</v>
      </c>
      <c r="Q55" s="510">
        <f t="shared" ref="Q55" si="119">P55+Q53+Q54-Q50-Q51</f>
        <v>2</v>
      </c>
      <c r="R55" s="507">
        <f t="shared" ref="R55" si="120">Q55+R53+R54-R50-R51</f>
        <v>2</v>
      </c>
      <c r="S55" s="507">
        <f t="shared" ref="S55" si="121">R55+S53+S54-S50-S51</f>
        <v>2</v>
      </c>
      <c r="T55" s="507">
        <f t="shared" ref="T55" si="122">S55+T53+T54-T50-T51</f>
        <v>2</v>
      </c>
      <c r="U55" s="507">
        <f>T55+U53+U54-U50-U51</f>
        <v>2</v>
      </c>
      <c r="V55" s="507">
        <f t="shared" ref="V55" si="123">U55+V53+V54-V50-V51</f>
        <v>2</v>
      </c>
      <c r="W55" s="507">
        <f t="shared" ref="W55" si="124">V55+W53+W54-W50-W51</f>
        <v>2</v>
      </c>
      <c r="X55" s="507">
        <f t="shared" ref="X55" si="125">W55+X53+X54-X50-X51</f>
        <v>2</v>
      </c>
      <c r="Y55" s="507">
        <f t="shared" ref="Y55" si="126">X55+Y53+Y54-Y50-Y51</f>
        <v>2</v>
      </c>
      <c r="Z55" s="507">
        <f t="shared" ref="Z55" si="127">Y55+Z53+Z54-Z50-Z51</f>
        <v>2</v>
      </c>
      <c r="AA55" s="507">
        <f t="shared" ref="AA55" si="128">Z55+AA53+AA54-AA50-AA51</f>
        <v>2</v>
      </c>
      <c r="AB55" s="487">
        <f t="shared" ref="AB55" si="129">AA55+AB53+AB54-AB50-AB51</f>
        <v>2</v>
      </c>
      <c r="AC55" s="197"/>
      <c r="AD55" s="398">
        <v>96</v>
      </c>
      <c r="AE55" s="398">
        <f>P55-AD55</f>
        <v>-94</v>
      </c>
    </row>
    <row r="56" spans="1:32">
      <c r="A56" s="681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1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0</v>
      </c>
      <c r="Q57" s="422">
        <v>0</v>
      </c>
      <c r="R57" s="177">
        <v>0</v>
      </c>
      <c r="S57" s="177">
        <v>0</v>
      </c>
      <c r="T57" s="177">
        <v>0</v>
      </c>
      <c r="U57" s="177">
        <v>0</v>
      </c>
      <c r="V57" s="177">
        <v>0</v>
      </c>
      <c r="W57" s="177">
        <v>0</v>
      </c>
      <c r="X57" s="177">
        <v>0</v>
      </c>
      <c r="Y57" s="177">
        <v>0</v>
      </c>
      <c r="Z57" s="177">
        <v>0</v>
      </c>
      <c r="AA57" s="177">
        <v>0</v>
      </c>
      <c r="AB57" s="180">
        <v>0</v>
      </c>
      <c r="AC57" s="402">
        <f>SUM(K57:AB57)</f>
        <v>0</v>
      </c>
      <c r="AD57" s="399"/>
      <c r="AE57" s="399"/>
      <c r="AF57" s="171">
        <f>L57+M57+N57+O57+P57+Q57+R57+S57</f>
        <v>0</v>
      </c>
    </row>
    <row r="58" spans="1:32">
      <c r="A58" s="681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1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1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6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-1</v>
      </c>
      <c r="Q61" s="518">
        <f t="shared" ref="Q61" si="141">P61+Q59+Q60-Q56-Q57</f>
        <v>-1</v>
      </c>
      <c r="R61" s="492">
        <f t="shared" ref="R61" si="142">Q61+R59+R60-R56-R57</f>
        <v>-1</v>
      </c>
      <c r="S61" s="492">
        <f t="shared" ref="S61" si="143">R61+S59+S60-S56-S57</f>
        <v>-1</v>
      </c>
      <c r="T61" s="511">
        <f t="shared" ref="T61" si="144">S61+T59+T60-T56-T57</f>
        <v>-1</v>
      </c>
      <c r="U61" s="511">
        <f t="shared" ref="U61" si="145">T61+U59+U60-U56-U57</f>
        <v>-1</v>
      </c>
      <c r="V61" s="511">
        <f t="shared" ref="V61" si="146">U61+V59+V60-V56-V57</f>
        <v>-1</v>
      </c>
      <c r="W61" s="511">
        <f t="shared" ref="W61" si="147">V61+W59+W60-W56-W57</f>
        <v>-1</v>
      </c>
      <c r="X61" s="511">
        <f t="shared" ref="X61" si="148">W61+X59+X60-X56-X57</f>
        <v>-1</v>
      </c>
      <c r="Y61" s="511">
        <f t="shared" ref="Y61" si="149">X61+Y59+Y60-Y56-Y57</f>
        <v>-1</v>
      </c>
      <c r="Z61" s="511">
        <f t="shared" ref="Z61" si="150">Y61+Z59+Z60-Z56-Z57</f>
        <v>-1</v>
      </c>
      <c r="AA61" s="511">
        <f t="shared" ref="AA61" si="151">Z61+AA59+AA60-AA56-AA57</f>
        <v>-1</v>
      </c>
      <c r="AB61" s="493">
        <f t="shared" ref="AB61" si="152">AA61+AB59+AB60-AB56-AB57</f>
        <v>-1</v>
      </c>
      <c r="AC61" s="510">
        <f t="shared" ref="AC61" si="153">AB61+AC59+AC60-AC56-AC57</f>
        <v>-2</v>
      </c>
      <c r="AD61" s="507">
        <f t="shared" ref="AD61" si="154">AC61+AD59+AD60-AD56-AD57</f>
        <v>-2</v>
      </c>
      <c r="AE61" s="507">
        <f t="shared" ref="AE61" si="155">AD61+AE59+AE60-AE56-AE57</f>
        <v>-2</v>
      </c>
      <c r="AF61" s="507">
        <f t="shared" ref="AF61" si="156">AE61+AF59+AF60-AF56-AF57</f>
        <v>-2</v>
      </c>
    </row>
    <row r="62" spans="1:32">
      <c r="A62" s="682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552</v>
      </c>
      <c r="P62" s="448">
        <v>540</v>
      </c>
      <c r="Q62" s="449">
        <v>0</v>
      </c>
      <c r="R62" s="450">
        <v>0</v>
      </c>
      <c r="S62" s="450">
        <v>572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2560</v>
      </c>
      <c r="AD62" s="399"/>
      <c r="AE62" s="399"/>
    </row>
    <row r="63" spans="1:32">
      <c r="A63" s="681"/>
      <c r="B63" s="565"/>
      <c r="C63" s="173" t="s">
        <v>47</v>
      </c>
      <c r="D63" s="429"/>
      <c r="E63" s="179">
        <v>0</v>
      </c>
      <c r="F63" s="177">
        <v>0</v>
      </c>
      <c r="G63" s="177">
        <v>572</v>
      </c>
      <c r="H63" s="177">
        <v>384</v>
      </c>
      <c r="I63" s="177">
        <v>512</v>
      </c>
      <c r="J63" s="177">
        <v>0</v>
      </c>
      <c r="K63" s="177">
        <v>0</v>
      </c>
      <c r="L63" s="177">
        <v>0</v>
      </c>
      <c r="M63" s="177">
        <v>0</v>
      </c>
      <c r="N63" s="177">
        <v>0</v>
      </c>
      <c r="O63" s="177">
        <v>0</v>
      </c>
      <c r="P63" s="178">
        <v>0</v>
      </c>
      <c r="Q63" s="179">
        <v>0</v>
      </c>
      <c r="R63" s="177">
        <v>0</v>
      </c>
      <c r="S63" s="177">
        <v>572</v>
      </c>
      <c r="T63" s="177">
        <v>384</v>
      </c>
      <c r="U63" s="177">
        <v>512</v>
      </c>
      <c r="V63" s="177">
        <v>0</v>
      </c>
      <c r="W63" s="177">
        <v>0</v>
      </c>
      <c r="X63" s="177">
        <v>0</v>
      </c>
      <c r="Y63" s="177">
        <v>0</v>
      </c>
      <c r="Z63" s="177">
        <v>0</v>
      </c>
      <c r="AA63" s="177">
        <v>0</v>
      </c>
      <c r="AB63" s="180">
        <v>0</v>
      </c>
      <c r="AC63" s="402">
        <f>SUM(K63:AB63)</f>
        <v>1468</v>
      </c>
      <c r="AD63" s="399"/>
      <c r="AE63" s="399"/>
      <c r="AF63" s="171">
        <f>L63+M63+N63+O63+P63+Q63+R63+S63</f>
        <v>572</v>
      </c>
    </row>
    <row r="64" spans="1:32">
      <c r="A64" s="681"/>
      <c r="B64" s="565"/>
      <c r="C64" s="181" t="s">
        <v>49</v>
      </c>
      <c r="D64" s="183">
        <v>674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1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1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1"/>
      <c r="B67" s="565"/>
      <c r="C67" s="195" t="s">
        <v>52</v>
      </c>
      <c r="D67" s="427">
        <f>D64+D65+D66-D62-D63</f>
        <v>674</v>
      </c>
      <c r="E67" s="431">
        <f t="shared" ref="E67:P67" si="157">D67+E65+E66-E62-E63</f>
        <v>674</v>
      </c>
      <c r="F67" s="196">
        <f t="shared" si="157"/>
        <v>674</v>
      </c>
      <c r="G67" s="196">
        <f t="shared" si="157"/>
        <v>102</v>
      </c>
      <c r="H67" s="196">
        <f t="shared" si="157"/>
        <v>-282</v>
      </c>
      <c r="I67" s="196">
        <f t="shared" si="157"/>
        <v>-794</v>
      </c>
      <c r="J67" s="196">
        <f t="shared" si="157"/>
        <v>-794</v>
      </c>
      <c r="K67" s="196">
        <f t="shared" si="157"/>
        <v>-794</v>
      </c>
      <c r="L67" s="196">
        <f t="shared" si="157"/>
        <v>-794</v>
      </c>
      <c r="M67" s="196">
        <f t="shared" si="157"/>
        <v>-794</v>
      </c>
      <c r="N67" s="196">
        <f t="shared" si="157"/>
        <v>-794</v>
      </c>
      <c r="O67" s="196">
        <f t="shared" si="157"/>
        <v>-1346</v>
      </c>
      <c r="P67" s="427">
        <f t="shared" si="157"/>
        <v>-1886</v>
      </c>
      <c r="Q67" s="427">
        <f t="shared" ref="Q67" si="158">P67+Q65+Q66-Q62-Q63</f>
        <v>-1886</v>
      </c>
      <c r="R67" s="427">
        <f t="shared" ref="R67" si="159">Q67+R65+R66-R62-R63</f>
        <v>-1886</v>
      </c>
      <c r="S67" s="427">
        <f t="shared" ref="S67" si="160">R67+S65+S66-S62-S63</f>
        <v>-3030</v>
      </c>
      <c r="T67" s="427">
        <f t="shared" ref="T67" si="161">S67+T65+T66-T62-T63</f>
        <v>-3798</v>
      </c>
      <c r="U67" s="427">
        <f t="shared" ref="U67" si="162">T67+U65+U66-U62-U63</f>
        <v>-4822</v>
      </c>
      <c r="V67" s="427">
        <f t="shared" ref="V67" si="163">U67+V65+V66-V62-V63</f>
        <v>-4822</v>
      </c>
      <c r="W67" s="427">
        <f t="shared" ref="W67" si="164">V67+W65+W66-W62-W63</f>
        <v>-4822</v>
      </c>
      <c r="X67" s="427">
        <f t="shared" ref="X67" si="165">W67+X65+X66-X62-X63</f>
        <v>-4822</v>
      </c>
      <c r="Y67" s="427">
        <f t="shared" ref="Y67" si="166">X67+Y65+Y66-Y62-Y63</f>
        <v>-4822</v>
      </c>
      <c r="Z67" s="196"/>
      <c r="AA67" s="196"/>
      <c r="AB67" s="432"/>
      <c r="AC67" s="197"/>
      <c r="AD67" s="398"/>
      <c r="AE67" s="398"/>
    </row>
    <row r="68" spans="1:32">
      <c r="A68" s="681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0</v>
      </c>
      <c r="Q68" s="179">
        <v>0</v>
      </c>
      <c r="R68" s="177">
        <v>0</v>
      </c>
      <c r="S68" s="177">
        <v>32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1"/>
      <c r="B69" s="565"/>
      <c r="C69" s="173" t="s">
        <v>47</v>
      </c>
      <c r="D69" s="429"/>
      <c r="E69" s="179">
        <v>0</v>
      </c>
      <c r="F69" s="177">
        <v>0</v>
      </c>
      <c r="G69" s="177">
        <v>32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32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32</v>
      </c>
      <c r="AD69" s="399"/>
      <c r="AE69" s="399"/>
      <c r="AF69" s="171">
        <f>L69+M69+N69+O69+P69+Q69+R69+S69</f>
        <v>32</v>
      </c>
    </row>
    <row r="70" spans="1:32">
      <c r="A70" s="681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1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1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1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0</v>
      </c>
      <c r="H73" s="196">
        <f t="shared" si="167"/>
        <v>0</v>
      </c>
      <c r="I73" s="196">
        <f t="shared" si="167"/>
        <v>0</v>
      </c>
      <c r="J73" s="196">
        <f t="shared" si="167"/>
        <v>0</v>
      </c>
      <c r="K73" s="196">
        <f t="shared" si="167"/>
        <v>0</v>
      </c>
      <c r="L73" s="196">
        <f t="shared" si="167"/>
        <v>0</v>
      </c>
      <c r="M73" s="196">
        <f t="shared" si="167"/>
        <v>0</v>
      </c>
      <c r="N73" s="196">
        <f t="shared" si="167"/>
        <v>0</v>
      </c>
      <c r="O73" s="196">
        <f t="shared" si="167"/>
        <v>0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1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82</v>
      </c>
      <c r="Q74" s="179">
        <v>0</v>
      </c>
      <c r="R74" s="177">
        <v>0</v>
      </c>
      <c r="S74" s="177">
        <v>62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1"/>
      <c r="B75" s="565"/>
      <c r="C75" s="173" t="s">
        <v>47</v>
      </c>
      <c r="D75" s="424"/>
      <c r="E75" s="179">
        <v>0</v>
      </c>
      <c r="F75" s="177">
        <v>0</v>
      </c>
      <c r="G75" s="177">
        <v>62</v>
      </c>
      <c r="H75" s="177">
        <v>0</v>
      </c>
      <c r="I75" s="177">
        <v>0</v>
      </c>
      <c r="J75" s="177">
        <v>0</v>
      </c>
      <c r="K75" s="177">
        <v>0</v>
      </c>
      <c r="L75" s="177">
        <v>0</v>
      </c>
      <c r="M75" s="177">
        <v>0</v>
      </c>
      <c r="N75" s="177">
        <v>0</v>
      </c>
      <c r="O75" s="177">
        <v>0</v>
      </c>
      <c r="P75" s="177">
        <v>0</v>
      </c>
      <c r="Q75" s="179">
        <v>0</v>
      </c>
      <c r="R75" s="177">
        <v>0</v>
      </c>
      <c r="S75" s="177">
        <v>62</v>
      </c>
      <c r="T75" s="177">
        <v>0</v>
      </c>
      <c r="U75" s="177">
        <v>0</v>
      </c>
      <c r="V75" s="177">
        <v>0</v>
      </c>
      <c r="W75" s="177">
        <v>0</v>
      </c>
      <c r="X75" s="177">
        <v>0</v>
      </c>
      <c r="Y75" s="177">
        <v>0</v>
      </c>
      <c r="Z75" s="177">
        <v>0</v>
      </c>
      <c r="AA75" s="177">
        <v>0</v>
      </c>
      <c r="AB75" s="180">
        <v>0</v>
      </c>
      <c r="AC75" s="402">
        <f>SUM(K75:AB75)</f>
        <v>62</v>
      </c>
      <c r="AD75" s="399"/>
      <c r="AE75" s="399"/>
      <c r="AF75" s="171">
        <f>L75+M75+N75+O75+P75+Q75+R75+S75</f>
        <v>62</v>
      </c>
    </row>
    <row r="76" spans="1:32">
      <c r="A76" s="681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1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1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1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172</v>
      </c>
      <c r="H79" s="196">
        <f t="shared" si="168"/>
        <v>172</v>
      </c>
      <c r="I79" s="196">
        <f t="shared" si="168"/>
        <v>172</v>
      </c>
      <c r="J79" s="196">
        <f t="shared" si="168"/>
        <v>172</v>
      </c>
      <c r="K79" s="196">
        <f t="shared" si="168"/>
        <v>172</v>
      </c>
      <c r="L79" s="196">
        <f t="shared" si="168"/>
        <v>172</v>
      </c>
      <c r="M79" s="196">
        <f t="shared" si="168"/>
        <v>172</v>
      </c>
      <c r="N79" s="196">
        <f t="shared" si="168"/>
        <v>172</v>
      </c>
      <c r="O79" s="196">
        <f t="shared" si="168"/>
        <v>130</v>
      </c>
      <c r="P79" s="427">
        <f t="shared" si="168"/>
        <v>48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1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68</v>
      </c>
      <c r="P80" s="178">
        <v>58</v>
      </c>
      <c r="Q80" s="179">
        <v>0</v>
      </c>
      <c r="R80" s="177">
        <v>0</v>
      </c>
      <c r="S80" s="177">
        <v>48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1"/>
      <c r="B81" s="565"/>
      <c r="C81" s="173" t="s">
        <v>47</v>
      </c>
      <c r="D81" s="424"/>
      <c r="E81" s="179">
        <v>0</v>
      </c>
      <c r="F81" s="177">
        <v>0</v>
      </c>
      <c r="G81" s="177">
        <v>48</v>
      </c>
      <c r="H81" s="177">
        <v>0</v>
      </c>
      <c r="I81" s="177">
        <v>0</v>
      </c>
      <c r="J81" s="177">
        <v>0</v>
      </c>
      <c r="K81" s="177">
        <v>0</v>
      </c>
      <c r="L81" s="177">
        <v>0</v>
      </c>
      <c r="M81" s="177">
        <v>0</v>
      </c>
      <c r="N81" s="177">
        <v>0</v>
      </c>
      <c r="O81" s="177">
        <v>0</v>
      </c>
      <c r="P81" s="178">
        <v>0</v>
      </c>
      <c r="Q81" s="179">
        <v>0</v>
      </c>
      <c r="R81" s="177">
        <v>0</v>
      </c>
      <c r="S81" s="177">
        <v>48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48</v>
      </c>
      <c r="AD81" s="399"/>
      <c r="AE81" s="399"/>
      <c r="AF81" s="171">
        <f>L81+M81+N81+O81+P81+Q81+R81+S81</f>
        <v>48</v>
      </c>
    </row>
    <row r="82" spans="1:32">
      <c r="A82" s="681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1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1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1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130</v>
      </c>
      <c r="H85" s="196">
        <f t="shared" si="169"/>
        <v>130</v>
      </c>
      <c r="I85" s="196">
        <f t="shared" si="169"/>
        <v>130</v>
      </c>
      <c r="J85" s="196">
        <f t="shared" si="169"/>
        <v>130</v>
      </c>
      <c r="K85" s="196">
        <f t="shared" si="169"/>
        <v>130</v>
      </c>
      <c r="L85" s="196">
        <f t="shared" si="169"/>
        <v>130</v>
      </c>
      <c r="M85" s="196">
        <f t="shared" si="169"/>
        <v>130</v>
      </c>
      <c r="N85" s="196">
        <f t="shared" si="169"/>
        <v>130</v>
      </c>
      <c r="O85" s="196">
        <f t="shared" si="169"/>
        <v>62</v>
      </c>
      <c r="P85" s="427">
        <f t="shared" si="169"/>
        <v>4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1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0</v>
      </c>
      <c r="Q86" s="179">
        <v>0</v>
      </c>
      <c r="R86" s="177">
        <v>0</v>
      </c>
      <c r="S86" s="177">
        <v>8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1"/>
      <c r="B87" s="565"/>
      <c r="C87" s="173" t="s">
        <v>47</v>
      </c>
      <c r="D87" s="424"/>
      <c r="E87" s="179">
        <v>0</v>
      </c>
      <c r="F87" s="177">
        <v>0</v>
      </c>
      <c r="G87" s="177">
        <v>8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8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8</v>
      </c>
      <c r="AD87" s="399"/>
      <c r="AE87" s="399"/>
      <c r="AF87" s="171">
        <f>L87+M87+N87+O87+P87+Q87+R87+S87</f>
        <v>8</v>
      </c>
    </row>
    <row r="88" spans="1:32">
      <c r="A88" s="681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1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1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90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-8</v>
      </c>
      <c r="H91" s="445">
        <f t="shared" si="170"/>
        <v>-8</v>
      </c>
      <c r="I91" s="445">
        <f t="shared" si="170"/>
        <v>-8</v>
      </c>
      <c r="J91" s="445">
        <f t="shared" si="170"/>
        <v>-8</v>
      </c>
      <c r="K91" s="445">
        <f t="shared" si="170"/>
        <v>-8</v>
      </c>
      <c r="L91" s="445">
        <f t="shared" si="170"/>
        <v>-8</v>
      </c>
      <c r="M91" s="445">
        <f t="shared" si="170"/>
        <v>-8</v>
      </c>
      <c r="N91" s="445">
        <f t="shared" si="170"/>
        <v>-8</v>
      </c>
      <c r="O91" s="445">
        <f t="shared" si="170"/>
        <v>-8</v>
      </c>
      <c r="P91" s="443">
        <f t="shared" si="170"/>
        <v>-8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7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8"/>
      <c r="B93" s="568"/>
      <c r="C93" s="173" t="s">
        <v>47</v>
      </c>
      <c r="D93" s="424"/>
      <c r="E93" s="179">
        <v>0</v>
      </c>
      <c r="F93" s="177">
        <v>0</v>
      </c>
      <c r="G93" s="177">
        <v>0</v>
      </c>
      <c r="H93" s="177">
        <v>0</v>
      </c>
      <c r="I93" s="177">
        <v>0</v>
      </c>
      <c r="J93" s="177">
        <v>0</v>
      </c>
      <c r="K93" s="177">
        <v>0</v>
      </c>
      <c r="L93" s="177">
        <v>0</v>
      </c>
      <c r="M93" s="177">
        <v>0</v>
      </c>
      <c r="N93" s="177">
        <v>0</v>
      </c>
      <c r="O93" s="177">
        <v>0</v>
      </c>
      <c r="P93" s="178">
        <v>0</v>
      </c>
      <c r="Q93" s="179">
        <v>0</v>
      </c>
      <c r="R93" s="177">
        <v>0</v>
      </c>
      <c r="S93" s="177">
        <v>0</v>
      </c>
      <c r="T93" s="177">
        <v>0</v>
      </c>
      <c r="U93" s="177">
        <v>0</v>
      </c>
      <c r="V93" s="177">
        <v>0</v>
      </c>
      <c r="W93" s="177">
        <v>0</v>
      </c>
      <c r="X93" s="177">
        <v>0</v>
      </c>
      <c r="Y93" s="177">
        <v>0</v>
      </c>
      <c r="Z93" s="177">
        <v>0</v>
      </c>
      <c r="AA93" s="177">
        <v>0</v>
      </c>
      <c r="AB93" s="180">
        <v>0</v>
      </c>
      <c r="AC93" s="402">
        <f>SUM(K93:AB93)</f>
        <v>0</v>
      </c>
      <c r="AD93" s="399"/>
      <c r="AE93" s="399"/>
      <c r="AF93" s="171">
        <f>L93+M93+N93+O93+P93+Q93+R93+S93</f>
        <v>0</v>
      </c>
    </row>
    <row r="94" spans="1:32">
      <c r="A94" s="688"/>
      <c r="B94" s="568"/>
      <c r="C94" s="181" t="s">
        <v>49</v>
      </c>
      <c r="D94" s="425">
        <v>2772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8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8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8"/>
      <c r="B97" s="568"/>
      <c r="C97" s="195" t="s">
        <v>52</v>
      </c>
      <c r="D97" s="427">
        <f>D94+D95+D96-D92-D93</f>
        <v>2772</v>
      </c>
      <c r="E97" s="431">
        <f t="shared" ref="E97:P97" si="171">D97+E95+E96-E92-E93</f>
        <v>2772</v>
      </c>
      <c r="F97" s="196">
        <f t="shared" si="171"/>
        <v>2772</v>
      </c>
      <c r="G97" s="196">
        <f t="shared" si="171"/>
        <v>2772</v>
      </c>
      <c r="H97" s="196">
        <f t="shared" si="171"/>
        <v>2772</v>
      </c>
      <c r="I97" s="196">
        <f t="shared" si="171"/>
        <v>2772</v>
      </c>
      <c r="J97" s="196">
        <f t="shared" si="171"/>
        <v>2772</v>
      </c>
      <c r="K97" s="196">
        <f t="shared" si="171"/>
        <v>2772</v>
      </c>
      <c r="L97" s="196">
        <f t="shared" si="171"/>
        <v>2772</v>
      </c>
      <c r="M97" s="196">
        <f t="shared" si="171"/>
        <v>2772</v>
      </c>
      <c r="N97" s="196">
        <f t="shared" si="171"/>
        <v>2772</v>
      </c>
      <c r="O97" s="196">
        <f t="shared" si="171"/>
        <v>2772</v>
      </c>
      <c r="P97" s="427">
        <f t="shared" si="171"/>
        <v>2772</v>
      </c>
      <c r="Q97" s="427">
        <f t="shared" ref="Q97" si="172">P97+Q95+Q96-Q92-Q93</f>
        <v>2772</v>
      </c>
      <c r="R97" s="427">
        <f t="shared" ref="R97" si="173">Q97+R95+R96-R92-R93</f>
        <v>2772</v>
      </c>
      <c r="S97" s="427">
        <f t="shared" ref="S97" si="174">R97+S95+S96-S92-S93</f>
        <v>2772</v>
      </c>
      <c r="T97" s="427">
        <f t="shared" ref="T97" si="175">S97+T95+T96-T92-T93</f>
        <v>2772</v>
      </c>
      <c r="U97" s="427">
        <f t="shared" ref="U97" si="176">T97+U95+U96-U92-U93</f>
        <v>2772</v>
      </c>
      <c r="V97" s="427">
        <f t="shared" ref="V97" si="177">U97+V95+V96-V92-V93</f>
        <v>2772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8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8"/>
      <c r="B99" s="568"/>
      <c r="C99" s="173" t="s">
        <v>47</v>
      </c>
      <c r="D99" s="424"/>
      <c r="E99" s="179">
        <v>0</v>
      </c>
      <c r="F99" s="177">
        <v>0</v>
      </c>
      <c r="G99" s="177">
        <v>0</v>
      </c>
      <c r="H99" s="177">
        <v>0</v>
      </c>
      <c r="I99" s="177">
        <v>0</v>
      </c>
      <c r="J99" s="177">
        <v>0</v>
      </c>
      <c r="K99" s="177">
        <v>0</v>
      </c>
      <c r="L99" s="177">
        <v>0</v>
      </c>
      <c r="M99" s="177">
        <v>0</v>
      </c>
      <c r="N99" s="177">
        <v>0</v>
      </c>
      <c r="O99" s="177">
        <v>0</v>
      </c>
      <c r="P99" s="178">
        <v>0</v>
      </c>
      <c r="Q99" s="179">
        <v>0</v>
      </c>
      <c r="R99" s="177">
        <v>0</v>
      </c>
      <c r="S99" s="177">
        <v>0</v>
      </c>
      <c r="T99" s="177">
        <v>0</v>
      </c>
      <c r="U99" s="177">
        <v>0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0</v>
      </c>
      <c r="AD99" s="399"/>
      <c r="AE99" s="399"/>
      <c r="AF99" s="171">
        <f>L99+M99+N99+O99+P99+Q99+R99+S99</f>
        <v>0</v>
      </c>
    </row>
    <row r="100" spans="1:32">
      <c r="A100" s="688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8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8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8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72</v>
      </c>
      <c r="F103" s="196">
        <f t="shared" si="178"/>
        <v>72</v>
      </c>
      <c r="G103" s="196">
        <f t="shared" si="178"/>
        <v>72</v>
      </c>
      <c r="H103" s="196">
        <f t="shared" si="178"/>
        <v>72</v>
      </c>
      <c r="I103" s="196">
        <f t="shared" si="178"/>
        <v>72</v>
      </c>
      <c r="J103" s="196">
        <f t="shared" si="178"/>
        <v>72</v>
      </c>
      <c r="K103" s="196">
        <f t="shared" si="178"/>
        <v>72</v>
      </c>
      <c r="L103" s="196">
        <f t="shared" si="178"/>
        <v>72</v>
      </c>
      <c r="M103" s="196">
        <f t="shared" si="178"/>
        <v>72</v>
      </c>
      <c r="N103" s="196">
        <f t="shared" si="178"/>
        <v>72</v>
      </c>
      <c r="O103" s="196">
        <f t="shared" si="178"/>
        <v>72</v>
      </c>
      <c r="P103" s="427">
        <f t="shared" si="178"/>
        <v>72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8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8"/>
      <c r="B105" s="568"/>
      <c r="C105" s="173" t="s">
        <v>47</v>
      </c>
      <c r="D105" s="424"/>
      <c r="E105" s="179">
        <v>0</v>
      </c>
      <c r="F105" s="177">
        <v>0</v>
      </c>
      <c r="G105" s="177">
        <v>0</v>
      </c>
      <c r="H105" s="177">
        <v>0</v>
      </c>
      <c r="I105" s="177">
        <v>0</v>
      </c>
      <c r="J105" s="177">
        <v>0</v>
      </c>
      <c r="K105" s="177">
        <v>0</v>
      </c>
      <c r="L105" s="177">
        <v>0</v>
      </c>
      <c r="M105" s="177">
        <v>0</v>
      </c>
      <c r="N105" s="177">
        <v>0</v>
      </c>
      <c r="O105" s="177">
        <v>0</v>
      </c>
      <c r="P105" s="178">
        <v>0</v>
      </c>
      <c r="Q105" s="179">
        <v>0</v>
      </c>
      <c r="R105" s="177">
        <v>0</v>
      </c>
      <c r="S105" s="177">
        <v>0</v>
      </c>
      <c r="T105" s="177">
        <v>0</v>
      </c>
      <c r="U105" s="177">
        <v>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0</v>
      </c>
      <c r="AD105" s="399"/>
      <c r="AE105" s="399"/>
      <c r="AF105" s="171">
        <f>L105+M105+N105+O105+P105+Q105+R105+S105</f>
        <v>0</v>
      </c>
    </row>
    <row r="106" spans="1:32">
      <c r="A106" s="688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8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8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8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144</v>
      </c>
      <c r="F109" s="196">
        <f t="shared" si="179"/>
        <v>144</v>
      </c>
      <c r="G109" s="196">
        <f t="shared" si="179"/>
        <v>144</v>
      </c>
      <c r="H109" s="196">
        <f t="shared" si="179"/>
        <v>144</v>
      </c>
      <c r="I109" s="196">
        <f t="shared" si="179"/>
        <v>144</v>
      </c>
      <c r="J109" s="196">
        <f t="shared" si="179"/>
        <v>144</v>
      </c>
      <c r="K109" s="196">
        <f t="shared" si="179"/>
        <v>144</v>
      </c>
      <c r="L109" s="196">
        <f t="shared" si="179"/>
        <v>144</v>
      </c>
      <c r="M109" s="196">
        <f t="shared" si="179"/>
        <v>144</v>
      </c>
      <c r="N109" s="196">
        <f t="shared" si="179"/>
        <v>144</v>
      </c>
      <c r="O109" s="196">
        <f t="shared" si="179"/>
        <v>144</v>
      </c>
      <c r="P109" s="427">
        <f t="shared" si="179"/>
        <v>144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8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8"/>
      <c r="B111" s="568"/>
      <c r="C111" s="173" t="s">
        <v>47</v>
      </c>
      <c r="D111" s="424"/>
      <c r="E111" s="179">
        <v>0</v>
      </c>
      <c r="F111" s="177">
        <v>0</v>
      </c>
      <c r="G111" s="177">
        <v>0</v>
      </c>
      <c r="H111" s="177">
        <v>0</v>
      </c>
      <c r="I111" s="177">
        <v>0</v>
      </c>
      <c r="J111" s="177">
        <v>0</v>
      </c>
      <c r="K111" s="177">
        <v>0</v>
      </c>
      <c r="L111" s="177">
        <v>0</v>
      </c>
      <c r="M111" s="177">
        <v>0</v>
      </c>
      <c r="N111" s="177">
        <v>0</v>
      </c>
      <c r="O111" s="177">
        <v>0</v>
      </c>
      <c r="P111" s="178">
        <v>0</v>
      </c>
      <c r="Q111" s="179">
        <v>0</v>
      </c>
      <c r="R111" s="177">
        <v>0</v>
      </c>
      <c r="S111" s="177">
        <v>0</v>
      </c>
      <c r="T111" s="177">
        <v>0</v>
      </c>
      <c r="U111" s="177">
        <v>0</v>
      </c>
      <c r="V111" s="177">
        <v>0</v>
      </c>
      <c r="W111" s="177">
        <v>0</v>
      </c>
      <c r="X111" s="177">
        <v>0</v>
      </c>
      <c r="Y111" s="177">
        <v>0</v>
      </c>
      <c r="Z111" s="177">
        <v>0</v>
      </c>
      <c r="AA111" s="177">
        <v>0</v>
      </c>
      <c r="AB111" s="180">
        <v>0</v>
      </c>
      <c r="AC111" s="402">
        <f>SUM(K111:AB111)</f>
        <v>0</v>
      </c>
      <c r="AD111" s="399"/>
      <c r="AE111" s="399"/>
      <c r="AF111" s="171">
        <f>L111+M111+N111+O111+P111+Q111+R111+S111</f>
        <v>0</v>
      </c>
    </row>
    <row r="112" spans="1:32">
      <c r="A112" s="688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8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8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8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84</v>
      </c>
      <c r="H115" s="196">
        <f t="shared" si="180"/>
        <v>84</v>
      </c>
      <c r="I115" s="196">
        <f t="shared" si="180"/>
        <v>84</v>
      </c>
      <c r="J115" s="196">
        <f t="shared" si="180"/>
        <v>84</v>
      </c>
      <c r="K115" s="196">
        <f t="shared" si="180"/>
        <v>84</v>
      </c>
      <c r="L115" s="196">
        <f t="shared" si="180"/>
        <v>84</v>
      </c>
      <c r="M115" s="196">
        <f t="shared" si="180"/>
        <v>84</v>
      </c>
      <c r="N115" s="196">
        <f t="shared" si="180"/>
        <v>84</v>
      </c>
      <c r="O115" s="196">
        <f t="shared" si="180"/>
        <v>84</v>
      </c>
      <c r="P115" s="427">
        <f t="shared" si="180"/>
        <v>84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8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8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0</v>
      </c>
      <c r="J117" s="177">
        <v>0</v>
      </c>
      <c r="K117" s="177">
        <v>0</v>
      </c>
      <c r="L117" s="177">
        <v>0</v>
      </c>
      <c r="M117" s="177">
        <v>0</v>
      </c>
      <c r="N117" s="177">
        <v>0</v>
      </c>
      <c r="O117" s="177">
        <v>0</v>
      </c>
      <c r="P117" s="178">
        <v>0</v>
      </c>
      <c r="Q117" s="179">
        <v>0</v>
      </c>
      <c r="R117" s="177">
        <v>0</v>
      </c>
      <c r="S117" s="177">
        <v>0</v>
      </c>
      <c r="T117" s="177">
        <v>0</v>
      </c>
      <c r="U117" s="177">
        <v>0</v>
      </c>
      <c r="V117" s="177">
        <v>0</v>
      </c>
      <c r="W117" s="177">
        <v>0</v>
      </c>
      <c r="X117" s="177">
        <v>0</v>
      </c>
      <c r="Y117" s="177">
        <v>0</v>
      </c>
      <c r="Z117" s="177">
        <v>0</v>
      </c>
      <c r="AA117" s="177">
        <v>0</v>
      </c>
      <c r="AB117" s="180">
        <v>0</v>
      </c>
      <c r="AC117" s="402">
        <f>SUM(K117:AB117)</f>
        <v>0</v>
      </c>
      <c r="AD117" s="399"/>
      <c r="AE117" s="399"/>
      <c r="AF117" s="171">
        <f>L117+M117+N117+O117+P117+Q117+R117+S117</f>
        <v>0</v>
      </c>
    </row>
    <row r="118" spans="1:32">
      <c r="A118" s="688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8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8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9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53</v>
      </c>
      <c r="J121" s="434">
        <f t="shared" si="181"/>
        <v>53</v>
      </c>
      <c r="K121" s="434">
        <f t="shared" si="181"/>
        <v>53</v>
      </c>
      <c r="L121" s="434">
        <f t="shared" si="181"/>
        <v>53</v>
      </c>
      <c r="M121" s="434">
        <f t="shared" si="181"/>
        <v>53</v>
      </c>
      <c r="N121" s="434">
        <f t="shared" si="181"/>
        <v>53</v>
      </c>
      <c r="O121" s="434">
        <f t="shared" si="181"/>
        <v>53</v>
      </c>
      <c r="P121" s="436">
        <f t="shared" si="181"/>
        <v>53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83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84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0</v>
      </c>
      <c r="K123" s="177">
        <v>0</v>
      </c>
      <c r="L123" s="177">
        <v>0</v>
      </c>
      <c r="M123" s="177">
        <v>0</v>
      </c>
      <c r="N123" s="177">
        <v>0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0</v>
      </c>
      <c r="AD123" s="399"/>
      <c r="AE123" s="399"/>
      <c r="AF123" s="171">
        <f>L123+M123+N123+O123+P123+Q123+R123+S123</f>
        <v>0</v>
      </c>
    </row>
    <row r="124" spans="1:32">
      <c r="A124" s="684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84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84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84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121</v>
      </c>
      <c r="K127" s="434">
        <f t="shared" ref="K127" si="188">J127+K125+K126-K122-K123</f>
        <v>121</v>
      </c>
      <c r="L127" s="434">
        <f t="shared" ref="L127" si="189">K127+L125+L126-L122-L123</f>
        <v>121</v>
      </c>
      <c r="M127" s="434">
        <f t="shared" ref="M127" si="190">L127+M125+M126-M122-M123</f>
        <v>121</v>
      </c>
      <c r="N127" s="434">
        <f t="shared" ref="N127" si="191">M127+N125+N126-N122-N123</f>
        <v>121</v>
      </c>
      <c r="O127" s="434">
        <f t="shared" ref="O127" si="192">N127+O125+O126-O122-O123</f>
        <v>121</v>
      </c>
      <c r="P127" s="436">
        <f t="shared" ref="P127" si="193">O127+P125+P126-P122-P123</f>
        <v>121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84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84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0</v>
      </c>
      <c r="I129" s="177">
        <v>0</v>
      </c>
      <c r="J129" s="177">
        <v>0</v>
      </c>
      <c r="K129" s="177">
        <v>0</v>
      </c>
      <c r="L129" s="177">
        <v>0</v>
      </c>
      <c r="M129" s="177">
        <v>0</v>
      </c>
      <c r="N129" s="177">
        <v>0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0</v>
      </c>
      <c r="AD129" s="399"/>
      <c r="AE129" s="399"/>
      <c r="AF129" s="171">
        <f>L129+M129+N129+O129+P129+Q129+R129+S129</f>
        <v>0</v>
      </c>
    </row>
    <row r="130" spans="1:32">
      <c r="A130" s="684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84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84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5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56</v>
      </c>
      <c r="I133" s="434">
        <f t="shared" ref="I133" si="198">H133+I131+I132-I128-I129</f>
        <v>56</v>
      </c>
      <c r="J133" s="434">
        <f t="shared" ref="J133" si="199">I133+J131+J132-J128-J129</f>
        <v>56</v>
      </c>
      <c r="K133" s="434">
        <f t="shared" ref="K133" si="200">J133+K131+K132-K128-K129</f>
        <v>56</v>
      </c>
      <c r="L133" s="434">
        <f t="shared" ref="L133" si="201">K133+L131+L132-L128-L129</f>
        <v>56</v>
      </c>
      <c r="M133" s="434">
        <f t="shared" ref="M133" si="202">L133+M131+M132-M128-M129</f>
        <v>56</v>
      </c>
      <c r="N133" s="434">
        <f t="shared" ref="N133" si="203">M133+N131+N132-N128-N129</f>
        <v>56</v>
      </c>
      <c r="O133" s="434">
        <f t="shared" ref="O133" si="204">N133+O131+O132-O128-O129</f>
        <v>56</v>
      </c>
      <c r="P133" s="436">
        <f t="shared" ref="P133" si="205">O133+P131+P132-P128-P129</f>
        <v>56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2:A7"/>
    <mergeCell ref="A8:A13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2018-11-09T09:38:21Z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