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Team 1 - ITC 6 months" sheetId="1" r:id="rId1"/>
    <sheet name="Team 2 - 3M" sheetId="2" r:id="rId2"/>
    <sheet name="Team 3 - SAMSUNG" sheetId="3" r:id="rId3"/>
    <sheet name="Team 4 - BOSCH" sheetId="4" r:id="rId4"/>
    <sheet name="Team 5 - Alpha-Beta" sheetId="5" r:id="rId5"/>
    <sheet name="Team 6 - BRITANNIA" sheetId="6" r:id="rId6"/>
    <sheet name="Team 7 - AMAZON" sheetId="7" r:id="rId7"/>
    <sheet name="Team 8 - YESBANK" sheetId="8" r:id="rId8"/>
    <sheet name="Team 9 - NFLX" sheetId="9" r:id="rId9"/>
  </sheets>
  <definedNames>
    <definedName name="_xlnm._FilterDatabase" localSheetId="0" hidden="1">'Team 1 - ITC 6 months'!$A$4:$G$160</definedName>
  </definedNames>
  <calcPr calcId="124519"/>
  <extLst>
    <ext uri="GoogleSheetsCustomDataVersion1">
      <go:sheetsCustomData xmlns:go="http://customooxmlschemas.google.com/" r:id="" roundtripDataSignature="AMtx7miPjVDF6fWCEEQ0j5SValrNWeVW+Q=="/>
    </ext>
  </extLst>
</workbook>
</file>

<file path=xl/calcChain.xml><?xml version="1.0" encoding="utf-8"?>
<calcChain xmlns="http://schemas.openxmlformats.org/spreadsheetml/2006/main">
  <c r="C296" i="9"/>
  <c r="E293"/>
  <c r="A291"/>
  <c r="C288"/>
  <c r="E285"/>
  <c r="A283"/>
  <c r="C280"/>
  <c r="E277"/>
  <c r="A275"/>
  <c r="C272"/>
  <c r="E269"/>
  <c r="A267"/>
  <c r="C264"/>
  <c r="E261"/>
  <c r="A259"/>
  <c r="C256"/>
  <c r="E253"/>
  <c r="A251"/>
  <c r="C248"/>
  <c r="E245"/>
  <c r="A243"/>
  <c r="C240"/>
  <c r="E237"/>
  <c r="A235"/>
  <c r="C232"/>
  <c r="E229"/>
  <c r="A227"/>
  <c r="C224"/>
  <c r="E221"/>
  <c r="A219"/>
  <c r="C216"/>
  <c r="E213"/>
  <c r="A211"/>
  <c r="C208"/>
  <c r="E205"/>
  <c r="A203"/>
  <c r="C200"/>
  <c r="E197"/>
  <c r="A195"/>
  <c r="C192"/>
  <c r="E189"/>
  <c r="A187"/>
  <c r="C184"/>
  <c r="E181"/>
  <c r="A179"/>
  <c r="C176"/>
  <c r="E173"/>
  <c r="A171"/>
  <c r="C168"/>
  <c r="E165"/>
  <c r="A163"/>
  <c r="C160"/>
  <c r="E157"/>
  <c r="A155"/>
  <c r="C152"/>
  <c r="E149"/>
  <c r="A147"/>
  <c r="C144"/>
  <c r="E141"/>
  <c r="A139"/>
  <c r="C136"/>
  <c r="E133"/>
  <c r="A131"/>
  <c r="C128"/>
  <c r="D296"/>
  <c r="F293"/>
  <c r="B291"/>
  <c r="D288"/>
  <c r="F285"/>
  <c r="B283"/>
  <c r="D280"/>
  <c r="F277"/>
  <c r="B275"/>
  <c r="D272"/>
  <c r="F269"/>
  <c r="B267"/>
  <c r="D264"/>
  <c r="F261"/>
  <c r="B259"/>
  <c r="D256"/>
  <c r="F253"/>
  <c r="B251"/>
  <c r="D248"/>
  <c r="F245"/>
  <c r="B243"/>
  <c r="D240"/>
  <c r="F237"/>
  <c r="B235"/>
  <c r="D232"/>
  <c r="F229"/>
  <c r="B227"/>
  <c r="D224"/>
  <c r="F221"/>
  <c r="B219"/>
  <c r="D216"/>
  <c r="F213"/>
  <c r="B211"/>
  <c r="D208"/>
  <c r="F205"/>
  <c r="B203"/>
  <c r="D200"/>
  <c r="F197"/>
  <c r="B195"/>
  <c r="D192"/>
  <c r="F189"/>
  <c r="B187"/>
  <c r="D184"/>
  <c r="F181"/>
  <c r="B179"/>
  <c r="D176"/>
  <c r="F173"/>
  <c r="B171"/>
  <c r="D168"/>
  <c r="F165"/>
  <c r="B163"/>
  <c r="D160"/>
  <c r="F157"/>
  <c r="B155"/>
  <c r="D152"/>
  <c r="F149"/>
  <c r="E298"/>
  <c r="A296"/>
  <c r="C293"/>
  <c r="E290"/>
  <c r="A288"/>
  <c r="C285"/>
  <c r="E282"/>
  <c r="A280"/>
  <c r="C277"/>
  <c r="E274"/>
  <c r="A272"/>
  <c r="C269"/>
  <c r="E266"/>
  <c r="A264"/>
  <c r="C261"/>
  <c r="E258"/>
  <c r="A256"/>
  <c r="C253"/>
  <c r="E250"/>
  <c r="A248"/>
  <c r="C245"/>
  <c r="E242"/>
  <c r="A240"/>
  <c r="C237"/>
  <c r="E234"/>
  <c r="A232"/>
  <c r="C229"/>
  <c r="E226"/>
  <c r="A224"/>
  <c r="C221"/>
  <c r="E218"/>
  <c r="A216"/>
  <c r="C213"/>
  <c r="E210"/>
  <c r="A208"/>
  <c r="C205"/>
  <c r="E202"/>
  <c r="A200"/>
  <c r="C197"/>
  <c r="E194"/>
  <c r="A192"/>
  <c r="C189"/>
  <c r="E186"/>
  <c r="A184"/>
  <c r="C181"/>
  <c r="E178"/>
  <c r="A176"/>
  <c r="C173"/>
  <c r="E170"/>
  <c r="A168"/>
  <c r="C165"/>
  <c r="E162"/>
  <c r="A160"/>
  <c r="C157"/>
  <c r="E154"/>
  <c r="A152"/>
  <c r="C149"/>
  <c r="E146"/>
  <c r="A144"/>
  <c r="C141"/>
  <c r="E138"/>
  <c r="A136"/>
  <c r="C133"/>
  <c r="E130"/>
  <c r="F298"/>
  <c r="B296"/>
  <c r="D293"/>
  <c r="F290"/>
  <c r="B288"/>
  <c r="D285"/>
  <c r="F282"/>
  <c r="B280"/>
  <c r="D277"/>
  <c r="F274"/>
  <c r="B272"/>
  <c r="D269"/>
  <c r="F266"/>
  <c r="B264"/>
  <c r="D261"/>
  <c r="F258"/>
  <c r="B256"/>
  <c r="D253"/>
  <c r="F250"/>
  <c r="B248"/>
  <c r="D245"/>
  <c r="F242"/>
  <c r="B240"/>
  <c r="D237"/>
  <c r="F234"/>
  <c r="B232"/>
  <c r="D229"/>
  <c r="F226"/>
  <c r="B224"/>
  <c r="D221"/>
  <c r="F218"/>
  <c r="B216"/>
  <c r="D213"/>
  <c r="F210"/>
  <c r="B208"/>
  <c r="D205"/>
  <c r="F202"/>
  <c r="B200"/>
  <c r="D197"/>
  <c r="F194"/>
  <c r="B192"/>
  <c r="D189"/>
  <c r="F186"/>
  <c r="B184"/>
  <c r="D181"/>
  <c r="F178"/>
  <c r="B176"/>
  <c r="D173"/>
  <c r="F170"/>
  <c r="B168"/>
  <c r="D165"/>
  <c r="F162"/>
  <c r="B152"/>
  <c r="D144"/>
  <c r="B139"/>
  <c r="F133"/>
  <c r="D128"/>
  <c r="E125"/>
  <c r="A123"/>
  <c r="C120"/>
  <c r="E117"/>
  <c r="A115"/>
  <c r="C112"/>
  <c r="E109"/>
  <c r="A107"/>
  <c r="C104"/>
  <c r="E101"/>
  <c r="A99"/>
  <c r="C96"/>
  <c r="E93"/>
  <c r="A91"/>
  <c r="C88"/>
  <c r="A297"/>
  <c r="C294"/>
  <c r="E291"/>
  <c r="A289"/>
  <c r="C286"/>
  <c r="E283"/>
  <c r="A281"/>
  <c r="C278"/>
  <c r="E275"/>
  <c r="A273"/>
  <c r="C270"/>
  <c r="E267"/>
  <c r="A265"/>
  <c r="C262"/>
  <c r="E259"/>
  <c r="A257"/>
  <c r="C254"/>
  <c r="E251"/>
  <c r="A249"/>
  <c r="C246"/>
  <c r="E243"/>
  <c r="A241"/>
  <c r="C238"/>
  <c r="E235"/>
  <c r="A233"/>
  <c r="C230"/>
  <c r="E227"/>
  <c r="A225"/>
  <c r="C222"/>
  <c r="E219"/>
  <c r="A217"/>
  <c r="C214"/>
  <c r="E211"/>
  <c r="A209"/>
  <c r="C206"/>
  <c r="E203"/>
  <c r="A201"/>
  <c r="C198"/>
  <c r="E195"/>
  <c r="A193"/>
  <c r="C190"/>
  <c r="E187"/>
  <c r="A185"/>
  <c r="C182"/>
  <c r="E179"/>
  <c r="A177"/>
  <c r="C174"/>
  <c r="E171"/>
  <c r="A169"/>
  <c r="C166"/>
  <c r="E163"/>
  <c r="A161"/>
  <c r="C158"/>
  <c r="E155"/>
  <c r="A153"/>
  <c r="C150"/>
  <c r="E147"/>
  <c r="A145"/>
  <c r="C142"/>
  <c r="E139"/>
  <c r="A137"/>
  <c r="C134"/>
  <c r="E131"/>
  <c r="A129"/>
  <c r="B297"/>
  <c r="D294"/>
  <c r="F291"/>
  <c r="B289"/>
  <c r="D286"/>
  <c r="F283"/>
  <c r="B281"/>
  <c r="D278"/>
  <c r="F275"/>
  <c r="B273"/>
  <c r="D270"/>
  <c r="F267"/>
  <c r="B265"/>
  <c r="D262"/>
  <c r="F259"/>
  <c r="B257"/>
  <c r="D254"/>
  <c r="F251"/>
  <c r="B249"/>
  <c r="D246"/>
  <c r="F243"/>
  <c r="B241"/>
  <c r="D238"/>
  <c r="F235"/>
  <c r="B233"/>
  <c r="D230"/>
  <c r="F227"/>
  <c r="B225"/>
  <c r="D222"/>
  <c r="F219"/>
  <c r="B217"/>
  <c r="D214"/>
  <c r="F211"/>
  <c r="B209"/>
  <c r="D206"/>
  <c r="F203"/>
  <c r="B201"/>
  <c r="D198"/>
  <c r="F195"/>
  <c r="B193"/>
  <c r="D190"/>
  <c r="F187"/>
  <c r="B185"/>
  <c r="D182"/>
  <c r="F179"/>
  <c r="B177"/>
  <c r="D174"/>
  <c r="F171"/>
  <c r="B169"/>
  <c r="D166"/>
  <c r="F163"/>
  <c r="B161"/>
  <c r="D158"/>
  <c r="F155"/>
  <c r="B153"/>
  <c r="D150"/>
  <c r="F147"/>
  <c r="E296"/>
  <c r="A294"/>
  <c r="C291"/>
  <c r="E288"/>
  <c r="A286"/>
  <c r="C283"/>
  <c r="E280"/>
  <c r="A278"/>
  <c r="C275"/>
  <c r="E272"/>
  <c r="A270"/>
  <c r="C267"/>
  <c r="E264"/>
  <c r="A262"/>
  <c r="C259"/>
  <c r="E256"/>
  <c r="A254"/>
  <c r="C251"/>
  <c r="E248"/>
  <c r="A246"/>
  <c r="C243"/>
  <c r="E240"/>
  <c r="A238"/>
  <c r="C235"/>
  <c r="E232"/>
  <c r="A230"/>
  <c r="C227"/>
  <c r="E224"/>
  <c r="A222"/>
  <c r="C219"/>
  <c r="E216"/>
  <c r="A214"/>
  <c r="C211"/>
  <c r="E208"/>
  <c r="A206"/>
  <c r="C203"/>
  <c r="E200"/>
  <c r="A198"/>
  <c r="C195"/>
  <c r="E192"/>
  <c r="A190"/>
  <c r="C187"/>
  <c r="E184"/>
  <c r="A182"/>
  <c r="C179"/>
  <c r="E176"/>
  <c r="A174"/>
  <c r="C171"/>
  <c r="E168"/>
  <c r="A166"/>
  <c r="C163"/>
  <c r="E160"/>
  <c r="A158"/>
  <c r="C155"/>
  <c r="E152"/>
  <c r="A150"/>
  <c r="C147"/>
  <c r="E144"/>
  <c r="A142"/>
  <c r="C139"/>
  <c r="E136"/>
  <c r="A134"/>
  <c r="C131"/>
  <c r="E128"/>
  <c r="F296"/>
  <c r="B294"/>
  <c r="D291"/>
  <c r="F288"/>
  <c r="B286"/>
  <c r="D283"/>
  <c r="F280"/>
  <c r="B278"/>
  <c r="D275"/>
  <c r="F272"/>
  <c r="B270"/>
  <c r="D267"/>
  <c r="F264"/>
  <c r="B262"/>
  <c r="D259"/>
  <c r="F256"/>
  <c r="B254"/>
  <c r="D251"/>
  <c r="F248"/>
  <c r="B246"/>
  <c r="D243"/>
  <c r="F240"/>
  <c r="B238"/>
  <c r="D235"/>
  <c r="F232"/>
  <c r="B230"/>
  <c r="D227"/>
  <c r="F224"/>
  <c r="B222"/>
  <c r="E297"/>
  <c r="A295"/>
  <c r="C292"/>
  <c r="E289"/>
  <c r="A287"/>
  <c r="C284"/>
  <c r="E281"/>
  <c r="A279"/>
  <c r="C276"/>
  <c r="E273"/>
  <c r="A271"/>
  <c r="C268"/>
  <c r="E265"/>
  <c r="A263"/>
  <c r="C260"/>
  <c r="E257"/>
  <c r="A255"/>
  <c r="C252"/>
  <c r="E249"/>
  <c r="A247"/>
  <c r="C244"/>
  <c r="E241"/>
  <c r="A239"/>
  <c r="C236"/>
  <c r="E233"/>
  <c r="A231"/>
  <c r="C228"/>
  <c r="E225"/>
  <c r="A223"/>
  <c r="C220"/>
  <c r="E217"/>
  <c r="A215"/>
  <c r="C212"/>
  <c r="E209"/>
  <c r="A207"/>
  <c r="C204"/>
  <c r="E201"/>
  <c r="A199"/>
  <c r="C196"/>
  <c r="E193"/>
  <c r="A191"/>
  <c r="C188"/>
  <c r="E185"/>
  <c r="A183"/>
  <c r="C180"/>
  <c r="E177"/>
  <c r="A175"/>
  <c r="C172"/>
  <c r="E169"/>
  <c r="A167"/>
  <c r="C164"/>
  <c r="E161"/>
  <c r="A159"/>
  <c r="C156"/>
  <c r="E153"/>
  <c r="A151"/>
  <c r="C148"/>
  <c r="E145"/>
  <c r="A143"/>
  <c r="C140"/>
  <c r="E137"/>
  <c r="A135"/>
  <c r="C132"/>
  <c r="E129"/>
  <c r="F297"/>
  <c r="B295"/>
  <c r="D292"/>
  <c r="F289"/>
  <c r="B287"/>
  <c r="D284"/>
  <c r="F281"/>
  <c r="B279"/>
  <c r="D276"/>
  <c r="F273"/>
  <c r="B271"/>
  <c r="D268"/>
  <c r="F265"/>
  <c r="B263"/>
  <c r="D260"/>
  <c r="F257"/>
  <c r="B255"/>
  <c r="D252"/>
  <c r="F249"/>
  <c r="B247"/>
  <c r="D244"/>
  <c r="F241"/>
  <c r="B239"/>
  <c r="D236"/>
  <c r="F233"/>
  <c r="B231"/>
  <c r="D228"/>
  <c r="F225"/>
  <c r="B223"/>
  <c r="D220"/>
  <c r="F217"/>
  <c r="B215"/>
  <c r="D212"/>
  <c r="F209"/>
  <c r="B207"/>
  <c r="D204"/>
  <c r="F201"/>
  <c r="B199"/>
  <c r="D196"/>
  <c r="F193"/>
  <c r="B191"/>
  <c r="D188"/>
  <c r="F185"/>
  <c r="B183"/>
  <c r="D180"/>
  <c r="F177"/>
  <c r="B175"/>
  <c r="D172"/>
  <c r="F169"/>
  <c r="B167"/>
  <c r="D164"/>
  <c r="F161"/>
  <c r="B159"/>
  <c r="D156"/>
  <c r="F153"/>
  <c r="B151"/>
  <c r="D148"/>
  <c r="C297"/>
  <c r="E294"/>
  <c r="A292"/>
  <c r="C289"/>
  <c r="E286"/>
  <c r="A284"/>
  <c r="C281"/>
  <c r="E278"/>
  <c r="A276"/>
  <c r="C273"/>
  <c r="E270"/>
  <c r="A268"/>
  <c r="C265"/>
  <c r="E262"/>
  <c r="A260"/>
  <c r="C257"/>
  <c r="E254"/>
  <c r="A252"/>
  <c r="C249"/>
  <c r="E246"/>
  <c r="A244"/>
  <c r="C241"/>
  <c r="E238"/>
  <c r="A236"/>
  <c r="C233"/>
  <c r="E230"/>
  <c r="A228"/>
  <c r="C225"/>
  <c r="E222"/>
  <c r="A220"/>
  <c r="C217"/>
  <c r="E214"/>
  <c r="A212"/>
  <c r="C209"/>
  <c r="E206"/>
  <c r="A204"/>
  <c r="C201"/>
  <c r="E198"/>
  <c r="A196"/>
  <c r="C193"/>
  <c r="E190"/>
  <c r="A188"/>
  <c r="C185"/>
  <c r="E182"/>
  <c r="A180"/>
  <c r="C177"/>
  <c r="E174"/>
  <c r="A172"/>
  <c r="C169"/>
  <c r="E166"/>
  <c r="A164"/>
  <c r="C161"/>
  <c r="E158"/>
  <c r="A156"/>
  <c r="C153"/>
  <c r="E150"/>
  <c r="A148"/>
  <c r="C145"/>
  <c r="E142"/>
  <c r="A140"/>
  <c r="C137"/>
  <c r="E134"/>
  <c r="A132"/>
  <c r="C129"/>
  <c r="D297"/>
  <c r="F294"/>
  <c r="B292"/>
  <c r="D289"/>
  <c r="F286"/>
  <c r="B284"/>
  <c r="D281"/>
  <c r="F278"/>
  <c r="B276"/>
  <c r="D273"/>
  <c r="F270"/>
  <c r="B268"/>
  <c r="D265"/>
  <c r="F262"/>
  <c r="B260"/>
  <c r="D257"/>
  <c r="F254"/>
  <c r="B252"/>
  <c r="D249"/>
  <c r="F246"/>
  <c r="B244"/>
  <c r="D241"/>
  <c r="F238"/>
  <c r="B236"/>
  <c r="D233"/>
  <c r="F230"/>
  <c r="B228"/>
  <c r="D225"/>
  <c r="F222"/>
  <c r="B220"/>
  <c r="D217"/>
  <c r="F214"/>
  <c r="B212"/>
  <c r="D209"/>
  <c r="F206"/>
  <c r="B204"/>
  <c r="D201"/>
  <c r="F198"/>
  <c r="B196"/>
  <c r="D193"/>
  <c r="F190"/>
  <c r="B188"/>
  <c r="D185"/>
  <c r="F182"/>
  <c r="B180"/>
  <c r="D177"/>
  <c r="F174"/>
  <c r="B172"/>
  <c r="D169"/>
  <c r="F166"/>
  <c r="B164"/>
  <c r="D157"/>
  <c r="B147"/>
  <c r="F141"/>
  <c r="D136"/>
  <c r="B131"/>
  <c r="A127"/>
  <c r="C124"/>
  <c r="E121"/>
  <c r="A119"/>
  <c r="C116"/>
  <c r="E113"/>
  <c r="A111"/>
  <c r="C108"/>
  <c r="E105"/>
  <c r="A103"/>
  <c r="C100"/>
  <c r="E97"/>
  <c r="A95"/>
  <c r="C92"/>
  <c r="E89"/>
  <c r="C298"/>
  <c r="E295"/>
  <c r="A293"/>
  <c r="C290"/>
  <c r="E287"/>
  <c r="A285"/>
  <c r="C282"/>
  <c r="E279"/>
  <c r="A277"/>
  <c r="C274"/>
  <c r="E271"/>
  <c r="A269"/>
  <c r="C266"/>
  <c r="E263"/>
  <c r="A261"/>
  <c r="C258"/>
  <c r="E255"/>
  <c r="A253"/>
  <c r="C250"/>
  <c r="E247"/>
  <c r="A245"/>
  <c r="C242"/>
  <c r="E239"/>
  <c r="A237"/>
  <c r="C234"/>
  <c r="E231"/>
  <c r="A229"/>
  <c r="C226"/>
  <c r="E223"/>
  <c r="A221"/>
  <c r="C218"/>
  <c r="E215"/>
  <c r="A213"/>
  <c r="C210"/>
  <c r="E207"/>
  <c r="A205"/>
  <c r="C202"/>
  <c r="E199"/>
  <c r="A197"/>
  <c r="C194"/>
  <c r="E191"/>
  <c r="A189"/>
  <c r="C186"/>
  <c r="E183"/>
  <c r="A181"/>
  <c r="C178"/>
  <c r="E175"/>
  <c r="A173"/>
  <c r="C170"/>
  <c r="E167"/>
  <c r="A165"/>
  <c r="C162"/>
  <c r="E159"/>
  <c r="A157"/>
  <c r="C154"/>
  <c r="E151"/>
  <c r="A149"/>
  <c r="C146"/>
  <c r="E143"/>
  <c r="A141"/>
  <c r="C138"/>
  <c r="E135"/>
  <c r="A133"/>
  <c r="C130"/>
  <c r="D298"/>
  <c r="F295"/>
  <c r="B293"/>
  <c r="D290"/>
  <c r="F287"/>
  <c r="B285"/>
  <c r="D282"/>
  <c r="F279"/>
  <c r="B277"/>
  <c r="D274"/>
  <c r="F271"/>
  <c r="B269"/>
  <c r="D266"/>
  <c r="F263"/>
  <c r="B261"/>
  <c r="D258"/>
  <c r="F255"/>
  <c r="B253"/>
  <c r="D250"/>
  <c r="F247"/>
  <c r="B245"/>
  <c r="D242"/>
  <c r="F239"/>
  <c r="B237"/>
  <c r="D234"/>
  <c r="F231"/>
  <c r="B229"/>
  <c r="D226"/>
  <c r="F223"/>
  <c r="B221"/>
  <c r="D218"/>
  <c r="F215"/>
  <c r="B213"/>
  <c r="D210"/>
  <c r="F207"/>
  <c r="B205"/>
  <c r="D202"/>
  <c r="F199"/>
  <c r="B197"/>
  <c r="D194"/>
  <c r="F191"/>
  <c r="B189"/>
  <c r="D186"/>
  <c r="F183"/>
  <c r="B181"/>
  <c r="D178"/>
  <c r="F175"/>
  <c r="B173"/>
  <c r="D170"/>
  <c r="F167"/>
  <c r="B165"/>
  <c r="D162"/>
  <c r="F159"/>
  <c r="B157"/>
  <c r="D154"/>
  <c r="F151"/>
  <c r="B149"/>
  <c r="A298"/>
  <c r="C295"/>
  <c r="E292"/>
  <c r="A290"/>
  <c r="C287"/>
  <c r="E284"/>
  <c r="A282"/>
  <c r="C279"/>
  <c r="E276"/>
  <c r="A274"/>
  <c r="C271"/>
  <c r="E268"/>
  <c r="A266"/>
  <c r="C263"/>
  <c r="E260"/>
  <c r="A258"/>
  <c r="C255"/>
  <c r="E252"/>
  <c r="A250"/>
  <c r="C247"/>
  <c r="E244"/>
  <c r="A242"/>
  <c r="C239"/>
  <c r="E236"/>
  <c r="A234"/>
  <c r="C231"/>
  <c r="E228"/>
  <c r="A226"/>
  <c r="C223"/>
  <c r="E220"/>
  <c r="A218"/>
  <c r="C215"/>
  <c r="E212"/>
  <c r="A210"/>
  <c r="C207"/>
  <c r="E204"/>
  <c r="A202"/>
  <c r="C199"/>
  <c r="E196"/>
  <c r="A194"/>
  <c r="C191"/>
  <c r="E188"/>
  <c r="A186"/>
  <c r="C183"/>
  <c r="E180"/>
  <c r="A178"/>
  <c r="C175"/>
  <c r="E172"/>
  <c r="A170"/>
  <c r="C167"/>
  <c r="E164"/>
  <c r="A162"/>
  <c r="C159"/>
  <c r="E156"/>
  <c r="A154"/>
  <c r="C151"/>
  <c r="E148"/>
  <c r="A146"/>
  <c r="C143"/>
  <c r="E140"/>
  <c r="A138"/>
  <c r="C135"/>
  <c r="E132"/>
  <c r="A130"/>
  <c r="B298"/>
  <c r="D295"/>
  <c r="F292"/>
  <c r="B290"/>
  <c r="D287"/>
  <c r="F284"/>
  <c r="B282"/>
  <c r="D279"/>
  <c r="F276"/>
  <c r="B274"/>
  <c r="D271"/>
  <c r="F268"/>
  <c r="B266"/>
  <c r="D263"/>
  <c r="F260"/>
  <c r="B258"/>
  <c r="D255"/>
  <c r="F252"/>
  <c r="B242"/>
  <c r="D231"/>
  <c r="F220"/>
  <c r="D215"/>
  <c r="B210"/>
  <c r="F204"/>
  <c r="D199"/>
  <c r="B194"/>
  <c r="F188"/>
  <c r="D183"/>
  <c r="B178"/>
  <c r="F172"/>
  <c r="D167"/>
  <c r="B160"/>
  <c r="B143"/>
  <c r="D132"/>
  <c r="A125"/>
  <c r="E119"/>
  <c r="C114"/>
  <c r="A109"/>
  <c r="E103"/>
  <c r="C98"/>
  <c r="A93"/>
  <c r="E87"/>
  <c r="A85"/>
  <c r="C82"/>
  <c r="E79"/>
  <c r="A77"/>
  <c r="C74"/>
  <c r="E71"/>
  <c r="A69"/>
  <c r="C66"/>
  <c r="E63"/>
  <c r="A61"/>
  <c r="C58"/>
  <c r="E55"/>
  <c r="A53"/>
  <c r="C50"/>
  <c r="E47"/>
  <c r="A45"/>
  <c r="C42"/>
  <c r="E39"/>
  <c r="A37"/>
  <c r="C34"/>
  <c r="E31"/>
  <c r="A29"/>
  <c r="C26"/>
  <c r="E23"/>
  <c r="A21"/>
  <c r="C18"/>
  <c r="E15"/>
  <c r="A13"/>
  <c r="C10"/>
  <c r="E7"/>
  <c r="A5"/>
  <c r="C158" i="8"/>
  <c r="E155"/>
  <c r="A153"/>
  <c r="C150"/>
  <c r="E147"/>
  <c r="A145"/>
  <c r="C142"/>
  <c r="E139"/>
  <c r="A137"/>
  <c r="C134"/>
  <c r="E131"/>
  <c r="A129"/>
  <c r="C126"/>
  <c r="E123"/>
  <c r="A121"/>
  <c r="C118"/>
  <c r="E115"/>
  <c r="A113"/>
  <c r="F152" i="9"/>
  <c r="F144"/>
  <c r="D139"/>
  <c r="B134"/>
  <c r="F128"/>
  <c r="F125"/>
  <c r="B123"/>
  <c r="D120"/>
  <c r="F117"/>
  <c r="B115"/>
  <c r="D112"/>
  <c r="F109"/>
  <c r="B107"/>
  <c r="D104"/>
  <c r="F101"/>
  <c r="B99"/>
  <c r="D96"/>
  <c r="F93"/>
  <c r="B91"/>
  <c r="D88"/>
  <c r="F85"/>
  <c r="B83"/>
  <c r="D80"/>
  <c r="F77"/>
  <c r="B75"/>
  <c r="D72"/>
  <c r="F69"/>
  <c r="B67"/>
  <c r="D64"/>
  <c r="F61"/>
  <c r="B59"/>
  <c r="D56"/>
  <c r="F53"/>
  <c r="B51"/>
  <c r="D48"/>
  <c r="F45"/>
  <c r="B43"/>
  <c r="D40"/>
  <c r="F37"/>
  <c r="B35"/>
  <c r="D32"/>
  <c r="F29"/>
  <c r="B27"/>
  <c r="D24"/>
  <c r="F21"/>
  <c r="B19"/>
  <c r="D16"/>
  <c r="F13"/>
  <c r="B11"/>
  <c r="D8"/>
  <c r="F5"/>
  <c r="B159" i="8"/>
  <c r="D156"/>
  <c r="F153"/>
  <c r="B151"/>
  <c r="D148"/>
  <c r="F145"/>
  <c r="B143"/>
  <c r="D140"/>
  <c r="F137"/>
  <c r="B135"/>
  <c r="D132"/>
  <c r="F129"/>
  <c r="B127"/>
  <c r="B145" i="9"/>
  <c r="D134"/>
  <c r="A126"/>
  <c r="E120"/>
  <c r="C115"/>
  <c r="A110"/>
  <c r="E104"/>
  <c r="C99"/>
  <c r="A94"/>
  <c r="E88"/>
  <c r="C83"/>
  <c r="A78"/>
  <c r="E72"/>
  <c r="C67"/>
  <c r="A62"/>
  <c r="E56"/>
  <c r="C51"/>
  <c r="A46"/>
  <c r="E40"/>
  <c r="C35"/>
  <c r="A30"/>
  <c r="E24"/>
  <c r="C19"/>
  <c r="A14"/>
  <c r="E8"/>
  <c r="C159" i="8"/>
  <c r="A154"/>
  <c r="E148"/>
  <c r="C143"/>
  <c r="A138"/>
  <c r="E132"/>
  <c r="C127"/>
  <c r="D123"/>
  <c r="A120"/>
  <c r="D116"/>
  <c r="F112"/>
  <c r="B110"/>
  <c r="D107"/>
  <c r="F104"/>
  <c r="B102"/>
  <c r="D99"/>
  <c r="F96"/>
  <c r="B94"/>
  <c r="D91"/>
  <c r="F88"/>
  <c r="B86"/>
  <c r="D83"/>
  <c r="F80"/>
  <c r="B78"/>
  <c r="D75"/>
  <c r="F72"/>
  <c r="B70"/>
  <c r="D67"/>
  <c r="F64"/>
  <c r="B62"/>
  <c r="D59"/>
  <c r="F56"/>
  <c r="B54"/>
  <c r="D51"/>
  <c r="F48"/>
  <c r="B46"/>
  <c r="D43"/>
  <c r="F40"/>
  <c r="B38"/>
  <c r="D35"/>
  <c r="F32"/>
  <c r="B30"/>
  <c r="D27"/>
  <c r="F24"/>
  <c r="B22"/>
  <c r="D19"/>
  <c r="F16"/>
  <c r="B14"/>
  <c r="D11"/>
  <c r="F8"/>
  <c r="B6"/>
  <c r="D256" i="7"/>
  <c r="F253"/>
  <c r="B251"/>
  <c r="D248"/>
  <c r="F245"/>
  <c r="B243"/>
  <c r="D240"/>
  <c r="F237"/>
  <c r="B235"/>
  <c r="D232"/>
  <c r="F229"/>
  <c r="B227"/>
  <c r="D224"/>
  <c r="F221"/>
  <c r="B219"/>
  <c r="D216"/>
  <c r="F213"/>
  <c r="B211"/>
  <c r="D208"/>
  <c r="F205"/>
  <c r="B203"/>
  <c r="D200"/>
  <c r="F197"/>
  <c r="B195"/>
  <c r="D192"/>
  <c r="F189"/>
  <c r="B187"/>
  <c r="D184"/>
  <c r="F181"/>
  <c r="B179"/>
  <c r="D176"/>
  <c r="F173"/>
  <c r="B171"/>
  <c r="D168"/>
  <c r="F165"/>
  <c r="B163"/>
  <c r="D160"/>
  <c r="F157"/>
  <c r="B155"/>
  <c r="D152"/>
  <c r="F149"/>
  <c r="B147"/>
  <c r="D144"/>
  <c r="F141"/>
  <c r="B139"/>
  <c r="D136"/>
  <c r="F133"/>
  <c r="B131"/>
  <c r="D128"/>
  <c r="F125"/>
  <c r="B123"/>
  <c r="D120"/>
  <c r="F150" i="9"/>
  <c r="D138"/>
  <c r="A128"/>
  <c r="E122"/>
  <c r="C117"/>
  <c r="A112"/>
  <c r="E106"/>
  <c r="C101"/>
  <c r="A96"/>
  <c r="E90"/>
  <c r="C85"/>
  <c r="A80"/>
  <c r="E74"/>
  <c r="C69"/>
  <c r="A64"/>
  <c r="E58"/>
  <c r="C53"/>
  <c r="A48"/>
  <c r="E42"/>
  <c r="C37"/>
  <c r="A32"/>
  <c r="E26"/>
  <c r="C21"/>
  <c r="A16"/>
  <c r="E10"/>
  <c r="C5"/>
  <c r="A156" i="8"/>
  <c r="E150"/>
  <c r="C145"/>
  <c r="A140"/>
  <c r="E134"/>
  <c r="C129"/>
  <c r="F124"/>
  <c r="C121"/>
  <c r="F117"/>
  <c r="B114"/>
  <c r="B111"/>
  <c r="F244" i="9"/>
  <c r="B234"/>
  <c r="D223"/>
  <c r="F216"/>
  <c r="D211"/>
  <c r="B206"/>
  <c r="F200"/>
  <c r="D195"/>
  <c r="B190"/>
  <c r="F184"/>
  <c r="D179"/>
  <c r="B174"/>
  <c r="F168"/>
  <c r="D163"/>
  <c r="F145"/>
  <c r="B135"/>
  <c r="C126"/>
  <c r="A121"/>
  <c r="E115"/>
  <c r="C110"/>
  <c r="A105"/>
  <c r="E99"/>
  <c r="C94"/>
  <c r="A89"/>
  <c r="E85"/>
  <c r="A83"/>
  <c r="C80"/>
  <c r="E77"/>
  <c r="A75"/>
  <c r="C72"/>
  <c r="E69"/>
  <c r="A67"/>
  <c r="C64"/>
  <c r="E61"/>
  <c r="A59"/>
  <c r="C56"/>
  <c r="E53"/>
  <c r="A51"/>
  <c r="C48"/>
  <c r="E45"/>
  <c r="A43"/>
  <c r="C40"/>
  <c r="E37"/>
  <c r="A35"/>
  <c r="C32"/>
  <c r="E29"/>
  <c r="A27"/>
  <c r="C24"/>
  <c r="E21"/>
  <c r="A19"/>
  <c r="C16"/>
  <c r="E13"/>
  <c r="A11"/>
  <c r="C8"/>
  <c r="E5"/>
  <c r="A159" i="8"/>
  <c r="C156"/>
  <c r="E153"/>
  <c r="A151"/>
  <c r="C148"/>
  <c r="E145"/>
  <c r="A143"/>
  <c r="C140"/>
  <c r="E137"/>
  <c r="A135"/>
  <c r="C132"/>
  <c r="E129"/>
  <c r="A127"/>
  <c r="C124"/>
  <c r="E121"/>
  <c r="A119"/>
  <c r="C116"/>
  <c r="E113"/>
  <c r="D155" i="9"/>
  <c r="B146"/>
  <c r="F140"/>
  <c r="D135"/>
  <c r="B130"/>
  <c r="D126"/>
  <c r="F123"/>
  <c r="B121"/>
  <c r="D118"/>
  <c r="F115"/>
  <c r="B113"/>
  <c r="D110"/>
  <c r="F107"/>
  <c r="B105"/>
  <c r="D102"/>
  <c r="F99"/>
  <c r="B97"/>
  <c r="D94"/>
  <c r="F91"/>
  <c r="B89"/>
  <c r="D86"/>
  <c r="F83"/>
  <c r="B81"/>
  <c r="D78"/>
  <c r="F75"/>
  <c r="B73"/>
  <c r="D70"/>
  <c r="F67"/>
  <c r="B65"/>
  <c r="D62"/>
  <c r="F59"/>
  <c r="B57"/>
  <c r="D54"/>
  <c r="F51"/>
  <c r="B49"/>
  <c r="D46"/>
  <c r="F43"/>
  <c r="B41"/>
  <c r="D38"/>
  <c r="F35"/>
  <c r="B33"/>
  <c r="D30"/>
  <c r="F27"/>
  <c r="B25"/>
  <c r="D22"/>
  <c r="F19"/>
  <c r="B17"/>
  <c r="D14"/>
  <c r="F11"/>
  <c r="B9"/>
  <c r="D6"/>
  <c r="F159" i="8"/>
  <c r="B157"/>
  <c r="D154"/>
  <c r="F151"/>
  <c r="B149"/>
  <c r="D146"/>
  <c r="F143"/>
  <c r="B141"/>
  <c r="D138"/>
  <c r="F135"/>
  <c r="B133"/>
  <c r="D130"/>
  <c r="F127"/>
  <c r="B148" i="9"/>
  <c r="B137"/>
  <c r="C127"/>
  <c r="A122"/>
  <c r="E116"/>
  <c r="C111"/>
  <c r="A106"/>
  <c r="E100"/>
  <c r="C95"/>
  <c r="A90"/>
  <c r="E84"/>
  <c r="C79"/>
  <c r="A74"/>
  <c r="E68"/>
  <c r="C63"/>
  <c r="A58"/>
  <c r="E52"/>
  <c r="C47"/>
  <c r="A42"/>
  <c r="E36"/>
  <c r="C31"/>
  <c r="A26"/>
  <c r="E20"/>
  <c r="C15"/>
  <c r="A10"/>
  <c r="E160" i="8"/>
  <c r="C155"/>
  <c r="A150"/>
  <c r="E144"/>
  <c r="C139"/>
  <c r="A134"/>
  <c r="E128"/>
  <c r="D124"/>
  <c r="F120"/>
  <c r="C117"/>
  <c r="F113"/>
  <c r="F110"/>
  <c r="B108"/>
  <c r="D105"/>
  <c r="F102"/>
  <c r="B100"/>
  <c r="D97"/>
  <c r="F94"/>
  <c r="B92"/>
  <c r="D89"/>
  <c r="F86"/>
  <c r="B84"/>
  <c r="D81"/>
  <c r="F78"/>
  <c r="B76"/>
  <c r="D73"/>
  <c r="F70"/>
  <c r="B68"/>
  <c r="D65"/>
  <c r="F62"/>
  <c r="B60"/>
  <c r="D57"/>
  <c r="F54"/>
  <c r="B52"/>
  <c r="D49"/>
  <c r="F46"/>
  <c r="B44"/>
  <c r="D41"/>
  <c r="F38"/>
  <c r="B36"/>
  <c r="D33"/>
  <c r="F30"/>
  <c r="B28"/>
  <c r="D25"/>
  <c r="F22"/>
  <c r="B20"/>
  <c r="D17"/>
  <c r="F14"/>
  <c r="B12"/>
  <c r="D9"/>
  <c r="F6"/>
  <c r="B257" i="7"/>
  <c r="D254"/>
  <c r="F251"/>
  <c r="B249"/>
  <c r="D246"/>
  <c r="F243"/>
  <c r="B241"/>
  <c r="D238"/>
  <c r="F235"/>
  <c r="B233"/>
  <c r="D230"/>
  <c r="F227"/>
  <c r="B225"/>
  <c r="D222"/>
  <c r="F219"/>
  <c r="B217"/>
  <c r="D214"/>
  <c r="F211"/>
  <c r="B209"/>
  <c r="D206"/>
  <c r="F203"/>
  <c r="B201"/>
  <c r="D198"/>
  <c r="F195"/>
  <c r="B193"/>
  <c r="D190"/>
  <c r="F187"/>
  <c r="B185"/>
  <c r="D182"/>
  <c r="F179"/>
  <c r="B177"/>
  <c r="D174"/>
  <c r="F171"/>
  <c r="B169"/>
  <c r="D166"/>
  <c r="F163"/>
  <c r="B161"/>
  <c r="D158"/>
  <c r="F155"/>
  <c r="B153"/>
  <c r="D150"/>
  <c r="F147"/>
  <c r="B145"/>
  <c r="D247" i="9"/>
  <c r="F236"/>
  <c r="B226"/>
  <c r="B218"/>
  <c r="F212"/>
  <c r="D207"/>
  <c r="B202"/>
  <c r="F196"/>
  <c r="D191"/>
  <c r="B186"/>
  <c r="F180"/>
  <c r="D175"/>
  <c r="B170"/>
  <c r="F164"/>
  <c r="D149"/>
  <c r="F137"/>
  <c r="E127"/>
  <c r="C122"/>
  <c r="A117"/>
  <c r="E111"/>
  <c r="C106"/>
  <c r="A101"/>
  <c r="E95"/>
  <c r="C90"/>
  <c r="C86"/>
  <c r="E83"/>
  <c r="A81"/>
  <c r="C78"/>
  <c r="E75"/>
  <c r="A73"/>
  <c r="C70"/>
  <c r="E67"/>
  <c r="A65"/>
  <c r="C62"/>
  <c r="E59"/>
  <c r="A57"/>
  <c r="C54"/>
  <c r="E51"/>
  <c r="A49"/>
  <c r="C46"/>
  <c r="E43"/>
  <c r="A41"/>
  <c r="C38"/>
  <c r="E35"/>
  <c r="A33"/>
  <c r="C30"/>
  <c r="E27"/>
  <c r="A25"/>
  <c r="C22"/>
  <c r="E19"/>
  <c r="A17"/>
  <c r="C14"/>
  <c r="E11"/>
  <c r="A9"/>
  <c r="C6"/>
  <c r="E159" i="8"/>
  <c r="A157"/>
  <c r="C154"/>
  <c r="E151"/>
  <c r="A149"/>
  <c r="C146"/>
  <c r="E143"/>
  <c r="A141"/>
  <c r="C138"/>
  <c r="E135"/>
  <c r="A133"/>
  <c r="C130"/>
  <c r="E127"/>
  <c r="A125"/>
  <c r="C122"/>
  <c r="E119"/>
  <c r="A117"/>
  <c r="C114"/>
  <c r="B158" i="9"/>
  <c r="D147"/>
  <c r="B142"/>
  <c r="F136"/>
  <c r="D131"/>
  <c r="B127"/>
  <c r="D124"/>
  <c r="F121"/>
  <c r="B119"/>
  <c r="D116"/>
  <c r="F113"/>
  <c r="B111"/>
  <c r="D108"/>
  <c r="F105"/>
  <c r="B103"/>
  <c r="D100"/>
  <c r="F97"/>
  <c r="B95"/>
  <c r="D92"/>
  <c r="F89"/>
  <c r="B87"/>
  <c r="D84"/>
  <c r="F81"/>
  <c r="B79"/>
  <c r="D76"/>
  <c r="F73"/>
  <c r="B71"/>
  <c r="D68"/>
  <c r="F65"/>
  <c r="B63"/>
  <c r="D60"/>
  <c r="F57"/>
  <c r="B55"/>
  <c r="D52"/>
  <c r="F49"/>
  <c r="B47"/>
  <c r="D44"/>
  <c r="F41"/>
  <c r="B39"/>
  <c r="D36"/>
  <c r="F33"/>
  <c r="B31"/>
  <c r="D28"/>
  <c r="F25"/>
  <c r="B23"/>
  <c r="D20"/>
  <c r="F17"/>
  <c r="B15"/>
  <c r="D12"/>
  <c r="F9"/>
  <c r="B7"/>
  <c r="D160" i="8"/>
  <c r="F157"/>
  <c r="B155"/>
  <c r="D152"/>
  <c r="F149"/>
  <c r="B147"/>
  <c r="D144"/>
  <c r="F141"/>
  <c r="B139"/>
  <c r="D136"/>
  <c r="F133"/>
  <c r="B131"/>
  <c r="D128"/>
  <c r="D153" i="9"/>
  <c r="F139"/>
  <c r="B129"/>
  <c r="C123"/>
  <c r="A118"/>
  <c r="E112"/>
  <c r="C107"/>
  <c r="A102"/>
  <c r="E96"/>
  <c r="C91"/>
  <c r="A86"/>
  <c r="E80"/>
  <c r="C75"/>
  <c r="A70"/>
  <c r="E64"/>
  <c r="C59"/>
  <c r="A54"/>
  <c r="E48"/>
  <c r="C43"/>
  <c r="A38"/>
  <c r="E32"/>
  <c r="C27"/>
  <c r="A22"/>
  <c r="E16"/>
  <c r="C11"/>
  <c r="A6"/>
  <c r="E156" i="8"/>
  <c r="C151"/>
  <c r="A146"/>
  <c r="E140"/>
  <c r="C135"/>
  <c r="A130"/>
  <c r="C125"/>
  <c r="F121"/>
  <c r="B118"/>
  <c r="E114"/>
  <c r="D111"/>
  <c r="F108"/>
  <c r="B106"/>
  <c r="D103"/>
  <c r="F100"/>
  <c r="B98"/>
  <c r="D95"/>
  <c r="F92"/>
  <c r="B90"/>
  <c r="D87"/>
  <c r="F84"/>
  <c r="B82"/>
  <c r="D79"/>
  <c r="F76"/>
  <c r="B74"/>
  <c r="D71"/>
  <c r="F68"/>
  <c r="B66"/>
  <c r="D63"/>
  <c r="F60"/>
  <c r="B58"/>
  <c r="D55"/>
  <c r="F52"/>
  <c r="B50"/>
  <c r="D47"/>
  <c r="F44"/>
  <c r="B42"/>
  <c r="D39"/>
  <c r="F36"/>
  <c r="B34"/>
  <c r="D31"/>
  <c r="F28"/>
  <c r="B26"/>
  <c r="D23"/>
  <c r="F20"/>
  <c r="B18"/>
  <c r="D15"/>
  <c r="F12"/>
  <c r="B10"/>
  <c r="D7"/>
  <c r="F257" i="7"/>
  <c r="B255"/>
  <c r="D252"/>
  <c r="F249"/>
  <c r="B247"/>
  <c r="D244"/>
  <c r="F241"/>
  <c r="B239"/>
  <c r="D236"/>
  <c r="F233"/>
  <c r="B231"/>
  <c r="D228"/>
  <c r="F225"/>
  <c r="B223"/>
  <c r="D220"/>
  <c r="F217"/>
  <c r="B215"/>
  <c r="D212"/>
  <c r="F209"/>
  <c r="B207"/>
  <c r="D204"/>
  <c r="F201"/>
  <c r="B199"/>
  <c r="D196"/>
  <c r="F193"/>
  <c r="B191"/>
  <c r="D188"/>
  <c r="F185"/>
  <c r="B183"/>
  <c r="D180"/>
  <c r="F177"/>
  <c r="B175"/>
  <c r="D172"/>
  <c r="F169"/>
  <c r="B167"/>
  <c r="D164"/>
  <c r="F161"/>
  <c r="B159"/>
  <c r="D156"/>
  <c r="F153"/>
  <c r="B151"/>
  <c r="D148"/>
  <c r="F145"/>
  <c r="B143"/>
  <c r="D140"/>
  <c r="F137"/>
  <c r="B135"/>
  <c r="D132"/>
  <c r="F129"/>
  <c r="B127"/>
  <c r="D124"/>
  <c r="F121"/>
  <c r="D161" i="9"/>
  <c r="F143"/>
  <c r="B133"/>
  <c r="C125"/>
  <c r="A120"/>
  <c r="E114"/>
  <c r="C109"/>
  <c r="A104"/>
  <c r="E98"/>
  <c r="C93"/>
  <c r="A88"/>
  <c r="E82"/>
  <c r="C77"/>
  <c r="A72"/>
  <c r="E66"/>
  <c r="C61"/>
  <c r="A56"/>
  <c r="E50"/>
  <c r="C45"/>
  <c r="A40"/>
  <c r="E34"/>
  <c r="C29"/>
  <c r="A24"/>
  <c r="E18"/>
  <c r="C13"/>
  <c r="A8"/>
  <c r="E158" i="8"/>
  <c r="C153"/>
  <c r="A148"/>
  <c r="E142"/>
  <c r="C137"/>
  <c r="A132"/>
  <c r="E126"/>
  <c r="B123"/>
  <c r="D119"/>
  <c r="A116"/>
  <c r="D112"/>
  <c r="F109"/>
  <c r="D219" i="9"/>
  <c r="B198"/>
  <c r="F176"/>
  <c r="D140"/>
  <c r="A113"/>
  <c r="E91"/>
  <c r="A79"/>
  <c r="C68"/>
  <c r="E57"/>
  <c r="A47"/>
  <c r="C36"/>
  <c r="E25"/>
  <c r="A15"/>
  <c r="C160" i="8"/>
  <c r="E149"/>
  <c r="A139"/>
  <c r="C128"/>
  <c r="E117"/>
  <c r="D143" i="9"/>
  <c r="B125"/>
  <c r="D114"/>
  <c r="F103"/>
  <c r="B93"/>
  <c r="D82"/>
  <c r="F71"/>
  <c r="B61"/>
  <c r="D50"/>
  <c r="F39"/>
  <c r="B29"/>
  <c r="D18"/>
  <c r="F7"/>
  <c r="B153" i="8"/>
  <c r="D142"/>
  <c r="F131"/>
  <c r="F131" i="9"/>
  <c r="E108"/>
  <c r="C87"/>
  <c r="A66"/>
  <c r="E44"/>
  <c r="C23"/>
  <c r="A158" i="8"/>
  <c r="E136"/>
  <c r="B119"/>
  <c r="F106"/>
  <c r="B96"/>
  <c r="D85"/>
  <c r="F74"/>
  <c r="B64"/>
  <c r="D53"/>
  <c r="F42"/>
  <c r="B32"/>
  <c r="D21"/>
  <c r="F10"/>
  <c r="B253" i="7"/>
  <c r="D242"/>
  <c r="F231"/>
  <c r="B221"/>
  <c r="D210"/>
  <c r="F199"/>
  <c r="B189"/>
  <c r="D178"/>
  <c r="F167"/>
  <c r="B157"/>
  <c r="D146"/>
  <c r="F139"/>
  <c r="D134"/>
  <c r="B129"/>
  <c r="F123"/>
  <c r="B156" i="9"/>
  <c r="D130"/>
  <c r="E118"/>
  <c r="A108"/>
  <c r="C97"/>
  <c r="E86"/>
  <c r="A76"/>
  <c r="C65"/>
  <c r="E54"/>
  <c r="A44"/>
  <c r="C33"/>
  <c r="E22"/>
  <c r="A12"/>
  <c r="C157" i="8"/>
  <c r="E146"/>
  <c r="A136"/>
  <c r="F125"/>
  <c r="E118"/>
  <c r="F111"/>
  <c r="F107"/>
  <c r="B105"/>
  <c r="D102"/>
  <c r="F99"/>
  <c r="B97"/>
  <c r="D94"/>
  <c r="F91"/>
  <c r="B89"/>
  <c r="D86"/>
  <c r="F83"/>
  <c r="B81"/>
  <c r="D78"/>
  <c r="F75"/>
  <c r="B73"/>
  <c r="D70"/>
  <c r="F67"/>
  <c r="B65"/>
  <c r="D62"/>
  <c r="F59"/>
  <c r="B57"/>
  <c r="D54"/>
  <c r="F51"/>
  <c r="B49"/>
  <c r="D46"/>
  <c r="F43"/>
  <c r="B41"/>
  <c r="D38"/>
  <c r="F35"/>
  <c r="B33"/>
  <c r="D30"/>
  <c r="F27"/>
  <c r="B25"/>
  <c r="D22"/>
  <c r="F19"/>
  <c r="B17"/>
  <c r="D14"/>
  <c r="F11"/>
  <c r="B9"/>
  <c r="D6"/>
  <c r="F256" i="7"/>
  <c r="B254"/>
  <c r="D251"/>
  <c r="F248"/>
  <c r="B246"/>
  <c r="D243"/>
  <c r="F240"/>
  <c r="B238"/>
  <c r="D235"/>
  <c r="F232"/>
  <c r="B230"/>
  <c r="D227"/>
  <c r="F224"/>
  <c r="B222"/>
  <c r="D219"/>
  <c r="F216"/>
  <c r="B214"/>
  <c r="D211"/>
  <c r="F208"/>
  <c r="B206"/>
  <c r="D203"/>
  <c r="F200"/>
  <c r="B198"/>
  <c r="D195"/>
  <c r="F192"/>
  <c r="B190"/>
  <c r="D187"/>
  <c r="F184"/>
  <c r="B182"/>
  <c r="D179"/>
  <c r="F176"/>
  <c r="B174"/>
  <c r="D133" i="9"/>
  <c r="B120"/>
  <c r="D109"/>
  <c r="F98"/>
  <c r="B88"/>
  <c r="D77"/>
  <c r="F66"/>
  <c r="B56"/>
  <c r="D45"/>
  <c r="F34"/>
  <c r="B24"/>
  <c r="D13"/>
  <c r="F158" i="8"/>
  <c r="B148"/>
  <c r="D137"/>
  <c r="F126"/>
  <c r="F119"/>
  <c r="E112"/>
  <c r="C107"/>
  <c r="A102"/>
  <c r="E96"/>
  <c r="C91"/>
  <c r="A86"/>
  <c r="E80"/>
  <c r="C75"/>
  <c r="A70"/>
  <c r="E64"/>
  <c r="C59"/>
  <c r="A54"/>
  <c r="E48"/>
  <c r="C43"/>
  <c r="A38"/>
  <c r="E32"/>
  <c r="C27"/>
  <c r="A22"/>
  <c r="E16"/>
  <c r="C11"/>
  <c r="A6"/>
  <c r="E253" i="7"/>
  <c r="C248"/>
  <c r="A243"/>
  <c r="E237"/>
  <c r="C232"/>
  <c r="A227"/>
  <c r="E221"/>
  <c r="C216"/>
  <c r="A211"/>
  <c r="E205"/>
  <c r="C200"/>
  <c r="A195"/>
  <c r="E189"/>
  <c r="C184"/>
  <c r="A179"/>
  <c r="E173"/>
  <c r="B170"/>
  <c r="E166"/>
  <c r="A163"/>
  <c r="D159"/>
  <c r="A156"/>
  <c r="C152"/>
  <c r="F148"/>
  <c r="C145"/>
  <c r="E141"/>
  <c r="B138"/>
  <c r="E134"/>
  <c r="A131"/>
  <c r="D127"/>
  <c r="A124"/>
  <c r="C120"/>
  <c r="E117"/>
  <c r="A115"/>
  <c r="C112"/>
  <c r="E109"/>
  <c r="A107"/>
  <c r="C104"/>
  <c r="E101"/>
  <c r="A99"/>
  <c r="C96"/>
  <c r="E93"/>
  <c r="A91"/>
  <c r="C88"/>
  <c r="E85"/>
  <c r="A83"/>
  <c r="C80"/>
  <c r="E77"/>
  <c r="A75"/>
  <c r="C72"/>
  <c r="E69"/>
  <c r="A67"/>
  <c r="C64"/>
  <c r="E61"/>
  <c r="A59"/>
  <c r="C56"/>
  <c r="E53"/>
  <c r="A51"/>
  <c r="C48"/>
  <c r="E45"/>
  <c r="A43"/>
  <c r="C40"/>
  <c r="E37"/>
  <c r="A35"/>
  <c r="C32"/>
  <c r="E29"/>
  <c r="A27"/>
  <c r="C24"/>
  <c r="E21"/>
  <c r="A19"/>
  <c r="C16"/>
  <c r="E13"/>
  <c r="A11"/>
  <c r="C8"/>
  <c r="E5"/>
  <c r="A159" i="6"/>
  <c r="C156"/>
  <c r="E153"/>
  <c r="A151"/>
  <c r="C148"/>
  <c r="E145"/>
  <c r="A143"/>
  <c r="C140"/>
  <c r="E137"/>
  <c r="A135"/>
  <c r="C132"/>
  <c r="E129"/>
  <c r="A127"/>
  <c r="C124"/>
  <c r="E121"/>
  <c r="A119"/>
  <c r="C116"/>
  <c r="E113"/>
  <c r="A111"/>
  <c r="C108"/>
  <c r="E105"/>
  <c r="A103"/>
  <c r="C100"/>
  <c r="E97"/>
  <c r="A95"/>
  <c r="C92"/>
  <c r="E89"/>
  <c r="A87"/>
  <c r="C84"/>
  <c r="E81"/>
  <c r="A79"/>
  <c r="C76"/>
  <c r="E73"/>
  <c r="F228" i="9"/>
  <c r="D203"/>
  <c r="B182"/>
  <c r="F154"/>
  <c r="C118"/>
  <c r="A97"/>
  <c r="E81"/>
  <c r="A71"/>
  <c r="C60"/>
  <c r="E49"/>
  <c r="A39"/>
  <c r="C28"/>
  <c r="E17"/>
  <c r="A7"/>
  <c r="C152" i="8"/>
  <c r="E141"/>
  <c r="A131"/>
  <c r="C120"/>
  <c r="B150" i="9"/>
  <c r="F127"/>
  <c r="B117"/>
  <c r="D106"/>
  <c r="F95"/>
  <c r="B85"/>
  <c r="D74"/>
  <c r="F63"/>
  <c r="B53"/>
  <c r="D42"/>
  <c r="F31"/>
  <c r="B21"/>
  <c r="D10"/>
  <c r="F155" i="8"/>
  <c r="B145"/>
  <c r="D134"/>
  <c r="D142" i="9"/>
  <c r="A114"/>
  <c r="E92"/>
  <c r="C71"/>
  <c r="A50"/>
  <c r="E28"/>
  <c r="C7"/>
  <c r="A142" i="8"/>
  <c r="E122"/>
  <c r="D109"/>
  <c r="F98"/>
  <c r="B88"/>
  <c r="D77"/>
  <c r="F66"/>
  <c r="B56"/>
  <c r="D45"/>
  <c r="F34"/>
  <c r="B24"/>
  <c r="D13"/>
  <c r="F255" i="7"/>
  <c r="B245"/>
  <c r="D234"/>
  <c r="F223"/>
  <c r="B213"/>
  <c r="D202"/>
  <c r="F191"/>
  <c r="B181"/>
  <c r="D170"/>
  <c r="F159"/>
  <c r="B149"/>
  <c r="B141"/>
  <c r="F135"/>
  <c r="D130"/>
  <c r="B125"/>
  <c r="D159" i="9"/>
  <c r="F135"/>
  <c r="C121"/>
  <c r="E110"/>
  <c r="A100"/>
  <c r="C89"/>
  <c r="E78"/>
  <c r="A68"/>
  <c r="C57"/>
  <c r="E46"/>
  <c r="A36"/>
  <c r="C25"/>
  <c r="E14"/>
  <c r="A160" i="8"/>
  <c r="C149"/>
  <c r="E138"/>
  <c r="A128"/>
  <c r="D120"/>
  <c r="C113"/>
  <c r="D108"/>
  <c r="F105"/>
  <c r="B103"/>
  <c r="D100"/>
  <c r="F97"/>
  <c r="B95"/>
  <c r="D92"/>
  <c r="F89"/>
  <c r="B87"/>
  <c r="D84"/>
  <c r="F81"/>
  <c r="B79"/>
  <c r="D76"/>
  <c r="F73"/>
  <c r="B71"/>
  <c r="D68"/>
  <c r="F65"/>
  <c r="B63"/>
  <c r="D60"/>
  <c r="F57"/>
  <c r="B55"/>
  <c r="D52"/>
  <c r="F49"/>
  <c r="B47"/>
  <c r="D44"/>
  <c r="F41"/>
  <c r="B39"/>
  <c r="D36"/>
  <c r="F33"/>
  <c r="B31"/>
  <c r="D28"/>
  <c r="F25"/>
  <c r="B23"/>
  <c r="D20"/>
  <c r="F17"/>
  <c r="B15"/>
  <c r="D12"/>
  <c r="F9"/>
  <c r="B7"/>
  <c r="D257" i="7"/>
  <c r="F254"/>
  <c r="B252"/>
  <c r="D249"/>
  <c r="F246"/>
  <c r="B244"/>
  <c r="D241"/>
  <c r="F238"/>
  <c r="B236"/>
  <c r="D233"/>
  <c r="F230"/>
  <c r="B228"/>
  <c r="D225"/>
  <c r="F222"/>
  <c r="B220"/>
  <c r="D217"/>
  <c r="F214"/>
  <c r="B212"/>
  <c r="D209"/>
  <c r="F206"/>
  <c r="B204"/>
  <c r="D201"/>
  <c r="F198"/>
  <c r="B196"/>
  <c r="D193"/>
  <c r="F190"/>
  <c r="B188"/>
  <c r="D185"/>
  <c r="F182"/>
  <c r="B180"/>
  <c r="D177"/>
  <c r="F174"/>
  <c r="F138" i="9"/>
  <c r="F122"/>
  <c r="B112"/>
  <c r="D101"/>
  <c r="F90"/>
  <c r="B80"/>
  <c r="D69"/>
  <c r="F58"/>
  <c r="B48"/>
  <c r="D37"/>
  <c r="F26"/>
  <c r="B16"/>
  <c r="D5"/>
  <c r="F150" i="8"/>
  <c r="B140"/>
  <c r="D129"/>
  <c r="D121"/>
  <c r="D114"/>
  <c r="E108"/>
  <c r="C103"/>
  <c r="A98"/>
  <c r="E92"/>
  <c r="C87"/>
  <c r="A82"/>
  <c r="E76"/>
  <c r="C71"/>
  <c r="A66"/>
  <c r="E60"/>
  <c r="C55"/>
  <c r="A50"/>
  <c r="E44"/>
  <c r="C39"/>
  <c r="A34"/>
  <c r="E28"/>
  <c r="C23"/>
  <c r="A18"/>
  <c r="E12"/>
  <c r="C7"/>
  <c r="A255" i="7"/>
  <c r="E249"/>
  <c r="C244"/>
  <c r="A239"/>
  <c r="E233"/>
  <c r="C228"/>
  <c r="A223"/>
  <c r="E217"/>
  <c r="C212"/>
  <c r="A207"/>
  <c r="E201"/>
  <c r="C196"/>
  <c r="A191"/>
  <c r="E185"/>
  <c r="C180"/>
  <c r="A175"/>
  <c r="A171"/>
  <c r="D167"/>
  <c r="A164"/>
  <c r="C160"/>
  <c r="F156"/>
  <c r="C153"/>
  <c r="E149"/>
  <c r="B146"/>
  <c r="E142"/>
  <c r="A139"/>
  <c r="D135"/>
  <c r="A132"/>
  <c r="C128"/>
  <c r="F124"/>
  <c r="C121"/>
  <c r="C118"/>
  <c r="E115"/>
  <c r="A113"/>
  <c r="C110"/>
  <c r="E107"/>
  <c r="A105"/>
  <c r="C102"/>
  <c r="E99"/>
  <c r="A97"/>
  <c r="C94"/>
  <c r="E91"/>
  <c r="A89"/>
  <c r="C86"/>
  <c r="E83"/>
  <c r="A81"/>
  <c r="C78"/>
  <c r="E75"/>
  <c r="A73"/>
  <c r="C70"/>
  <c r="E67"/>
  <c r="A65"/>
  <c r="C62"/>
  <c r="E59"/>
  <c r="A57"/>
  <c r="C54"/>
  <c r="E51"/>
  <c r="A49"/>
  <c r="C46"/>
  <c r="E43"/>
  <c r="A41"/>
  <c r="C38"/>
  <c r="E35"/>
  <c r="A33"/>
  <c r="C30"/>
  <c r="E27"/>
  <c r="A25"/>
  <c r="C22"/>
  <c r="E19"/>
  <c r="A17"/>
  <c r="C14"/>
  <c r="E11"/>
  <c r="A9"/>
  <c r="C6"/>
  <c r="E159" i="6"/>
  <c r="A157"/>
  <c r="C154"/>
  <c r="E151"/>
  <c r="A149"/>
  <c r="C146"/>
  <c r="E143"/>
  <c r="A141"/>
  <c r="C138"/>
  <c r="E135"/>
  <c r="A133"/>
  <c r="C130"/>
  <c r="E127"/>
  <c r="A125"/>
  <c r="C122"/>
  <c r="E119"/>
  <c r="A117"/>
  <c r="C114"/>
  <c r="E111"/>
  <c r="A109"/>
  <c r="C106"/>
  <c r="E103"/>
  <c r="A101"/>
  <c r="C98"/>
  <c r="E95"/>
  <c r="A93"/>
  <c r="C90"/>
  <c r="E87"/>
  <c r="A85"/>
  <c r="C82"/>
  <c r="E79"/>
  <c r="A77"/>
  <c r="C74"/>
  <c r="E71"/>
  <c r="F134" i="9"/>
  <c r="F120"/>
  <c r="B110"/>
  <c r="D99"/>
  <c r="F88"/>
  <c r="B78"/>
  <c r="D67"/>
  <c r="F56"/>
  <c r="B46"/>
  <c r="D35"/>
  <c r="F24"/>
  <c r="B14"/>
  <c r="D159" i="8"/>
  <c r="F148"/>
  <c r="B138"/>
  <c r="D127"/>
  <c r="B120"/>
  <c r="B113"/>
  <c r="E107"/>
  <c r="C102"/>
  <c r="A97"/>
  <c r="E91"/>
  <c r="C86"/>
  <c r="A81"/>
  <c r="E75"/>
  <c r="C70"/>
  <c r="A65"/>
  <c r="E59"/>
  <c r="C54"/>
  <c r="A49"/>
  <c r="E43"/>
  <c r="C38"/>
  <c r="A33"/>
  <c r="E27"/>
  <c r="C22"/>
  <c r="A17"/>
  <c r="E11"/>
  <c r="C6"/>
  <c r="A254" i="7"/>
  <c r="E248"/>
  <c r="C243"/>
  <c r="A238"/>
  <c r="E232"/>
  <c r="C227"/>
  <c r="A222"/>
  <c r="E216"/>
  <c r="C211"/>
  <c r="A206"/>
  <c r="E200"/>
  <c r="C195"/>
  <c r="A190"/>
  <c r="E184"/>
  <c r="C179"/>
  <c r="A174"/>
  <c r="C170"/>
  <c r="F166"/>
  <c r="C163"/>
  <c r="E159"/>
  <c r="B156"/>
  <c r="E152"/>
  <c r="A149"/>
  <c r="D145"/>
  <c r="A142"/>
  <c r="C138"/>
  <c r="F134"/>
  <c r="C131"/>
  <c r="E127"/>
  <c r="B124"/>
  <c r="E120"/>
  <c r="F117"/>
  <c r="B115"/>
  <c r="D112"/>
  <c r="F109"/>
  <c r="B107"/>
  <c r="D104"/>
  <c r="F101"/>
  <c r="B99"/>
  <c r="D96"/>
  <c r="F93"/>
  <c r="B91"/>
  <c r="D88"/>
  <c r="F85"/>
  <c r="B83"/>
  <c r="D80"/>
  <c r="F77"/>
  <c r="B75"/>
  <c r="D72"/>
  <c r="F69"/>
  <c r="B67"/>
  <c r="D64"/>
  <c r="F61"/>
  <c r="B59"/>
  <c r="D56"/>
  <c r="F53"/>
  <c r="B51"/>
  <c r="D48"/>
  <c r="F45"/>
  <c r="B43"/>
  <c r="D40"/>
  <c r="F37"/>
  <c r="B35"/>
  <c r="D32"/>
  <c r="F29"/>
  <c r="B27"/>
  <c r="D24"/>
  <c r="F21"/>
  <c r="B19"/>
  <c r="D16"/>
  <c r="F13"/>
  <c r="B11"/>
  <c r="D8"/>
  <c r="F5"/>
  <c r="B159" i="6"/>
  <c r="D156"/>
  <c r="F153"/>
  <c r="B151"/>
  <c r="D148"/>
  <c r="F145"/>
  <c r="B143"/>
  <c r="D140"/>
  <c r="F137"/>
  <c r="B135"/>
  <c r="D132"/>
  <c r="F129"/>
  <c r="B127"/>
  <c r="D124"/>
  <c r="F121"/>
  <c r="B119"/>
  <c r="D121" i="9"/>
  <c r="B100"/>
  <c r="F78"/>
  <c r="D57"/>
  <c r="B36"/>
  <c r="F14"/>
  <c r="D149" i="8"/>
  <c r="B128"/>
  <c r="D113"/>
  <c r="E102"/>
  <c r="A92"/>
  <c r="C81"/>
  <c r="E70"/>
  <c r="A60"/>
  <c r="C49"/>
  <c r="E38"/>
  <c r="A28"/>
  <c r="C17"/>
  <c r="E6"/>
  <c r="A249" i="7"/>
  <c r="C238"/>
  <c r="E227"/>
  <c r="A217"/>
  <c r="C206"/>
  <c r="E195"/>
  <c r="A185"/>
  <c r="C174"/>
  <c r="A167"/>
  <c r="A160"/>
  <c r="F152"/>
  <c r="E145"/>
  <c r="E138"/>
  <c r="D131"/>
  <c r="C124"/>
  <c r="A118"/>
  <c r="E112"/>
  <c r="C107"/>
  <c r="A102"/>
  <c r="E96"/>
  <c r="C91"/>
  <c r="A86"/>
  <c r="E80"/>
  <c r="C75"/>
  <c r="A70"/>
  <c r="E64"/>
  <c r="C59"/>
  <c r="A54"/>
  <c r="E48"/>
  <c r="C43"/>
  <c r="A38"/>
  <c r="E32"/>
  <c r="C27"/>
  <c r="A22"/>
  <c r="E16"/>
  <c r="C11"/>
  <c r="A6"/>
  <c r="E156" i="6"/>
  <c r="C151"/>
  <c r="A146"/>
  <c r="E140"/>
  <c r="C135"/>
  <c r="A130"/>
  <c r="E124"/>
  <c r="C119"/>
  <c r="D115"/>
  <c r="A112"/>
  <c r="D108"/>
  <c r="F104"/>
  <c r="C101"/>
  <c r="F97"/>
  <c r="B94"/>
  <c r="E90"/>
  <c r="B87"/>
  <c r="D83"/>
  <c r="A80"/>
  <c r="D76"/>
  <c r="F72"/>
  <c r="F69"/>
  <c r="B67"/>
  <c r="D64"/>
  <c r="D239" i="9"/>
  <c r="F208"/>
  <c r="D187"/>
  <c r="B166"/>
  <c r="E123"/>
  <c r="C102"/>
  <c r="C84"/>
  <c r="E73"/>
  <c r="A63"/>
  <c r="C52"/>
  <c r="E41"/>
  <c r="A31"/>
  <c r="C20"/>
  <c r="E9"/>
  <c r="A155" i="8"/>
  <c r="C144"/>
  <c r="E133"/>
  <c r="A123"/>
  <c r="F160" i="9"/>
  <c r="F132"/>
  <c r="F119"/>
  <c r="B109"/>
  <c r="D98"/>
  <c r="F87"/>
  <c r="B77"/>
  <c r="D66"/>
  <c r="F55"/>
  <c r="B45"/>
  <c r="D34"/>
  <c r="F23"/>
  <c r="B13"/>
  <c r="D158" i="8"/>
  <c r="F147"/>
  <c r="B137"/>
  <c r="F158" i="9"/>
  <c r="C119"/>
  <c r="A98"/>
  <c r="E76"/>
  <c r="C55"/>
  <c r="A34"/>
  <c r="E12"/>
  <c r="C147" i="8"/>
  <c r="B126"/>
  <c r="B112"/>
  <c r="D101"/>
  <c r="F90"/>
  <c r="B80"/>
  <c r="D69"/>
  <c r="F58"/>
  <c r="B48"/>
  <c r="D37"/>
  <c r="F26"/>
  <c r="B16"/>
  <c r="D5"/>
  <c r="F247" i="7"/>
  <c r="B237"/>
  <c r="D226"/>
  <c r="F215"/>
  <c r="B205"/>
  <c r="D194"/>
  <c r="F183"/>
  <c r="B173"/>
  <c r="D162"/>
  <c r="F151"/>
  <c r="D142"/>
  <c r="B137"/>
  <c r="F131"/>
  <c r="D126"/>
  <c r="B121"/>
  <c r="B141" i="9"/>
  <c r="A124"/>
  <c r="C113"/>
  <c r="E102"/>
  <c r="A92"/>
  <c r="C81"/>
  <c r="E70"/>
  <c r="A60"/>
  <c r="C49"/>
  <c r="E38"/>
  <c r="A28"/>
  <c r="C17"/>
  <c r="E6"/>
  <c r="A152" i="8"/>
  <c r="C141"/>
  <c r="E130"/>
  <c r="B122"/>
  <c r="B115"/>
  <c r="B109"/>
  <c r="D106"/>
  <c r="F103"/>
  <c r="B101"/>
  <c r="D98"/>
  <c r="F95"/>
  <c r="B93"/>
  <c r="D90"/>
  <c r="F87"/>
  <c r="B85"/>
  <c r="D82"/>
  <c r="F79"/>
  <c r="B77"/>
  <c r="D74"/>
  <c r="F71"/>
  <c r="B69"/>
  <c r="D66"/>
  <c r="F63"/>
  <c r="B61"/>
  <c r="D58"/>
  <c r="F55"/>
  <c r="B53"/>
  <c r="D50"/>
  <c r="F47"/>
  <c r="B45"/>
  <c r="D42"/>
  <c r="F39"/>
  <c r="B37"/>
  <c r="D34"/>
  <c r="F31"/>
  <c r="B29"/>
  <c r="D26"/>
  <c r="F23"/>
  <c r="B21"/>
  <c r="D18"/>
  <c r="F15"/>
  <c r="B13"/>
  <c r="D10"/>
  <c r="F7"/>
  <c r="B5"/>
  <c r="D255" i="7"/>
  <c r="F252"/>
  <c r="B250"/>
  <c r="D247"/>
  <c r="F244"/>
  <c r="B242"/>
  <c r="D239"/>
  <c r="F236"/>
  <c r="B234"/>
  <c r="D231"/>
  <c r="F228"/>
  <c r="B226"/>
  <c r="D223"/>
  <c r="F220"/>
  <c r="B218"/>
  <c r="D215"/>
  <c r="F212"/>
  <c r="B210"/>
  <c r="D207"/>
  <c r="F204"/>
  <c r="B202"/>
  <c r="D199"/>
  <c r="F196"/>
  <c r="B194"/>
  <c r="D191"/>
  <c r="F188"/>
  <c r="B186"/>
  <c r="D183"/>
  <c r="F180"/>
  <c r="B178"/>
  <c r="D175"/>
  <c r="B144" i="9"/>
  <c r="D125"/>
  <c r="F114"/>
  <c r="B104"/>
  <c r="D93"/>
  <c r="F82"/>
  <c r="B72"/>
  <c r="D61"/>
  <c r="F50"/>
  <c r="B40"/>
  <c r="D29"/>
  <c r="F18"/>
  <c r="B8"/>
  <c r="D153" i="8"/>
  <c r="F142"/>
  <c r="B132"/>
  <c r="C123"/>
  <c r="B116"/>
  <c r="A110"/>
  <c r="E104"/>
  <c r="C99"/>
  <c r="A94"/>
  <c r="E88"/>
  <c r="C83"/>
  <c r="A78"/>
  <c r="E72"/>
  <c r="C67"/>
  <c r="A62"/>
  <c r="E56"/>
  <c r="C51"/>
  <c r="A46"/>
  <c r="E40"/>
  <c r="C35"/>
  <c r="A30"/>
  <c r="E24"/>
  <c r="C19"/>
  <c r="A14"/>
  <c r="E8"/>
  <c r="C256" i="7"/>
  <c r="A251"/>
  <c r="E245"/>
  <c r="C240"/>
  <c r="A235"/>
  <c r="E229"/>
  <c r="C224"/>
  <c r="A219"/>
  <c r="E213"/>
  <c r="C208"/>
  <c r="A203"/>
  <c r="E197"/>
  <c r="C192"/>
  <c r="A187"/>
  <c r="E181"/>
  <c r="C176"/>
  <c r="A172"/>
  <c r="C168"/>
  <c r="F164"/>
  <c r="C161"/>
  <c r="E157"/>
  <c r="B154"/>
  <c r="E150"/>
  <c r="A147"/>
  <c r="D143"/>
  <c r="A140"/>
  <c r="C136"/>
  <c r="F132"/>
  <c r="C129"/>
  <c r="E125"/>
  <c r="B122"/>
  <c r="A119"/>
  <c r="C116"/>
  <c r="E113"/>
  <c r="A111"/>
  <c r="C108"/>
  <c r="E105"/>
  <c r="A103"/>
  <c r="C100"/>
  <c r="E97"/>
  <c r="A95"/>
  <c r="C92"/>
  <c r="E89"/>
  <c r="A87"/>
  <c r="C84"/>
  <c r="E81"/>
  <c r="A79"/>
  <c r="C76"/>
  <c r="E73"/>
  <c r="A71"/>
  <c r="C68"/>
  <c r="E65"/>
  <c r="A63"/>
  <c r="C60"/>
  <c r="E57"/>
  <c r="A55"/>
  <c r="C52"/>
  <c r="E49"/>
  <c r="A47"/>
  <c r="C44"/>
  <c r="E41"/>
  <c r="A39"/>
  <c r="C36"/>
  <c r="E33"/>
  <c r="A31"/>
  <c r="C28"/>
  <c r="E25"/>
  <c r="A23"/>
  <c r="C20"/>
  <c r="E17"/>
  <c r="A15"/>
  <c r="C12"/>
  <c r="E9"/>
  <c r="A7"/>
  <c r="C160" i="6"/>
  <c r="E157"/>
  <c r="A155"/>
  <c r="C152"/>
  <c r="E149"/>
  <c r="A147"/>
  <c r="C144"/>
  <c r="E141"/>
  <c r="A139"/>
  <c r="C136"/>
  <c r="E133"/>
  <c r="A131"/>
  <c r="C128"/>
  <c r="E125"/>
  <c r="A123"/>
  <c r="C120"/>
  <c r="E117"/>
  <c r="A115"/>
  <c r="C112"/>
  <c r="E109"/>
  <c r="A107"/>
  <c r="C104"/>
  <c r="E101"/>
  <c r="A99"/>
  <c r="C96"/>
  <c r="E93"/>
  <c r="A91"/>
  <c r="C88"/>
  <c r="E85"/>
  <c r="A83"/>
  <c r="C80"/>
  <c r="E77"/>
  <c r="A75"/>
  <c r="C72"/>
  <c r="B140" i="9"/>
  <c r="D123"/>
  <c r="F112"/>
  <c r="B102"/>
  <c r="D91"/>
  <c r="F80"/>
  <c r="B70"/>
  <c r="D59"/>
  <c r="F48"/>
  <c r="B38"/>
  <c r="D27"/>
  <c r="F16"/>
  <c r="B6"/>
  <c r="D151" i="8"/>
  <c r="F140"/>
  <c r="B130"/>
  <c r="A122"/>
  <c r="F114"/>
  <c r="A109"/>
  <c r="E103"/>
  <c r="C98"/>
  <c r="A93"/>
  <c r="E87"/>
  <c r="C82"/>
  <c r="A77"/>
  <c r="E71"/>
  <c r="C66"/>
  <c r="A61"/>
  <c r="E55"/>
  <c r="C50"/>
  <c r="A45"/>
  <c r="E39"/>
  <c r="C34"/>
  <c r="A29"/>
  <c r="E23"/>
  <c r="C18"/>
  <c r="A13"/>
  <c r="E7"/>
  <c r="C255" i="7"/>
  <c r="A250"/>
  <c r="E244"/>
  <c r="C239"/>
  <c r="A234"/>
  <c r="E228"/>
  <c r="C223"/>
  <c r="A218"/>
  <c r="E212"/>
  <c r="C207"/>
  <c r="A202"/>
  <c r="E196"/>
  <c r="C191"/>
  <c r="A186"/>
  <c r="E180"/>
  <c r="C175"/>
  <c r="C171"/>
  <c r="E167"/>
  <c r="B164"/>
  <c r="E160"/>
  <c r="A157"/>
  <c r="D153"/>
  <c r="A150"/>
  <c r="C146"/>
  <c r="F142"/>
  <c r="C139"/>
  <c r="E135"/>
  <c r="B132"/>
  <c r="E128"/>
  <c r="A125"/>
  <c r="D121"/>
  <c r="D118"/>
  <c r="F115"/>
  <c r="B113"/>
  <c r="D110"/>
  <c r="F107"/>
  <c r="B105"/>
  <c r="D102"/>
  <c r="F99"/>
  <c r="B97"/>
  <c r="D94"/>
  <c r="F91"/>
  <c r="B89"/>
  <c r="D86"/>
  <c r="F83"/>
  <c r="B81"/>
  <c r="D78"/>
  <c r="F75"/>
  <c r="B73"/>
  <c r="D70"/>
  <c r="F67"/>
  <c r="B65"/>
  <c r="D62"/>
  <c r="F59"/>
  <c r="B57"/>
  <c r="D54"/>
  <c r="F51"/>
  <c r="B49"/>
  <c r="D46"/>
  <c r="F43"/>
  <c r="B41"/>
  <c r="D38"/>
  <c r="F35"/>
  <c r="B33"/>
  <c r="D30"/>
  <c r="F27"/>
  <c r="B25"/>
  <c r="D22"/>
  <c r="F19"/>
  <c r="B17"/>
  <c r="D14"/>
  <c r="F11"/>
  <c r="B9"/>
  <c r="D6"/>
  <c r="F159" i="6"/>
  <c r="B157"/>
  <c r="D154"/>
  <c r="F151"/>
  <c r="B149"/>
  <c r="D146"/>
  <c r="F143"/>
  <c r="B141"/>
  <c r="D138"/>
  <c r="F135"/>
  <c r="B133"/>
  <c r="D130"/>
  <c r="F127"/>
  <c r="B125"/>
  <c r="D122"/>
  <c r="F119"/>
  <c r="F126" i="9"/>
  <c r="D105"/>
  <c r="B84"/>
  <c r="F62"/>
  <c r="D41"/>
  <c r="B20"/>
  <c r="F154" i="8"/>
  <c r="D133"/>
  <c r="B117"/>
  <c r="C105"/>
  <c r="E94"/>
  <c r="A84"/>
  <c r="C73"/>
  <c r="E62"/>
  <c r="A52"/>
  <c r="C41"/>
  <c r="E30"/>
  <c r="A20"/>
  <c r="C9"/>
  <c r="E251" i="7"/>
  <c r="A241"/>
  <c r="C230"/>
  <c r="E219"/>
  <c r="A209"/>
  <c r="C198"/>
  <c r="E187"/>
  <c r="A177"/>
  <c r="F168"/>
  <c r="E161"/>
  <c r="E154"/>
  <c r="D147"/>
  <c r="C140"/>
  <c r="C133"/>
  <c r="B126"/>
  <c r="C119"/>
  <c r="A114"/>
  <c r="E108"/>
  <c r="C103"/>
  <c r="A98"/>
  <c r="E92"/>
  <c r="C87"/>
  <c r="A82"/>
  <c r="E76"/>
  <c r="C71"/>
  <c r="A66"/>
  <c r="E60"/>
  <c r="C55"/>
  <c r="A50"/>
  <c r="E44"/>
  <c r="C39"/>
  <c r="A34"/>
  <c r="E28"/>
  <c r="C23"/>
  <c r="A18"/>
  <c r="E12"/>
  <c r="C7"/>
  <c r="A158" i="6"/>
  <c r="E152"/>
  <c r="C147"/>
  <c r="A142"/>
  <c r="E136"/>
  <c r="C131"/>
  <c r="A126"/>
  <c r="E120"/>
  <c r="D116"/>
  <c r="F112"/>
  <c r="C109"/>
  <c r="F105"/>
  <c r="B102"/>
  <c r="E98"/>
  <c r="B95"/>
  <c r="D91"/>
  <c r="A88"/>
  <c r="D84"/>
  <c r="F80"/>
  <c r="C77"/>
  <c r="F73"/>
  <c r="D70"/>
  <c r="F67"/>
  <c r="B65"/>
  <c r="D171" i="9"/>
  <c r="C76"/>
  <c r="E33"/>
  <c r="A147" i="8"/>
  <c r="B138" i="9"/>
  <c r="D90"/>
  <c r="F47"/>
  <c r="B5"/>
  <c r="E124"/>
  <c r="C39"/>
  <c r="D115" i="8"/>
  <c r="B72"/>
  <c r="D29"/>
  <c r="F239" i="7"/>
  <c r="B197"/>
  <c r="D154"/>
  <c r="F127"/>
  <c r="A116" i="9"/>
  <c r="C73"/>
  <c r="E30"/>
  <c r="A144" i="8"/>
  <c r="D110"/>
  <c r="B99"/>
  <c r="D88"/>
  <c r="F77"/>
  <c r="B67"/>
  <c r="D56"/>
  <c r="F45"/>
  <c r="B35"/>
  <c r="D24"/>
  <c r="F13"/>
  <c r="B256" i="7"/>
  <c r="D245"/>
  <c r="F234"/>
  <c r="B224"/>
  <c r="D213"/>
  <c r="F202"/>
  <c r="B192"/>
  <c r="D181"/>
  <c r="B128" i="9"/>
  <c r="D85"/>
  <c r="F42"/>
  <c r="B156" i="8"/>
  <c r="A118"/>
  <c r="C95"/>
  <c r="A74"/>
  <c r="E52"/>
  <c r="C31"/>
  <c r="A10"/>
  <c r="E241" i="7"/>
  <c r="C220"/>
  <c r="A199"/>
  <c r="E177"/>
  <c r="B162"/>
  <c r="A148"/>
  <c r="E133"/>
  <c r="E119"/>
  <c r="A109"/>
  <c r="C98"/>
  <c r="E87"/>
  <c r="A77"/>
  <c r="C66"/>
  <c r="E55"/>
  <c r="A45"/>
  <c r="C34"/>
  <c r="E23"/>
  <c r="A13"/>
  <c r="C158" i="6"/>
  <c r="E147"/>
  <c r="A137"/>
  <c r="C126"/>
  <c r="E115"/>
  <c r="A105"/>
  <c r="C94"/>
  <c r="E83"/>
  <c r="A73"/>
  <c r="B126" i="9"/>
  <c r="F104"/>
  <c r="D83"/>
  <c r="B62"/>
  <c r="F40"/>
  <c r="D19"/>
  <c r="B154" i="8"/>
  <c r="F132"/>
  <c r="E116"/>
  <c r="A105"/>
  <c r="C94"/>
  <c r="E83"/>
  <c r="A73"/>
  <c r="C62"/>
  <c r="E51"/>
  <c r="A41"/>
  <c r="C30"/>
  <c r="E19"/>
  <c r="A9"/>
  <c r="C251" i="7"/>
  <c r="E240"/>
  <c r="A230"/>
  <c r="C219"/>
  <c r="E208"/>
  <c r="A198"/>
  <c r="C187"/>
  <c r="E176"/>
  <c r="E168"/>
  <c r="D161"/>
  <c r="C154"/>
  <c r="C147"/>
  <c r="B140"/>
  <c r="A133"/>
  <c r="A126"/>
  <c r="B119"/>
  <c r="F113"/>
  <c r="D108"/>
  <c r="B103"/>
  <c r="F97"/>
  <c r="D92"/>
  <c r="B87"/>
  <c r="F81"/>
  <c r="D76"/>
  <c r="B71"/>
  <c r="F65"/>
  <c r="D60"/>
  <c r="B55"/>
  <c r="F49"/>
  <c r="D44"/>
  <c r="B39"/>
  <c r="F33"/>
  <c r="D28"/>
  <c r="B23"/>
  <c r="F17"/>
  <c r="D12"/>
  <c r="B7"/>
  <c r="F157" i="6"/>
  <c r="D152"/>
  <c r="B147"/>
  <c r="F141"/>
  <c r="D136"/>
  <c r="B131"/>
  <c r="F125"/>
  <c r="D120"/>
  <c r="F110" i="9"/>
  <c r="B68"/>
  <c r="D25"/>
  <c r="F138" i="8"/>
  <c r="A108"/>
  <c r="E86"/>
  <c r="C65"/>
  <c r="A44"/>
  <c r="E22"/>
  <c r="C254" i="7"/>
  <c r="A233"/>
  <c r="E211"/>
  <c r="C190"/>
  <c r="E170"/>
  <c r="C156"/>
  <c r="B142"/>
  <c r="A128"/>
  <c r="C115"/>
  <c r="E104"/>
  <c r="A94"/>
  <c r="C83"/>
  <c r="E72"/>
  <c r="A62"/>
  <c r="C51"/>
  <c r="E40"/>
  <c r="A30"/>
  <c r="C19"/>
  <c r="E8"/>
  <c r="A154" i="6"/>
  <c r="C143"/>
  <c r="E132"/>
  <c r="A122"/>
  <c r="F113"/>
  <c r="E106"/>
  <c r="D99"/>
  <c r="D92"/>
  <c r="C85"/>
  <c r="B78"/>
  <c r="B71"/>
  <c r="F65"/>
  <c r="F61"/>
  <c r="B59"/>
  <c r="D56"/>
  <c r="F53"/>
  <c r="B51"/>
  <c r="D48"/>
  <c r="F45"/>
  <c r="B43"/>
  <c r="D40"/>
  <c r="F37"/>
  <c r="B35"/>
  <c r="D32"/>
  <c r="F29"/>
  <c r="B27"/>
  <c r="D24"/>
  <c r="F21"/>
  <c r="B19"/>
  <c r="D16"/>
  <c r="F13"/>
  <c r="B11"/>
  <c r="D8"/>
  <c r="F5"/>
  <c r="B161" i="4"/>
  <c r="D158"/>
  <c r="F155"/>
  <c r="B153"/>
  <c r="D150"/>
  <c r="F147"/>
  <c r="B145"/>
  <c r="D142"/>
  <c r="F139"/>
  <c r="B137"/>
  <c r="D134"/>
  <c r="F131"/>
  <c r="B129"/>
  <c r="D126"/>
  <c r="F123"/>
  <c r="B121"/>
  <c r="D118"/>
  <c r="F115"/>
  <c r="B113"/>
  <c r="D110"/>
  <c r="F107"/>
  <c r="B105"/>
  <c r="D102"/>
  <c r="F99"/>
  <c r="B97"/>
  <c r="D94"/>
  <c r="F91"/>
  <c r="B89"/>
  <c r="D86"/>
  <c r="F83"/>
  <c r="B81"/>
  <c r="D78"/>
  <c r="F75"/>
  <c r="B73"/>
  <c r="D70"/>
  <c r="F67"/>
  <c r="B65"/>
  <c r="D62"/>
  <c r="F59"/>
  <c r="B57"/>
  <c r="D54"/>
  <c r="F51"/>
  <c r="B49"/>
  <c r="D46"/>
  <c r="F43"/>
  <c r="B41"/>
  <c r="D38"/>
  <c r="F35"/>
  <c r="B33"/>
  <c r="D30"/>
  <c r="F27"/>
  <c r="B25"/>
  <c r="D22"/>
  <c r="F19"/>
  <c r="B17"/>
  <c r="D14"/>
  <c r="F11"/>
  <c r="B9"/>
  <c r="D6"/>
  <c r="F267" i="3"/>
  <c r="B265"/>
  <c r="D262"/>
  <c r="F259"/>
  <c r="B257"/>
  <c r="D254"/>
  <c r="F251"/>
  <c r="B249"/>
  <c r="D246"/>
  <c r="F243"/>
  <c r="B241"/>
  <c r="D238"/>
  <c r="F235"/>
  <c r="B233"/>
  <c r="D230"/>
  <c r="F227"/>
  <c r="B225"/>
  <c r="D222"/>
  <c r="F219"/>
  <c r="B217"/>
  <c r="D214"/>
  <c r="F211"/>
  <c r="B209"/>
  <c r="D206"/>
  <c r="F203"/>
  <c r="B201"/>
  <c r="D198"/>
  <c r="F195"/>
  <c r="B193"/>
  <c r="D190"/>
  <c r="F187"/>
  <c r="B185"/>
  <c r="D182"/>
  <c r="F179"/>
  <c r="B177"/>
  <c r="D174"/>
  <c r="F171"/>
  <c r="B169"/>
  <c r="D166"/>
  <c r="F163"/>
  <c r="B161"/>
  <c r="D158"/>
  <c r="F155"/>
  <c r="B153"/>
  <c r="D150"/>
  <c r="F147"/>
  <c r="B145"/>
  <c r="D142"/>
  <c r="F139"/>
  <c r="B137"/>
  <c r="D134"/>
  <c r="F131"/>
  <c r="B129"/>
  <c r="D126"/>
  <c r="F123"/>
  <c r="B121"/>
  <c r="D118"/>
  <c r="F115"/>
  <c r="B113"/>
  <c r="D110"/>
  <c r="F107"/>
  <c r="B105"/>
  <c r="D102"/>
  <c r="F99"/>
  <c r="B97"/>
  <c r="D94"/>
  <c r="F91"/>
  <c r="B89"/>
  <c r="D86"/>
  <c r="F83"/>
  <c r="B81"/>
  <c r="D78"/>
  <c r="F75"/>
  <c r="B73"/>
  <c r="D70"/>
  <c r="F67"/>
  <c r="B65"/>
  <c r="D62"/>
  <c r="F59"/>
  <c r="B57"/>
  <c r="D54"/>
  <c r="F51"/>
  <c r="B49"/>
  <c r="D46"/>
  <c r="F43"/>
  <c r="B41"/>
  <c r="D38"/>
  <c r="F35"/>
  <c r="B33"/>
  <c r="D30"/>
  <c r="F27"/>
  <c r="B25"/>
  <c r="D22"/>
  <c r="F19"/>
  <c r="B17"/>
  <c r="B122" i="9"/>
  <c r="F100"/>
  <c r="D79"/>
  <c r="B58"/>
  <c r="F36"/>
  <c r="D15"/>
  <c r="B150" i="8"/>
  <c r="F128"/>
  <c r="A114"/>
  <c r="A103"/>
  <c r="C92"/>
  <c r="E81"/>
  <c r="A71"/>
  <c r="C60"/>
  <c r="E49"/>
  <c r="A39"/>
  <c r="C28"/>
  <c r="E17"/>
  <c r="A7"/>
  <c r="C249" i="7"/>
  <c r="E238"/>
  <c r="A228"/>
  <c r="C217"/>
  <c r="E206"/>
  <c r="A196"/>
  <c r="C185"/>
  <c r="E174"/>
  <c r="C167"/>
  <c r="B160"/>
  <c r="A153"/>
  <c r="A146"/>
  <c r="F138"/>
  <c r="E131"/>
  <c r="E124"/>
  <c r="B118"/>
  <c r="F112"/>
  <c r="D107"/>
  <c r="B102"/>
  <c r="F96"/>
  <c r="D91"/>
  <c r="B86"/>
  <c r="F80"/>
  <c r="D75"/>
  <c r="B70"/>
  <c r="F64"/>
  <c r="D59"/>
  <c r="B54"/>
  <c r="F48"/>
  <c r="D43"/>
  <c r="B38"/>
  <c r="F32"/>
  <c r="D27"/>
  <c r="B22"/>
  <c r="F16"/>
  <c r="D11"/>
  <c r="B6"/>
  <c r="F156" i="6"/>
  <c r="D151"/>
  <c r="B146"/>
  <c r="F140"/>
  <c r="D135"/>
  <c r="B130"/>
  <c r="F124"/>
  <c r="D119"/>
  <c r="F115"/>
  <c r="B112"/>
  <c r="E108"/>
  <c r="B105"/>
  <c r="D101"/>
  <c r="A98"/>
  <c r="D94"/>
  <c r="F90"/>
  <c r="C87"/>
  <c r="F83"/>
  <c r="B80"/>
  <c r="E76"/>
  <c r="B73"/>
  <c r="A70"/>
  <c r="C67"/>
  <c r="E64"/>
  <c r="A62"/>
  <c r="C59"/>
  <c r="E56"/>
  <c r="A54"/>
  <c r="C51"/>
  <c r="E48"/>
  <c r="A46"/>
  <c r="C43"/>
  <c r="E40"/>
  <c r="A38"/>
  <c r="C35"/>
  <c r="E32"/>
  <c r="A30"/>
  <c r="C27"/>
  <c r="E24"/>
  <c r="A22"/>
  <c r="C19"/>
  <c r="E16"/>
  <c r="A14"/>
  <c r="C11"/>
  <c r="E8"/>
  <c r="A6"/>
  <c r="C161" i="4"/>
  <c r="E158"/>
  <c r="A156"/>
  <c r="C153"/>
  <c r="E150"/>
  <c r="A148"/>
  <c r="C145"/>
  <c r="E142"/>
  <c r="A140"/>
  <c r="C137"/>
  <c r="E134"/>
  <c r="A132"/>
  <c r="C129"/>
  <c r="E126"/>
  <c r="A124"/>
  <c r="C121"/>
  <c r="E118"/>
  <c r="A116"/>
  <c r="C113"/>
  <c r="E110"/>
  <c r="A108"/>
  <c r="C105"/>
  <c r="E102"/>
  <c r="A100"/>
  <c r="C97"/>
  <c r="E94"/>
  <c r="A92"/>
  <c r="C89"/>
  <c r="E86"/>
  <c r="A84"/>
  <c r="C81"/>
  <c r="E78"/>
  <c r="A76"/>
  <c r="C73"/>
  <c r="E70"/>
  <c r="A68"/>
  <c r="C65"/>
  <c r="E62"/>
  <c r="A60"/>
  <c r="C57"/>
  <c r="E54"/>
  <c r="A52"/>
  <c r="C49"/>
  <c r="E46"/>
  <c r="A44"/>
  <c r="C41"/>
  <c r="E38"/>
  <c r="A36"/>
  <c r="C33"/>
  <c r="E30"/>
  <c r="A28"/>
  <c r="C25"/>
  <c r="E22"/>
  <c r="A20"/>
  <c r="F192" i="9"/>
  <c r="A87"/>
  <c r="C44"/>
  <c r="E157" i="8"/>
  <c r="A115"/>
  <c r="B101" i="9"/>
  <c r="D58"/>
  <c r="F15"/>
  <c r="B129" i="8"/>
  <c r="E60" i="9"/>
  <c r="C131" i="8"/>
  <c r="F82"/>
  <c r="B40"/>
  <c r="D250" i="7"/>
  <c r="F207"/>
  <c r="B165"/>
  <c r="B133"/>
  <c r="E126" i="9"/>
  <c r="A84"/>
  <c r="C41"/>
  <c r="E154" i="8"/>
  <c r="F116"/>
  <c r="F101"/>
  <c r="B91"/>
  <c r="D80"/>
  <c r="F69"/>
  <c r="B59"/>
  <c r="D48"/>
  <c r="F37"/>
  <c r="B27"/>
  <c r="D16"/>
  <c r="F5"/>
  <c r="B248" i="7"/>
  <c r="D237"/>
  <c r="F226"/>
  <c r="B216"/>
  <c r="D205"/>
  <c r="F194"/>
  <c r="B184"/>
  <c r="D151" i="9"/>
  <c r="B96"/>
  <c r="D53"/>
  <c r="F10"/>
  <c r="B125" i="8"/>
  <c r="E100"/>
  <c r="C79"/>
  <c r="A58"/>
  <c r="E36"/>
  <c r="C15"/>
  <c r="A247" i="7"/>
  <c r="E225"/>
  <c r="C204"/>
  <c r="A183"/>
  <c r="E165"/>
  <c r="D151"/>
  <c r="C137"/>
  <c r="A123"/>
  <c r="E111"/>
  <c r="A101"/>
  <c r="C90"/>
  <c r="E79"/>
  <c r="A69"/>
  <c r="C58"/>
  <c r="E47"/>
  <c r="A37"/>
  <c r="C26"/>
  <c r="E15"/>
  <c r="A5"/>
  <c r="C150" i="6"/>
  <c r="E139"/>
  <c r="A129"/>
  <c r="C118"/>
  <c r="E107"/>
  <c r="A97"/>
  <c r="C86"/>
  <c r="E75"/>
  <c r="D129" i="9"/>
  <c r="D107"/>
  <c r="B86"/>
  <c r="F64"/>
  <c r="D43"/>
  <c r="B22"/>
  <c r="F156" i="8"/>
  <c r="D135"/>
  <c r="D118"/>
  <c r="C106"/>
  <c r="E95"/>
  <c r="A85"/>
  <c r="C74"/>
  <c r="E63"/>
  <c r="A53"/>
  <c r="C42"/>
  <c r="E31"/>
  <c r="A21"/>
  <c r="C10"/>
  <c r="E252" i="7"/>
  <c r="A242"/>
  <c r="C231"/>
  <c r="E220"/>
  <c r="A210"/>
  <c r="C199"/>
  <c r="E188"/>
  <c r="A178"/>
  <c r="D169"/>
  <c r="C162"/>
  <c r="C155"/>
  <c r="B148"/>
  <c r="A141"/>
  <c r="A134"/>
  <c r="F126"/>
  <c r="F119"/>
  <c r="D114"/>
  <c r="B109"/>
  <c r="F103"/>
  <c r="D98"/>
  <c r="B93"/>
  <c r="F87"/>
  <c r="D82"/>
  <c r="B77"/>
  <c r="F71"/>
  <c r="D66"/>
  <c r="B61"/>
  <c r="F55"/>
  <c r="D50"/>
  <c r="B45"/>
  <c r="F39"/>
  <c r="D34"/>
  <c r="B29"/>
  <c r="F23"/>
  <c r="D18"/>
  <c r="B13"/>
  <c r="F7"/>
  <c r="D158" i="6"/>
  <c r="B153"/>
  <c r="F147"/>
  <c r="D142"/>
  <c r="B137"/>
  <c r="F131"/>
  <c r="D126"/>
  <c r="B121"/>
  <c r="B116" i="9"/>
  <c r="D73"/>
  <c r="F30"/>
  <c r="B144" i="8"/>
  <c r="E110"/>
  <c r="C89"/>
  <c r="A68"/>
  <c r="E46"/>
  <c r="C25"/>
  <c r="A257" i="7"/>
  <c r="E235"/>
  <c r="C214"/>
  <c r="A193"/>
  <c r="C172"/>
  <c r="B158"/>
  <c r="A144"/>
  <c r="E129"/>
  <c r="E116"/>
  <c r="A106"/>
  <c r="C95"/>
  <c r="E84"/>
  <c r="A74"/>
  <c r="C63"/>
  <c r="E52"/>
  <c r="A42"/>
  <c r="C31"/>
  <c r="E20"/>
  <c r="A10"/>
  <c r="C155" i="6"/>
  <c r="E144"/>
  <c r="A134"/>
  <c r="C123"/>
  <c r="E114"/>
  <c r="D107"/>
  <c r="D100"/>
  <c r="C93"/>
  <c r="B86"/>
  <c r="B79"/>
  <c r="A72"/>
  <c r="D66"/>
  <c r="D62"/>
  <c r="F59"/>
  <c r="B57"/>
  <c r="D54"/>
  <c r="F51"/>
  <c r="B49"/>
  <c r="D46"/>
  <c r="F43"/>
  <c r="B41"/>
  <c r="D38"/>
  <c r="F35"/>
  <c r="B33"/>
  <c r="D30"/>
  <c r="F27"/>
  <c r="B25"/>
  <c r="D22"/>
  <c r="F19"/>
  <c r="B17"/>
  <c r="D14"/>
  <c r="F11"/>
  <c r="B9"/>
  <c r="D6"/>
  <c r="F161" i="4"/>
  <c r="B159"/>
  <c r="D156"/>
  <c r="F153"/>
  <c r="B151"/>
  <c r="D148"/>
  <c r="F145"/>
  <c r="B143"/>
  <c r="D140"/>
  <c r="F137"/>
  <c r="B135"/>
  <c r="D132"/>
  <c r="F129"/>
  <c r="B127"/>
  <c r="D124"/>
  <c r="F121"/>
  <c r="B119"/>
  <c r="D116"/>
  <c r="F113"/>
  <c r="B111"/>
  <c r="D108"/>
  <c r="F105"/>
  <c r="B103"/>
  <c r="D100"/>
  <c r="F97"/>
  <c r="B95"/>
  <c r="D92"/>
  <c r="F89"/>
  <c r="B87"/>
  <c r="D84"/>
  <c r="F81"/>
  <c r="B79"/>
  <c r="D76"/>
  <c r="F73"/>
  <c r="B71"/>
  <c r="D68"/>
  <c r="F65"/>
  <c r="B63"/>
  <c r="D60"/>
  <c r="F57"/>
  <c r="B55"/>
  <c r="D52"/>
  <c r="F49"/>
  <c r="B47"/>
  <c r="D44"/>
  <c r="F41"/>
  <c r="B39"/>
  <c r="D36"/>
  <c r="F33"/>
  <c r="B31"/>
  <c r="D28"/>
  <c r="F25"/>
  <c r="B23"/>
  <c r="D20"/>
  <c r="F17"/>
  <c r="B15"/>
  <c r="D12"/>
  <c r="F9"/>
  <c r="B7"/>
  <c r="D268" i="3"/>
  <c r="F265"/>
  <c r="B263"/>
  <c r="D260"/>
  <c r="F257"/>
  <c r="B255"/>
  <c r="D252"/>
  <c r="F249"/>
  <c r="B247"/>
  <c r="D244"/>
  <c r="F241"/>
  <c r="B239"/>
  <c r="D236"/>
  <c r="F233"/>
  <c r="B231"/>
  <c r="D228"/>
  <c r="F225"/>
  <c r="B223"/>
  <c r="D220"/>
  <c r="F217"/>
  <c r="B215"/>
  <c r="D212"/>
  <c r="F209"/>
  <c r="B207"/>
  <c r="D204"/>
  <c r="F201"/>
  <c r="B199"/>
  <c r="D196"/>
  <c r="F193"/>
  <c r="B191"/>
  <c r="D188"/>
  <c r="F185"/>
  <c r="B183"/>
  <c r="D180"/>
  <c r="F177"/>
  <c r="B175"/>
  <c r="D172"/>
  <c r="F169"/>
  <c r="B167"/>
  <c r="D164"/>
  <c r="F161"/>
  <c r="B159"/>
  <c r="D156"/>
  <c r="F153"/>
  <c r="B151"/>
  <c r="D148"/>
  <c r="F145"/>
  <c r="B143"/>
  <c r="D140"/>
  <c r="F137"/>
  <c r="B135"/>
  <c r="D132"/>
  <c r="F129"/>
  <c r="B127"/>
  <c r="D124"/>
  <c r="F121"/>
  <c r="B119"/>
  <c r="D116"/>
  <c r="F113"/>
  <c r="B111"/>
  <c r="D108"/>
  <c r="F105"/>
  <c r="B103"/>
  <c r="D100"/>
  <c r="F97"/>
  <c r="B95"/>
  <c r="D92"/>
  <c r="F89"/>
  <c r="B87"/>
  <c r="D84"/>
  <c r="F81"/>
  <c r="B79"/>
  <c r="D76"/>
  <c r="F73"/>
  <c r="B71"/>
  <c r="D68"/>
  <c r="F65"/>
  <c r="B63"/>
  <c r="D60"/>
  <c r="F57"/>
  <c r="B55"/>
  <c r="D52"/>
  <c r="F49"/>
  <c r="B47"/>
  <c r="D44"/>
  <c r="F41"/>
  <c r="B39"/>
  <c r="D36"/>
  <c r="F33"/>
  <c r="B31"/>
  <c r="D28"/>
  <c r="F25"/>
  <c r="B23"/>
  <c r="D20"/>
  <c r="F17"/>
  <c r="D127" i="9"/>
  <c r="B106"/>
  <c r="F84"/>
  <c r="D63"/>
  <c r="B42"/>
  <c r="F20"/>
  <c r="D155" i="8"/>
  <c r="B134"/>
  <c r="D117"/>
  <c r="E105"/>
  <c r="A95"/>
  <c r="C84"/>
  <c r="E73"/>
  <c r="A63"/>
  <c r="C52"/>
  <c r="E41"/>
  <c r="A31"/>
  <c r="C20"/>
  <c r="E9"/>
  <c r="A252" i="7"/>
  <c r="C241"/>
  <c r="E230"/>
  <c r="A220"/>
  <c r="C209"/>
  <c r="E198"/>
  <c r="A188"/>
  <c r="C177"/>
  <c r="A169"/>
  <c r="A162"/>
  <c r="F154"/>
  <c r="E147"/>
  <c r="E140"/>
  <c r="D133"/>
  <c r="C126"/>
  <c r="D119"/>
  <c r="B114"/>
  <c r="F108"/>
  <c r="D103"/>
  <c r="B98"/>
  <c r="F92"/>
  <c r="D87"/>
  <c r="B82"/>
  <c r="F76"/>
  <c r="D71"/>
  <c r="B66"/>
  <c r="F60"/>
  <c r="D55"/>
  <c r="B50"/>
  <c r="F44"/>
  <c r="D39"/>
  <c r="B34"/>
  <c r="F28"/>
  <c r="D23"/>
  <c r="B18"/>
  <c r="F12"/>
  <c r="D7"/>
  <c r="B158" i="6"/>
  <c r="F152"/>
  <c r="D147"/>
  <c r="B142"/>
  <c r="F136"/>
  <c r="D131"/>
  <c r="B126"/>
  <c r="F120"/>
  <c r="E116"/>
  <c r="B113"/>
  <c r="D109"/>
  <c r="A106"/>
  <c r="D102"/>
  <c r="F98"/>
  <c r="C95"/>
  <c r="F91"/>
  <c r="B88"/>
  <c r="E84"/>
  <c r="B81"/>
  <c r="D77"/>
  <c r="A74"/>
  <c r="E70"/>
  <c r="A68"/>
  <c r="C65"/>
  <c r="E62"/>
  <c r="A60"/>
  <c r="C57"/>
  <c r="E54"/>
  <c r="A52"/>
  <c r="C49"/>
  <c r="E46"/>
  <c r="A44"/>
  <c r="C41"/>
  <c r="E38"/>
  <c r="A36"/>
  <c r="C33"/>
  <c r="E30"/>
  <c r="A28"/>
  <c r="C25"/>
  <c r="E22"/>
  <c r="A20"/>
  <c r="C17"/>
  <c r="E14"/>
  <c r="A12"/>
  <c r="C9"/>
  <c r="E6"/>
  <c r="A162" i="4"/>
  <c r="C159"/>
  <c r="E156"/>
  <c r="A154"/>
  <c r="C151"/>
  <c r="E148"/>
  <c r="A146"/>
  <c r="C143"/>
  <c r="E140"/>
  <c r="A138"/>
  <c r="C135"/>
  <c r="E132"/>
  <c r="A130"/>
  <c r="C127"/>
  <c r="E124"/>
  <c r="A122"/>
  <c r="C119"/>
  <c r="E116"/>
  <c r="A114"/>
  <c r="C111"/>
  <c r="E108"/>
  <c r="A106"/>
  <c r="C103"/>
  <c r="E100"/>
  <c r="A98"/>
  <c r="C95"/>
  <c r="E92"/>
  <c r="A90"/>
  <c r="C87"/>
  <c r="E84"/>
  <c r="A82"/>
  <c r="C79"/>
  <c r="E76"/>
  <c r="A74"/>
  <c r="C71"/>
  <c r="E68"/>
  <c r="A66"/>
  <c r="C63"/>
  <c r="E60"/>
  <c r="A58"/>
  <c r="C55"/>
  <c r="E52"/>
  <c r="A50"/>
  <c r="C47"/>
  <c r="E44"/>
  <c r="A42"/>
  <c r="C39"/>
  <c r="E36"/>
  <c r="A34"/>
  <c r="C31"/>
  <c r="E28"/>
  <c r="A26"/>
  <c r="C23"/>
  <c r="E20"/>
  <c r="A18"/>
  <c r="C15"/>
  <c r="E12"/>
  <c r="A10"/>
  <c r="C7"/>
  <c r="E268" i="3"/>
  <c r="A266"/>
  <c r="C263"/>
  <c r="E260"/>
  <c r="A258"/>
  <c r="C255"/>
  <c r="E252"/>
  <c r="A250"/>
  <c r="C247"/>
  <c r="E244"/>
  <c r="A242"/>
  <c r="C239"/>
  <c r="E236"/>
  <c r="A234"/>
  <c r="C231"/>
  <c r="E228"/>
  <c r="A226"/>
  <c r="C223"/>
  <c r="E220"/>
  <c r="A218"/>
  <c r="C215"/>
  <c r="E212"/>
  <c r="A210"/>
  <c r="C207"/>
  <c r="E204"/>
  <c r="A202"/>
  <c r="C199"/>
  <c r="E196"/>
  <c r="A194"/>
  <c r="C191"/>
  <c r="E188"/>
  <c r="A186"/>
  <c r="C183"/>
  <c r="E180"/>
  <c r="A178"/>
  <c r="C175"/>
  <c r="E172"/>
  <c r="A170"/>
  <c r="C167"/>
  <c r="E164"/>
  <c r="A162"/>
  <c r="C159"/>
  <c r="E156"/>
  <c r="A154"/>
  <c r="C151"/>
  <c r="E148"/>
  <c r="A146"/>
  <c r="C143"/>
  <c r="E140"/>
  <c r="A138"/>
  <c r="B124" i="9"/>
  <c r="D81"/>
  <c r="F38"/>
  <c r="B152" i="8"/>
  <c r="C115"/>
  <c r="C93"/>
  <c r="A72"/>
  <c r="E50"/>
  <c r="C29"/>
  <c r="A8"/>
  <c r="E239" i="7"/>
  <c r="C218"/>
  <c r="A197"/>
  <c r="E175"/>
  <c r="F160"/>
  <c r="E146"/>
  <c r="C132"/>
  <c r="E118"/>
  <c r="A108"/>
  <c r="C97"/>
  <c r="E86"/>
  <c r="A76"/>
  <c r="C65"/>
  <c r="E54"/>
  <c r="A44"/>
  <c r="C33"/>
  <c r="E22"/>
  <c r="A12"/>
  <c r="C157" i="6"/>
  <c r="E146"/>
  <c r="A136"/>
  <c r="C125"/>
  <c r="A116"/>
  <c r="F108"/>
  <c r="F101"/>
  <c r="E94"/>
  <c r="D87"/>
  <c r="D80"/>
  <c r="C73"/>
  <c r="D67"/>
  <c r="B62"/>
  <c r="F56"/>
  <c r="D51"/>
  <c r="B46"/>
  <c r="F40"/>
  <c r="D35"/>
  <c r="B30"/>
  <c r="F24"/>
  <c r="D19"/>
  <c r="B14"/>
  <c r="F8"/>
  <c r="D161" i="4"/>
  <c r="B156"/>
  <c r="F150"/>
  <c r="D145"/>
  <c r="B140"/>
  <c r="F134"/>
  <c r="D129"/>
  <c r="B124"/>
  <c r="F118"/>
  <c r="D113"/>
  <c r="B108"/>
  <c r="F102"/>
  <c r="D97"/>
  <c r="B92"/>
  <c r="F86"/>
  <c r="D81"/>
  <c r="B76"/>
  <c r="F70"/>
  <c r="D65"/>
  <c r="B60"/>
  <c r="F54"/>
  <c r="D49"/>
  <c r="B44"/>
  <c r="F38"/>
  <c r="D33"/>
  <c r="B28"/>
  <c r="F22"/>
  <c r="D17"/>
  <c r="B12"/>
  <c r="F6"/>
  <c r="D265" i="3"/>
  <c r="B260"/>
  <c r="F254"/>
  <c r="D249"/>
  <c r="B244"/>
  <c r="F238"/>
  <c r="D233"/>
  <c r="B228"/>
  <c r="F222"/>
  <c r="D217"/>
  <c r="B212"/>
  <c r="F206"/>
  <c r="D201"/>
  <c r="B196"/>
  <c r="F190"/>
  <c r="D185"/>
  <c r="B180"/>
  <c r="F174"/>
  <c r="D169"/>
  <c r="B164"/>
  <c r="F158"/>
  <c r="D153"/>
  <c r="B148"/>
  <c r="F142"/>
  <c r="D137"/>
  <c r="D133"/>
  <c r="A130"/>
  <c r="B214" i="9"/>
  <c r="E107"/>
  <c r="A55"/>
  <c r="C12"/>
  <c r="E125" i="8"/>
  <c r="F111" i="9"/>
  <c r="B69"/>
  <c r="D26"/>
  <c r="F139" i="8"/>
  <c r="A82" i="9"/>
  <c r="E152" i="8"/>
  <c r="D93"/>
  <c r="F50"/>
  <c r="B8"/>
  <c r="D218" i="7"/>
  <c r="F175"/>
  <c r="D138"/>
  <c r="D146" i="9"/>
  <c r="E94"/>
  <c r="A52"/>
  <c r="C9"/>
  <c r="A124" i="8"/>
  <c r="D104"/>
  <c r="F93"/>
  <c r="B83"/>
  <c r="D72"/>
  <c r="F61"/>
  <c r="B51"/>
  <c r="D40"/>
  <c r="F29"/>
  <c r="B19"/>
  <c r="D8"/>
  <c r="F250" i="7"/>
  <c r="B240"/>
  <c r="D229"/>
  <c r="F218"/>
  <c r="B208"/>
  <c r="D197"/>
  <c r="F186"/>
  <c r="B176"/>
  <c r="F106" i="9"/>
  <c r="B64"/>
  <c r="D21"/>
  <c r="F134" i="8"/>
  <c r="A106"/>
  <c r="E84"/>
  <c r="C63"/>
  <c r="A42"/>
  <c r="E20"/>
  <c r="C252" i="7"/>
  <c r="A231"/>
  <c r="E209"/>
  <c r="C188"/>
  <c r="C169"/>
  <c r="A155"/>
  <c r="F140"/>
  <c r="E126"/>
  <c r="C114"/>
  <c r="E103"/>
  <c r="A93"/>
  <c r="C82"/>
  <c r="E71"/>
  <c r="A61"/>
  <c r="C50"/>
  <c r="E39"/>
  <c r="A29"/>
  <c r="C18"/>
  <c r="E7"/>
  <c r="A153" i="6"/>
  <c r="C142"/>
  <c r="E131"/>
  <c r="A121"/>
  <c r="C110"/>
  <c r="E99"/>
  <c r="A89"/>
  <c r="C78"/>
  <c r="D145" i="9"/>
  <c r="D115"/>
  <c r="B94"/>
  <c r="F72"/>
  <c r="D51"/>
  <c r="B30"/>
  <c r="F8"/>
  <c r="D143" i="8"/>
  <c r="F123"/>
  <c r="C110"/>
  <c r="E99"/>
  <c r="A89"/>
  <c r="C78"/>
  <c r="E67"/>
  <c r="A57"/>
  <c r="C46"/>
  <c r="E35"/>
  <c r="A25"/>
  <c r="C14"/>
  <c r="E256" i="7"/>
  <c r="A246"/>
  <c r="C235"/>
  <c r="E224"/>
  <c r="A214"/>
  <c r="C203"/>
  <c r="E192"/>
  <c r="A182"/>
  <c r="B172"/>
  <c r="A165"/>
  <c r="A158"/>
  <c r="F150"/>
  <c r="E143"/>
  <c r="E136"/>
  <c r="D129"/>
  <c r="C122"/>
  <c r="D116"/>
  <c r="B111"/>
  <c r="F105"/>
  <c r="D100"/>
  <c r="B95"/>
  <c r="F89"/>
  <c r="D84"/>
  <c r="B79"/>
  <c r="F73"/>
  <c r="D68"/>
  <c r="B63"/>
  <c r="F57"/>
  <c r="D52"/>
  <c r="B47"/>
  <c r="F41"/>
  <c r="D36"/>
  <c r="B31"/>
  <c r="F25"/>
  <c r="D20"/>
  <c r="B15"/>
  <c r="F9"/>
  <c r="D160" i="6"/>
  <c r="B155"/>
  <c r="F149"/>
  <c r="D144"/>
  <c r="B139"/>
  <c r="F133"/>
  <c r="D128"/>
  <c r="B123"/>
  <c r="B136" i="9"/>
  <c r="D89"/>
  <c r="F46"/>
  <c r="B160" i="8"/>
  <c r="E120"/>
  <c r="C97"/>
  <c r="A76"/>
  <c r="E54"/>
  <c r="C33"/>
  <c r="A12"/>
  <c r="E243" i="7"/>
  <c r="C222"/>
  <c r="A201"/>
  <c r="E179"/>
  <c r="D163"/>
  <c r="C149"/>
  <c r="A135"/>
  <c r="F120"/>
  <c r="A110"/>
  <c r="C99"/>
  <c r="E88"/>
  <c r="A78"/>
  <c r="C67"/>
  <c r="E56"/>
  <c r="A46"/>
  <c r="C35"/>
  <c r="E24"/>
  <c r="A14"/>
  <c r="C159" i="6"/>
  <c r="E148"/>
  <c r="A138"/>
  <c r="C127"/>
  <c r="C117"/>
  <c r="B110"/>
  <c r="B103"/>
  <c r="A96"/>
  <c r="F88"/>
  <c r="F81"/>
  <c r="E74"/>
  <c r="D68"/>
  <c r="B63"/>
  <c r="D60"/>
  <c r="F57"/>
  <c r="B55"/>
  <c r="D52"/>
  <c r="F49"/>
  <c r="B47"/>
  <c r="D44"/>
  <c r="F41"/>
  <c r="B39"/>
  <c r="D36"/>
  <c r="F33"/>
  <c r="B31"/>
  <c r="D28"/>
  <c r="F25"/>
  <c r="B23"/>
  <c r="D20"/>
  <c r="F17"/>
  <c r="B15"/>
  <c r="D12"/>
  <c r="F9"/>
  <c r="B7"/>
  <c r="D162" i="4"/>
  <c r="F159"/>
  <c r="B157"/>
  <c r="D154"/>
  <c r="F151"/>
  <c r="B149"/>
  <c r="D146"/>
  <c r="F143"/>
  <c r="B141"/>
  <c r="D138"/>
  <c r="F135"/>
  <c r="B133"/>
  <c r="D130"/>
  <c r="F127"/>
  <c r="B125"/>
  <c r="D122"/>
  <c r="F119"/>
  <c r="B117"/>
  <c r="D114"/>
  <c r="F111"/>
  <c r="B109"/>
  <c r="D106"/>
  <c r="F103"/>
  <c r="B101"/>
  <c r="D98"/>
  <c r="F95"/>
  <c r="B93"/>
  <c r="D90"/>
  <c r="F87"/>
  <c r="B85"/>
  <c r="D82"/>
  <c r="F79"/>
  <c r="B77"/>
  <c r="D74"/>
  <c r="F71"/>
  <c r="B69"/>
  <c r="D66"/>
  <c r="F63"/>
  <c r="B61"/>
  <c r="D58"/>
  <c r="F55"/>
  <c r="B53"/>
  <c r="D50"/>
  <c r="F47"/>
  <c r="B45"/>
  <c r="D42"/>
  <c r="F39"/>
  <c r="B37"/>
  <c r="D34"/>
  <c r="F31"/>
  <c r="B29"/>
  <c r="D26"/>
  <c r="F23"/>
  <c r="B21"/>
  <c r="D18"/>
  <c r="F15"/>
  <c r="B13"/>
  <c r="D10"/>
  <c r="F7"/>
  <c r="B5"/>
  <c r="D266" i="3"/>
  <c r="F263"/>
  <c r="B261"/>
  <c r="D258"/>
  <c r="F255"/>
  <c r="B253"/>
  <c r="D250"/>
  <c r="F247"/>
  <c r="B245"/>
  <c r="D242"/>
  <c r="F239"/>
  <c r="B237"/>
  <c r="D234"/>
  <c r="F231"/>
  <c r="B229"/>
  <c r="D226"/>
  <c r="F223"/>
  <c r="B221"/>
  <c r="D218"/>
  <c r="F215"/>
  <c r="B213"/>
  <c r="D210"/>
  <c r="F207"/>
  <c r="B205"/>
  <c r="D202"/>
  <c r="F199"/>
  <c r="B197"/>
  <c r="D194"/>
  <c r="F191"/>
  <c r="B189"/>
  <c r="D186"/>
  <c r="F183"/>
  <c r="B181"/>
  <c r="D178"/>
  <c r="F175"/>
  <c r="B173"/>
  <c r="D170"/>
  <c r="F167"/>
  <c r="B165"/>
  <c r="D162"/>
  <c r="F159"/>
  <c r="B157"/>
  <c r="D154"/>
  <c r="F151"/>
  <c r="B149"/>
  <c r="D146"/>
  <c r="F143"/>
  <c r="B141"/>
  <c r="D138"/>
  <c r="F135"/>
  <c r="B133"/>
  <c r="D130"/>
  <c r="F127"/>
  <c r="B125"/>
  <c r="D122"/>
  <c r="F119"/>
  <c r="B117"/>
  <c r="D114"/>
  <c r="F111"/>
  <c r="B109"/>
  <c r="D106"/>
  <c r="F103"/>
  <c r="B101"/>
  <c r="D98"/>
  <c r="F95"/>
  <c r="B93"/>
  <c r="D90"/>
  <c r="F87"/>
  <c r="B85"/>
  <c r="D82"/>
  <c r="F79"/>
  <c r="B77"/>
  <c r="D74"/>
  <c r="F71"/>
  <c r="B69"/>
  <c r="D66"/>
  <c r="F63"/>
  <c r="B61"/>
  <c r="D58"/>
  <c r="F55"/>
  <c r="B53"/>
  <c r="D50"/>
  <c r="F47"/>
  <c r="B45"/>
  <c r="D42"/>
  <c r="F39"/>
  <c r="B37"/>
  <c r="D34"/>
  <c r="F31"/>
  <c r="B29"/>
  <c r="D26"/>
  <c r="F23"/>
  <c r="B21"/>
  <c r="D18"/>
  <c r="D137" i="9"/>
  <c r="D111"/>
  <c r="B90"/>
  <c r="F68"/>
  <c r="D47"/>
  <c r="B26"/>
  <c r="F160" i="8"/>
  <c r="D139"/>
  <c r="B121"/>
  <c r="C108"/>
  <c r="E97"/>
  <c r="A87"/>
  <c r="C76"/>
  <c r="E65"/>
  <c r="A55"/>
  <c r="C44"/>
  <c r="E33"/>
  <c r="A23"/>
  <c r="C12"/>
  <c r="E254" i="7"/>
  <c r="A244"/>
  <c r="C233"/>
  <c r="E222"/>
  <c r="A212"/>
  <c r="C201"/>
  <c r="E190"/>
  <c r="A180"/>
  <c r="F170"/>
  <c r="E163"/>
  <c r="E156"/>
  <c r="D149"/>
  <c r="C142"/>
  <c r="C135"/>
  <c r="B128"/>
  <c r="A121"/>
  <c r="D115"/>
  <c r="B110"/>
  <c r="F104"/>
  <c r="D99"/>
  <c r="B94"/>
  <c r="F88"/>
  <c r="D83"/>
  <c r="B78"/>
  <c r="F72"/>
  <c r="D67"/>
  <c r="B62"/>
  <c r="F56"/>
  <c r="D51"/>
  <c r="B46"/>
  <c r="F40"/>
  <c r="D35"/>
  <c r="B30"/>
  <c r="F24"/>
  <c r="D19"/>
  <c r="B14"/>
  <c r="F8"/>
  <c r="D159" i="6"/>
  <c r="B154"/>
  <c r="F148"/>
  <c r="D143"/>
  <c r="B138"/>
  <c r="F132"/>
  <c r="D127"/>
  <c r="B122"/>
  <c r="D117"/>
  <c r="A114"/>
  <c r="D110"/>
  <c r="F106"/>
  <c r="C103"/>
  <c r="F99"/>
  <c r="B96"/>
  <c r="E92"/>
  <c r="B89"/>
  <c r="D85"/>
  <c r="A82"/>
  <c r="D78"/>
  <c r="F74"/>
  <c r="C71"/>
  <c r="E68"/>
  <c r="A66"/>
  <c r="C63"/>
  <c r="E60"/>
  <c r="A58"/>
  <c r="C55"/>
  <c r="E52"/>
  <c r="A50"/>
  <c r="C47"/>
  <c r="E44"/>
  <c r="A42"/>
  <c r="C39"/>
  <c r="E36"/>
  <c r="A34"/>
  <c r="C31"/>
  <c r="E28"/>
  <c r="A26"/>
  <c r="C23"/>
  <c r="E20"/>
  <c r="A18"/>
  <c r="C15"/>
  <c r="E12"/>
  <c r="A10"/>
  <c r="C7"/>
  <c r="E162" i="4"/>
  <c r="A160"/>
  <c r="C157"/>
  <c r="E154"/>
  <c r="A152"/>
  <c r="C149"/>
  <c r="E146"/>
  <c r="A144"/>
  <c r="C141"/>
  <c r="E138"/>
  <c r="A136"/>
  <c r="C133"/>
  <c r="E130"/>
  <c r="A128"/>
  <c r="C125"/>
  <c r="E122"/>
  <c r="A120"/>
  <c r="C117"/>
  <c r="E114"/>
  <c r="A112"/>
  <c r="C109"/>
  <c r="E106"/>
  <c r="A104"/>
  <c r="C101"/>
  <c r="E98"/>
  <c r="A96"/>
  <c r="C93"/>
  <c r="E90"/>
  <c r="A88"/>
  <c r="C85"/>
  <c r="E82"/>
  <c r="A80"/>
  <c r="C77"/>
  <c r="E74"/>
  <c r="A72"/>
  <c r="C69"/>
  <c r="E66"/>
  <c r="A64"/>
  <c r="C61"/>
  <c r="E58"/>
  <c r="A56"/>
  <c r="C53"/>
  <c r="E50"/>
  <c r="A48"/>
  <c r="C45"/>
  <c r="E42"/>
  <c r="A40"/>
  <c r="C37"/>
  <c r="E34"/>
  <c r="A32"/>
  <c r="C29"/>
  <c r="E26"/>
  <c r="A24"/>
  <c r="C21"/>
  <c r="E18"/>
  <c r="A16"/>
  <c r="C13"/>
  <c r="E10"/>
  <c r="A8"/>
  <c r="C5"/>
  <c r="E266" i="3"/>
  <c r="A264"/>
  <c r="C261"/>
  <c r="E258"/>
  <c r="A256"/>
  <c r="C253"/>
  <c r="E250"/>
  <c r="A248"/>
  <c r="C245"/>
  <c r="E242"/>
  <c r="A240"/>
  <c r="C237"/>
  <c r="E234"/>
  <c r="A232"/>
  <c r="C229"/>
  <c r="E226"/>
  <c r="A224"/>
  <c r="C221"/>
  <c r="E218"/>
  <c r="A216"/>
  <c r="C213"/>
  <c r="E210"/>
  <c r="A208"/>
  <c r="C205"/>
  <c r="E202"/>
  <c r="A200"/>
  <c r="C197"/>
  <c r="E194"/>
  <c r="A192"/>
  <c r="C189"/>
  <c r="E186"/>
  <c r="A184"/>
  <c r="C181"/>
  <c r="E178"/>
  <c r="A176"/>
  <c r="C173"/>
  <c r="E170"/>
  <c r="A168"/>
  <c r="C165"/>
  <c r="E162"/>
  <c r="A160"/>
  <c r="C157"/>
  <c r="E154"/>
  <c r="A152"/>
  <c r="C149"/>
  <c r="E146"/>
  <c r="A144"/>
  <c r="C141"/>
  <c r="E138"/>
  <c r="D141" i="9"/>
  <c r="B92"/>
  <c r="D49"/>
  <c r="F6"/>
  <c r="D122" i="8"/>
  <c r="E98"/>
  <c r="C77"/>
  <c r="A56"/>
  <c r="E34"/>
  <c r="C13"/>
  <c r="A245" i="7"/>
  <c r="E223"/>
  <c r="C202"/>
  <c r="A181"/>
  <c r="C164"/>
  <c r="B150"/>
  <c r="A136"/>
  <c r="E121"/>
  <c r="E110"/>
  <c r="A100"/>
  <c r="C89"/>
  <c r="E78"/>
  <c r="A68"/>
  <c r="C57"/>
  <c r="E46"/>
  <c r="A36"/>
  <c r="C25"/>
  <c r="E14"/>
  <c r="A160" i="6"/>
  <c r="C149"/>
  <c r="E138"/>
  <c r="A128"/>
  <c r="F117"/>
  <c r="E110"/>
  <c r="D103"/>
  <c r="D96"/>
  <c r="C89"/>
  <c r="B82"/>
  <c r="B75"/>
  <c r="F68"/>
  <c r="D63"/>
  <c r="B58"/>
  <c r="F52"/>
  <c r="D47"/>
  <c r="B42"/>
  <c r="F36"/>
  <c r="D31"/>
  <c r="B26"/>
  <c r="F20"/>
  <c r="D15"/>
  <c r="B10"/>
  <c r="F162" i="4"/>
  <c r="D157"/>
  <c r="B152"/>
  <c r="F146"/>
  <c r="D141"/>
  <c r="B136"/>
  <c r="F130"/>
  <c r="D125"/>
  <c r="B120"/>
  <c r="F114"/>
  <c r="D109"/>
  <c r="B104"/>
  <c r="F98"/>
  <c r="D93"/>
  <c r="B88"/>
  <c r="F82"/>
  <c r="D77"/>
  <c r="B72"/>
  <c r="F66"/>
  <c r="D61"/>
  <c r="B56"/>
  <c r="F50"/>
  <c r="D45"/>
  <c r="B40"/>
  <c r="F34"/>
  <c r="D29"/>
  <c r="B24"/>
  <c r="F18"/>
  <c r="D13"/>
  <c r="B8"/>
  <c r="F266" i="3"/>
  <c r="D261"/>
  <c r="B256"/>
  <c r="F250"/>
  <c r="D245"/>
  <c r="B240"/>
  <c r="F234"/>
  <c r="D229"/>
  <c r="B224"/>
  <c r="F218"/>
  <c r="D213"/>
  <c r="B208"/>
  <c r="F202"/>
  <c r="D197"/>
  <c r="B192"/>
  <c r="F186"/>
  <c r="D181"/>
  <c r="B176"/>
  <c r="F170"/>
  <c r="D165"/>
  <c r="B160"/>
  <c r="F154"/>
  <c r="D149"/>
  <c r="B144"/>
  <c r="F138"/>
  <c r="C134"/>
  <c r="F130"/>
  <c r="A23" i="9"/>
  <c r="B37"/>
  <c r="B104" i="8"/>
  <c r="D186" i="7"/>
  <c r="E62" i="9"/>
  <c r="D96" i="8"/>
  <c r="F53"/>
  <c r="B11"/>
  <c r="D221" i="7"/>
  <c r="F178"/>
  <c r="D145" i="8"/>
  <c r="C47"/>
  <c r="A215" i="7"/>
  <c r="C144"/>
  <c r="E95"/>
  <c r="A53"/>
  <c r="C10"/>
  <c r="E123" i="6"/>
  <c r="A81"/>
  <c r="D75" i="9"/>
  <c r="B146" i="8"/>
  <c r="C90"/>
  <c r="E47"/>
  <c r="A5"/>
  <c r="C215" i="7"/>
  <c r="A173"/>
  <c r="E144"/>
  <c r="B117"/>
  <c r="F95"/>
  <c r="D74"/>
  <c r="B53"/>
  <c r="F31"/>
  <c r="D10"/>
  <c r="B145" i="6"/>
  <c r="F123"/>
  <c r="D9" i="9"/>
  <c r="C57" i="8"/>
  <c r="A225" i="7"/>
  <c r="A151"/>
  <c r="E100"/>
  <c r="A58"/>
  <c r="C15"/>
  <c r="E128" i="6"/>
  <c r="F96"/>
  <c r="B69"/>
  <c r="F55"/>
  <c r="B45"/>
  <c r="D34"/>
  <c r="F23"/>
  <c r="B13"/>
  <c r="D160" i="4"/>
  <c r="F149"/>
  <c r="B139"/>
  <c r="D128"/>
  <c r="F117"/>
  <c r="B107"/>
  <c r="D96"/>
  <c r="F85"/>
  <c r="B75"/>
  <c r="D64"/>
  <c r="F53"/>
  <c r="B43"/>
  <c r="D32"/>
  <c r="F21"/>
  <c r="B11"/>
  <c r="D264" i="3"/>
  <c r="F253"/>
  <c r="B243"/>
  <c r="D232"/>
  <c r="F221"/>
  <c r="B211"/>
  <c r="D200"/>
  <c r="F189"/>
  <c r="B179"/>
  <c r="D168"/>
  <c r="F157"/>
  <c r="B147"/>
  <c r="D136"/>
  <c r="F125"/>
  <c r="B115"/>
  <c r="D104"/>
  <c r="F93"/>
  <c r="B83"/>
  <c r="D72"/>
  <c r="F61"/>
  <c r="B51"/>
  <c r="D40"/>
  <c r="F29"/>
  <c r="B19"/>
  <c r="B74" i="9"/>
  <c r="F144" i="8"/>
  <c r="E89"/>
  <c r="A47"/>
  <c r="C257" i="7"/>
  <c r="E214"/>
  <c r="E172"/>
  <c r="B144"/>
  <c r="F116"/>
  <c r="D95"/>
  <c r="B74"/>
  <c r="F52"/>
  <c r="D31"/>
  <c r="B10"/>
  <c r="F144" i="6"/>
  <c r="D123"/>
  <c r="F107"/>
  <c r="D93"/>
  <c r="C79"/>
  <c r="E66"/>
  <c r="A56"/>
  <c r="C45"/>
  <c r="E34"/>
  <c r="A24"/>
  <c r="C13"/>
  <c r="E160" i="4"/>
  <c r="A150"/>
  <c r="C139"/>
  <c r="E128"/>
  <c r="A118"/>
  <c r="C107"/>
  <c r="E96"/>
  <c r="A86"/>
  <c r="C75"/>
  <c r="E64"/>
  <c r="A54"/>
  <c r="C43"/>
  <c r="E32"/>
  <c r="A22"/>
  <c r="E14"/>
  <c r="C9"/>
  <c r="A268" i="3"/>
  <c r="E262"/>
  <c r="C257"/>
  <c r="A252"/>
  <c r="E246"/>
  <c r="C241"/>
  <c r="A236"/>
  <c r="E230"/>
  <c r="C225"/>
  <c r="A220"/>
  <c r="E214"/>
  <c r="C209"/>
  <c r="A204"/>
  <c r="E198"/>
  <c r="C193"/>
  <c r="A188"/>
  <c r="E182"/>
  <c r="C177"/>
  <c r="A172"/>
  <c r="E166"/>
  <c r="C161"/>
  <c r="A156"/>
  <c r="E150"/>
  <c r="C145"/>
  <c r="A140"/>
  <c r="D113" i="9"/>
  <c r="B28"/>
  <c r="C109" i="8"/>
  <c r="E66"/>
  <c r="A24"/>
  <c r="C234" i="7"/>
  <c r="E191"/>
  <c r="C157"/>
  <c r="F128"/>
  <c r="C105"/>
  <c r="A84"/>
  <c r="E62"/>
  <c r="C41"/>
  <c r="A20"/>
  <c r="E154" i="6"/>
  <c r="C133"/>
  <c r="B114"/>
  <c r="A100"/>
  <c r="F85"/>
  <c r="D71"/>
  <c r="F60"/>
  <c r="B50"/>
  <c r="D39"/>
  <c r="F28"/>
  <c r="B18"/>
  <c r="D7"/>
  <c r="F154" i="4"/>
  <c r="B144"/>
  <c r="D133"/>
  <c r="F122"/>
  <c r="B112"/>
  <c r="D101"/>
  <c r="F90"/>
  <c r="B80"/>
  <c r="D69"/>
  <c r="F58"/>
  <c r="B48"/>
  <c r="D37"/>
  <c r="F26"/>
  <c r="B16"/>
  <c r="D5"/>
  <c r="F258" i="3"/>
  <c r="B248"/>
  <c r="D237"/>
  <c r="F226"/>
  <c r="B216"/>
  <c r="D205"/>
  <c r="F194"/>
  <c r="B184"/>
  <c r="D173"/>
  <c r="F162"/>
  <c r="B152"/>
  <c r="D141"/>
  <c r="E132"/>
  <c r="C127"/>
  <c r="E123"/>
  <c r="B120"/>
  <c r="E116"/>
  <c r="A113"/>
  <c r="D109"/>
  <c r="A106"/>
  <c r="C102"/>
  <c r="F98"/>
  <c r="C95"/>
  <c r="E91"/>
  <c r="B88"/>
  <c r="E84"/>
  <c r="A81"/>
  <c r="D77"/>
  <c r="A74"/>
  <c r="C70"/>
  <c r="F66"/>
  <c r="C63"/>
  <c r="E59"/>
  <c r="B56"/>
  <c r="E52"/>
  <c r="A49"/>
  <c r="D45"/>
  <c r="A42"/>
  <c r="C38"/>
  <c r="F34"/>
  <c r="C31"/>
  <c r="E27"/>
  <c r="B24"/>
  <c r="E20"/>
  <c r="A17"/>
  <c r="C14"/>
  <c r="E11"/>
  <c r="A9"/>
  <c r="C6"/>
  <c r="E161" i="2"/>
  <c r="A159"/>
  <c r="C156"/>
  <c r="E153"/>
  <c r="A151"/>
  <c r="C148"/>
  <c r="E145"/>
  <c r="A143"/>
  <c r="C140"/>
  <c r="E137"/>
  <c r="A135"/>
  <c r="C132"/>
  <c r="E129"/>
  <c r="A127"/>
  <c r="C124"/>
  <c r="E121"/>
  <c r="A119"/>
  <c r="C116"/>
  <c r="E113"/>
  <c r="A111"/>
  <c r="C108"/>
  <c r="E105"/>
  <c r="A103"/>
  <c r="C100"/>
  <c r="E97"/>
  <c r="A95"/>
  <c r="C92"/>
  <c r="E89"/>
  <c r="A87"/>
  <c r="C84"/>
  <c r="E81"/>
  <c r="A79"/>
  <c r="C76"/>
  <c r="E73"/>
  <c r="D103" i="9"/>
  <c r="F60"/>
  <c r="B18"/>
  <c r="D131" i="8"/>
  <c r="C104"/>
  <c r="A83"/>
  <c r="E61"/>
  <c r="C40"/>
  <c r="A19"/>
  <c r="E250" i="7"/>
  <c r="C229"/>
  <c r="A208"/>
  <c r="E186"/>
  <c r="B168"/>
  <c r="A154"/>
  <c r="E139"/>
  <c r="D125"/>
  <c r="D113"/>
  <c r="F102"/>
  <c r="B92"/>
  <c r="D81"/>
  <c r="F70"/>
  <c r="B60"/>
  <c r="D49"/>
  <c r="F38"/>
  <c r="B28"/>
  <c r="D17"/>
  <c r="F6"/>
  <c r="B152" i="6"/>
  <c r="D141"/>
  <c r="F130"/>
  <c r="B120"/>
  <c r="E112"/>
  <c r="D105"/>
  <c r="D98"/>
  <c r="C91"/>
  <c r="B84"/>
  <c r="B77"/>
  <c r="C70"/>
  <c r="A65"/>
  <c r="E59"/>
  <c r="C54"/>
  <c r="A49"/>
  <c r="E43"/>
  <c r="C38"/>
  <c r="A33"/>
  <c r="E27"/>
  <c r="C22"/>
  <c r="A17"/>
  <c r="E11"/>
  <c r="C6"/>
  <c r="A159" i="4"/>
  <c r="E153"/>
  <c r="C148"/>
  <c r="A143"/>
  <c r="E137"/>
  <c r="C132"/>
  <c r="A127"/>
  <c r="E121"/>
  <c r="C116"/>
  <c r="A111"/>
  <c r="E105"/>
  <c r="C100"/>
  <c r="A95"/>
  <c r="E89"/>
  <c r="C84"/>
  <c r="A79"/>
  <c r="E73"/>
  <c r="C68"/>
  <c r="A63"/>
  <c r="E57"/>
  <c r="C52"/>
  <c r="A47"/>
  <c r="E41"/>
  <c r="C36"/>
  <c r="A31"/>
  <c r="E25"/>
  <c r="C20"/>
  <c r="A15"/>
  <c r="E9"/>
  <c r="C268" i="3"/>
  <c r="A263"/>
  <c r="E257"/>
  <c r="C252"/>
  <c r="A247"/>
  <c r="E241"/>
  <c r="C236"/>
  <c r="A231"/>
  <c r="E225"/>
  <c r="C220"/>
  <c r="A215"/>
  <c r="E209"/>
  <c r="C204"/>
  <c r="A199"/>
  <c r="E193"/>
  <c r="C188"/>
  <c r="A183"/>
  <c r="E177"/>
  <c r="C172"/>
  <c r="A167"/>
  <c r="E161"/>
  <c r="C156"/>
  <c r="A151"/>
  <c r="E145"/>
  <c r="C140"/>
  <c r="D135"/>
  <c r="A132"/>
  <c r="C128"/>
  <c r="F124"/>
  <c r="C121"/>
  <c r="E117"/>
  <c r="B114"/>
  <c r="E110"/>
  <c r="A107"/>
  <c r="D103"/>
  <c r="A100"/>
  <c r="C96"/>
  <c r="F92"/>
  <c r="C89"/>
  <c r="E85"/>
  <c r="B82"/>
  <c r="E78"/>
  <c r="A75"/>
  <c r="D71"/>
  <c r="A68"/>
  <c r="C64"/>
  <c r="F60"/>
  <c r="C57"/>
  <c r="E53"/>
  <c r="B50"/>
  <c r="E46"/>
  <c r="A43"/>
  <c r="D39"/>
  <c r="A36"/>
  <c r="C32"/>
  <c r="F28"/>
  <c r="C25"/>
  <c r="E21"/>
  <c r="B18"/>
  <c r="B15"/>
  <c r="D12"/>
  <c r="F9"/>
  <c r="B7"/>
  <c r="F118" i="9"/>
  <c r="B76"/>
  <c r="D33"/>
  <c r="F146" i="8"/>
  <c r="A112"/>
  <c r="E90"/>
  <c r="C69"/>
  <c r="A48"/>
  <c r="E26"/>
  <c r="C5"/>
  <c r="A237" i="7"/>
  <c r="E215"/>
  <c r="C194"/>
  <c r="C173"/>
  <c r="A159"/>
  <c r="F144"/>
  <c r="E130"/>
  <c r="C117"/>
  <c r="E106"/>
  <c r="A96"/>
  <c r="C85"/>
  <c r="E74"/>
  <c r="A64"/>
  <c r="C53"/>
  <c r="E42"/>
  <c r="A32"/>
  <c r="C21"/>
  <c r="E10"/>
  <c r="A156" i="6"/>
  <c r="C145"/>
  <c r="E134"/>
  <c r="A124"/>
  <c r="B115"/>
  <c r="A108"/>
  <c r="F100"/>
  <c r="F93"/>
  <c r="E86"/>
  <c r="D79"/>
  <c r="D72"/>
  <c r="F66"/>
  <c r="D61"/>
  <c r="B56"/>
  <c r="F50"/>
  <c r="D45"/>
  <c r="B40"/>
  <c r="F34"/>
  <c r="D29"/>
  <c r="B24"/>
  <c r="F18"/>
  <c r="D13"/>
  <c r="B8"/>
  <c r="F160" i="4"/>
  <c r="D155"/>
  <c r="B150"/>
  <c r="F144"/>
  <c r="D139"/>
  <c r="B134"/>
  <c r="F128"/>
  <c r="D123"/>
  <c r="B118"/>
  <c r="F112"/>
  <c r="D107"/>
  <c r="B102"/>
  <c r="F96"/>
  <c r="D91"/>
  <c r="B86"/>
  <c r="F80"/>
  <c r="D75"/>
  <c r="B70"/>
  <c r="F64"/>
  <c r="D59"/>
  <c r="B54"/>
  <c r="F48"/>
  <c r="D43"/>
  <c r="B38"/>
  <c r="F32"/>
  <c r="D27"/>
  <c r="B22"/>
  <c r="F16"/>
  <c r="D11"/>
  <c r="B6"/>
  <c r="F264" i="3"/>
  <c r="D259"/>
  <c r="B254"/>
  <c r="F248"/>
  <c r="D243"/>
  <c r="B238"/>
  <c r="F232"/>
  <c r="D227"/>
  <c r="B222"/>
  <c r="F216"/>
  <c r="D211"/>
  <c r="B206"/>
  <c r="F200"/>
  <c r="D195"/>
  <c r="B190"/>
  <c r="F184"/>
  <c r="D179"/>
  <c r="B174"/>
  <c r="F168"/>
  <c r="D163"/>
  <c r="B158"/>
  <c r="F152"/>
  <c r="D147"/>
  <c r="B142"/>
  <c r="F136"/>
  <c r="A133"/>
  <c r="D129"/>
  <c r="A126"/>
  <c r="C122"/>
  <c r="F118"/>
  <c r="C115"/>
  <c r="E111"/>
  <c r="B108"/>
  <c r="E104"/>
  <c r="A101"/>
  <c r="D97"/>
  <c r="A94"/>
  <c r="C90"/>
  <c r="F86"/>
  <c r="C83"/>
  <c r="E79"/>
  <c r="B76"/>
  <c r="E72"/>
  <c r="A69"/>
  <c r="D65"/>
  <c r="A62"/>
  <c r="C58"/>
  <c r="D23" i="9"/>
  <c r="C64" i="8"/>
  <c r="A232" i="7"/>
  <c r="E155"/>
  <c r="B104"/>
  <c r="D61"/>
  <c r="F18"/>
  <c r="B132" i="6"/>
  <c r="C99"/>
  <c r="A71"/>
  <c r="E49"/>
  <c r="C28"/>
  <c r="A7"/>
  <c r="E143" i="4"/>
  <c r="C122"/>
  <c r="A101"/>
  <c r="E79"/>
  <c r="C58"/>
  <c r="A37"/>
  <c r="E15"/>
  <c r="C258" i="3"/>
  <c r="A237"/>
  <c r="E215"/>
  <c r="C194"/>
  <c r="A173"/>
  <c r="E151"/>
  <c r="C132"/>
  <c r="B118"/>
  <c r="A104"/>
  <c r="E89"/>
  <c r="D75"/>
  <c r="C61"/>
  <c r="B52"/>
  <c r="A45"/>
  <c r="A38"/>
  <c r="F30"/>
  <c r="E23"/>
  <c r="E16"/>
  <c r="C11"/>
  <c r="A6"/>
  <c r="D160" i="2"/>
  <c r="F156"/>
  <c r="C153"/>
  <c r="F149"/>
  <c r="B146"/>
  <c r="E142"/>
  <c r="B139"/>
  <c r="D135"/>
  <c r="A132"/>
  <c r="D128"/>
  <c r="F124"/>
  <c r="C121"/>
  <c r="F117"/>
  <c r="B114"/>
  <c r="E110"/>
  <c r="B107"/>
  <c r="D103"/>
  <c r="A100"/>
  <c r="D96"/>
  <c r="F92"/>
  <c r="C89"/>
  <c r="F85"/>
  <c r="B82"/>
  <c r="E78"/>
  <c r="B75"/>
  <c r="A72"/>
  <c r="C69"/>
  <c r="E66"/>
  <c r="A64"/>
  <c r="C61"/>
  <c r="E58"/>
  <c r="A56"/>
  <c r="C53"/>
  <c r="E50"/>
  <c r="A48"/>
  <c r="C45"/>
  <c r="E42"/>
  <c r="A40"/>
  <c r="C37"/>
  <c r="E34"/>
  <c r="A32"/>
  <c r="C29"/>
  <c r="E26"/>
  <c r="A24"/>
  <c r="C21"/>
  <c r="E18"/>
  <c r="A16"/>
  <c r="C13"/>
  <c r="E10"/>
  <c r="A8"/>
  <c r="C5"/>
  <c r="A149" i="3"/>
  <c r="C109"/>
  <c r="C77"/>
  <c r="C51"/>
  <c r="C35"/>
  <c r="C19"/>
  <c r="A8"/>
  <c r="C157" i="2"/>
  <c r="D148"/>
  <c r="D139"/>
  <c r="E130"/>
  <c r="F121"/>
  <c r="B111"/>
  <c r="B102"/>
  <c r="C93"/>
  <c r="C85"/>
  <c r="D75"/>
  <c r="E67"/>
  <c r="A61"/>
  <c r="C52"/>
  <c r="E45"/>
  <c r="A39"/>
  <c r="E29"/>
  <c r="A23"/>
  <c r="C16"/>
  <c r="C8"/>
  <c r="F12" i="9"/>
  <c r="E226" i="7"/>
  <c r="D101"/>
  <c r="D5"/>
  <c r="B76" i="6"/>
  <c r="E21"/>
  <c r="A121" i="4"/>
  <c r="C62"/>
  <c r="A9"/>
  <c r="E219" i="3"/>
  <c r="A161"/>
  <c r="C117"/>
  <c r="E81"/>
  <c r="E49"/>
  <c r="A32"/>
  <c r="F14"/>
  <c r="B160" i="2"/>
  <c r="C151"/>
  <c r="D141"/>
  <c r="F130"/>
  <c r="F122"/>
  <c r="B112"/>
  <c r="C103"/>
  <c r="C95"/>
  <c r="E84"/>
  <c r="E76"/>
  <c r="F67"/>
  <c r="B61"/>
  <c r="D54"/>
  <c r="B47"/>
  <c r="F39"/>
  <c r="F31"/>
  <c r="B25"/>
  <c r="F17"/>
  <c r="B11"/>
  <c r="D119" i="9"/>
  <c r="C112" i="8"/>
  <c r="A27"/>
  <c r="E194" i="7"/>
  <c r="F130"/>
  <c r="D85"/>
  <c r="F42"/>
  <c r="B156" i="6"/>
  <c r="C115"/>
  <c r="F86"/>
  <c r="E61"/>
  <c r="C40"/>
  <c r="A19"/>
  <c r="E155" i="4"/>
  <c r="C134"/>
  <c r="A113"/>
  <c r="E91"/>
  <c r="C70"/>
  <c r="A49"/>
  <c r="E27"/>
  <c r="C6"/>
  <c r="A249" i="3"/>
  <c r="E227"/>
  <c r="C206"/>
  <c r="A185"/>
  <c r="E163"/>
  <c r="C142"/>
  <c r="B126"/>
  <c r="A112"/>
  <c r="E97"/>
  <c r="D83"/>
  <c r="C69"/>
  <c r="A56"/>
  <c r="F48"/>
  <c r="E41"/>
  <c r="E34"/>
  <c r="D27"/>
  <c r="C20"/>
  <c r="B14"/>
  <c r="F8"/>
  <c r="D162" i="2"/>
  <c r="F158"/>
  <c r="C155"/>
  <c r="F151"/>
  <c r="B148"/>
  <c r="E144"/>
  <c r="B141"/>
  <c r="D137"/>
  <c r="A134"/>
  <c r="D130"/>
  <c r="F126"/>
  <c r="C123"/>
  <c r="F119"/>
  <c r="B116"/>
  <c r="E112"/>
  <c r="B109"/>
  <c r="D105"/>
  <c r="A102"/>
  <c r="D98"/>
  <c r="F94"/>
  <c r="C91"/>
  <c r="F87"/>
  <c r="B84"/>
  <c r="E80"/>
  <c r="B77"/>
  <c r="D73"/>
  <c r="F70"/>
  <c r="B68"/>
  <c r="D65"/>
  <c r="F62"/>
  <c r="B60"/>
  <c r="D57"/>
  <c r="F54"/>
  <c r="B52"/>
  <c r="D49"/>
  <c r="F46"/>
  <c r="B44"/>
  <c r="D41"/>
  <c r="F38"/>
  <c r="B36"/>
  <c r="D33"/>
  <c r="F30"/>
  <c r="B28"/>
  <c r="D25"/>
  <c r="F22"/>
  <c r="B20"/>
  <c r="D17"/>
  <c r="F14"/>
  <c r="B12"/>
  <c r="D9"/>
  <c r="F6"/>
  <c r="A181" i="3"/>
  <c r="E130"/>
  <c r="E98"/>
  <c r="E66"/>
  <c r="A46"/>
  <c r="A30"/>
  <c r="E14"/>
  <c r="F161" i="2"/>
  <c r="F153"/>
  <c r="F144"/>
  <c r="B134"/>
  <c r="C125"/>
  <c r="D116"/>
  <c r="D107"/>
  <c r="E98"/>
  <c r="F89"/>
  <c r="B78"/>
  <c r="E69"/>
  <c r="E61"/>
  <c r="A55"/>
  <c r="C48"/>
  <c r="C40"/>
  <c r="E33"/>
  <c r="A27"/>
  <c r="C20"/>
  <c r="E13"/>
  <c r="A7"/>
  <c r="E37" i="8"/>
  <c r="A138" i="7"/>
  <c r="D37"/>
  <c r="E104" i="6"/>
  <c r="E37"/>
  <c r="C142" i="4"/>
  <c r="E83"/>
  <c r="C30"/>
  <c r="E235" i="3"/>
  <c r="C182"/>
  <c r="D131"/>
  <c r="A96"/>
  <c r="F56"/>
  <c r="A39"/>
  <c r="C21"/>
  <c r="F6"/>
  <c r="F154" i="2"/>
  <c r="A146"/>
  <c r="B137"/>
  <c r="D126"/>
  <c r="D118"/>
  <c r="F106"/>
  <c r="B96"/>
  <c r="C87"/>
  <c r="D77"/>
  <c r="B69"/>
  <c r="F61"/>
  <c r="B53"/>
  <c r="D46"/>
  <c r="D38"/>
  <c r="B31"/>
  <c r="D24"/>
  <c r="F15"/>
  <c r="F7"/>
  <c r="F44" i="9"/>
  <c r="A75" i="8"/>
  <c r="E242" i="7"/>
  <c r="F162"/>
  <c r="D109"/>
  <c r="F66"/>
  <c r="B24"/>
  <c r="D137" i="6"/>
  <c r="F102"/>
  <c r="D74"/>
  <c r="C52"/>
  <c r="A31"/>
  <c r="E9"/>
  <c r="C146" i="4"/>
  <c r="A125"/>
  <c r="E103"/>
  <c r="C82"/>
  <c r="A61"/>
  <c r="E39"/>
  <c r="C18"/>
  <c r="C250" i="3"/>
  <c r="A229"/>
  <c r="E207"/>
  <c r="E175"/>
  <c r="A88"/>
  <c r="E6"/>
  <c r="B143" i="2"/>
  <c r="A128"/>
  <c r="F112"/>
  <c r="F96"/>
  <c r="F81"/>
  <c r="A69"/>
  <c r="E59"/>
  <c r="C50"/>
  <c r="E39"/>
  <c r="A31"/>
  <c r="C18"/>
  <c r="E7"/>
  <c r="B140" i="6"/>
  <c r="C16"/>
  <c r="A89" i="4"/>
  <c r="E267" i="3"/>
  <c r="E171"/>
  <c r="C92"/>
  <c r="C44"/>
  <c r="F10"/>
  <c r="B152" i="2"/>
  <c r="F139"/>
  <c r="D125"/>
  <c r="C111"/>
  <c r="B97"/>
  <c r="A82"/>
  <c r="B71"/>
  <c r="D60"/>
  <c r="B51"/>
  <c r="B41"/>
  <c r="D32"/>
  <c r="F21"/>
  <c r="D12"/>
  <c r="A118"/>
  <c r="F58"/>
  <c r="F50"/>
  <c r="F42"/>
  <c r="F34"/>
  <c r="F26"/>
  <c r="D21"/>
  <c r="D13"/>
  <c r="D5"/>
  <c r="F80" i="3"/>
  <c r="A37"/>
  <c r="B158" i="2"/>
  <c r="E138"/>
  <c r="B103"/>
  <c r="D83"/>
  <c r="C66"/>
  <c r="E51"/>
  <c r="C30"/>
  <c r="E9"/>
  <c r="F90" i="7"/>
  <c r="E69" i="6"/>
  <c r="A57" i="4"/>
  <c r="A209" i="3"/>
  <c r="E113"/>
  <c r="B30"/>
  <c r="C159" i="2"/>
  <c r="E140"/>
  <c r="B113"/>
  <c r="F91"/>
  <c r="D72"/>
  <c r="F49"/>
  <c r="B35"/>
  <c r="F11"/>
  <c r="C119" i="8"/>
  <c r="C134" i="7"/>
  <c r="D45"/>
  <c r="B117" i="6"/>
  <c r="E41"/>
  <c r="A157" i="4"/>
  <c r="A93"/>
  <c r="C50"/>
  <c r="A261" i="3"/>
  <c r="A197"/>
  <c r="E40"/>
  <c r="F136" i="2"/>
  <c r="A88"/>
  <c r="A65"/>
  <c r="A45"/>
  <c r="A13"/>
  <c r="C64" i="6"/>
  <c r="C46" i="4"/>
  <c r="A64" i="3"/>
  <c r="B161" i="2"/>
  <c r="E132"/>
  <c r="F90"/>
  <c r="F65"/>
  <c r="D36"/>
  <c r="B17"/>
  <c r="B250" i="9"/>
  <c r="F143" i="7"/>
  <c r="F85" i="8"/>
  <c r="D253" i="7"/>
  <c r="D117" i="9"/>
  <c r="A26" i="8"/>
  <c r="B130" i="7"/>
  <c r="C42"/>
  <c r="A113" i="6"/>
  <c r="B54" i="9"/>
  <c r="E79" i="8"/>
  <c r="C247" i="7"/>
  <c r="A166"/>
  <c r="F111"/>
  <c r="B69"/>
  <c r="D26"/>
  <c r="F139" i="6"/>
  <c r="B124" i="8"/>
  <c r="E203" i="7"/>
  <c r="A90"/>
  <c r="E160" i="6"/>
  <c r="F89"/>
  <c r="D42"/>
  <c r="B21"/>
  <c r="F157" i="4"/>
  <c r="D136"/>
  <c r="B115"/>
  <c r="F93"/>
  <c r="F61"/>
  <c r="D40"/>
  <c r="D8"/>
  <c r="B251" i="3"/>
  <c r="B219"/>
  <c r="B187"/>
  <c r="B155"/>
  <c r="F133"/>
  <c r="F101"/>
  <c r="F69"/>
  <c r="D48"/>
  <c r="F148" i="9"/>
  <c r="A79" i="8"/>
  <c r="A204" i="7"/>
  <c r="A137"/>
  <c r="F68"/>
  <c r="B26"/>
  <c r="D118" i="6"/>
  <c r="F75"/>
  <c r="C53"/>
  <c r="C21"/>
  <c r="C147" i="4"/>
  <c r="E65" i="9"/>
  <c r="F79"/>
  <c r="A18"/>
  <c r="B229" i="7"/>
  <c r="C105" i="9"/>
  <c r="B107" i="8"/>
  <c r="D64"/>
  <c r="F21"/>
  <c r="B232" i="7"/>
  <c r="D189"/>
  <c r="B32" i="9"/>
  <c r="E68" i="8"/>
  <c r="C236" i="7"/>
  <c r="E158"/>
  <c r="C106"/>
  <c r="E63"/>
  <c r="A21"/>
  <c r="C134" i="6"/>
  <c r="E91"/>
  <c r="F96" i="9"/>
  <c r="D11"/>
  <c r="A101" i="8"/>
  <c r="C58"/>
  <c r="E15"/>
  <c r="A226" i="7"/>
  <c r="C183"/>
  <c r="E151"/>
  <c r="C123"/>
  <c r="B101"/>
  <c r="F79"/>
  <c r="D58"/>
  <c r="B37"/>
  <c r="F15"/>
  <c r="D150" i="6"/>
  <c r="B129"/>
  <c r="B52" i="9"/>
  <c r="E78" i="8"/>
  <c r="C246" i="7"/>
  <c r="C165"/>
  <c r="C111"/>
  <c r="E68"/>
  <c r="A26"/>
  <c r="C139" i="6"/>
  <c r="A104"/>
  <c r="D75"/>
  <c r="D58"/>
  <c r="F47"/>
  <c r="B37"/>
  <c r="D26"/>
  <c r="F15"/>
  <c r="B5"/>
  <c r="D152" i="4"/>
  <c r="F141"/>
  <c r="B131"/>
  <c r="D120"/>
  <c r="F109"/>
  <c r="B99"/>
  <c r="D88"/>
  <c r="F77"/>
  <c r="B67"/>
  <c r="D56"/>
  <c r="F45"/>
  <c r="B35"/>
  <c r="D24"/>
  <c r="F13"/>
  <c r="B267" i="3"/>
  <c r="D256"/>
  <c r="F245"/>
  <c r="B235"/>
  <c r="D224"/>
  <c r="F213"/>
  <c r="B203"/>
  <c r="D192"/>
  <c r="F181"/>
  <c r="B171"/>
  <c r="D160"/>
  <c r="F149"/>
  <c r="B139"/>
  <c r="D128"/>
  <c r="F117"/>
  <c r="B107"/>
  <c r="D96"/>
  <c r="F85"/>
  <c r="B75"/>
  <c r="D64"/>
  <c r="F53"/>
  <c r="B43"/>
  <c r="D32"/>
  <c r="F21"/>
  <c r="D95" i="9"/>
  <c r="B10"/>
  <c r="C100" i="8"/>
  <c r="E57"/>
  <c r="A15"/>
  <c r="C225" i="7"/>
  <c r="E182"/>
  <c r="C151"/>
  <c r="F122"/>
  <c r="F100"/>
  <c r="D79"/>
  <c r="B58"/>
  <c r="F36"/>
  <c r="D15"/>
  <c r="B150" i="6"/>
  <c r="F128"/>
  <c r="C111"/>
  <c r="B97"/>
  <c r="F82"/>
  <c r="C69"/>
  <c r="E58"/>
  <c r="A48"/>
  <c r="C37"/>
  <c r="E26"/>
  <c r="A16"/>
  <c r="C5"/>
  <c r="E152" i="4"/>
  <c r="A142"/>
  <c r="C131"/>
  <c r="E120"/>
  <c r="A110"/>
  <c r="C99"/>
  <c r="E88"/>
  <c r="A78"/>
  <c r="C67"/>
  <c r="E56"/>
  <c r="A46"/>
  <c r="C35"/>
  <c r="E24"/>
  <c r="E16"/>
  <c r="C11"/>
  <c r="A6"/>
  <c r="E264" i="3"/>
  <c r="C259"/>
  <c r="A254"/>
  <c r="E248"/>
  <c r="C243"/>
  <c r="A238"/>
  <c r="E232"/>
  <c r="C227"/>
  <c r="A222"/>
  <c r="E216"/>
  <c r="C211"/>
  <c r="A206"/>
  <c r="E200"/>
  <c r="C195"/>
  <c r="A190"/>
  <c r="E184"/>
  <c r="C179"/>
  <c r="A174"/>
  <c r="E168"/>
  <c r="C163"/>
  <c r="A158"/>
  <c r="E152"/>
  <c r="C147"/>
  <c r="A142"/>
  <c r="E136"/>
  <c r="B60" i="9"/>
  <c r="F130" i="8"/>
  <c r="E82"/>
  <c r="A40"/>
  <c r="C250" i="7"/>
  <c r="E207"/>
  <c r="A168"/>
  <c r="D139"/>
  <c r="C113"/>
  <c r="A92"/>
  <c r="E70"/>
  <c r="C49"/>
  <c r="A28"/>
  <c r="E6"/>
  <c r="C141" i="6"/>
  <c r="A120"/>
  <c r="C105"/>
  <c r="B91"/>
  <c r="F76"/>
  <c r="F64"/>
  <c r="B54"/>
  <c r="D43"/>
  <c r="F32"/>
  <c r="B22"/>
  <c r="D11"/>
  <c r="F158" i="4"/>
  <c r="B148"/>
  <c r="D137"/>
  <c r="F126"/>
  <c r="B116"/>
  <c r="D105"/>
  <c r="F94"/>
  <c r="B84"/>
  <c r="D73"/>
  <c r="F62"/>
  <c r="B52"/>
  <c r="D41"/>
  <c r="F30"/>
  <c r="B20"/>
  <c r="D9"/>
  <c r="F262" i="3"/>
  <c r="B252"/>
  <c r="D241"/>
  <c r="F230"/>
  <c r="B220"/>
  <c r="D209"/>
  <c r="F198"/>
  <c r="B188"/>
  <c r="D177"/>
  <c r="F166"/>
  <c r="B156"/>
  <c r="D145"/>
  <c r="C135"/>
  <c r="B128"/>
  <c r="E124"/>
  <c r="A121"/>
  <c r="D117"/>
  <c r="A114"/>
  <c r="C110"/>
  <c r="F106"/>
  <c r="C103"/>
  <c r="E99"/>
  <c r="B96"/>
  <c r="E92"/>
  <c r="A89"/>
  <c r="D85"/>
  <c r="A82"/>
  <c r="C78"/>
  <c r="F74"/>
  <c r="C71"/>
  <c r="E67"/>
  <c r="B64"/>
  <c r="E60"/>
  <c r="A57"/>
  <c r="D53"/>
  <c r="A50"/>
  <c r="C46"/>
  <c r="F42"/>
  <c r="C39"/>
  <c r="E35"/>
  <c r="B32"/>
  <c r="E28"/>
  <c r="A25"/>
  <c r="D21"/>
  <c r="A18"/>
  <c r="A15"/>
  <c r="C12"/>
  <c r="E9"/>
  <c r="A7"/>
  <c r="C162" i="2"/>
  <c r="E159"/>
  <c r="A157"/>
  <c r="C154"/>
  <c r="E151"/>
  <c r="A149"/>
  <c r="C146"/>
  <c r="E143"/>
  <c r="A141"/>
  <c r="C138"/>
  <c r="E135"/>
  <c r="A133"/>
  <c r="C130"/>
  <c r="E127"/>
  <c r="A125"/>
  <c r="C122"/>
  <c r="E119"/>
  <c r="A117"/>
  <c r="C114"/>
  <c r="E111"/>
  <c r="A109"/>
  <c r="C106"/>
  <c r="E103"/>
  <c r="A101"/>
  <c r="C98"/>
  <c r="E95"/>
  <c r="A93"/>
  <c r="C90"/>
  <c r="E87"/>
  <c r="A85"/>
  <c r="C82"/>
  <c r="E79"/>
  <c r="A77"/>
  <c r="C74"/>
  <c r="B114" i="9"/>
  <c r="D71"/>
  <c r="F28"/>
  <c r="B142" i="8"/>
  <c r="E109"/>
  <c r="C88"/>
  <c r="A67"/>
  <c r="E45"/>
  <c r="C24"/>
  <c r="A256" i="7"/>
  <c r="E234"/>
  <c r="C213"/>
  <c r="A192"/>
  <c r="E171"/>
  <c r="D157"/>
  <c r="C143"/>
  <c r="A129"/>
  <c r="B116"/>
  <c r="D105"/>
  <c r="F94"/>
  <c r="B84"/>
  <c r="D73"/>
  <c r="F62"/>
  <c r="B52"/>
  <c r="D41"/>
  <c r="F30"/>
  <c r="B20"/>
  <c r="D9"/>
  <c r="F154" i="6"/>
  <c r="B144"/>
  <c r="D133"/>
  <c r="F122"/>
  <c r="D114"/>
  <c r="C107"/>
  <c r="B100"/>
  <c r="B93"/>
  <c r="A86"/>
  <c r="F78"/>
  <c r="F71"/>
  <c r="C66"/>
  <c r="A61"/>
  <c r="E55"/>
  <c r="C50"/>
  <c r="A45"/>
  <c r="E39"/>
  <c r="C34"/>
  <c r="A29"/>
  <c r="E23"/>
  <c r="C18"/>
  <c r="A13"/>
  <c r="E7"/>
  <c r="C160" i="4"/>
  <c r="A155"/>
  <c r="E149"/>
  <c r="C144"/>
  <c r="A139"/>
  <c r="E133"/>
  <c r="C128"/>
  <c r="A123"/>
  <c r="E117"/>
  <c r="C112"/>
  <c r="A107"/>
  <c r="E101"/>
  <c r="C96"/>
  <c r="A91"/>
  <c r="E85"/>
  <c r="C80"/>
  <c r="A75"/>
  <c r="E69"/>
  <c r="C64"/>
  <c r="A59"/>
  <c r="E53"/>
  <c r="C48"/>
  <c r="A43"/>
  <c r="E37"/>
  <c r="C32"/>
  <c r="A27"/>
  <c r="E21"/>
  <c r="C16"/>
  <c r="A11"/>
  <c r="E5"/>
  <c r="C264" i="3"/>
  <c r="A259"/>
  <c r="E253"/>
  <c r="C248"/>
  <c r="A243"/>
  <c r="E237"/>
  <c r="C232"/>
  <c r="A227"/>
  <c r="E221"/>
  <c r="C216"/>
  <c r="A211"/>
  <c r="E205"/>
  <c r="C200"/>
  <c r="A195"/>
  <c r="E189"/>
  <c r="C184"/>
  <c r="A179"/>
  <c r="E173"/>
  <c r="C168"/>
  <c r="A163"/>
  <c r="E157"/>
  <c r="C152"/>
  <c r="A147"/>
  <c r="E141"/>
  <c r="C136"/>
  <c r="F132"/>
  <c r="C129"/>
  <c r="E125"/>
  <c r="B122"/>
  <c r="E118"/>
  <c r="A115"/>
  <c r="D111"/>
  <c r="A108"/>
  <c r="C104"/>
  <c r="F100"/>
  <c r="C97"/>
  <c r="E93"/>
  <c r="B90"/>
  <c r="E86"/>
  <c r="A83"/>
  <c r="D79"/>
  <c r="A76"/>
  <c r="C72"/>
  <c r="F68"/>
  <c r="C65"/>
  <c r="E61"/>
  <c r="B58"/>
  <c r="E54"/>
  <c r="A51"/>
  <c r="D47"/>
  <c r="A44"/>
  <c r="C40"/>
  <c r="F36"/>
  <c r="C33"/>
  <c r="E29"/>
  <c r="B26"/>
  <c r="E22"/>
  <c r="A19"/>
  <c r="F15"/>
  <c r="B13"/>
  <c r="D10"/>
  <c r="F7"/>
  <c r="F130" i="9"/>
  <c r="F86"/>
  <c r="B44"/>
  <c r="D157" i="8"/>
  <c r="F118"/>
  <c r="A96"/>
  <c r="E74"/>
  <c r="C53"/>
  <c r="A32"/>
  <c r="E10"/>
  <c r="C242" i="7"/>
  <c r="A221"/>
  <c r="E199"/>
  <c r="C178"/>
  <c r="E162"/>
  <c r="C148"/>
  <c r="B134"/>
  <c r="A120"/>
  <c r="C109"/>
  <c r="E98"/>
  <c r="A88"/>
  <c r="C77"/>
  <c r="E66"/>
  <c r="A56"/>
  <c r="C45"/>
  <c r="E34"/>
  <c r="A24"/>
  <c r="C13"/>
  <c r="E158" i="6"/>
  <c r="A148"/>
  <c r="C137"/>
  <c r="E126"/>
  <c r="F116"/>
  <c r="F109"/>
  <c r="E102"/>
  <c r="D95"/>
  <c r="D88"/>
  <c r="C81"/>
  <c r="B74"/>
  <c r="B68"/>
  <c r="F62"/>
  <c r="D57"/>
  <c r="B52"/>
  <c r="F46"/>
  <c r="D41"/>
  <c r="B36"/>
  <c r="F30"/>
  <c r="D25"/>
  <c r="B20"/>
  <c r="F14"/>
  <c r="D9"/>
  <c r="B162" i="4"/>
  <c r="F156"/>
  <c r="D151"/>
  <c r="B146"/>
  <c r="F140"/>
  <c r="D135"/>
  <c r="B130"/>
  <c r="F124"/>
  <c r="D119"/>
  <c r="B114"/>
  <c r="F108"/>
  <c r="D103"/>
  <c r="B98"/>
  <c r="F92"/>
  <c r="D87"/>
  <c r="B82"/>
  <c r="F76"/>
  <c r="D71"/>
  <c r="B66"/>
  <c r="F60"/>
  <c r="D55"/>
  <c r="B50"/>
  <c r="F44"/>
  <c r="D39"/>
  <c r="B34"/>
  <c r="F28"/>
  <c r="D23"/>
  <c r="B18"/>
  <c r="F12"/>
  <c r="D7"/>
  <c r="B266" i="3"/>
  <c r="F260"/>
  <c r="D255"/>
  <c r="B250"/>
  <c r="F244"/>
  <c r="D239"/>
  <c r="B234"/>
  <c r="F228"/>
  <c r="D223"/>
  <c r="B218"/>
  <c r="F212"/>
  <c r="D207"/>
  <c r="B202"/>
  <c r="F196"/>
  <c r="D191"/>
  <c r="B186"/>
  <c r="F180"/>
  <c r="D175"/>
  <c r="B170"/>
  <c r="F164"/>
  <c r="D159"/>
  <c r="B154"/>
  <c r="F148"/>
  <c r="D143"/>
  <c r="B138"/>
  <c r="A134"/>
  <c r="C130"/>
  <c r="F126"/>
  <c r="C123"/>
  <c r="E119"/>
  <c r="B116"/>
  <c r="E112"/>
  <c r="A109"/>
  <c r="D105"/>
  <c r="A102"/>
  <c r="C98"/>
  <c r="F94"/>
  <c r="C91"/>
  <c r="E87"/>
  <c r="B84"/>
  <c r="E80"/>
  <c r="A77"/>
  <c r="D73"/>
  <c r="A70"/>
  <c r="C66"/>
  <c r="F62"/>
  <c r="C59"/>
  <c r="B66" i="9"/>
  <c r="E85" i="8"/>
  <c r="C253" i="7"/>
  <c r="A170"/>
  <c r="F114"/>
  <c r="B72"/>
  <c r="D29"/>
  <c r="F142" i="6"/>
  <c r="D106"/>
  <c r="A78"/>
  <c r="A55"/>
  <c r="E33"/>
  <c r="C12"/>
  <c r="A149" i="4"/>
  <c r="E127"/>
  <c r="C106"/>
  <c r="A85"/>
  <c r="E63"/>
  <c r="C42"/>
  <c r="A21"/>
  <c r="E263" i="3"/>
  <c r="C242"/>
  <c r="A221"/>
  <c r="E199"/>
  <c r="C178"/>
  <c r="A157"/>
  <c r="A136"/>
  <c r="E121"/>
  <c r="D107"/>
  <c r="C93"/>
  <c r="A79"/>
  <c r="F64"/>
  <c r="A54"/>
  <c r="F46"/>
  <c r="E39"/>
  <c r="E32"/>
  <c r="D25"/>
  <c r="C18"/>
  <c r="E12"/>
  <c r="C7"/>
  <c r="C161" i="2"/>
  <c r="F157"/>
  <c r="B154"/>
  <c r="E150"/>
  <c r="B147"/>
  <c r="D143"/>
  <c r="A140"/>
  <c r="D136"/>
  <c r="F132"/>
  <c r="C129"/>
  <c r="F125"/>
  <c r="B122"/>
  <c r="E118"/>
  <c r="B115"/>
  <c r="D111"/>
  <c r="A108"/>
  <c r="D104"/>
  <c r="F100"/>
  <c r="C97"/>
  <c r="F93"/>
  <c r="B90"/>
  <c r="E86"/>
  <c r="B83"/>
  <c r="D79"/>
  <c r="A76"/>
  <c r="E72"/>
  <c r="A70"/>
  <c r="C67"/>
  <c r="E64"/>
  <c r="A62"/>
  <c r="C59"/>
  <c r="E56"/>
  <c r="A54"/>
  <c r="C51"/>
  <c r="E48"/>
  <c r="A46"/>
  <c r="C43"/>
  <c r="E40"/>
  <c r="A38"/>
  <c r="C35"/>
  <c r="E32"/>
  <c r="A30"/>
  <c r="C27"/>
  <c r="E24"/>
  <c r="A22"/>
  <c r="C19"/>
  <c r="E16"/>
  <c r="A14"/>
  <c r="C11"/>
  <c r="E8"/>
  <c r="A6"/>
  <c r="E159" i="3"/>
  <c r="A120"/>
  <c r="C84"/>
  <c r="F54"/>
  <c r="F38"/>
  <c r="E24"/>
  <c r="E10"/>
  <c r="B159" i="2"/>
  <c r="B150"/>
  <c r="C141"/>
  <c r="D132"/>
  <c r="D124"/>
  <c r="F113"/>
  <c r="A104"/>
  <c r="B95"/>
  <c r="B86"/>
  <c r="B79"/>
  <c r="C70"/>
  <c r="C62"/>
  <c r="C54"/>
  <c r="E47"/>
  <c r="A41"/>
  <c r="C32"/>
  <c r="A25"/>
  <c r="E17"/>
  <c r="C10"/>
  <c r="B98" i="9"/>
  <c r="C16" i="8"/>
  <c r="E123" i="7"/>
  <c r="F26"/>
  <c r="D90" i="6"/>
  <c r="C32"/>
  <c r="A137" i="4"/>
  <c r="C78"/>
  <c r="E19"/>
  <c r="C230" i="3"/>
  <c r="A177"/>
  <c r="A128"/>
  <c r="F88"/>
  <c r="A55"/>
  <c r="C37"/>
  <c r="D19"/>
  <c r="F162" i="2"/>
  <c r="A154"/>
  <c r="B144"/>
  <c r="D133"/>
  <c r="E124"/>
  <c r="F114"/>
  <c r="A106"/>
  <c r="A98"/>
  <c r="D86"/>
  <c r="C79"/>
  <c r="F69"/>
  <c r="D62"/>
  <c r="F55"/>
  <c r="B49"/>
  <c r="F41"/>
  <c r="F33"/>
  <c r="D26"/>
  <c r="F19"/>
  <c r="B13"/>
  <c r="F5"/>
  <c r="D147" i="8"/>
  <c r="C48"/>
  <c r="A216" i="7"/>
  <c r="A145"/>
  <c r="B96"/>
  <c r="D53"/>
  <c r="F10"/>
  <c r="B124" i="6"/>
  <c r="A94"/>
  <c r="A67"/>
  <c r="E45"/>
  <c r="C24"/>
  <c r="A161" i="4"/>
  <c r="E139"/>
  <c r="C118"/>
  <c r="A97"/>
  <c r="E75"/>
  <c r="C54"/>
  <c r="A33"/>
  <c r="E11"/>
  <c r="C254" i="3"/>
  <c r="A233"/>
  <c r="E211"/>
  <c r="C190"/>
  <c r="A169"/>
  <c r="E147"/>
  <c r="E129"/>
  <c r="D115"/>
  <c r="C101"/>
  <c r="A87"/>
  <c r="F72"/>
  <c r="E58"/>
  <c r="E50"/>
  <c r="D43"/>
  <c r="C36"/>
  <c r="C29"/>
  <c r="B22"/>
  <c r="D15"/>
  <c r="B10"/>
  <c r="C5"/>
  <c r="F159" i="2"/>
  <c r="B156"/>
  <c r="E152"/>
  <c r="B149"/>
  <c r="D145"/>
  <c r="A142"/>
  <c r="D138"/>
  <c r="F134"/>
  <c r="C131"/>
  <c r="F127"/>
  <c r="B124"/>
  <c r="E120"/>
  <c r="B117"/>
  <c r="D113"/>
  <c r="A110"/>
  <c r="D106"/>
  <c r="F102"/>
  <c r="C99"/>
  <c r="F95"/>
  <c r="B92"/>
  <c r="E88"/>
  <c r="B85"/>
  <c r="D81"/>
  <c r="A78"/>
  <c r="D74"/>
  <c r="D71"/>
  <c r="F68"/>
  <c r="B66"/>
  <c r="D63"/>
  <c r="F60"/>
  <c r="B58"/>
  <c r="D55"/>
  <c r="F52"/>
  <c r="B50"/>
  <c r="D47"/>
  <c r="F44"/>
  <c r="B42"/>
  <c r="D39"/>
  <c r="F36"/>
  <c r="B34"/>
  <c r="D31"/>
  <c r="F28"/>
  <c r="B26"/>
  <c r="D23"/>
  <c r="F20"/>
  <c r="B18"/>
  <c r="D15"/>
  <c r="F12"/>
  <c r="B10"/>
  <c r="D7"/>
  <c r="A13" i="4"/>
  <c r="C138" i="3"/>
  <c r="E105"/>
  <c r="E73"/>
  <c r="D49"/>
  <c r="D33"/>
  <c r="D17"/>
  <c r="D5"/>
  <c r="D155" i="2"/>
  <c r="E146"/>
  <c r="A136"/>
  <c r="B127"/>
  <c r="B118"/>
  <c r="B110"/>
  <c r="C101"/>
  <c r="D91"/>
  <c r="F80"/>
  <c r="C72"/>
  <c r="E63"/>
  <c r="A57"/>
  <c r="E49"/>
  <c r="A43"/>
  <c r="C34"/>
  <c r="A29"/>
  <c r="C22"/>
  <c r="A15"/>
  <c r="A9"/>
  <c r="C80" i="8"/>
  <c r="C166" i="7"/>
  <c r="F58"/>
  <c r="F118" i="6"/>
  <c r="E53"/>
  <c r="C158" i="4"/>
  <c r="E99"/>
  <c r="A41"/>
  <c r="E251" i="3"/>
  <c r="C198"/>
  <c r="E139"/>
  <c r="A103"/>
  <c r="D67"/>
  <c r="E42"/>
  <c r="E26"/>
  <c r="D9"/>
  <c r="D157" i="2"/>
  <c r="E148"/>
  <c r="F138"/>
  <c r="A130"/>
  <c r="B120"/>
  <c r="D110"/>
  <c r="F98"/>
  <c r="B89"/>
  <c r="B80"/>
  <c r="D70"/>
  <c r="B63"/>
  <c r="B55"/>
  <c r="F47"/>
  <c r="D40"/>
  <c r="B33"/>
  <c r="F25"/>
  <c r="D18"/>
  <c r="F9"/>
  <c r="D87" i="9"/>
  <c r="C96" i="8"/>
  <c r="A11"/>
  <c r="E178" i="7"/>
  <c r="B120"/>
  <c r="D77"/>
  <c r="F34"/>
  <c r="B148" i="6"/>
  <c r="A110"/>
  <c r="D81"/>
  <c r="E57"/>
  <c r="C36"/>
  <c r="A15"/>
  <c r="E151" i="4"/>
  <c r="C130"/>
  <c r="A109"/>
  <c r="E87"/>
  <c r="C66"/>
  <c r="A45"/>
  <c r="E23"/>
  <c r="E255" i="3"/>
  <c r="C234"/>
  <c r="A213"/>
  <c r="E191"/>
  <c r="C116"/>
  <c r="A21"/>
  <c r="D147" i="2"/>
  <c r="C133"/>
  <c r="C117"/>
  <c r="D100"/>
  <c r="D84"/>
  <c r="A71"/>
  <c r="A63"/>
  <c r="E53"/>
  <c r="E41"/>
  <c r="A33"/>
  <c r="A21"/>
  <c r="A11"/>
  <c r="D69" i="7"/>
  <c r="A43" i="6"/>
  <c r="C110" i="4"/>
  <c r="A25"/>
  <c r="A193" i="3"/>
  <c r="E106"/>
  <c r="D51"/>
  <c r="B16"/>
  <c r="F155" i="2"/>
  <c r="D142"/>
  <c r="B128"/>
  <c r="A114"/>
  <c r="E100"/>
  <c r="B88"/>
  <c r="B73"/>
  <c r="F63"/>
  <c r="F53"/>
  <c r="B43"/>
  <c r="D34"/>
  <c r="F23"/>
  <c r="B15"/>
  <c r="B5"/>
  <c r="D114"/>
  <c r="B64"/>
  <c r="D53"/>
  <c r="D45"/>
  <c r="D37"/>
  <c r="B32"/>
  <c r="B24"/>
  <c r="B16"/>
  <c r="B8"/>
  <c r="C154" i="3"/>
  <c r="A53"/>
  <c r="F22"/>
  <c r="C149" i="2"/>
  <c r="F129"/>
  <c r="A112"/>
  <c r="B94"/>
  <c r="A59"/>
  <c r="C44"/>
  <c r="E23"/>
  <c r="A17"/>
  <c r="C205" i="7"/>
  <c r="F150" i="6"/>
  <c r="A11"/>
  <c r="C262" i="3"/>
  <c r="E155"/>
  <c r="E74"/>
  <c r="D13"/>
  <c r="D150" i="2"/>
  <c r="F131"/>
  <c r="D102"/>
  <c r="F83"/>
  <c r="B65"/>
  <c r="D42"/>
  <c r="D28"/>
  <c r="B132" i="9"/>
  <c r="C32" i="8"/>
  <c r="B88" i="7"/>
  <c r="F158" i="6"/>
  <c r="A63"/>
  <c r="C20"/>
  <c r="E135" i="4"/>
  <c r="E71"/>
  <c r="A29"/>
  <c r="E239" i="3"/>
  <c r="E143"/>
  <c r="B151" i="2"/>
  <c r="A120"/>
  <c r="E74"/>
  <c r="E55"/>
  <c r="E35"/>
  <c r="D55" i="9"/>
  <c r="E131" i="4"/>
  <c r="C214" i="3"/>
  <c r="F24"/>
  <c r="B145" i="2"/>
  <c r="B105"/>
  <c r="F75"/>
  <c r="D56"/>
  <c r="B27"/>
  <c r="D8"/>
  <c r="C136" i="8"/>
  <c r="D61"/>
  <c r="A20" i="9"/>
  <c r="B43" i="8"/>
  <c r="F210" i="7"/>
  <c r="C111" i="8"/>
  <c r="E193" i="7"/>
  <c r="A85"/>
  <c r="E155" i="6"/>
  <c r="B154" i="9"/>
  <c r="D125" i="8"/>
  <c r="A37"/>
  <c r="E204" i="7"/>
  <c r="D137"/>
  <c r="D90"/>
  <c r="F47"/>
  <c r="B5"/>
  <c r="F146" i="9"/>
  <c r="A36" i="8"/>
  <c r="F136" i="7"/>
  <c r="C47"/>
  <c r="B118" i="6"/>
  <c r="F63"/>
  <c r="F31"/>
  <c r="D10"/>
  <c r="B147" i="4"/>
  <c r="F125"/>
  <c r="D104"/>
  <c r="B83"/>
  <c r="B51"/>
  <c r="F29"/>
  <c r="F261" i="3"/>
  <c r="F229"/>
  <c r="D208"/>
  <c r="D176"/>
  <c r="D144"/>
  <c r="D112"/>
  <c r="B91"/>
  <c r="B59"/>
  <c r="B27"/>
  <c r="F52" i="9"/>
  <c r="C36" i="8"/>
  <c r="D165" i="7"/>
  <c r="B90"/>
  <c r="D47"/>
  <c r="D139" i="6"/>
  <c r="B104"/>
  <c r="A64"/>
  <c r="A32"/>
  <c r="E10"/>
  <c r="F129" i="9"/>
  <c r="D122"/>
  <c r="C103"/>
  <c r="F18" i="8"/>
  <c r="D122" i="7"/>
  <c r="C133" i="8"/>
  <c r="B75"/>
  <c r="D32"/>
  <c r="F242" i="7"/>
  <c r="B200"/>
  <c r="F74" i="9"/>
  <c r="A90" i="8"/>
  <c r="E257" i="7"/>
  <c r="F172"/>
  <c r="A117"/>
  <c r="C74"/>
  <c r="E31"/>
  <c r="A145" i="6"/>
  <c r="C102"/>
  <c r="B118" i="9"/>
  <c r="F32"/>
  <c r="E111" i="8"/>
  <c r="A69"/>
  <c r="C26"/>
  <c r="E236" i="7"/>
  <c r="A194"/>
  <c r="F158"/>
  <c r="C130"/>
  <c r="D106"/>
  <c r="B85"/>
  <c r="F63"/>
  <c r="D42"/>
  <c r="B21"/>
  <c r="F155" i="6"/>
  <c r="D134"/>
  <c r="F94" i="9"/>
  <c r="A100" i="8"/>
  <c r="E14"/>
  <c r="C182" i="7"/>
  <c r="E122"/>
  <c r="C79"/>
  <c r="E36"/>
  <c r="A150" i="6"/>
  <c r="B111"/>
  <c r="E82"/>
  <c r="B61"/>
  <c r="D50"/>
  <c r="F39"/>
  <c r="B29"/>
  <c r="D18"/>
  <c r="F7"/>
  <c r="B155" i="4"/>
  <c r="D144"/>
  <c r="F133"/>
  <c r="B123"/>
  <c r="D112"/>
  <c r="F101"/>
  <c r="B91"/>
  <c r="D80"/>
  <c r="F69"/>
  <c r="B59"/>
  <c r="D48"/>
  <c r="F37"/>
  <c r="B27"/>
  <c r="D16"/>
  <c r="F5"/>
  <c r="B259" i="3"/>
  <c r="D248"/>
  <c r="F237"/>
  <c r="B227"/>
  <c r="D216"/>
  <c r="F205"/>
  <c r="B195"/>
  <c r="D184"/>
  <c r="F173"/>
  <c r="B163"/>
  <c r="D152"/>
  <c r="F141"/>
  <c r="B131"/>
  <c r="D120"/>
  <c r="F109"/>
  <c r="B99"/>
  <c r="D88"/>
  <c r="F77"/>
  <c r="B67"/>
  <c r="D56"/>
  <c r="F45"/>
  <c r="B35"/>
  <c r="D24"/>
  <c r="F116" i="9"/>
  <c r="D31"/>
  <c r="A111" i="8"/>
  <c r="C68"/>
  <c r="E25"/>
  <c r="A236" i="7"/>
  <c r="C193"/>
  <c r="C158"/>
  <c r="A130"/>
  <c r="B106"/>
  <c r="F84"/>
  <c r="D63"/>
  <c r="B42"/>
  <c r="F20"/>
  <c r="D155" i="6"/>
  <c r="B134"/>
  <c r="F114"/>
  <c r="E100"/>
  <c r="D86"/>
  <c r="B72"/>
  <c r="C61"/>
  <c r="E50"/>
  <c r="A40"/>
  <c r="C29"/>
  <c r="E18"/>
  <c r="A8"/>
  <c r="C155" i="4"/>
  <c r="E144"/>
  <c r="A134"/>
  <c r="C123"/>
  <c r="E112"/>
  <c r="A102"/>
  <c r="C91"/>
  <c r="E80"/>
  <c r="A70"/>
  <c r="C59"/>
  <c r="E48"/>
  <c r="A38"/>
  <c r="C27"/>
  <c r="C17"/>
  <c r="A12"/>
  <c r="E6"/>
  <c r="C265" i="3"/>
  <c r="A260"/>
  <c r="E254"/>
  <c r="C249"/>
  <c r="A244"/>
  <c r="E238"/>
  <c r="C233"/>
  <c r="A228"/>
  <c r="E222"/>
  <c r="C217"/>
  <c r="A212"/>
  <c r="E206"/>
  <c r="C201"/>
  <c r="A196"/>
  <c r="E190"/>
  <c r="C185"/>
  <c r="A180"/>
  <c r="E174"/>
  <c r="C169"/>
  <c r="A164"/>
  <c r="E158"/>
  <c r="C153"/>
  <c r="A148"/>
  <c r="E142"/>
  <c r="C137"/>
  <c r="F70" i="9"/>
  <c r="D141" i="8"/>
  <c r="A88"/>
  <c r="C45"/>
  <c r="E255" i="7"/>
  <c r="A213"/>
  <c r="D171"/>
  <c r="A143"/>
  <c r="A116"/>
  <c r="E94"/>
  <c r="C73"/>
  <c r="A52"/>
  <c r="E30"/>
  <c r="C9"/>
  <c r="A144" i="6"/>
  <c r="E122"/>
  <c r="B107"/>
  <c r="F92"/>
  <c r="E78"/>
  <c r="B66"/>
  <c r="D55"/>
  <c r="F44"/>
  <c r="B34"/>
  <c r="D23"/>
  <c r="F12"/>
  <c r="B160" i="4"/>
  <c r="D149"/>
  <c r="F138"/>
  <c r="B128"/>
  <c r="D117"/>
  <c r="F106"/>
  <c r="B96"/>
  <c r="D85"/>
  <c r="F74"/>
  <c r="B64"/>
  <c r="D53"/>
  <c r="F42"/>
  <c r="B32"/>
  <c r="D21"/>
  <c r="F10"/>
  <c r="B264" i="3"/>
  <c r="D253"/>
  <c r="F242"/>
  <c r="B232"/>
  <c r="D221"/>
  <c r="F210"/>
  <c r="B200"/>
  <c r="D189"/>
  <c r="F178"/>
  <c r="B168"/>
  <c r="D157"/>
  <c r="F146"/>
  <c r="B136"/>
  <c r="A129"/>
  <c r="D125"/>
  <c r="A122"/>
  <c r="C118"/>
  <c r="F114"/>
  <c r="C111"/>
  <c r="E107"/>
  <c r="B104"/>
  <c r="E100"/>
  <c r="A97"/>
  <c r="D93"/>
  <c r="A90"/>
  <c r="C86"/>
  <c r="F82"/>
  <c r="C79"/>
  <c r="E75"/>
  <c r="B72"/>
  <c r="E68"/>
  <c r="A65"/>
  <c r="D61"/>
  <c r="A58"/>
  <c r="C54"/>
  <c r="F50"/>
  <c r="C47"/>
  <c r="E43"/>
  <c r="B40"/>
  <c r="E36"/>
  <c r="A33"/>
  <c r="D29"/>
  <c r="A26"/>
  <c r="C22"/>
  <c r="F18"/>
  <c r="E15"/>
  <c r="A13"/>
  <c r="C10"/>
  <c r="E7"/>
  <c r="A5"/>
  <c r="C160" i="2"/>
  <c r="E157"/>
  <c r="A155"/>
  <c r="C152"/>
  <c r="E149"/>
  <c r="A147"/>
  <c r="C144"/>
  <c r="E141"/>
  <c r="A139"/>
  <c r="C136"/>
  <c r="E133"/>
  <c r="A131"/>
  <c r="C128"/>
  <c r="E125"/>
  <c r="A123"/>
  <c r="C120"/>
  <c r="E117"/>
  <c r="A115"/>
  <c r="C112"/>
  <c r="E109"/>
  <c r="A107"/>
  <c r="C104"/>
  <c r="E101"/>
  <c r="A99"/>
  <c r="C96"/>
  <c r="E93"/>
  <c r="A91"/>
  <c r="C88"/>
  <c r="E85"/>
  <c r="A83"/>
  <c r="C80"/>
  <c r="E77"/>
  <c r="A75"/>
  <c r="F124" i="9"/>
  <c r="B82"/>
  <c r="D39"/>
  <c r="F152" i="8"/>
  <c r="F115"/>
  <c r="E93"/>
  <c r="C72"/>
  <c r="A51"/>
  <c r="E29"/>
  <c r="C8"/>
  <c r="A240" i="7"/>
  <c r="E218"/>
  <c r="C197"/>
  <c r="A176"/>
  <c r="A161"/>
  <c r="F146"/>
  <c r="E132"/>
  <c r="F118"/>
  <c r="B108"/>
  <c r="D97"/>
  <c r="F86"/>
  <c r="B76"/>
  <c r="D65"/>
  <c r="F54"/>
  <c r="B44"/>
  <c r="D33"/>
  <c r="F22"/>
  <c r="B12"/>
  <c r="D157" i="6"/>
  <c r="F146"/>
  <c r="B136"/>
  <c r="D125"/>
  <c r="B116"/>
  <c r="B109"/>
  <c r="A102"/>
  <c r="F94"/>
  <c r="F87"/>
  <c r="E80"/>
  <c r="D73"/>
  <c r="E67"/>
  <c r="C62"/>
  <c r="A57"/>
  <c r="E51"/>
  <c r="C46"/>
  <c r="A41"/>
  <c r="E35"/>
  <c r="C30"/>
  <c r="A25"/>
  <c r="E19"/>
  <c r="C14"/>
  <c r="A9"/>
  <c r="E161" i="4"/>
  <c r="C156"/>
  <c r="A151"/>
  <c r="E145"/>
  <c r="C140"/>
  <c r="A135"/>
  <c r="E129"/>
  <c r="C124"/>
  <c r="A119"/>
  <c r="E113"/>
  <c r="C108"/>
  <c r="A103"/>
  <c r="E97"/>
  <c r="C92"/>
  <c r="A87"/>
  <c r="E81"/>
  <c r="C76"/>
  <c r="A71"/>
  <c r="E65"/>
  <c r="C60"/>
  <c r="A55"/>
  <c r="E49"/>
  <c r="C44"/>
  <c r="A39"/>
  <c r="E33"/>
  <c r="C28"/>
  <c r="A23"/>
  <c r="E17"/>
  <c r="C12"/>
  <c r="A7"/>
  <c r="E265" i="3"/>
  <c r="C260"/>
  <c r="A255"/>
  <c r="E249"/>
  <c r="C244"/>
  <c r="A239"/>
  <c r="E233"/>
  <c r="C228"/>
  <c r="A223"/>
  <c r="E217"/>
  <c r="C212"/>
  <c r="A207"/>
  <c r="E201"/>
  <c r="C196"/>
  <c r="A191"/>
  <c r="E185"/>
  <c r="C180"/>
  <c r="A175"/>
  <c r="E169"/>
  <c r="C164"/>
  <c r="A159"/>
  <c r="E153"/>
  <c r="C148"/>
  <c r="A143"/>
  <c r="E137"/>
  <c r="E133"/>
  <c r="B130"/>
  <c r="E126"/>
  <c r="A123"/>
  <c r="D119"/>
  <c r="A116"/>
  <c r="C112"/>
  <c r="F108"/>
  <c r="C105"/>
  <c r="E101"/>
  <c r="B98"/>
  <c r="E94"/>
  <c r="A91"/>
  <c r="D87"/>
  <c r="A84"/>
  <c r="C80"/>
  <c r="F76"/>
  <c r="C73"/>
  <c r="E69"/>
  <c r="B66"/>
  <c r="E62"/>
  <c r="A59"/>
  <c r="D55"/>
  <c r="A52"/>
  <c r="C48"/>
  <c r="F44"/>
  <c r="C41"/>
  <c r="E37"/>
  <c r="B34"/>
  <c r="E30"/>
  <c r="A27"/>
  <c r="D23"/>
  <c r="A20"/>
  <c r="D16"/>
  <c r="F13"/>
  <c r="B11"/>
  <c r="D8"/>
  <c r="F156" i="9"/>
  <c r="D97"/>
  <c r="F54"/>
  <c r="B12"/>
  <c r="A126" i="8"/>
  <c r="C101"/>
  <c r="A80"/>
  <c r="E58"/>
  <c r="C37"/>
  <c r="A16"/>
  <c r="E247" i="7"/>
  <c r="C226"/>
  <c r="A205"/>
  <c r="E183"/>
  <c r="B166"/>
  <c r="A152"/>
  <c r="E137"/>
  <c r="D123"/>
  <c r="A112"/>
  <c r="C101"/>
  <c r="E90"/>
  <c r="A80"/>
  <c r="C69"/>
  <c r="E58"/>
  <c r="A48"/>
  <c r="C37"/>
  <c r="E26"/>
  <c r="A16"/>
  <c r="C5"/>
  <c r="E150" i="6"/>
  <c r="A140"/>
  <c r="C129"/>
  <c r="E118"/>
  <c r="D111"/>
  <c r="D104"/>
  <c r="C97"/>
  <c r="B90"/>
  <c r="B83"/>
  <c r="A76"/>
  <c r="D69"/>
  <c r="B64"/>
  <c r="F58"/>
  <c r="D53"/>
  <c r="B48"/>
  <c r="F42"/>
  <c r="D37"/>
  <c r="B32"/>
  <c r="F26"/>
  <c r="D21"/>
  <c r="B16"/>
  <c r="F10"/>
  <c r="D5"/>
  <c r="B158" i="4"/>
  <c r="F152"/>
  <c r="D147"/>
  <c r="B142"/>
  <c r="F136"/>
  <c r="D131"/>
  <c r="B126"/>
  <c r="F120"/>
  <c r="D115"/>
  <c r="B110"/>
  <c r="F104"/>
  <c r="D99"/>
  <c r="B94"/>
  <c r="F88"/>
  <c r="D83"/>
  <c r="B78"/>
  <c r="F72"/>
  <c r="D67"/>
  <c r="B62"/>
  <c r="F56"/>
  <c r="D51"/>
  <c r="B46"/>
  <c r="F40"/>
  <c r="D35"/>
  <c r="B30"/>
  <c r="F24"/>
  <c r="D19"/>
  <c r="B14"/>
  <c r="F8"/>
  <c r="D267" i="3"/>
  <c r="B262"/>
  <c r="F256"/>
  <c r="D251"/>
  <c r="B246"/>
  <c r="F240"/>
  <c r="D235"/>
  <c r="B230"/>
  <c r="F224"/>
  <c r="D219"/>
  <c r="B214"/>
  <c r="F208"/>
  <c r="D203"/>
  <c r="B198"/>
  <c r="F192"/>
  <c r="D187"/>
  <c r="B182"/>
  <c r="F176"/>
  <c r="D171"/>
  <c r="B166"/>
  <c r="F160"/>
  <c r="D155"/>
  <c r="B150"/>
  <c r="F144"/>
  <c r="D139"/>
  <c r="F134"/>
  <c r="C131"/>
  <c r="E127"/>
  <c r="B124"/>
  <c r="E120"/>
  <c r="A117"/>
  <c r="D113"/>
  <c r="A110"/>
  <c r="C106"/>
  <c r="F102"/>
  <c r="C99"/>
  <c r="E95"/>
  <c r="B92"/>
  <c r="E88"/>
  <c r="A85"/>
  <c r="D81"/>
  <c r="A78"/>
  <c r="C74"/>
  <c r="F70"/>
  <c r="C67"/>
  <c r="E63"/>
  <c r="B60"/>
  <c r="F108" i="9"/>
  <c r="A107" i="8"/>
  <c r="E21"/>
  <c r="C189" i="7"/>
  <c r="C127"/>
  <c r="F82"/>
  <c r="B40"/>
  <c r="D153" i="6"/>
  <c r="D113"/>
  <c r="B85"/>
  <c r="C60"/>
  <c r="A39"/>
  <c r="E17"/>
  <c r="C154" i="4"/>
  <c r="A133"/>
  <c r="E111"/>
  <c r="C90"/>
  <c r="A69"/>
  <c r="E47"/>
  <c r="C26"/>
  <c r="A5"/>
  <c r="E247" i="3"/>
  <c r="C226"/>
  <c r="A205"/>
  <c r="E183"/>
  <c r="C162"/>
  <c r="A141"/>
  <c r="C125"/>
  <c r="A111"/>
  <c r="F96"/>
  <c r="E82"/>
  <c r="C68"/>
  <c r="E55"/>
  <c r="E48"/>
  <c r="D41"/>
  <c r="C34"/>
  <c r="C27"/>
  <c r="B20"/>
  <c r="A14"/>
  <c r="E8"/>
  <c r="B162" i="2"/>
  <c r="E158"/>
  <c r="B155"/>
  <c r="D151"/>
  <c r="A148"/>
  <c r="D144"/>
  <c r="F140"/>
  <c r="C137"/>
  <c r="F133"/>
  <c r="B130"/>
  <c r="E126"/>
  <c r="B123"/>
  <c r="D119"/>
  <c r="A116"/>
  <c r="D112"/>
  <c r="F108"/>
  <c r="C105"/>
  <c r="F101"/>
  <c r="B98"/>
  <c r="E94"/>
  <c r="B91"/>
  <c r="D87"/>
  <c r="A84"/>
  <c r="D80"/>
  <c r="F76"/>
  <c r="C73"/>
  <c r="E70"/>
  <c r="A68"/>
  <c r="C65"/>
  <c r="E62"/>
  <c r="A60"/>
  <c r="C57"/>
  <c r="E54"/>
  <c r="A52"/>
  <c r="C49"/>
  <c r="E46"/>
  <c r="A44"/>
  <c r="C41"/>
  <c r="E38"/>
  <c r="A36"/>
  <c r="C33"/>
  <c r="E30"/>
  <c r="A28"/>
  <c r="C25"/>
  <c r="E22"/>
  <c r="A20"/>
  <c r="C17"/>
  <c r="E14"/>
  <c r="A12"/>
  <c r="C9"/>
  <c r="E6"/>
  <c r="C186" i="3"/>
  <c r="A127"/>
  <c r="A95"/>
  <c r="A63"/>
  <c r="B44"/>
  <c r="B28"/>
  <c r="C13"/>
  <c r="F160" i="2"/>
  <c r="F152"/>
  <c r="A144"/>
  <c r="B135"/>
  <c r="B126"/>
  <c r="D115"/>
  <c r="E106"/>
  <c r="F97"/>
  <c r="F88"/>
  <c r="A80"/>
  <c r="E71"/>
  <c r="C64"/>
  <c r="C56"/>
  <c r="A49"/>
  <c r="C42"/>
  <c r="A35"/>
  <c r="C26"/>
  <c r="E19"/>
  <c r="C12"/>
  <c r="A5"/>
  <c r="A59" i="8"/>
  <c r="B152" i="7"/>
  <c r="B48"/>
  <c r="F111" i="6"/>
  <c r="C48"/>
  <c r="E147" i="4"/>
  <c r="C94"/>
  <c r="E35"/>
  <c r="C246" i="3"/>
  <c r="E187"/>
  <c r="A135"/>
  <c r="D99"/>
  <c r="C60"/>
  <c r="F40"/>
  <c r="A23"/>
  <c r="B8"/>
  <c r="E156" i="2"/>
  <c r="F146"/>
  <c r="C135"/>
  <c r="C127"/>
  <c r="E116"/>
  <c r="E108"/>
  <c r="F99"/>
  <c r="A90"/>
  <c r="B81"/>
  <c r="F71"/>
  <c r="D64"/>
  <c r="B57"/>
  <c r="D50"/>
  <c r="F43"/>
  <c r="F35"/>
  <c r="F27"/>
  <c r="B21"/>
  <c r="D14"/>
  <c r="B7"/>
  <c r="B34" i="9"/>
  <c r="E69" i="8"/>
  <c r="C237" i="7"/>
  <c r="C159"/>
  <c r="F106"/>
  <c r="B64"/>
  <c r="D21"/>
  <c r="F134" i="6"/>
  <c r="B101"/>
  <c r="E72"/>
  <c r="A51"/>
  <c r="E29"/>
  <c r="C8"/>
  <c r="A145" i="4"/>
  <c r="E123"/>
  <c r="C102"/>
  <c r="A81"/>
  <c r="E59"/>
  <c r="C38"/>
  <c r="A17"/>
  <c r="E259" i="3"/>
  <c r="C238"/>
  <c r="A217"/>
  <c r="E195"/>
  <c r="C174"/>
  <c r="A153"/>
  <c r="C133"/>
  <c r="A119"/>
  <c r="F104"/>
  <c r="E90"/>
  <c r="C76"/>
  <c r="B62"/>
  <c r="C52"/>
  <c r="C45"/>
  <c r="B38"/>
  <c r="A31"/>
  <c r="A24"/>
  <c r="F16"/>
  <c r="D11"/>
  <c r="B6"/>
  <c r="E160" i="2"/>
  <c r="B157"/>
  <c r="D153"/>
  <c r="A150"/>
  <c r="D146"/>
  <c r="F142"/>
  <c r="C139"/>
  <c r="F135"/>
  <c r="B132"/>
  <c r="E128"/>
  <c r="B125"/>
  <c r="D121"/>
  <c r="F110"/>
  <c r="C107"/>
  <c r="F103"/>
  <c r="B100"/>
  <c r="E96"/>
  <c r="B93"/>
  <c r="D89"/>
  <c r="A86"/>
  <c r="D82"/>
  <c r="F78"/>
  <c r="C75"/>
  <c r="B72"/>
  <c r="D69"/>
  <c r="F66"/>
  <c r="D61"/>
  <c r="B56"/>
  <c r="B48"/>
  <c r="B40"/>
  <c r="D29"/>
  <c r="F18"/>
  <c r="F10"/>
  <c r="F112" i="3"/>
  <c r="C9"/>
  <c r="F120" i="2"/>
  <c r="F73"/>
  <c r="C36"/>
  <c r="D126" i="8"/>
  <c r="E115" i="4"/>
  <c r="A48" i="3"/>
  <c r="A122" i="2"/>
  <c r="F57"/>
  <c r="D20"/>
  <c r="A200" i="7"/>
  <c r="E88" i="6"/>
  <c r="C114" i="4"/>
  <c r="C218" i="3"/>
  <c r="F104" i="2"/>
  <c r="C24"/>
  <c r="C124" i="3"/>
  <c r="D117" i="2"/>
  <c r="F45"/>
  <c r="D150" i="8"/>
  <c r="B53" i="6"/>
  <c r="D72" i="4"/>
  <c r="B19"/>
  <c r="D240" i="3"/>
  <c r="F197"/>
  <c r="F165"/>
  <c r="B123"/>
  <c r="D80"/>
  <c r="F37"/>
  <c r="E124" i="8"/>
  <c r="E246" i="7"/>
  <c r="D111"/>
  <c r="F160" i="6"/>
  <c r="A90"/>
  <c r="E42"/>
  <c r="A158" i="4"/>
  <c r="E104"/>
  <c r="A62"/>
  <c r="C19"/>
  <c r="A262" i="3"/>
  <c r="E240"/>
  <c r="C219"/>
  <c r="A198"/>
  <c r="E176"/>
  <c r="C155"/>
  <c r="F102" i="9"/>
  <c r="E18" i="8"/>
  <c r="C125" i="7"/>
  <c r="E38"/>
  <c r="D112" i="6"/>
  <c r="D59"/>
  <c r="F16"/>
  <c r="B132" i="4"/>
  <c r="D89"/>
  <c r="F46"/>
  <c r="B268" i="3"/>
  <c r="D225"/>
  <c r="F182"/>
  <c r="B140"/>
  <c r="C119"/>
  <c r="A105"/>
  <c r="F90"/>
  <c r="E76"/>
  <c r="C62"/>
  <c r="B48"/>
  <c r="A34"/>
  <c r="E19"/>
  <c r="C8"/>
  <c r="E155" i="2"/>
  <c r="A145"/>
  <c r="C134"/>
  <c r="E123"/>
  <c r="A113"/>
  <c r="C102"/>
  <c r="E91"/>
  <c r="A81"/>
  <c r="F92" i="9"/>
  <c r="A99" i="8"/>
  <c r="E13"/>
  <c r="C181" i="7"/>
  <c r="A122"/>
  <c r="F78"/>
  <c r="B36"/>
  <c r="D149" i="6"/>
  <c r="F110"/>
  <c r="D82"/>
  <c r="C58"/>
  <c r="A37"/>
  <c r="E15"/>
  <c r="C152" i="4"/>
  <c r="A131"/>
  <c r="E109"/>
  <c r="C88"/>
  <c r="A67"/>
  <c r="E45"/>
  <c r="C24"/>
  <c r="A267" i="3"/>
  <c r="E245"/>
  <c r="C224"/>
  <c r="A203"/>
  <c r="E181"/>
  <c r="C160"/>
  <c r="A139"/>
  <c r="A124"/>
  <c r="E109"/>
  <c r="D95"/>
  <c r="C81"/>
  <c r="A67"/>
  <c r="F52"/>
  <c r="E38"/>
  <c r="C24"/>
  <c r="F11"/>
  <c r="D65" i="9"/>
  <c r="C85" i="8"/>
  <c r="A253" i="7"/>
  <c r="E169"/>
  <c r="E114"/>
  <c r="A72"/>
  <c r="C29"/>
  <c r="E142" i="6"/>
  <c r="B106"/>
  <c r="F77"/>
  <c r="F54"/>
  <c r="D33"/>
  <c r="B12"/>
  <c r="F148" i="4"/>
  <c r="D127"/>
  <c r="B106"/>
  <c r="F84"/>
  <c r="D63"/>
  <c r="B42"/>
  <c r="F20"/>
  <c r="D263" i="3"/>
  <c r="B242"/>
  <c r="F220"/>
  <c r="D199"/>
  <c r="B178"/>
  <c r="F156"/>
  <c r="E135"/>
  <c r="D121"/>
  <c r="C107"/>
  <c r="A93"/>
  <c r="F78"/>
  <c r="E64"/>
  <c r="A43" i="8"/>
  <c r="F50" i="7"/>
  <c r="E65" i="6"/>
  <c r="C138" i="4"/>
  <c r="A53"/>
  <c r="E231" i="3"/>
  <c r="C146"/>
  <c r="B86"/>
  <c r="C43"/>
  <c r="C15"/>
  <c r="A156" i="2"/>
  <c r="F141"/>
  <c r="D127"/>
  <c r="C113"/>
  <c r="B99"/>
  <c r="F84"/>
  <c r="C71"/>
  <c r="E60"/>
  <c r="A50"/>
  <c r="C39"/>
  <c r="E28"/>
  <c r="A18"/>
  <c r="C7"/>
  <c r="B70" i="3"/>
  <c r="E162" i="2"/>
  <c r="F128"/>
  <c r="E90"/>
  <c r="C58"/>
  <c r="C28"/>
  <c r="E101" i="8"/>
  <c r="A59" i="6"/>
  <c r="A257" i="3"/>
  <c r="A71"/>
  <c r="D158" i="2"/>
  <c r="C119"/>
  <c r="F82"/>
  <c r="D52"/>
  <c r="B23"/>
  <c r="A91" i="8"/>
  <c r="F74" i="7"/>
  <c r="F79" i="6"/>
  <c r="C150" i="4"/>
  <c r="A65"/>
  <c r="E243" i="3"/>
  <c r="C158"/>
  <c r="B94"/>
  <c r="A47"/>
  <c r="E18"/>
  <c r="A158" i="2"/>
  <c r="F143"/>
  <c r="D129"/>
  <c r="C115"/>
  <c r="B101"/>
  <c r="F86"/>
  <c r="F72"/>
  <c r="B62"/>
  <c r="D51"/>
  <c r="F40"/>
  <c r="B30"/>
  <c r="D19"/>
  <c r="F8"/>
  <c r="D91" i="3"/>
  <c r="A12"/>
  <c r="D131" i="2"/>
  <c r="A96"/>
  <c r="C60"/>
  <c r="E31"/>
  <c r="B162" i="9"/>
  <c r="C83" i="6"/>
  <c r="C14" i="4"/>
  <c r="C85" i="3"/>
  <c r="A162" i="2"/>
  <c r="F123"/>
  <c r="D85"/>
  <c r="F51"/>
  <c r="D22"/>
  <c r="E53" i="8"/>
  <c r="B56" i="7"/>
  <c r="C68" i="6"/>
  <c r="A141" i="4"/>
  <c r="E55"/>
  <c r="E223" i="3"/>
  <c r="D156" i="2"/>
  <c r="D92"/>
  <c r="A47"/>
  <c r="E5"/>
  <c r="A241" i="3"/>
  <c r="F5"/>
  <c r="F107" i="2"/>
  <c r="D58"/>
  <c r="B19"/>
  <c r="E15"/>
  <c r="E33" i="3"/>
  <c r="B121" i="2"/>
  <c r="B29"/>
  <c r="F37"/>
  <c r="F32" i="3"/>
  <c r="D122" i="2"/>
  <c r="F79"/>
  <c r="B46"/>
  <c r="F24"/>
  <c r="C42" i="3"/>
  <c r="D76" i="2"/>
  <c r="B112" i="7"/>
  <c r="D35" i="3"/>
  <c r="B67" i="2"/>
  <c r="E148" i="7"/>
  <c r="C98" i="4"/>
  <c r="D123" i="2"/>
  <c r="B78" i="3"/>
  <c r="B39" i="2"/>
  <c r="C51" i="4"/>
  <c r="A14"/>
  <c r="C235" i="3"/>
  <c r="E192"/>
  <c r="A150"/>
  <c r="A229" i="7"/>
  <c r="C17"/>
  <c r="F48" i="6"/>
  <c r="D121" i="4"/>
  <c r="B36"/>
  <c r="F214" i="3"/>
  <c r="E131"/>
  <c r="D101"/>
  <c r="A73"/>
  <c r="E44"/>
  <c r="C16"/>
  <c r="A153" i="2"/>
  <c r="A121"/>
  <c r="E99"/>
  <c r="C78"/>
  <c r="E77" i="8"/>
  <c r="F110" i="7"/>
  <c r="D25"/>
  <c r="C75" i="6"/>
  <c r="C10"/>
  <c r="C104" i="4"/>
  <c r="C40"/>
  <c r="C240" i="3"/>
  <c r="C176"/>
  <c r="C120"/>
  <c r="E77"/>
  <c r="A35"/>
  <c r="F22" i="9"/>
  <c r="A104" i="7"/>
  <c r="A132" i="6"/>
  <c r="D49"/>
  <c r="D143" i="4"/>
  <c r="D79"/>
  <c r="D15"/>
  <c r="D215" i="3"/>
  <c r="D151"/>
  <c r="A118"/>
  <c r="C75"/>
  <c r="B8" i="7"/>
  <c r="E31" i="4"/>
  <c r="A72" i="3"/>
  <c r="D152" i="2"/>
  <c r="F109"/>
  <c r="E68"/>
  <c r="E36"/>
  <c r="C15"/>
  <c r="E154"/>
  <c r="A51"/>
  <c r="E5" i="6"/>
  <c r="D149" i="2"/>
  <c r="B45"/>
  <c r="B32" i="7"/>
  <c r="E43" i="4"/>
  <c r="A80" i="3"/>
  <c r="D154" i="2"/>
  <c r="A126"/>
  <c r="C83"/>
  <c r="F48"/>
  <c r="F16"/>
  <c r="A160"/>
  <c r="A53"/>
  <c r="A27" i="6"/>
  <c r="B153" i="2"/>
  <c r="D44"/>
  <c r="D13" i="7"/>
  <c r="C34" i="4"/>
  <c r="D140" i="2"/>
  <c r="D97" i="6"/>
  <c r="D93" i="2"/>
  <c r="C115" i="4"/>
  <c r="E72"/>
  <c r="A30"/>
  <c r="C267" i="3"/>
  <c r="A246"/>
  <c r="E224"/>
  <c r="C203"/>
  <c r="A182"/>
  <c r="E160"/>
  <c r="C139"/>
  <c r="C61" i="8"/>
  <c r="E153" i="7"/>
  <c r="A60"/>
  <c r="E130" i="6"/>
  <c r="B70"/>
  <c r="D27"/>
  <c r="F142" i="4"/>
  <c r="B100"/>
  <c r="D57"/>
  <c r="F14"/>
  <c r="B236" i="3"/>
  <c r="D193"/>
  <c r="F150"/>
  <c r="F122"/>
  <c r="E108"/>
  <c r="C94"/>
  <c r="B80"/>
  <c r="A66"/>
  <c r="E51"/>
  <c r="D37"/>
  <c r="C23"/>
  <c r="A11"/>
  <c r="C158" i="2"/>
  <c r="E147"/>
  <c r="A137"/>
  <c r="C126"/>
  <c r="E115"/>
  <c r="A105"/>
  <c r="C94"/>
  <c r="E83"/>
  <c r="F142" i="9"/>
  <c r="F122" i="8"/>
  <c r="A35"/>
  <c r="E202" i="7"/>
  <c r="B136"/>
  <c r="D89"/>
  <c r="F46"/>
  <c r="B160" i="6"/>
  <c r="A118"/>
  <c r="D89"/>
  <c r="E63"/>
  <c r="C42"/>
  <c r="A21"/>
  <c r="E157" i="4"/>
  <c r="C136"/>
  <c r="A115"/>
  <c r="E93"/>
  <c r="C72"/>
  <c r="A51"/>
  <c r="E29"/>
  <c r="C8"/>
  <c r="A251" i="3"/>
  <c r="E229"/>
  <c r="C208"/>
  <c r="A187"/>
  <c r="E165"/>
  <c r="C144"/>
  <c r="D127"/>
  <c r="C113"/>
  <c r="A99"/>
  <c r="F84"/>
  <c r="E70"/>
  <c r="C56"/>
  <c r="B42"/>
  <c r="A28"/>
  <c r="D14"/>
  <c r="B108" i="9"/>
  <c r="E106" i="8"/>
  <c r="C21"/>
  <c r="A189" i="7"/>
  <c r="A127"/>
  <c r="E82"/>
  <c r="A40"/>
  <c r="C153" i="6"/>
  <c r="C113"/>
  <c r="F84"/>
  <c r="B60"/>
  <c r="F38"/>
  <c r="D17"/>
  <c r="B154" i="4"/>
  <c r="F132"/>
  <c r="D111"/>
  <c r="B90"/>
  <c r="F68"/>
  <c r="D47"/>
  <c r="B26"/>
  <c r="F268" i="3"/>
  <c r="D247"/>
  <c r="B226"/>
  <c r="F204"/>
  <c r="D183"/>
  <c r="B162"/>
  <c r="F140"/>
  <c r="A125"/>
  <c r="F110"/>
  <c r="E96"/>
  <c r="C82"/>
  <c r="B68"/>
  <c r="F136" i="8"/>
  <c r="D93" i="7"/>
  <c r="B92" i="6"/>
  <c r="E159" i="4"/>
  <c r="C74"/>
  <c r="A253" i="3"/>
  <c r="E167"/>
  <c r="C100"/>
  <c r="C50"/>
  <c r="A22"/>
  <c r="D159" i="2"/>
  <c r="C145"/>
  <c r="B131"/>
  <c r="F116"/>
  <c r="E102"/>
  <c r="D88"/>
  <c r="B74"/>
  <c r="C63"/>
  <c r="E52"/>
  <c r="A42"/>
  <c r="C31"/>
  <c r="E20"/>
  <c r="A10"/>
  <c r="B102" i="3"/>
  <c r="A16"/>
  <c r="F137" i="2"/>
  <c r="D99"/>
  <c r="E65"/>
  <c r="A37"/>
  <c r="C6"/>
  <c r="D129" i="6"/>
  <c r="E51" i="4"/>
  <c r="B110" i="3"/>
  <c r="B12"/>
  <c r="B129" i="2"/>
  <c r="E92"/>
  <c r="B59"/>
  <c r="D30"/>
  <c r="F76" i="9"/>
  <c r="D117" i="7"/>
  <c r="B108" i="6"/>
  <c r="E13"/>
  <c r="C86" i="4"/>
  <c r="A265" i="3"/>
  <c r="E179"/>
  <c r="C108"/>
  <c r="B54"/>
  <c r="E25"/>
  <c r="D161" i="2"/>
  <c r="C147"/>
  <c r="B133"/>
  <c r="F118"/>
  <c r="E104"/>
  <c r="D90"/>
  <c r="B76"/>
  <c r="F64"/>
  <c r="B54"/>
  <c r="D43"/>
  <c r="F32"/>
  <c r="B22"/>
  <c r="D11"/>
  <c r="D123" i="3"/>
  <c r="C26"/>
  <c r="B142" i="2"/>
  <c r="F105"/>
  <c r="C68"/>
  <c r="C38"/>
  <c r="E11"/>
  <c r="B16" i="7"/>
  <c r="A73" i="4"/>
  <c r="F120" i="3"/>
  <c r="E17"/>
  <c r="D134" i="2"/>
  <c r="D94"/>
  <c r="F59"/>
  <c r="F29"/>
  <c r="B158" i="8"/>
  <c r="F98" i="7"/>
  <c r="F95" i="6"/>
  <c r="C162" i="4"/>
  <c r="A77"/>
  <c r="A245" i="3"/>
  <c r="D59"/>
  <c r="D108" i="2"/>
  <c r="E57"/>
  <c r="E67" i="4"/>
  <c r="D68" i="2"/>
  <c r="B9"/>
  <c r="C22" i="4"/>
  <c r="E122" i="3"/>
  <c r="D7"/>
  <c r="E136" i="2"/>
  <c r="B108"/>
  <c r="D67"/>
  <c r="D35"/>
  <c r="A165" i="3"/>
  <c r="E114" i="2"/>
  <c r="A19"/>
  <c r="C166" i="3"/>
  <c r="B104" i="2"/>
  <c r="D6"/>
  <c r="E25" i="6"/>
  <c r="C170" i="3"/>
  <c r="E27" i="2"/>
  <c r="A153" i="4"/>
  <c r="D78" i="2"/>
  <c r="A94" i="4"/>
  <c r="E131" i="2"/>
  <c r="C245" i="7"/>
  <c r="F138" i="6"/>
  <c r="A53"/>
  <c r="A147" i="4"/>
  <c r="A83"/>
  <c r="A19"/>
  <c r="E197" i="3"/>
  <c r="E134"/>
  <c r="A92"/>
  <c r="C49"/>
  <c r="B9"/>
  <c r="A64" i="8"/>
  <c r="D155" i="7"/>
  <c r="E18"/>
  <c r="F70" i="6"/>
  <c r="F6"/>
  <c r="F100" i="4"/>
  <c r="F36"/>
  <c r="F236" i="3"/>
  <c r="F172"/>
  <c r="E103"/>
  <c r="A61"/>
  <c r="C44" i="6"/>
  <c r="C210" i="3"/>
  <c r="B36"/>
  <c r="B138" i="2"/>
  <c r="D95"/>
  <c r="A58"/>
  <c r="A26"/>
  <c r="E47" i="3"/>
  <c r="E82" i="2"/>
  <c r="A184" i="7"/>
  <c r="B46" i="3"/>
  <c r="A74" i="2"/>
  <c r="E5" i="8"/>
  <c r="A129" i="4"/>
  <c r="A137" i="3"/>
  <c r="F12"/>
  <c r="F111" i="2"/>
  <c r="B70"/>
  <c r="B38"/>
  <c r="E56" i="3"/>
  <c r="B87" i="2"/>
  <c r="A248" i="7"/>
  <c r="C53" i="3"/>
  <c r="F74" i="2"/>
  <c r="C221" i="7"/>
  <c r="E119" i="4"/>
  <c r="C77" i="2"/>
  <c r="F147"/>
  <c r="D10"/>
  <c r="A126" i="4"/>
  <c r="C83"/>
  <c r="E40"/>
  <c r="E8"/>
  <c r="C251" i="3"/>
  <c r="A230"/>
  <c r="E208"/>
  <c r="C187"/>
  <c r="A166"/>
  <c r="E144"/>
  <c r="A104" i="8"/>
  <c r="C186" i="7"/>
  <c r="C81"/>
  <c r="A152" i="6"/>
  <c r="A84"/>
  <c r="B38"/>
  <c r="D153" i="4"/>
  <c r="F110"/>
  <c r="B68"/>
  <c r="D25"/>
  <c r="F246" i="3"/>
  <c r="B204"/>
  <c r="D161"/>
  <c r="C126"/>
  <c r="B112"/>
  <c r="A98"/>
  <c r="E83"/>
  <c r="D69"/>
  <c r="C55"/>
  <c r="A41"/>
  <c r="F26"/>
  <c r="E13"/>
  <c r="A161" i="2"/>
  <c r="C150"/>
  <c r="E139"/>
  <c r="A129"/>
  <c r="C118"/>
  <c r="E107"/>
  <c r="A97"/>
  <c r="C86"/>
  <c r="E75"/>
  <c r="D7" i="9"/>
  <c r="C56" i="8"/>
  <c r="A224" i="7"/>
  <c r="C150"/>
  <c r="B100"/>
  <c r="D57"/>
  <c r="F14"/>
  <c r="B128" i="6"/>
  <c r="E96"/>
  <c r="A69"/>
  <c r="E47"/>
  <c r="C26"/>
  <c r="A5"/>
  <c r="E141" i="4"/>
  <c r="C120"/>
  <c r="A99"/>
  <c r="E77"/>
  <c r="C56"/>
  <c r="A35"/>
  <c r="E13"/>
  <c r="C256" i="3"/>
  <c r="A235"/>
  <c r="E213"/>
  <c r="C192"/>
  <c r="A171"/>
  <c r="E149"/>
  <c r="A131"/>
  <c r="F116"/>
  <c r="E102"/>
  <c r="C88"/>
  <c r="B74"/>
  <c r="A60"/>
  <c r="E45"/>
  <c r="D31"/>
  <c r="C17"/>
  <c r="D6"/>
  <c r="B136" i="8"/>
  <c r="E42"/>
  <c r="C210" i="7"/>
  <c r="C141"/>
  <c r="C93"/>
  <c r="E50"/>
  <c r="A8"/>
  <c r="C121" i="6"/>
  <c r="A92"/>
  <c r="D65"/>
  <c r="B44"/>
  <c r="F22"/>
  <c r="D159" i="4"/>
  <c r="B138"/>
  <c r="F116"/>
  <c r="D95"/>
  <c r="B74"/>
  <c r="F52"/>
  <c r="D31"/>
  <c r="B10"/>
  <c r="F252" i="3"/>
  <c r="D231"/>
  <c r="B210"/>
  <c r="F188"/>
  <c r="D167"/>
  <c r="B146"/>
  <c r="E128"/>
  <c r="C114"/>
  <c r="B100"/>
  <c r="A86"/>
  <c r="E71"/>
  <c r="D57"/>
  <c r="D141" i="7"/>
  <c r="D121" i="6"/>
  <c r="A23"/>
  <c r="E95" i="4"/>
  <c r="C10"/>
  <c r="A189" i="3"/>
  <c r="E114"/>
  <c r="E57"/>
  <c r="A29"/>
  <c r="B5"/>
  <c r="F148" i="2"/>
  <c r="E134"/>
  <c r="D120"/>
  <c r="B106"/>
  <c r="A92"/>
  <c r="F77"/>
  <c r="A66"/>
  <c r="C55"/>
  <c r="E44"/>
  <c r="A34"/>
  <c r="C23"/>
  <c r="E12"/>
  <c r="B134" i="3"/>
  <c r="E31"/>
  <c r="F145" i="2"/>
  <c r="C109"/>
  <c r="A73"/>
  <c r="E43"/>
  <c r="C14"/>
  <c r="B80" i="7"/>
  <c r="A105" i="4"/>
  <c r="C150" i="3"/>
  <c r="C28"/>
  <c r="A138" i="2"/>
  <c r="D101"/>
  <c r="D66"/>
  <c r="D173" i="7"/>
  <c r="D145" i="6"/>
  <c r="A35"/>
  <c r="E107" i="4"/>
  <c r="A201" i="3"/>
  <c r="E65"/>
  <c r="F150" i="2"/>
  <c r="A94"/>
  <c r="F56"/>
  <c r="B14"/>
  <c r="A152"/>
  <c r="C46"/>
  <c r="C126" i="4"/>
  <c r="C143" i="2"/>
  <c r="B37"/>
  <c r="F126" i="6"/>
  <c r="C266" i="3"/>
  <c r="A67" i="2"/>
  <c r="B136"/>
  <c r="E136" i="4"/>
  <c r="E256" i="3"/>
  <c r="A214"/>
  <c r="C171"/>
  <c r="D17" i="9"/>
  <c r="E102" i="7"/>
  <c r="B98" i="6"/>
  <c r="B6"/>
  <c r="F78" i="4"/>
  <c r="D257" i="3"/>
  <c r="B172"/>
  <c r="E115"/>
  <c r="C87"/>
  <c r="F58"/>
  <c r="C30"/>
  <c r="E5"/>
  <c r="C142" i="2"/>
  <c r="C110"/>
  <c r="A89"/>
  <c r="B50" i="9"/>
  <c r="E164" i="7"/>
  <c r="B68"/>
  <c r="F103" i="6"/>
  <c r="E31"/>
  <c r="E125" i="4"/>
  <c r="E61"/>
  <c r="E261" i="3"/>
  <c r="A219"/>
  <c r="A155"/>
  <c r="B106"/>
  <c r="D63"/>
  <c r="F20"/>
  <c r="E231" i="7"/>
  <c r="C61"/>
  <c r="B99" i="6"/>
  <c r="B28"/>
  <c r="B122" i="4"/>
  <c r="B58"/>
  <c r="B258" i="3"/>
  <c r="B194"/>
  <c r="B132"/>
  <c r="D89"/>
  <c r="E210" i="7"/>
  <c r="A117" i="4"/>
  <c r="F128" i="3"/>
  <c r="A10"/>
  <c r="A124" i="2"/>
  <c r="C81"/>
  <c r="C47"/>
  <c r="E7" i="4"/>
  <c r="B119" i="2"/>
  <c r="E21"/>
  <c r="E203" i="3"/>
  <c r="D109" i="2"/>
  <c r="D16"/>
  <c r="C56" i="6"/>
  <c r="C222" i="3"/>
  <c r="A40"/>
  <c r="B140" i="2"/>
  <c r="D97"/>
  <c r="D59"/>
  <c r="D27"/>
  <c r="B6"/>
  <c r="E122"/>
  <c r="E25"/>
  <c r="A225" i="3"/>
  <c r="F115" i="2"/>
  <c r="F13"/>
  <c r="A47" i="6"/>
  <c r="C202" i="3"/>
  <c r="E37" i="2"/>
  <c r="A145" i="3"/>
  <c r="D48" i="2"/>
</calcChain>
</file>

<file path=xl/sharedStrings.xml><?xml version="1.0" encoding="utf-8"?>
<sst xmlns="http://schemas.openxmlformats.org/spreadsheetml/2006/main" count="205" uniqueCount="181">
  <si>
    <t>Enter Stock Name below:</t>
  </si>
  <si>
    <t>Start Date</t>
  </si>
  <si>
    <t>End Date</t>
  </si>
  <si>
    <t>*Note: Changepct -The percentage change in price since the previous trading day's close</t>
  </si>
  <si>
    <t>ITC</t>
  </si>
  <si>
    <t>Date</t>
  </si>
  <si>
    <t>Price</t>
  </si>
  <si>
    <t>Open</t>
  </si>
  <si>
    <t>High</t>
  </si>
  <si>
    <t>Low</t>
  </si>
  <si>
    <t>Volume</t>
  </si>
  <si>
    <t>changepct(%)</t>
  </si>
  <si>
    <t>35.84M</t>
  </si>
  <si>
    <t>24.58M</t>
  </si>
  <si>
    <t>24.55M</t>
  </si>
  <si>
    <t>53.24M</t>
  </si>
  <si>
    <t>39.01M</t>
  </si>
  <si>
    <t>58.38M</t>
  </si>
  <si>
    <t>25.32M</t>
  </si>
  <si>
    <t>20.14M</t>
  </si>
  <si>
    <t>20.80M</t>
  </si>
  <si>
    <t>14.95M</t>
  </si>
  <si>
    <t>20.02M</t>
  </si>
  <si>
    <t>21.39M</t>
  </si>
  <si>
    <t>18.10M</t>
  </si>
  <si>
    <t>25.31M</t>
  </si>
  <si>
    <t>24.25M</t>
  </si>
  <si>
    <t>65.59M</t>
  </si>
  <si>
    <t>17.71M</t>
  </si>
  <si>
    <t>30.30M</t>
  </si>
  <si>
    <t>42.63M</t>
  </si>
  <si>
    <t>28.12M</t>
  </si>
  <si>
    <t>32.64M</t>
  </si>
  <si>
    <t>58.44M</t>
  </si>
  <si>
    <t>62.51M</t>
  </si>
  <si>
    <t>52.57M</t>
  </si>
  <si>
    <t>51.35M</t>
  </si>
  <si>
    <t>62.00M</t>
  </si>
  <si>
    <t>89.75M</t>
  </si>
  <si>
    <t>50.25M</t>
  </si>
  <si>
    <t>47.66M</t>
  </si>
  <si>
    <t>33.26M</t>
  </si>
  <si>
    <t>61.59M</t>
  </si>
  <si>
    <t>52.04M</t>
  </si>
  <si>
    <t>27.96M</t>
  </si>
  <si>
    <t>21.80M</t>
  </si>
  <si>
    <t>26.76M</t>
  </si>
  <si>
    <t>20.03M</t>
  </si>
  <si>
    <t>27.66M</t>
  </si>
  <si>
    <t>17.95M</t>
  </si>
  <si>
    <t>18.56M</t>
  </si>
  <si>
    <t>41.22M</t>
  </si>
  <si>
    <t>91.50M</t>
  </si>
  <si>
    <t>71.96M</t>
  </si>
  <si>
    <t>75.58M</t>
  </si>
  <si>
    <t>54.65M</t>
  </si>
  <si>
    <t>26.55M</t>
  </si>
  <si>
    <t>31.40M</t>
  </si>
  <si>
    <t>30.53M</t>
  </si>
  <si>
    <t>28.89M</t>
  </si>
  <si>
    <t>24.03M</t>
  </si>
  <si>
    <t>27.64M</t>
  </si>
  <si>
    <t>24.46M</t>
  </si>
  <si>
    <t>22.56M</t>
  </si>
  <si>
    <t>19.85M</t>
  </si>
  <si>
    <t>27.20M</t>
  </si>
  <si>
    <t>39.91M</t>
  </si>
  <si>
    <t>19.56M</t>
  </si>
  <si>
    <t>14.63M</t>
  </si>
  <si>
    <t>22.00M</t>
  </si>
  <si>
    <t>18.98M</t>
  </si>
  <si>
    <t>22.63M</t>
  </si>
  <si>
    <t>28.51M</t>
  </si>
  <si>
    <t>16.65M</t>
  </si>
  <si>
    <t>16.32M</t>
  </si>
  <si>
    <t>14.83M</t>
  </si>
  <si>
    <t>19.29M</t>
  </si>
  <si>
    <t>22.65M</t>
  </si>
  <si>
    <t>60.19M</t>
  </si>
  <si>
    <t>31.49M</t>
  </si>
  <si>
    <t>32.57M</t>
  </si>
  <si>
    <t>28.01M</t>
  </si>
  <si>
    <t>18.92M</t>
  </si>
  <si>
    <t>14.88M</t>
  </si>
  <si>
    <t>22.14M</t>
  </si>
  <si>
    <t>23.78M</t>
  </si>
  <si>
    <t>18.48M</t>
  </si>
  <si>
    <t>20.30M</t>
  </si>
  <si>
    <t>16.19M</t>
  </si>
  <si>
    <t>18.77M</t>
  </si>
  <si>
    <t>21.28M</t>
  </si>
  <si>
    <t>31.28M</t>
  </si>
  <si>
    <t>34.71M</t>
  </si>
  <si>
    <t>37.90M</t>
  </si>
  <si>
    <t>39.32M</t>
  </si>
  <si>
    <t>44.30M</t>
  </si>
  <si>
    <t>18.46M</t>
  </si>
  <si>
    <t>10.39M</t>
  </si>
  <si>
    <t>20.47M</t>
  </si>
  <si>
    <t>14.58M</t>
  </si>
  <si>
    <t>6.84M</t>
  </si>
  <si>
    <t>6.80M</t>
  </si>
  <si>
    <t>6.12M</t>
  </si>
  <si>
    <t>7.65M</t>
  </si>
  <si>
    <t>9.57M</t>
  </si>
  <si>
    <t>8.02M</t>
  </si>
  <si>
    <t>7.39M</t>
  </si>
  <si>
    <t>9.37M</t>
  </si>
  <si>
    <t>5.48M</t>
  </si>
  <si>
    <t>11.84M</t>
  </si>
  <si>
    <t>12.24M</t>
  </si>
  <si>
    <t>9.97M</t>
  </si>
  <si>
    <t>9.45M</t>
  </si>
  <si>
    <t>7.04M</t>
  </si>
  <si>
    <t>8.42M</t>
  </si>
  <si>
    <t>7.64M</t>
  </si>
  <si>
    <t>9.28M</t>
  </si>
  <si>
    <t>8.40M</t>
  </si>
  <si>
    <t>4.21M</t>
  </si>
  <si>
    <t>32.63M</t>
  </si>
  <si>
    <t>17.27M</t>
  </si>
  <si>
    <t>17.87M</t>
  </si>
  <si>
    <t>15.31M</t>
  </si>
  <si>
    <t>16.59M</t>
  </si>
  <si>
    <t>15.59M</t>
  </si>
  <si>
    <t>9.05M</t>
  </si>
  <si>
    <t>20.93M</t>
  </si>
  <si>
    <t>15.56M</t>
  </si>
  <si>
    <t>13.73M</t>
  </si>
  <si>
    <t>9.15M</t>
  </si>
  <si>
    <t>9.93M</t>
  </si>
  <si>
    <t>29.80M</t>
  </si>
  <si>
    <t>9.62M</t>
  </si>
  <si>
    <t>17.13M</t>
  </si>
  <si>
    <t>27.39M</t>
  </si>
  <si>
    <t>21.25M</t>
  </si>
  <si>
    <t>35.77M</t>
  </si>
  <si>
    <t>79.76M</t>
  </si>
  <si>
    <t>42.27M</t>
  </si>
  <si>
    <t>28.75M</t>
  </si>
  <si>
    <t>22.70M</t>
  </si>
  <si>
    <t>21.29M</t>
  </si>
  <si>
    <t>55.14M</t>
  </si>
  <si>
    <t>16.47M</t>
  </si>
  <si>
    <t>20.91M</t>
  </si>
  <si>
    <t>17.89M</t>
  </si>
  <si>
    <t>48.77M</t>
  </si>
  <si>
    <t>17.19M</t>
  </si>
  <si>
    <t>13.27M</t>
  </si>
  <si>
    <t>30.17M</t>
  </si>
  <si>
    <t>21.46M</t>
  </si>
  <si>
    <t>17.80M</t>
  </si>
  <si>
    <t>13.09M</t>
  </si>
  <si>
    <t>18.05M</t>
  </si>
  <si>
    <t>32.97M</t>
  </si>
  <si>
    <t>25.16M</t>
  </si>
  <si>
    <t>23.33M</t>
  </si>
  <si>
    <t>26.67M</t>
  </si>
  <si>
    <t>27.08M</t>
  </si>
  <si>
    <t>49.09M</t>
  </si>
  <si>
    <t>17.74M</t>
  </si>
  <si>
    <t>42.64M</t>
  </si>
  <si>
    <t>37.56M</t>
  </si>
  <si>
    <t>36.12M</t>
  </si>
  <si>
    <t>62.87M</t>
  </si>
  <si>
    <t>18.14M</t>
  </si>
  <si>
    <t>MMM</t>
  </si>
  <si>
    <t>KRX</t>
  </si>
  <si>
    <t>BSE</t>
  </si>
  <si>
    <t>Alpha (Sales per day)</t>
  </si>
  <si>
    <t>Beta (Sales per day)</t>
  </si>
  <si>
    <t>Alpha Unit Price</t>
  </si>
  <si>
    <t>Beta Unit Price</t>
  </si>
  <si>
    <t>Share Alpha</t>
  </si>
  <si>
    <t>Share Beta</t>
  </si>
  <si>
    <t>Twitter Alpha</t>
  </si>
  <si>
    <t>Twitter Beta</t>
  </si>
  <si>
    <t>BRITANNIA</t>
  </si>
  <si>
    <t>AMZN</t>
  </si>
  <si>
    <t>YESBANK</t>
  </si>
  <si>
    <t>NFLX</t>
  </si>
</sst>
</file>

<file path=xl/styles.xml><?xml version="1.0" encoding="utf-8"?>
<styleSheet xmlns="http://schemas.openxmlformats.org/spreadsheetml/2006/main">
  <numFmts count="3">
    <numFmt numFmtId="164" formatCode="d&quot;-&quot;mmm&quot;-&quot;yyyy"/>
    <numFmt numFmtId="165" formatCode="m/d/yyyy\ h:mm:ss"/>
    <numFmt numFmtId="166" formatCode="mm\-dd\-yyyy"/>
  </numFmts>
  <fonts count="7"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</font>
    <font>
      <sz val="10"/>
      <color theme="1"/>
      <name val="-apple-system"/>
    </font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165" fontId="1" fillId="0" borderId="0" xfId="0" applyNumberFormat="1" applyFont="1"/>
    <xf numFmtId="0" fontId="4" fillId="0" borderId="0" xfId="0" applyFont="1" applyAlignment="1"/>
    <xf numFmtId="0" fontId="4" fillId="0" borderId="0" xfId="0" applyFont="1" applyAlignme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tabSelected="1" topLeftCell="A2" workbookViewId="0">
      <selection activeCell="F5" sqref="F5"/>
    </sheetView>
  </sheetViews>
  <sheetFormatPr defaultColWidth="14.42578125" defaultRowHeight="15" customHeight="1"/>
  <cols>
    <col min="1" max="6" width="14.42578125" customWidth="1"/>
  </cols>
  <sheetData>
    <row r="1" spans="1:7" ht="15.75" customHeight="1">
      <c r="A1" s="1" t="s">
        <v>0</v>
      </c>
      <c r="C1" s="1" t="s">
        <v>1</v>
      </c>
      <c r="D1" s="1" t="s">
        <v>2</v>
      </c>
      <c r="F1" s="1" t="s">
        <v>3</v>
      </c>
    </row>
    <row r="2" spans="1:7" ht="15.75" customHeight="1">
      <c r="A2" s="1" t="s">
        <v>4</v>
      </c>
      <c r="C2" s="2">
        <v>43831</v>
      </c>
      <c r="D2" s="2">
        <v>44073</v>
      </c>
    </row>
    <row r="3" spans="1:7" ht="15.75" customHeight="1"/>
    <row r="4" spans="1:7" ht="15.75" customHeight="1">
      <c r="A4" s="3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5" t="s">
        <v>11</v>
      </c>
    </row>
    <row r="5" spans="1:7" ht="15.75" customHeight="1">
      <c r="A5" s="6">
        <v>43980</v>
      </c>
      <c r="B5" s="7">
        <v>197.35</v>
      </c>
      <c r="C5" s="7">
        <v>190.45</v>
      </c>
      <c r="D5" s="7">
        <v>198</v>
      </c>
      <c r="E5" s="7">
        <v>189</v>
      </c>
      <c r="F5" s="7" t="s">
        <v>12</v>
      </c>
      <c r="G5" s="8">
        <v>3.5099999999999999E-2</v>
      </c>
    </row>
    <row r="6" spans="1:7" ht="15.75" customHeight="1">
      <c r="A6" s="6">
        <v>43979</v>
      </c>
      <c r="B6" s="7">
        <v>190.65</v>
      </c>
      <c r="C6" s="7">
        <v>192.3</v>
      </c>
      <c r="D6" s="7">
        <v>192.9</v>
      </c>
      <c r="E6" s="7">
        <v>189</v>
      </c>
      <c r="F6" s="7" t="s">
        <v>13</v>
      </c>
      <c r="G6" s="8">
        <v>-7.7999999999999996E-3</v>
      </c>
    </row>
    <row r="7" spans="1:7" ht="15.75" customHeight="1">
      <c r="A7" s="6">
        <v>43978</v>
      </c>
      <c r="B7" s="7">
        <v>192.15</v>
      </c>
      <c r="C7" s="7">
        <v>192.5</v>
      </c>
      <c r="D7" s="7">
        <v>193.9</v>
      </c>
      <c r="E7" s="7">
        <v>186.9</v>
      </c>
      <c r="F7" s="7" t="s">
        <v>14</v>
      </c>
      <c r="G7" s="8">
        <v>2.3E-3</v>
      </c>
    </row>
    <row r="8" spans="1:7" ht="15.75" customHeight="1">
      <c r="A8" s="6">
        <v>43977</v>
      </c>
      <c r="B8" s="7">
        <v>191.7</v>
      </c>
      <c r="C8" s="7">
        <v>190</v>
      </c>
      <c r="D8" s="7">
        <v>194.95</v>
      </c>
      <c r="E8" s="7">
        <v>187.8</v>
      </c>
      <c r="F8" s="7" t="s">
        <v>15</v>
      </c>
      <c r="G8" s="8">
        <v>2.87E-2</v>
      </c>
    </row>
    <row r="9" spans="1:7" ht="15.75" customHeight="1">
      <c r="A9" s="6">
        <v>43973</v>
      </c>
      <c r="B9" s="7">
        <v>186.35</v>
      </c>
      <c r="C9" s="7">
        <v>188</v>
      </c>
      <c r="D9" s="7">
        <v>191.9</v>
      </c>
      <c r="E9" s="7">
        <v>184.6</v>
      </c>
      <c r="F9" s="7" t="s">
        <v>16</v>
      </c>
      <c r="G9" s="8">
        <v>-1.38E-2</v>
      </c>
    </row>
    <row r="10" spans="1:7" ht="15.75" customHeight="1">
      <c r="A10" s="6">
        <v>43972</v>
      </c>
      <c r="B10" s="7">
        <v>188.95</v>
      </c>
      <c r="C10" s="7">
        <v>175.6</v>
      </c>
      <c r="D10" s="7">
        <v>190.45</v>
      </c>
      <c r="E10" s="7">
        <v>172.65</v>
      </c>
      <c r="F10" s="7" t="s">
        <v>17</v>
      </c>
      <c r="G10" s="8">
        <v>7.51E-2</v>
      </c>
    </row>
    <row r="11" spans="1:7" ht="15.75" customHeight="1">
      <c r="A11" s="6">
        <v>43971</v>
      </c>
      <c r="B11" s="7">
        <v>175.75</v>
      </c>
      <c r="C11" s="7">
        <v>171.95</v>
      </c>
      <c r="D11" s="7">
        <v>177</v>
      </c>
      <c r="E11" s="7">
        <v>171</v>
      </c>
      <c r="F11" s="7" t="s">
        <v>18</v>
      </c>
      <c r="G11" s="8">
        <v>2.93E-2</v>
      </c>
    </row>
    <row r="12" spans="1:7" ht="15.75" customHeight="1">
      <c r="A12" s="6">
        <v>43970</v>
      </c>
      <c r="B12" s="7">
        <v>170.75</v>
      </c>
      <c r="C12" s="7">
        <v>166.5</v>
      </c>
      <c r="D12" s="7">
        <v>171.65</v>
      </c>
      <c r="E12" s="7">
        <v>165.1</v>
      </c>
      <c r="F12" s="7" t="s">
        <v>19</v>
      </c>
      <c r="G12" s="8">
        <v>3.6400000000000002E-2</v>
      </c>
    </row>
    <row r="13" spans="1:7" ht="15.75" customHeight="1">
      <c r="A13" s="6">
        <v>43969</v>
      </c>
      <c r="B13" s="7">
        <v>164.75</v>
      </c>
      <c r="C13" s="7">
        <v>166</v>
      </c>
      <c r="D13" s="7">
        <v>167.3</v>
      </c>
      <c r="E13" s="7">
        <v>163.15</v>
      </c>
      <c r="F13" s="7" t="s">
        <v>20</v>
      </c>
      <c r="G13" s="8">
        <v>5.9999999999999995E-4</v>
      </c>
    </row>
    <row r="14" spans="1:7" ht="15.75" customHeight="1">
      <c r="A14" s="6">
        <v>43966</v>
      </c>
      <c r="B14" s="7">
        <v>164.65</v>
      </c>
      <c r="C14" s="7">
        <v>162.19999999999999</v>
      </c>
      <c r="D14" s="7">
        <v>165.5</v>
      </c>
      <c r="E14" s="7">
        <v>161.15</v>
      </c>
      <c r="F14" s="7" t="s">
        <v>21</v>
      </c>
      <c r="G14" s="8">
        <v>5.1999999999999998E-3</v>
      </c>
    </row>
    <row r="15" spans="1:7" ht="15.75" customHeight="1">
      <c r="A15" s="6">
        <v>43965</v>
      </c>
      <c r="B15" s="7">
        <v>163.80000000000001</v>
      </c>
      <c r="C15" s="7">
        <v>164.5</v>
      </c>
      <c r="D15" s="7">
        <v>168.25</v>
      </c>
      <c r="E15" s="7">
        <v>161.94999999999999</v>
      </c>
      <c r="F15" s="7" t="s">
        <v>21</v>
      </c>
      <c r="G15" s="8">
        <v>-9.7000000000000003E-3</v>
      </c>
    </row>
    <row r="16" spans="1:7" ht="15.75" customHeight="1">
      <c r="A16" s="6">
        <v>43964</v>
      </c>
      <c r="B16" s="7">
        <v>165.4</v>
      </c>
      <c r="C16" s="7">
        <v>173.4</v>
      </c>
      <c r="D16" s="7">
        <v>173.6</v>
      </c>
      <c r="E16" s="7">
        <v>164.5</v>
      </c>
      <c r="F16" s="7" t="s">
        <v>22</v>
      </c>
      <c r="G16" s="8">
        <v>2.0999999999999999E-3</v>
      </c>
    </row>
    <row r="17" spans="1:7" ht="15.75" customHeight="1">
      <c r="A17" s="6">
        <v>43963</v>
      </c>
      <c r="B17" s="7">
        <v>165.05</v>
      </c>
      <c r="C17" s="7">
        <v>158.44999999999999</v>
      </c>
      <c r="D17" s="7">
        <v>165.9</v>
      </c>
      <c r="E17" s="7">
        <v>157.5</v>
      </c>
      <c r="F17" s="7" t="s">
        <v>23</v>
      </c>
      <c r="G17" s="8">
        <v>4.1700000000000001E-2</v>
      </c>
    </row>
    <row r="18" spans="1:7" ht="15.75" customHeight="1">
      <c r="A18" s="6">
        <v>43962</v>
      </c>
      <c r="B18" s="7">
        <v>158.44999999999999</v>
      </c>
      <c r="C18" s="7">
        <v>160</v>
      </c>
      <c r="D18" s="7">
        <v>163.5</v>
      </c>
      <c r="E18" s="7">
        <v>158</v>
      </c>
      <c r="F18" s="7" t="s">
        <v>24</v>
      </c>
      <c r="G18" s="8">
        <v>1.2999999999999999E-3</v>
      </c>
    </row>
    <row r="19" spans="1:7" ht="15.75" customHeight="1">
      <c r="A19" s="6">
        <v>43959</v>
      </c>
      <c r="B19" s="7">
        <v>158.25</v>
      </c>
      <c r="C19" s="7">
        <v>163.95</v>
      </c>
      <c r="D19" s="7">
        <v>164.15</v>
      </c>
      <c r="E19" s="7">
        <v>157.1</v>
      </c>
      <c r="F19" s="7" t="s">
        <v>25</v>
      </c>
      <c r="G19" s="8">
        <v>-1.7100000000000001E-2</v>
      </c>
    </row>
    <row r="20" spans="1:7" ht="15.75" customHeight="1">
      <c r="A20" s="6">
        <v>43958</v>
      </c>
      <c r="B20" s="7">
        <v>161</v>
      </c>
      <c r="C20" s="7">
        <v>164</v>
      </c>
      <c r="D20" s="7">
        <v>165.85</v>
      </c>
      <c r="E20" s="7">
        <v>160.5</v>
      </c>
      <c r="F20" s="7" t="s">
        <v>26</v>
      </c>
      <c r="G20" s="8">
        <v>-1.77E-2</v>
      </c>
    </row>
    <row r="21" spans="1:7" ht="15.75" customHeight="1">
      <c r="A21" s="6">
        <v>43957</v>
      </c>
      <c r="B21" s="7">
        <v>163.9</v>
      </c>
      <c r="C21" s="7">
        <v>171.4</v>
      </c>
      <c r="D21" s="7">
        <v>171.4</v>
      </c>
      <c r="E21" s="7">
        <v>160.5</v>
      </c>
      <c r="F21" s="7" t="s">
        <v>27</v>
      </c>
      <c r="G21" s="8">
        <v>-5.7500000000000002E-2</v>
      </c>
    </row>
    <row r="22" spans="1:7" ht="15.75" customHeight="1">
      <c r="A22" s="6">
        <v>43956</v>
      </c>
      <c r="B22" s="7">
        <v>173.9</v>
      </c>
      <c r="C22" s="7">
        <v>175</v>
      </c>
      <c r="D22" s="7">
        <v>177.45</v>
      </c>
      <c r="E22" s="7">
        <v>172</v>
      </c>
      <c r="F22" s="7" t="s">
        <v>28</v>
      </c>
      <c r="G22" s="8">
        <v>-8.9999999999999998E-4</v>
      </c>
    </row>
    <row r="23" spans="1:7" ht="15.75" customHeight="1">
      <c r="A23" s="6">
        <v>43955</v>
      </c>
      <c r="B23" s="7">
        <v>174.05</v>
      </c>
      <c r="C23" s="7">
        <v>181.75</v>
      </c>
      <c r="D23" s="7">
        <v>181.75</v>
      </c>
      <c r="E23" s="7">
        <v>170.65</v>
      </c>
      <c r="F23" s="7" t="s">
        <v>29</v>
      </c>
      <c r="G23" s="8">
        <v>-4.3900000000000002E-2</v>
      </c>
    </row>
    <row r="24" spans="1:7" ht="15.75" customHeight="1">
      <c r="A24" s="6">
        <v>43921</v>
      </c>
      <c r="B24" s="7">
        <v>171.7</v>
      </c>
      <c r="C24" s="7">
        <v>164</v>
      </c>
      <c r="D24" s="7">
        <v>173.85</v>
      </c>
      <c r="E24" s="7">
        <v>161.55000000000001</v>
      </c>
      <c r="F24" s="7" t="s">
        <v>30</v>
      </c>
      <c r="G24" s="8">
        <v>7.85E-2</v>
      </c>
    </row>
    <row r="25" spans="1:7" ht="15.75" customHeight="1">
      <c r="A25" s="6">
        <v>43920</v>
      </c>
      <c r="B25" s="7">
        <v>159.19999999999999</v>
      </c>
      <c r="C25" s="7">
        <v>156.05000000000001</v>
      </c>
      <c r="D25" s="7">
        <v>164.9</v>
      </c>
      <c r="E25" s="7">
        <v>156.05000000000001</v>
      </c>
      <c r="F25" s="7" t="s">
        <v>31</v>
      </c>
      <c r="G25" s="8">
        <v>-2.4500000000000001E-2</v>
      </c>
    </row>
    <row r="26" spans="1:7" ht="15.75" customHeight="1">
      <c r="A26" s="6">
        <v>43917</v>
      </c>
      <c r="B26" s="7">
        <v>163.19999999999999</v>
      </c>
      <c r="C26" s="7">
        <v>162</v>
      </c>
      <c r="D26" s="7">
        <v>166</v>
      </c>
      <c r="E26" s="7">
        <v>155</v>
      </c>
      <c r="F26" s="7" t="s">
        <v>32</v>
      </c>
      <c r="G26" s="8">
        <v>4.3499999999999997E-2</v>
      </c>
    </row>
    <row r="27" spans="1:7" ht="15.75" customHeight="1">
      <c r="A27" s="6">
        <v>43916</v>
      </c>
      <c r="B27" s="7">
        <v>156.4</v>
      </c>
      <c r="C27" s="7">
        <v>150</v>
      </c>
      <c r="D27" s="7">
        <v>159.4</v>
      </c>
      <c r="E27" s="7">
        <v>143.25</v>
      </c>
      <c r="F27" s="7" t="s">
        <v>33</v>
      </c>
      <c r="G27" s="8">
        <v>6.1400000000000003E-2</v>
      </c>
    </row>
    <row r="28" spans="1:7" ht="15.75" customHeight="1">
      <c r="A28" s="6">
        <v>43915</v>
      </c>
      <c r="B28" s="7">
        <v>147.35</v>
      </c>
      <c r="C28" s="7">
        <v>151</v>
      </c>
      <c r="D28" s="7">
        <v>152</v>
      </c>
      <c r="E28" s="7">
        <v>139</v>
      </c>
      <c r="F28" s="7" t="s">
        <v>34</v>
      </c>
      <c r="G28" s="8">
        <v>-1.5699999999999999E-2</v>
      </c>
    </row>
    <row r="29" spans="1:7" ht="15.75" customHeight="1">
      <c r="A29" s="6">
        <v>43914</v>
      </c>
      <c r="B29" s="7">
        <v>149.69999999999999</v>
      </c>
      <c r="C29" s="7">
        <v>162.94999999999999</v>
      </c>
      <c r="D29" s="7">
        <v>163.69999999999999</v>
      </c>
      <c r="E29" s="7">
        <v>147.4</v>
      </c>
      <c r="F29" s="7" t="s">
        <v>35</v>
      </c>
      <c r="G29" s="8">
        <v>-2.98E-2</v>
      </c>
    </row>
    <row r="30" spans="1:7" ht="15.75" customHeight="1">
      <c r="A30" s="6">
        <v>43913</v>
      </c>
      <c r="B30" s="7">
        <v>154.30000000000001</v>
      </c>
      <c r="C30" s="7">
        <v>158</v>
      </c>
      <c r="D30" s="7">
        <v>162</v>
      </c>
      <c r="E30" s="7">
        <v>149.19999999999999</v>
      </c>
      <c r="F30" s="7" t="s">
        <v>36</v>
      </c>
      <c r="G30" s="8">
        <v>-0.1208</v>
      </c>
    </row>
    <row r="31" spans="1:7" ht="15.75" customHeight="1">
      <c r="A31" s="6">
        <v>43910</v>
      </c>
      <c r="B31" s="7">
        <v>175.5</v>
      </c>
      <c r="C31" s="7">
        <v>165.1</v>
      </c>
      <c r="D31" s="7">
        <v>176.5</v>
      </c>
      <c r="E31" s="7">
        <v>165.1</v>
      </c>
      <c r="F31" s="7" t="s">
        <v>37</v>
      </c>
      <c r="G31" s="8">
        <v>8.43E-2</v>
      </c>
    </row>
    <row r="32" spans="1:7" ht="15.75" customHeight="1">
      <c r="A32" s="6">
        <v>43909</v>
      </c>
      <c r="B32" s="7">
        <v>161.85</v>
      </c>
      <c r="C32" s="7">
        <v>150.69999999999999</v>
      </c>
      <c r="D32" s="7">
        <v>163.55000000000001</v>
      </c>
      <c r="E32" s="7">
        <v>144.75</v>
      </c>
      <c r="F32" s="7" t="s">
        <v>38</v>
      </c>
      <c r="G32" s="8">
        <v>7.3999999999999996E-2</v>
      </c>
    </row>
    <row r="33" spans="1:7" ht="15.75" customHeight="1">
      <c r="A33" s="6">
        <v>43908</v>
      </c>
      <c r="B33" s="7">
        <v>150.69999999999999</v>
      </c>
      <c r="C33" s="7">
        <v>152.1</v>
      </c>
      <c r="D33" s="7">
        <v>154.65</v>
      </c>
      <c r="E33" s="7">
        <v>147.35</v>
      </c>
      <c r="F33" s="7" t="s">
        <v>39</v>
      </c>
      <c r="G33" s="8">
        <v>1.04E-2</v>
      </c>
    </row>
    <row r="34" spans="1:7" ht="15.75" customHeight="1">
      <c r="A34" s="6">
        <v>43907</v>
      </c>
      <c r="B34" s="7">
        <v>149.15</v>
      </c>
      <c r="C34" s="7">
        <v>148</v>
      </c>
      <c r="D34" s="7">
        <v>155.80000000000001</v>
      </c>
      <c r="E34" s="7">
        <v>146.05000000000001</v>
      </c>
      <c r="F34" s="7" t="s">
        <v>40</v>
      </c>
      <c r="G34" s="8">
        <v>1.29E-2</v>
      </c>
    </row>
    <row r="35" spans="1:7" ht="15.75" customHeight="1">
      <c r="A35" s="6">
        <v>43906</v>
      </c>
      <c r="B35" s="7">
        <v>147.25</v>
      </c>
      <c r="C35" s="7">
        <v>158</v>
      </c>
      <c r="D35" s="7">
        <v>158.1</v>
      </c>
      <c r="E35" s="7">
        <v>145.25</v>
      </c>
      <c r="F35" s="7" t="s">
        <v>41</v>
      </c>
      <c r="G35" s="8">
        <v>-9.2399999999999996E-2</v>
      </c>
    </row>
    <row r="36" spans="1:7" ht="15.75" customHeight="1">
      <c r="A36" s="6">
        <v>43903</v>
      </c>
      <c r="B36" s="7">
        <v>162.25</v>
      </c>
      <c r="C36" s="7">
        <v>150</v>
      </c>
      <c r="D36" s="7">
        <v>164</v>
      </c>
      <c r="E36" s="7">
        <v>134.6</v>
      </c>
      <c r="F36" s="7" t="s">
        <v>42</v>
      </c>
      <c r="G36" s="8">
        <v>4.1399999999999999E-2</v>
      </c>
    </row>
    <row r="37" spans="1:7" ht="15.75" customHeight="1">
      <c r="A37" s="6">
        <v>43902</v>
      </c>
      <c r="B37" s="7">
        <v>155.80000000000001</v>
      </c>
      <c r="C37" s="7">
        <v>169</v>
      </c>
      <c r="D37" s="7">
        <v>169.15</v>
      </c>
      <c r="E37" s="7">
        <v>150.55000000000001</v>
      </c>
      <c r="F37" s="7" t="s">
        <v>43</v>
      </c>
      <c r="G37" s="8">
        <v>-0.113</v>
      </c>
    </row>
    <row r="38" spans="1:7" ht="15.75" customHeight="1">
      <c r="A38" s="6">
        <v>43901</v>
      </c>
      <c r="B38" s="7">
        <v>175.65</v>
      </c>
      <c r="C38" s="7">
        <v>174</v>
      </c>
      <c r="D38" s="7">
        <v>176.75</v>
      </c>
      <c r="E38" s="7">
        <v>172.35</v>
      </c>
      <c r="F38" s="7" t="s">
        <v>44</v>
      </c>
      <c r="G38" s="8">
        <v>-8.6999999999999994E-3</v>
      </c>
    </row>
    <row r="39" spans="1:7" ht="15.75" customHeight="1">
      <c r="A39" s="6">
        <v>43899</v>
      </c>
      <c r="B39" s="7">
        <v>177.2</v>
      </c>
      <c r="C39" s="7">
        <v>179</v>
      </c>
      <c r="D39" s="7">
        <v>179</v>
      </c>
      <c r="E39" s="7">
        <v>174.5</v>
      </c>
      <c r="F39" s="7" t="s">
        <v>45</v>
      </c>
      <c r="G39" s="8">
        <v>-2.5000000000000001E-2</v>
      </c>
    </row>
    <row r="40" spans="1:7" ht="15.75" customHeight="1">
      <c r="A40" s="6">
        <v>43896</v>
      </c>
      <c r="B40" s="7">
        <v>181.75</v>
      </c>
      <c r="C40" s="7">
        <v>184.85</v>
      </c>
      <c r="D40" s="7">
        <v>184.85</v>
      </c>
      <c r="E40" s="7">
        <v>179.75</v>
      </c>
      <c r="F40" s="7" t="s">
        <v>46</v>
      </c>
      <c r="G40" s="8">
        <v>-3.3500000000000002E-2</v>
      </c>
    </row>
    <row r="41" spans="1:7" ht="15.75" customHeight="1">
      <c r="A41" s="6">
        <v>43895</v>
      </c>
      <c r="B41" s="7">
        <v>188.05</v>
      </c>
      <c r="C41" s="7">
        <v>187.55</v>
      </c>
      <c r="D41" s="7">
        <v>191.2</v>
      </c>
      <c r="E41" s="7">
        <v>186.55</v>
      </c>
      <c r="F41" s="7" t="s">
        <v>47</v>
      </c>
      <c r="G41" s="8">
        <v>2.8999999999999998E-3</v>
      </c>
    </row>
    <row r="42" spans="1:7" ht="15.75" customHeight="1">
      <c r="A42" s="6">
        <v>43894</v>
      </c>
      <c r="B42" s="7">
        <v>187.5</v>
      </c>
      <c r="C42" s="7">
        <v>194.95</v>
      </c>
      <c r="D42" s="7">
        <v>195.55</v>
      </c>
      <c r="E42" s="7">
        <v>186.55</v>
      </c>
      <c r="F42" s="7" t="s">
        <v>48</v>
      </c>
      <c r="G42" s="8">
        <v>-3.2800000000000003E-2</v>
      </c>
    </row>
    <row r="43" spans="1:7" ht="15.75" customHeight="1">
      <c r="A43" s="6">
        <v>43893</v>
      </c>
      <c r="B43" s="7">
        <v>193.85</v>
      </c>
      <c r="C43" s="7">
        <v>197</v>
      </c>
      <c r="D43" s="7">
        <v>197.45</v>
      </c>
      <c r="E43" s="7">
        <v>192.55</v>
      </c>
      <c r="F43" s="7" t="s">
        <v>49</v>
      </c>
      <c r="G43" s="8">
        <v>-7.4000000000000003E-3</v>
      </c>
    </row>
    <row r="44" spans="1:7" ht="15.75" customHeight="1">
      <c r="A44" s="6">
        <v>43892</v>
      </c>
      <c r="B44" s="7">
        <v>195.3</v>
      </c>
      <c r="C44" s="7">
        <v>199.5</v>
      </c>
      <c r="D44" s="7">
        <v>203.45</v>
      </c>
      <c r="E44" s="7">
        <v>193.65</v>
      </c>
      <c r="F44" s="7" t="s">
        <v>50</v>
      </c>
      <c r="G44" s="8">
        <v>-1.14E-2</v>
      </c>
    </row>
    <row r="45" spans="1:7" ht="15.75" customHeight="1">
      <c r="A45" s="6">
        <v>44012</v>
      </c>
      <c r="B45" s="7">
        <v>194.65</v>
      </c>
      <c r="C45" s="7">
        <v>199.4</v>
      </c>
      <c r="D45" s="7">
        <v>199.4</v>
      </c>
      <c r="E45" s="7">
        <v>194</v>
      </c>
      <c r="F45" s="7" t="s">
        <v>51</v>
      </c>
      <c r="G45" s="8">
        <v>-1.32E-2</v>
      </c>
    </row>
    <row r="46" spans="1:7" ht="15.75" customHeight="1">
      <c r="A46" s="6">
        <v>44011</v>
      </c>
      <c r="B46" s="7">
        <v>197.25</v>
      </c>
      <c r="C46" s="7">
        <v>202.5</v>
      </c>
      <c r="D46" s="7">
        <v>203</v>
      </c>
      <c r="E46" s="7">
        <v>196.2</v>
      </c>
      <c r="F46" s="7" t="s">
        <v>52</v>
      </c>
      <c r="G46" s="8">
        <v>1.0500000000000001E-2</v>
      </c>
    </row>
    <row r="47" spans="1:7" ht="15.75" customHeight="1">
      <c r="A47" s="9">
        <v>44008</v>
      </c>
      <c r="B47" s="7">
        <v>195.2</v>
      </c>
      <c r="C47" s="7">
        <v>206</v>
      </c>
      <c r="D47" s="7">
        <v>209.4</v>
      </c>
      <c r="E47" s="7">
        <v>193.3</v>
      </c>
      <c r="F47" s="7" t="s">
        <v>53</v>
      </c>
      <c r="G47" s="8">
        <v>-3.4099999999999998E-2</v>
      </c>
    </row>
    <row r="48" spans="1:7" ht="15.75" customHeight="1">
      <c r="A48" s="6">
        <v>44007</v>
      </c>
      <c r="B48" s="7">
        <v>202.1</v>
      </c>
      <c r="C48" s="7">
        <v>192.25</v>
      </c>
      <c r="D48" s="7">
        <v>203.5</v>
      </c>
      <c r="E48" s="7">
        <v>191.65</v>
      </c>
      <c r="F48" s="7" t="s">
        <v>54</v>
      </c>
      <c r="G48" s="8">
        <v>5.3400000000000003E-2</v>
      </c>
    </row>
    <row r="49" spans="1:7" ht="15.75" customHeight="1">
      <c r="A49" s="6">
        <v>44006</v>
      </c>
      <c r="B49" s="7">
        <v>191.85</v>
      </c>
      <c r="C49" s="7">
        <v>187.4</v>
      </c>
      <c r="D49" s="7">
        <v>194.7</v>
      </c>
      <c r="E49" s="7">
        <v>186.15</v>
      </c>
      <c r="F49" s="7" t="s">
        <v>55</v>
      </c>
      <c r="G49" s="8">
        <v>3.2300000000000002E-2</v>
      </c>
    </row>
    <row r="50" spans="1:7" ht="15.75" customHeight="1">
      <c r="A50" s="6">
        <v>44005</v>
      </c>
      <c r="B50" s="7">
        <v>185.85</v>
      </c>
      <c r="C50" s="7">
        <v>185.4</v>
      </c>
      <c r="D50" s="7">
        <v>187.5</v>
      </c>
      <c r="E50" s="7">
        <v>184.75</v>
      </c>
      <c r="F50" s="7" t="s">
        <v>56</v>
      </c>
      <c r="G50" s="8">
        <v>4.5999999999999999E-3</v>
      </c>
    </row>
    <row r="51" spans="1:7" ht="15.75" customHeight="1">
      <c r="A51" s="6">
        <v>44004</v>
      </c>
      <c r="B51" s="7">
        <v>185</v>
      </c>
      <c r="C51" s="7">
        <v>186.5</v>
      </c>
      <c r="D51" s="7">
        <v>187.5</v>
      </c>
      <c r="E51" s="7">
        <v>183.15</v>
      </c>
      <c r="F51" s="7" t="s">
        <v>57</v>
      </c>
      <c r="G51" s="8">
        <v>5.1999999999999998E-3</v>
      </c>
    </row>
    <row r="52" spans="1:7" ht="15.75" customHeight="1">
      <c r="A52" s="6">
        <v>44001</v>
      </c>
      <c r="B52" s="7">
        <v>184.05</v>
      </c>
      <c r="C52" s="7">
        <v>187.1</v>
      </c>
      <c r="D52" s="7">
        <v>187.95</v>
      </c>
      <c r="E52" s="7">
        <v>183.6</v>
      </c>
      <c r="F52" s="7" t="s">
        <v>58</v>
      </c>
      <c r="G52" s="8">
        <v>-1.37E-2</v>
      </c>
    </row>
    <row r="53" spans="1:7" ht="15.75" customHeight="1">
      <c r="A53" s="6">
        <v>44000</v>
      </c>
      <c r="B53" s="7">
        <v>186.6</v>
      </c>
      <c r="C53" s="7">
        <v>181.2</v>
      </c>
      <c r="D53" s="7">
        <v>187.5</v>
      </c>
      <c r="E53" s="7">
        <v>180.7</v>
      </c>
      <c r="F53" s="7" t="s">
        <v>59</v>
      </c>
      <c r="G53" s="8">
        <v>2.98E-2</v>
      </c>
    </row>
    <row r="54" spans="1:7" ht="15.75" customHeight="1">
      <c r="A54" s="6">
        <v>43999</v>
      </c>
      <c r="B54" s="7">
        <v>181.2</v>
      </c>
      <c r="C54" s="7">
        <v>184</v>
      </c>
      <c r="D54" s="7">
        <v>185</v>
      </c>
      <c r="E54" s="7">
        <v>180.7</v>
      </c>
      <c r="F54" s="7" t="s">
        <v>60</v>
      </c>
      <c r="G54" s="8">
        <v>-2.0500000000000001E-2</v>
      </c>
    </row>
    <row r="55" spans="1:7" ht="15.75" customHeight="1">
      <c r="A55" s="6">
        <v>43998</v>
      </c>
      <c r="B55" s="7">
        <v>185</v>
      </c>
      <c r="C55" s="7">
        <v>190.8</v>
      </c>
      <c r="D55" s="7">
        <v>190.95</v>
      </c>
      <c r="E55" s="7">
        <v>181.9</v>
      </c>
      <c r="F55" s="7" t="s">
        <v>61</v>
      </c>
      <c r="G55" s="8">
        <v>-1.18E-2</v>
      </c>
    </row>
    <row r="56" spans="1:7" ht="15.75" customHeight="1">
      <c r="A56" s="6">
        <v>43997</v>
      </c>
      <c r="B56" s="7">
        <v>187.2</v>
      </c>
      <c r="C56" s="7">
        <v>193.9</v>
      </c>
      <c r="D56" s="7">
        <v>193.95</v>
      </c>
      <c r="E56" s="7">
        <v>186.3</v>
      </c>
      <c r="F56" s="7" t="s">
        <v>62</v>
      </c>
      <c r="G56" s="8">
        <v>-3.4599999999999999E-2</v>
      </c>
    </row>
    <row r="57" spans="1:7" ht="15.75" customHeight="1">
      <c r="A57" s="6">
        <v>43994</v>
      </c>
      <c r="B57" s="7">
        <v>193.9</v>
      </c>
      <c r="C57" s="7">
        <v>188.95</v>
      </c>
      <c r="D57" s="7">
        <v>195.2</v>
      </c>
      <c r="E57" s="7">
        <v>187.85</v>
      </c>
      <c r="F57" s="7" t="s">
        <v>63</v>
      </c>
      <c r="G57" s="8">
        <v>-1.8E-3</v>
      </c>
    </row>
    <row r="58" spans="1:7" ht="15.75" customHeight="1">
      <c r="A58" s="6">
        <v>43993</v>
      </c>
      <c r="B58" s="7">
        <v>194.25</v>
      </c>
      <c r="C58" s="7">
        <v>200</v>
      </c>
      <c r="D58" s="7">
        <v>201.25</v>
      </c>
      <c r="E58" s="7">
        <v>193.6</v>
      </c>
      <c r="F58" s="7" t="s">
        <v>64</v>
      </c>
      <c r="G58" s="8">
        <v>-2.41E-2</v>
      </c>
    </row>
    <row r="59" spans="1:7" ht="15.75" customHeight="1">
      <c r="A59" s="6">
        <v>43992</v>
      </c>
      <c r="B59" s="7">
        <v>199.05</v>
      </c>
      <c r="C59" s="7">
        <v>199.45</v>
      </c>
      <c r="D59" s="7">
        <v>203.15</v>
      </c>
      <c r="E59" s="7">
        <v>198.3</v>
      </c>
      <c r="F59" s="7" t="s">
        <v>65</v>
      </c>
      <c r="G59" s="8">
        <v>2.8E-3</v>
      </c>
    </row>
    <row r="60" spans="1:7" ht="15.75" customHeight="1">
      <c r="A60" s="6">
        <v>43991</v>
      </c>
      <c r="B60" s="7">
        <v>198.5</v>
      </c>
      <c r="C60" s="7">
        <v>198.25</v>
      </c>
      <c r="D60" s="7">
        <v>206.2</v>
      </c>
      <c r="E60" s="7">
        <v>197.65</v>
      </c>
      <c r="F60" s="7" t="s">
        <v>66</v>
      </c>
      <c r="G60" s="8">
        <v>4.3E-3</v>
      </c>
    </row>
    <row r="61" spans="1:7" ht="15.75" customHeight="1">
      <c r="A61" s="6">
        <v>43990</v>
      </c>
      <c r="B61" s="7">
        <v>197.65</v>
      </c>
      <c r="C61" s="7">
        <v>202.9</v>
      </c>
      <c r="D61" s="7">
        <v>203.65</v>
      </c>
      <c r="E61" s="7">
        <v>197</v>
      </c>
      <c r="F61" s="7" t="s">
        <v>67</v>
      </c>
      <c r="G61" s="8">
        <v>-1.18E-2</v>
      </c>
    </row>
    <row r="62" spans="1:7" ht="15.75" customHeight="1">
      <c r="A62" s="6">
        <v>43987</v>
      </c>
      <c r="B62" s="7">
        <v>200</v>
      </c>
      <c r="C62" s="7">
        <v>201.8</v>
      </c>
      <c r="D62" s="7">
        <v>202</v>
      </c>
      <c r="E62" s="7">
        <v>198.65</v>
      </c>
      <c r="F62" s="7" t="s">
        <v>68</v>
      </c>
      <c r="G62" s="8">
        <v>-6.9999999999999999E-4</v>
      </c>
    </row>
    <row r="63" spans="1:7" ht="15.75" customHeight="1">
      <c r="A63" s="6">
        <v>43986</v>
      </c>
      <c r="B63" s="7">
        <v>200.15</v>
      </c>
      <c r="C63" s="7">
        <v>197.75</v>
      </c>
      <c r="D63" s="7">
        <v>202.5</v>
      </c>
      <c r="E63" s="7">
        <v>195</v>
      </c>
      <c r="F63" s="7" t="s">
        <v>69</v>
      </c>
      <c r="G63" s="8">
        <v>1.7500000000000002E-2</v>
      </c>
    </row>
    <row r="64" spans="1:7" ht="15.75" customHeight="1">
      <c r="A64" s="6">
        <v>43985</v>
      </c>
      <c r="B64" s="7">
        <v>196.7</v>
      </c>
      <c r="C64" s="7">
        <v>200</v>
      </c>
      <c r="D64" s="7">
        <v>200.9</v>
      </c>
      <c r="E64" s="7">
        <v>195.6</v>
      </c>
      <c r="F64" s="7" t="s">
        <v>70</v>
      </c>
      <c r="G64" s="8">
        <v>-2.8E-3</v>
      </c>
    </row>
    <row r="65" spans="1:7" ht="15.75" customHeight="1">
      <c r="A65" s="6">
        <v>43984</v>
      </c>
      <c r="B65" s="7">
        <v>197.25</v>
      </c>
      <c r="C65" s="7">
        <v>201.9</v>
      </c>
      <c r="D65" s="7">
        <v>201.9</v>
      </c>
      <c r="E65" s="7">
        <v>196.7</v>
      </c>
      <c r="F65" s="7" t="s">
        <v>71</v>
      </c>
      <c r="G65" s="8">
        <v>-1.6500000000000001E-2</v>
      </c>
    </row>
    <row r="66" spans="1:7" ht="15.75" customHeight="1">
      <c r="A66" s="6">
        <v>43983</v>
      </c>
      <c r="B66" s="7">
        <v>200.55</v>
      </c>
      <c r="C66" s="7">
        <v>201</v>
      </c>
      <c r="D66" s="7">
        <v>205.25</v>
      </c>
      <c r="E66" s="7">
        <v>199</v>
      </c>
      <c r="F66" s="7" t="s">
        <v>72</v>
      </c>
      <c r="G66" s="8">
        <v>1.6199999999999999E-2</v>
      </c>
    </row>
    <row r="67" spans="1:7" ht="15.75" customHeight="1">
      <c r="A67" s="6">
        <v>44043</v>
      </c>
      <c r="B67" s="7">
        <v>194.15</v>
      </c>
      <c r="C67" s="7">
        <v>193.5</v>
      </c>
      <c r="D67" s="7">
        <v>196.95</v>
      </c>
      <c r="E67" s="7">
        <v>193.5</v>
      </c>
      <c r="F67" s="7" t="s">
        <v>73</v>
      </c>
      <c r="G67" s="8">
        <v>4.1000000000000003E-3</v>
      </c>
    </row>
    <row r="68" spans="1:7" ht="15.75" customHeight="1">
      <c r="A68" s="6">
        <v>44042</v>
      </c>
      <c r="B68" s="7">
        <v>193.35</v>
      </c>
      <c r="C68" s="7">
        <v>198.4</v>
      </c>
      <c r="D68" s="7">
        <v>198.4</v>
      </c>
      <c r="E68" s="7">
        <v>192.5</v>
      </c>
      <c r="F68" s="7" t="s">
        <v>74</v>
      </c>
      <c r="G68" s="8">
        <v>-1.7000000000000001E-2</v>
      </c>
    </row>
    <row r="69" spans="1:7" ht="15.75" customHeight="1">
      <c r="A69" s="6">
        <v>44041</v>
      </c>
      <c r="B69" s="7">
        <v>196.7</v>
      </c>
      <c r="C69" s="7">
        <v>193.45</v>
      </c>
      <c r="D69" s="7">
        <v>198.2</v>
      </c>
      <c r="E69" s="7">
        <v>193.4</v>
      </c>
      <c r="F69" s="7" t="s">
        <v>75</v>
      </c>
      <c r="G69" s="8">
        <v>6.7000000000000002E-3</v>
      </c>
    </row>
    <row r="70" spans="1:7" ht="15.75" customHeight="1">
      <c r="A70" s="6">
        <v>44040</v>
      </c>
      <c r="B70" s="7">
        <v>195.4</v>
      </c>
      <c r="C70" s="7">
        <v>197</v>
      </c>
      <c r="D70" s="7">
        <v>198.65</v>
      </c>
      <c r="E70" s="7">
        <v>195.05</v>
      </c>
      <c r="F70" s="7" t="s">
        <v>76</v>
      </c>
      <c r="G70" s="8">
        <v>-5.1000000000000004E-3</v>
      </c>
    </row>
    <row r="71" spans="1:7" ht="15.75" customHeight="1">
      <c r="A71" s="6">
        <v>44039</v>
      </c>
      <c r="B71" s="7">
        <v>196.4</v>
      </c>
      <c r="C71" s="7">
        <v>200.5</v>
      </c>
      <c r="D71" s="7">
        <v>200.5</v>
      </c>
      <c r="E71" s="7">
        <v>195.15</v>
      </c>
      <c r="F71" s="7" t="s">
        <v>77</v>
      </c>
      <c r="G71" s="8">
        <v>-1.6E-2</v>
      </c>
    </row>
    <row r="72" spans="1:7" ht="15.75" customHeight="1">
      <c r="A72" s="9">
        <v>44036</v>
      </c>
      <c r="B72" s="7">
        <v>199.6</v>
      </c>
      <c r="C72" s="7">
        <v>201</v>
      </c>
      <c r="D72" s="7">
        <v>201.7</v>
      </c>
      <c r="E72" s="7">
        <v>197.3</v>
      </c>
      <c r="F72" s="7" t="s">
        <v>78</v>
      </c>
      <c r="G72" s="8">
        <v>-5.4999999999999997E-3</v>
      </c>
    </row>
    <row r="73" spans="1:7" ht="15.75" customHeight="1">
      <c r="A73" s="6">
        <v>44035</v>
      </c>
      <c r="B73" s="7">
        <v>200.7</v>
      </c>
      <c r="C73" s="7">
        <v>197.65</v>
      </c>
      <c r="D73" s="7">
        <v>201.5</v>
      </c>
      <c r="E73" s="7">
        <v>196.8</v>
      </c>
      <c r="F73" s="7" t="s">
        <v>79</v>
      </c>
      <c r="G73" s="8">
        <v>2.1100000000000001E-2</v>
      </c>
    </row>
    <row r="74" spans="1:7" ht="15.75" customHeight="1">
      <c r="A74" s="6">
        <v>44034</v>
      </c>
      <c r="B74" s="7">
        <v>196.55</v>
      </c>
      <c r="C74" s="7">
        <v>193</v>
      </c>
      <c r="D74" s="7">
        <v>197.9</v>
      </c>
      <c r="E74" s="7">
        <v>192.5</v>
      </c>
      <c r="F74" s="7" t="s">
        <v>80</v>
      </c>
      <c r="G74" s="8">
        <v>2.24E-2</v>
      </c>
    </row>
    <row r="75" spans="1:7" ht="15.75" customHeight="1">
      <c r="A75" s="6">
        <v>44033</v>
      </c>
      <c r="B75" s="7">
        <v>192.25</v>
      </c>
      <c r="C75" s="7">
        <v>192.1</v>
      </c>
      <c r="D75" s="7">
        <v>194.2</v>
      </c>
      <c r="E75" s="7">
        <v>191.5</v>
      </c>
      <c r="F75" s="7" t="s">
        <v>81</v>
      </c>
      <c r="G75" s="8">
        <v>-2.3E-3</v>
      </c>
    </row>
    <row r="76" spans="1:7" ht="15.75" customHeight="1">
      <c r="A76" s="6">
        <v>44032</v>
      </c>
      <c r="B76" s="7">
        <v>192.7</v>
      </c>
      <c r="C76" s="7">
        <v>195</v>
      </c>
      <c r="D76" s="7">
        <v>195.35</v>
      </c>
      <c r="E76" s="7">
        <v>192.35</v>
      </c>
      <c r="F76" s="7" t="s">
        <v>82</v>
      </c>
      <c r="G76" s="8">
        <v>-7.0000000000000001E-3</v>
      </c>
    </row>
    <row r="77" spans="1:7" ht="15.75" customHeight="1">
      <c r="A77" s="6">
        <v>44029</v>
      </c>
      <c r="B77" s="7">
        <v>194.05</v>
      </c>
      <c r="C77" s="7">
        <v>193.3</v>
      </c>
      <c r="D77" s="7">
        <v>195.4</v>
      </c>
      <c r="E77" s="7">
        <v>193</v>
      </c>
      <c r="F77" s="7" t="s">
        <v>83</v>
      </c>
      <c r="G77" s="8">
        <v>1E-3</v>
      </c>
    </row>
    <row r="78" spans="1:7" ht="15.75" customHeight="1">
      <c r="A78" s="6">
        <v>44028</v>
      </c>
      <c r="B78" s="7">
        <v>193.85</v>
      </c>
      <c r="C78" s="7">
        <v>198.7</v>
      </c>
      <c r="D78" s="7">
        <v>198.85</v>
      </c>
      <c r="E78" s="7">
        <v>192</v>
      </c>
      <c r="F78" s="7" t="s">
        <v>84</v>
      </c>
      <c r="G78" s="8">
        <v>-2.4400000000000002E-2</v>
      </c>
    </row>
    <row r="79" spans="1:7" ht="15.75" customHeight="1">
      <c r="A79" s="6">
        <v>44027</v>
      </c>
      <c r="B79" s="7">
        <v>198.7</v>
      </c>
      <c r="C79" s="7">
        <v>196.35</v>
      </c>
      <c r="D79" s="7">
        <v>200</v>
      </c>
      <c r="E79" s="7">
        <v>194.5</v>
      </c>
      <c r="F79" s="7" t="s">
        <v>85</v>
      </c>
      <c r="G79" s="8">
        <v>1.43E-2</v>
      </c>
    </row>
    <row r="80" spans="1:7" ht="15.75" customHeight="1">
      <c r="A80" s="6">
        <v>44026</v>
      </c>
      <c r="B80" s="7">
        <v>195.9</v>
      </c>
      <c r="C80" s="7">
        <v>197.4</v>
      </c>
      <c r="D80" s="7">
        <v>199.5</v>
      </c>
      <c r="E80" s="7">
        <v>192.75</v>
      </c>
      <c r="F80" s="7" t="s">
        <v>86</v>
      </c>
      <c r="G80" s="8">
        <v>-8.3999999999999995E-3</v>
      </c>
    </row>
    <row r="81" spans="1:7" ht="15.75" customHeight="1">
      <c r="A81" s="6">
        <v>44025</v>
      </c>
      <c r="B81" s="7">
        <v>197.55</v>
      </c>
      <c r="C81" s="7">
        <v>195.9</v>
      </c>
      <c r="D81" s="7">
        <v>198.75</v>
      </c>
      <c r="E81" s="7">
        <v>195.1</v>
      </c>
      <c r="F81" s="7" t="s">
        <v>87</v>
      </c>
      <c r="G81" s="8">
        <v>1.6500000000000001E-2</v>
      </c>
    </row>
    <row r="82" spans="1:7" ht="15.75" customHeight="1">
      <c r="A82" s="6">
        <v>44022</v>
      </c>
      <c r="B82" s="7">
        <v>194.35</v>
      </c>
      <c r="C82" s="7">
        <v>195.15</v>
      </c>
      <c r="D82" s="7">
        <v>196.5</v>
      </c>
      <c r="E82" s="7">
        <v>194</v>
      </c>
      <c r="F82" s="7" t="s">
        <v>88</v>
      </c>
      <c r="G82" s="8">
        <v>-5.5999999999999999E-3</v>
      </c>
    </row>
    <row r="83" spans="1:7" ht="15.75" customHeight="1">
      <c r="A83" s="6">
        <v>44021</v>
      </c>
      <c r="B83" s="7">
        <v>195.45</v>
      </c>
      <c r="C83" s="7">
        <v>196.9</v>
      </c>
      <c r="D83" s="7">
        <v>197</v>
      </c>
      <c r="E83" s="7">
        <v>194.15</v>
      </c>
      <c r="F83" s="7" t="s">
        <v>89</v>
      </c>
      <c r="G83" s="8">
        <v>-4.3E-3</v>
      </c>
    </row>
    <row r="84" spans="1:7" ht="15.75" customHeight="1">
      <c r="A84" s="6">
        <v>44020</v>
      </c>
      <c r="B84" s="7">
        <v>196.3</v>
      </c>
      <c r="C84" s="7">
        <v>194.25</v>
      </c>
      <c r="D84" s="7">
        <v>197.95</v>
      </c>
      <c r="E84" s="7">
        <v>194.25</v>
      </c>
      <c r="F84" s="7" t="s">
        <v>90</v>
      </c>
      <c r="G84" s="8">
        <v>1.06E-2</v>
      </c>
    </row>
    <row r="85" spans="1:7" ht="15.75" customHeight="1">
      <c r="A85" s="6">
        <v>44019</v>
      </c>
      <c r="B85" s="7">
        <v>194.25</v>
      </c>
      <c r="C85" s="7">
        <v>200</v>
      </c>
      <c r="D85" s="7">
        <v>200.5</v>
      </c>
      <c r="E85" s="7">
        <v>194</v>
      </c>
      <c r="F85" s="7" t="s">
        <v>91</v>
      </c>
      <c r="G85" s="8">
        <v>-2.7799999999999998E-2</v>
      </c>
    </row>
    <row r="86" spans="1:7" ht="15.75" customHeight="1">
      <c r="A86" s="9">
        <v>44018</v>
      </c>
      <c r="B86" s="7">
        <v>199.8</v>
      </c>
      <c r="C86" s="7">
        <v>200.35</v>
      </c>
      <c r="D86" s="7">
        <v>201.95</v>
      </c>
      <c r="E86" s="7">
        <v>198.95</v>
      </c>
      <c r="F86" s="7" t="s">
        <v>92</v>
      </c>
      <c r="G86" s="8">
        <v>-3.73E-2</v>
      </c>
    </row>
    <row r="87" spans="1:7" ht="15.75" customHeight="1">
      <c r="A87" s="6">
        <v>44015</v>
      </c>
      <c r="B87" s="7">
        <v>207.55</v>
      </c>
      <c r="C87" s="7">
        <v>208</v>
      </c>
      <c r="D87" s="7">
        <v>208.5</v>
      </c>
      <c r="E87" s="7">
        <v>206</v>
      </c>
      <c r="F87" s="7" t="s">
        <v>93</v>
      </c>
      <c r="G87" s="8">
        <v>8.3000000000000001E-3</v>
      </c>
    </row>
    <row r="88" spans="1:7" ht="15.75" customHeight="1">
      <c r="A88" s="6">
        <v>44014</v>
      </c>
      <c r="B88" s="7">
        <v>205.85</v>
      </c>
      <c r="C88" s="7">
        <v>204.45</v>
      </c>
      <c r="D88" s="7">
        <v>206.75</v>
      </c>
      <c r="E88" s="7">
        <v>202.55</v>
      </c>
      <c r="F88" s="7" t="s">
        <v>94</v>
      </c>
      <c r="G88" s="8">
        <v>1.4500000000000001E-2</v>
      </c>
    </row>
    <row r="89" spans="1:7" ht="15.75" customHeight="1">
      <c r="A89" s="6">
        <v>44013</v>
      </c>
      <c r="B89" s="7">
        <v>202.9</v>
      </c>
      <c r="C89" s="7">
        <v>194.65</v>
      </c>
      <c r="D89" s="7">
        <v>203.85</v>
      </c>
      <c r="E89" s="7">
        <v>194.65</v>
      </c>
      <c r="F89" s="7" t="s">
        <v>95</v>
      </c>
      <c r="G89" s="8">
        <v>4.24E-2</v>
      </c>
    </row>
    <row r="90" spans="1:7" ht="15.75" customHeight="1">
      <c r="A90" s="9">
        <v>43861</v>
      </c>
      <c r="B90" s="7">
        <v>235.15</v>
      </c>
      <c r="C90" s="7">
        <v>235.75</v>
      </c>
      <c r="D90" s="7">
        <v>238.4</v>
      </c>
      <c r="E90" s="7">
        <v>234.05</v>
      </c>
      <c r="F90" s="7" t="s">
        <v>96</v>
      </c>
      <c r="G90" s="8">
        <v>4.7000000000000002E-3</v>
      </c>
    </row>
    <row r="91" spans="1:7" ht="15.75" customHeight="1">
      <c r="A91" s="6">
        <v>43860</v>
      </c>
      <c r="B91" s="7">
        <v>234.05</v>
      </c>
      <c r="C91" s="7">
        <v>236.95</v>
      </c>
      <c r="D91" s="7">
        <v>237</v>
      </c>
      <c r="E91" s="7">
        <v>233</v>
      </c>
      <c r="F91" s="7" t="s">
        <v>97</v>
      </c>
      <c r="G91" s="8">
        <v>-1.0999999999999999E-2</v>
      </c>
    </row>
    <row r="92" spans="1:7" ht="15.75" customHeight="1">
      <c r="A92" s="6">
        <v>43859</v>
      </c>
      <c r="B92" s="7">
        <v>236.65</v>
      </c>
      <c r="C92" s="7">
        <v>231.5</v>
      </c>
      <c r="D92" s="7">
        <v>237.65</v>
      </c>
      <c r="E92" s="7">
        <v>231.15</v>
      </c>
      <c r="F92" s="7" t="s">
        <v>98</v>
      </c>
      <c r="G92" s="8">
        <v>2.5600000000000001E-2</v>
      </c>
    </row>
    <row r="93" spans="1:7" ht="15.75" customHeight="1">
      <c r="A93" s="6">
        <v>43858</v>
      </c>
      <c r="B93" s="7">
        <v>230.75</v>
      </c>
      <c r="C93" s="7">
        <v>234.75</v>
      </c>
      <c r="D93" s="7">
        <v>235.9</v>
      </c>
      <c r="E93" s="7">
        <v>230.5</v>
      </c>
      <c r="F93" s="7" t="s">
        <v>99</v>
      </c>
      <c r="G93" s="8">
        <v>-1.6400000000000001E-2</v>
      </c>
    </row>
    <row r="94" spans="1:7" ht="15.75" customHeight="1">
      <c r="A94" s="6">
        <v>43857</v>
      </c>
      <c r="B94" s="7">
        <v>234.6</v>
      </c>
      <c r="C94" s="7">
        <v>237</v>
      </c>
      <c r="D94" s="7">
        <v>237.4</v>
      </c>
      <c r="E94" s="7">
        <v>234.3</v>
      </c>
      <c r="F94" s="7" t="s">
        <v>100</v>
      </c>
      <c r="G94" s="8">
        <v>-1.49E-2</v>
      </c>
    </row>
    <row r="95" spans="1:7" ht="15.75" customHeight="1">
      <c r="A95" s="6">
        <v>43854</v>
      </c>
      <c r="B95" s="7">
        <v>238.15</v>
      </c>
      <c r="C95" s="7">
        <v>237.4</v>
      </c>
      <c r="D95" s="7">
        <v>239.1</v>
      </c>
      <c r="E95" s="7">
        <v>237</v>
      </c>
      <c r="F95" s="7" t="s">
        <v>101</v>
      </c>
      <c r="G95" s="8">
        <v>1.1000000000000001E-3</v>
      </c>
    </row>
    <row r="96" spans="1:7" ht="15.75" customHeight="1">
      <c r="A96" s="6">
        <v>43853</v>
      </c>
      <c r="B96" s="7">
        <v>237.9</v>
      </c>
      <c r="C96" s="7">
        <v>238.1</v>
      </c>
      <c r="D96" s="7">
        <v>238.75</v>
      </c>
      <c r="E96" s="7">
        <v>236.9</v>
      </c>
      <c r="F96" s="7" t="s">
        <v>102</v>
      </c>
      <c r="G96" s="8">
        <v>-5.9999999999999995E-4</v>
      </c>
    </row>
    <row r="97" spans="1:7" ht="15.75" customHeight="1">
      <c r="A97" s="6">
        <v>43852</v>
      </c>
      <c r="B97" s="7">
        <v>238.05</v>
      </c>
      <c r="C97" s="7">
        <v>239.6</v>
      </c>
      <c r="D97" s="7">
        <v>239.6</v>
      </c>
      <c r="E97" s="7">
        <v>237.1</v>
      </c>
      <c r="F97" s="7" t="s">
        <v>103</v>
      </c>
      <c r="G97" s="8">
        <v>-1.6999999999999999E-3</v>
      </c>
    </row>
    <row r="98" spans="1:7" ht="15.75" customHeight="1">
      <c r="A98" s="6">
        <v>43851</v>
      </c>
      <c r="B98" s="7">
        <v>238.45</v>
      </c>
      <c r="C98" s="7">
        <v>241.45</v>
      </c>
      <c r="D98" s="7">
        <v>241.45</v>
      </c>
      <c r="E98" s="7">
        <v>238</v>
      </c>
      <c r="F98" s="7" t="s">
        <v>104</v>
      </c>
      <c r="G98" s="8">
        <v>-1.43E-2</v>
      </c>
    </row>
    <row r="99" spans="1:7" ht="15.75" customHeight="1">
      <c r="A99" s="6">
        <v>43850</v>
      </c>
      <c r="B99" s="7">
        <v>241.9</v>
      </c>
      <c r="C99" s="7">
        <v>240.05</v>
      </c>
      <c r="D99" s="7">
        <v>243.25</v>
      </c>
      <c r="E99" s="7">
        <v>240.05</v>
      </c>
      <c r="F99" s="7" t="s">
        <v>105</v>
      </c>
      <c r="G99" s="8">
        <v>8.0999999999999996E-3</v>
      </c>
    </row>
    <row r="100" spans="1:7" ht="15.75" customHeight="1">
      <c r="A100" s="6">
        <v>43847</v>
      </c>
      <c r="B100" s="7">
        <v>239.95</v>
      </c>
      <c r="C100" s="7">
        <v>240.75</v>
      </c>
      <c r="D100" s="7">
        <v>242.1</v>
      </c>
      <c r="E100" s="7">
        <v>239.4</v>
      </c>
      <c r="F100" s="7" t="s">
        <v>106</v>
      </c>
      <c r="G100" s="8">
        <v>-3.3E-3</v>
      </c>
    </row>
    <row r="101" spans="1:7" ht="15.75" customHeight="1">
      <c r="A101" s="6">
        <v>43846</v>
      </c>
      <c r="B101" s="7">
        <v>240.75</v>
      </c>
      <c r="C101" s="7">
        <v>242.5</v>
      </c>
      <c r="D101" s="7">
        <v>243.9</v>
      </c>
      <c r="E101" s="7">
        <v>240.1</v>
      </c>
      <c r="F101" s="7" t="s">
        <v>107</v>
      </c>
      <c r="G101" s="8">
        <v>-6.7999999999999996E-3</v>
      </c>
    </row>
    <row r="102" spans="1:7" ht="15.75" customHeight="1">
      <c r="A102" s="6">
        <v>43845</v>
      </c>
      <c r="B102" s="7">
        <v>242.4</v>
      </c>
      <c r="C102" s="7">
        <v>242.55</v>
      </c>
      <c r="D102" s="7">
        <v>243</v>
      </c>
      <c r="E102" s="7">
        <v>241.1</v>
      </c>
      <c r="F102" s="7" t="s">
        <v>108</v>
      </c>
      <c r="G102" s="8">
        <v>-3.5000000000000001E-3</v>
      </c>
    </row>
    <row r="103" spans="1:7" ht="15.75" customHeight="1">
      <c r="A103" s="6">
        <v>43844</v>
      </c>
      <c r="B103" s="7">
        <v>243.25</v>
      </c>
      <c r="C103" s="7">
        <v>240.25</v>
      </c>
      <c r="D103" s="7">
        <v>243.8</v>
      </c>
      <c r="E103" s="7">
        <v>238.3</v>
      </c>
      <c r="F103" s="7" t="s">
        <v>109</v>
      </c>
      <c r="G103" s="8">
        <v>1.67E-2</v>
      </c>
    </row>
    <row r="104" spans="1:7" ht="15.75" customHeight="1">
      <c r="A104" s="6">
        <v>43843</v>
      </c>
      <c r="B104" s="7">
        <v>239.25</v>
      </c>
      <c r="C104" s="7">
        <v>238.5</v>
      </c>
      <c r="D104" s="7">
        <v>240.5</v>
      </c>
      <c r="E104" s="7">
        <v>238.25</v>
      </c>
      <c r="F104" s="7" t="s">
        <v>110</v>
      </c>
      <c r="G104" s="8">
        <v>5.3E-3</v>
      </c>
    </row>
    <row r="105" spans="1:7" ht="15.75" customHeight="1">
      <c r="A105" s="6">
        <v>43840</v>
      </c>
      <c r="B105" s="7">
        <v>238</v>
      </c>
      <c r="C105" s="7">
        <v>237.6</v>
      </c>
      <c r="D105" s="7">
        <v>238.75</v>
      </c>
      <c r="E105" s="7">
        <v>236.8</v>
      </c>
      <c r="F105" s="7" t="s">
        <v>111</v>
      </c>
      <c r="G105" s="8">
        <v>9.2999999999999992E-3</v>
      </c>
    </row>
    <row r="106" spans="1:7" ht="15.75" customHeight="1">
      <c r="A106" s="6">
        <v>43839</v>
      </c>
      <c r="B106" s="7">
        <v>235.8</v>
      </c>
      <c r="C106" s="7">
        <v>235.6</v>
      </c>
      <c r="D106" s="7">
        <v>236.6</v>
      </c>
      <c r="E106" s="7">
        <v>235.05</v>
      </c>
      <c r="F106" s="7" t="s">
        <v>112</v>
      </c>
      <c r="G106" s="8">
        <v>6.7999999999999996E-3</v>
      </c>
    </row>
    <row r="107" spans="1:7" ht="15.75" customHeight="1">
      <c r="A107" s="6">
        <v>43838</v>
      </c>
      <c r="B107" s="7">
        <v>234.2</v>
      </c>
      <c r="C107" s="7">
        <v>234</v>
      </c>
      <c r="D107" s="7">
        <v>235.8</v>
      </c>
      <c r="E107" s="7">
        <v>233.25</v>
      </c>
      <c r="F107" s="7" t="s">
        <v>113</v>
      </c>
      <c r="G107" s="8">
        <v>-4.8999999999999998E-3</v>
      </c>
    </row>
    <row r="108" spans="1:7" ht="15.75" customHeight="1">
      <c r="A108" s="6">
        <v>43837</v>
      </c>
      <c r="B108" s="7">
        <v>235.35</v>
      </c>
      <c r="C108" s="7">
        <v>236.05</v>
      </c>
      <c r="D108" s="7">
        <v>237.9</v>
      </c>
      <c r="E108" s="7">
        <v>234.6</v>
      </c>
      <c r="F108" s="7" t="s">
        <v>114</v>
      </c>
      <c r="G108" s="8">
        <v>1.1000000000000001E-3</v>
      </c>
    </row>
    <row r="109" spans="1:7" ht="15.75" customHeight="1">
      <c r="A109" s="6">
        <v>43836</v>
      </c>
      <c r="B109" s="7">
        <v>235.1</v>
      </c>
      <c r="C109" s="7">
        <v>237.5</v>
      </c>
      <c r="D109" s="7">
        <v>238.3</v>
      </c>
      <c r="E109" s="7">
        <v>235</v>
      </c>
      <c r="F109" s="7" t="s">
        <v>115</v>
      </c>
      <c r="G109" s="8">
        <v>-1.43E-2</v>
      </c>
    </row>
    <row r="110" spans="1:7" ht="15.75" customHeight="1">
      <c r="A110" s="6">
        <v>43833</v>
      </c>
      <c r="B110" s="7">
        <v>238.5</v>
      </c>
      <c r="C110" s="7">
        <v>241</v>
      </c>
      <c r="D110" s="7">
        <v>241</v>
      </c>
      <c r="E110" s="7">
        <v>238</v>
      </c>
      <c r="F110" s="7" t="s">
        <v>116</v>
      </c>
      <c r="G110" s="8">
        <v>-5.5999999999999999E-3</v>
      </c>
    </row>
    <row r="111" spans="1:7" ht="15.75" customHeight="1">
      <c r="A111" s="6">
        <v>43832</v>
      </c>
      <c r="B111" s="7">
        <v>239.85</v>
      </c>
      <c r="C111" s="7">
        <v>238.2</v>
      </c>
      <c r="D111" s="7">
        <v>240.95</v>
      </c>
      <c r="E111" s="7">
        <v>238.1</v>
      </c>
      <c r="F111" s="7" t="s">
        <v>117</v>
      </c>
      <c r="G111" s="8">
        <v>7.3000000000000001E-3</v>
      </c>
    </row>
    <row r="112" spans="1:7" ht="15.75" customHeight="1">
      <c r="A112" s="6">
        <v>43831</v>
      </c>
      <c r="B112" s="7">
        <v>238.1</v>
      </c>
      <c r="C112" s="7">
        <v>238.6</v>
      </c>
      <c r="D112" s="7">
        <v>238.6</v>
      </c>
      <c r="E112" s="7">
        <v>237.1</v>
      </c>
      <c r="F112" s="7" t="s">
        <v>118</v>
      </c>
      <c r="G112" s="8">
        <v>1.6999999999999999E-3</v>
      </c>
    </row>
    <row r="113" spans="1:7" ht="15.75" customHeight="1">
      <c r="A113" s="6">
        <v>43889</v>
      </c>
      <c r="B113" s="7">
        <v>197.55</v>
      </c>
      <c r="C113" s="7">
        <v>195</v>
      </c>
      <c r="D113" s="7">
        <v>199.9</v>
      </c>
      <c r="E113" s="7">
        <v>192.05</v>
      </c>
      <c r="F113" s="7" t="s">
        <v>119</v>
      </c>
      <c r="G113" s="8">
        <v>0</v>
      </c>
    </row>
    <row r="114" spans="1:7" ht="15.75" customHeight="1">
      <c r="A114" s="6">
        <v>43888</v>
      </c>
      <c r="B114" s="7">
        <v>197.55</v>
      </c>
      <c r="C114" s="7">
        <v>198.4</v>
      </c>
      <c r="D114" s="7">
        <v>199.15</v>
      </c>
      <c r="E114" s="7">
        <v>195.9</v>
      </c>
      <c r="F114" s="7" t="s">
        <v>120</v>
      </c>
      <c r="G114" s="8">
        <v>-5.3E-3</v>
      </c>
    </row>
    <row r="115" spans="1:7" ht="15.75" customHeight="1">
      <c r="A115" s="6">
        <v>43887</v>
      </c>
      <c r="B115" s="7">
        <v>198.6</v>
      </c>
      <c r="C115" s="7">
        <v>200.65</v>
      </c>
      <c r="D115" s="7">
        <v>201.95</v>
      </c>
      <c r="E115" s="7">
        <v>196.3</v>
      </c>
      <c r="F115" s="7" t="s">
        <v>121</v>
      </c>
      <c r="G115" s="8">
        <v>-1.5900000000000001E-2</v>
      </c>
    </row>
    <row r="116" spans="1:7" ht="15.75" customHeight="1">
      <c r="A116" s="6">
        <v>43886</v>
      </c>
      <c r="B116" s="7">
        <v>201.8</v>
      </c>
      <c r="C116" s="7">
        <v>203.8</v>
      </c>
      <c r="D116" s="7">
        <v>205.4</v>
      </c>
      <c r="E116" s="7">
        <v>201.5</v>
      </c>
      <c r="F116" s="7" t="s">
        <v>122</v>
      </c>
      <c r="G116" s="8">
        <v>-5.8999999999999999E-3</v>
      </c>
    </row>
    <row r="117" spans="1:7" ht="15.75" customHeight="1">
      <c r="A117" s="6">
        <v>43885</v>
      </c>
      <c r="B117" s="7">
        <v>203</v>
      </c>
      <c r="C117" s="7">
        <v>207</v>
      </c>
      <c r="D117" s="7">
        <v>207.45</v>
      </c>
      <c r="E117" s="7">
        <v>201.8</v>
      </c>
      <c r="F117" s="7" t="s">
        <v>123</v>
      </c>
      <c r="G117" s="8">
        <v>-2.1499999999999998E-2</v>
      </c>
    </row>
    <row r="118" spans="1:7" ht="15.75" customHeight="1">
      <c r="A118" s="6">
        <v>43881</v>
      </c>
      <c r="B118" s="7">
        <v>207.45</v>
      </c>
      <c r="C118" s="7">
        <v>207</v>
      </c>
      <c r="D118" s="7">
        <v>208.55</v>
      </c>
      <c r="E118" s="7">
        <v>205.45</v>
      </c>
      <c r="F118" s="7" t="s">
        <v>124</v>
      </c>
      <c r="G118" s="8">
        <v>3.5999999999999999E-3</v>
      </c>
    </row>
    <row r="119" spans="1:7" ht="15.75" customHeight="1">
      <c r="A119" s="6">
        <v>43880</v>
      </c>
      <c r="B119" s="7">
        <v>206.7</v>
      </c>
      <c r="C119" s="7">
        <v>205.25</v>
      </c>
      <c r="D119" s="7">
        <v>207.15</v>
      </c>
      <c r="E119" s="7">
        <v>203.85</v>
      </c>
      <c r="F119" s="7" t="s">
        <v>125</v>
      </c>
      <c r="G119" s="8">
        <v>1.4E-2</v>
      </c>
    </row>
    <row r="120" spans="1:7" ht="15.75" customHeight="1">
      <c r="A120" s="6">
        <v>43879</v>
      </c>
      <c r="B120" s="7">
        <v>203.85</v>
      </c>
      <c r="C120" s="7">
        <v>204.55</v>
      </c>
      <c r="D120" s="7">
        <v>204.6</v>
      </c>
      <c r="E120" s="7">
        <v>200.5</v>
      </c>
      <c r="F120" s="7" t="s">
        <v>126</v>
      </c>
      <c r="G120" s="8">
        <v>-4.5999999999999999E-3</v>
      </c>
    </row>
    <row r="121" spans="1:7" ht="15.75" customHeight="1">
      <c r="A121" s="6">
        <v>43878</v>
      </c>
      <c r="B121" s="7">
        <v>204.8</v>
      </c>
      <c r="C121" s="7">
        <v>208</v>
      </c>
      <c r="D121" s="7">
        <v>208.65</v>
      </c>
      <c r="E121" s="7">
        <v>204</v>
      </c>
      <c r="F121" s="7" t="s">
        <v>127</v>
      </c>
      <c r="G121" s="8">
        <v>-1.4E-2</v>
      </c>
    </row>
    <row r="122" spans="1:7" ht="15.75" customHeight="1">
      <c r="A122" s="6">
        <v>43875</v>
      </c>
      <c r="B122" s="7">
        <v>207.7</v>
      </c>
      <c r="C122" s="7">
        <v>212.25</v>
      </c>
      <c r="D122" s="7">
        <v>212.9</v>
      </c>
      <c r="E122" s="7">
        <v>206.8</v>
      </c>
      <c r="F122" s="7" t="s">
        <v>128</v>
      </c>
      <c r="G122" s="8">
        <v>-1.9800000000000002E-2</v>
      </c>
    </row>
    <row r="123" spans="1:7" ht="15.75" customHeight="1">
      <c r="A123" s="6">
        <v>43874</v>
      </c>
      <c r="B123" s="7">
        <v>211.9</v>
      </c>
      <c r="C123" s="7">
        <v>213.05</v>
      </c>
      <c r="D123" s="7">
        <v>213.45</v>
      </c>
      <c r="E123" s="7">
        <v>211.2</v>
      </c>
      <c r="F123" s="7" t="s">
        <v>129</v>
      </c>
      <c r="G123" s="8">
        <v>-5.4000000000000003E-3</v>
      </c>
    </row>
    <row r="124" spans="1:7" ht="15.75" customHeight="1">
      <c r="A124" s="6">
        <v>43873</v>
      </c>
      <c r="B124" s="7">
        <v>213.05</v>
      </c>
      <c r="C124" s="7">
        <v>213.4</v>
      </c>
      <c r="D124" s="7">
        <v>214.8</v>
      </c>
      <c r="E124" s="7">
        <v>211.8</v>
      </c>
      <c r="F124" s="7" t="s">
        <v>130</v>
      </c>
      <c r="G124" s="8">
        <v>2.0999999999999999E-3</v>
      </c>
    </row>
    <row r="125" spans="1:7" ht="15.75" customHeight="1">
      <c r="A125" s="6">
        <v>43872</v>
      </c>
      <c r="B125" s="7">
        <v>212.6</v>
      </c>
      <c r="C125" s="7">
        <v>216.5</v>
      </c>
      <c r="D125" s="7">
        <v>216.95</v>
      </c>
      <c r="E125" s="7">
        <v>211.8</v>
      </c>
      <c r="F125" s="7" t="s">
        <v>131</v>
      </c>
      <c r="G125" s="8">
        <v>9.7000000000000003E-3</v>
      </c>
    </row>
    <row r="126" spans="1:7" ht="15.75" customHeight="1">
      <c r="A126" s="6">
        <v>43871</v>
      </c>
      <c r="B126" s="7">
        <v>210.55</v>
      </c>
      <c r="C126" s="7">
        <v>214</v>
      </c>
      <c r="D126" s="7">
        <v>214.05</v>
      </c>
      <c r="E126" s="7">
        <v>210.05</v>
      </c>
      <c r="F126" s="7" t="s">
        <v>132</v>
      </c>
      <c r="G126" s="8">
        <v>-1.34E-2</v>
      </c>
    </row>
    <row r="127" spans="1:7" ht="15.75" customHeight="1">
      <c r="A127" s="6">
        <v>43868</v>
      </c>
      <c r="B127" s="7">
        <v>213.4</v>
      </c>
      <c r="C127" s="7">
        <v>213.8</v>
      </c>
      <c r="D127" s="7">
        <v>215.7</v>
      </c>
      <c r="E127" s="7">
        <v>212.75</v>
      </c>
      <c r="F127" s="7" t="s">
        <v>133</v>
      </c>
      <c r="G127" s="8">
        <v>-6.9999999999999999E-4</v>
      </c>
    </row>
    <row r="128" spans="1:7" ht="15.75" customHeight="1">
      <c r="A128" s="6">
        <v>43867</v>
      </c>
      <c r="B128" s="7">
        <v>213.55</v>
      </c>
      <c r="C128" s="7">
        <v>218</v>
      </c>
      <c r="D128" s="7">
        <v>219.9</v>
      </c>
      <c r="E128" s="7">
        <v>211.8</v>
      </c>
      <c r="F128" s="7" t="s">
        <v>134</v>
      </c>
      <c r="G128" s="8">
        <v>-1.34E-2</v>
      </c>
    </row>
    <row r="129" spans="1:7" ht="15.75" customHeight="1">
      <c r="A129" s="6">
        <v>43866</v>
      </c>
      <c r="B129" s="7">
        <v>216.45</v>
      </c>
      <c r="C129" s="7">
        <v>216.3</v>
      </c>
      <c r="D129" s="7">
        <v>217.5</v>
      </c>
      <c r="E129" s="7">
        <v>211.5</v>
      </c>
      <c r="F129" s="7" t="s">
        <v>135</v>
      </c>
      <c r="G129" s="8">
        <v>3.7000000000000002E-3</v>
      </c>
    </row>
    <row r="130" spans="1:7" ht="15.75" customHeight="1">
      <c r="A130" s="6">
        <v>43865</v>
      </c>
      <c r="B130" s="7">
        <v>215.65</v>
      </c>
      <c r="C130" s="7">
        <v>210.8</v>
      </c>
      <c r="D130" s="7">
        <v>217.6</v>
      </c>
      <c r="E130" s="7">
        <v>209.15</v>
      </c>
      <c r="F130" s="7" t="s">
        <v>136</v>
      </c>
      <c r="G130" s="8">
        <v>3.8800000000000001E-2</v>
      </c>
    </row>
    <row r="131" spans="1:7" ht="15.75" customHeight="1">
      <c r="A131" s="6">
        <v>43864</v>
      </c>
      <c r="B131" s="7">
        <v>207.6</v>
      </c>
      <c r="C131" s="7">
        <v>215</v>
      </c>
      <c r="D131" s="7">
        <v>216.9</v>
      </c>
      <c r="E131" s="7">
        <v>205</v>
      </c>
      <c r="F131" s="7" t="s">
        <v>137</v>
      </c>
      <c r="G131" s="8">
        <v>-5.21E-2</v>
      </c>
    </row>
    <row r="132" spans="1:7" ht="15.75" customHeight="1">
      <c r="A132" s="6">
        <v>43862</v>
      </c>
      <c r="B132" s="7">
        <v>219</v>
      </c>
      <c r="C132" s="7">
        <v>236.6</v>
      </c>
      <c r="D132" s="7">
        <v>239.1</v>
      </c>
      <c r="E132" s="7">
        <v>215.65</v>
      </c>
      <c r="F132" s="7" t="s">
        <v>138</v>
      </c>
      <c r="G132" s="8">
        <v>-6.8699999999999997E-2</v>
      </c>
    </row>
    <row r="133" spans="1:7" ht="15.75" customHeight="1">
      <c r="A133" s="6">
        <v>44057</v>
      </c>
      <c r="B133" s="7">
        <v>196.4</v>
      </c>
      <c r="C133" s="7">
        <v>201.6</v>
      </c>
      <c r="D133" s="7">
        <v>203.35</v>
      </c>
      <c r="E133" s="7">
        <v>195.5</v>
      </c>
      <c r="F133" s="7" t="s">
        <v>139</v>
      </c>
      <c r="G133" s="8">
        <v>-2.5100000000000001E-2</v>
      </c>
    </row>
    <row r="134" spans="1:7" ht="15.75" customHeight="1">
      <c r="A134" s="6">
        <v>44056</v>
      </c>
      <c r="B134" s="7">
        <v>201.45</v>
      </c>
      <c r="C134" s="7">
        <v>203.5</v>
      </c>
      <c r="D134" s="7">
        <v>204.2</v>
      </c>
      <c r="E134" s="7">
        <v>197.1</v>
      </c>
      <c r="F134" s="7" t="s">
        <v>140</v>
      </c>
      <c r="G134" s="8">
        <v>-1.35E-2</v>
      </c>
    </row>
    <row r="135" spans="1:7" ht="15.75" customHeight="1">
      <c r="A135" s="6">
        <v>44055</v>
      </c>
      <c r="B135" s="7">
        <v>204.2</v>
      </c>
      <c r="C135" s="7">
        <v>202.5</v>
      </c>
      <c r="D135" s="7">
        <v>204.9</v>
      </c>
      <c r="E135" s="7">
        <v>200.4</v>
      </c>
      <c r="F135" s="7" t="s">
        <v>141</v>
      </c>
      <c r="G135" s="8">
        <v>5.7000000000000002E-3</v>
      </c>
    </row>
    <row r="136" spans="1:7" ht="15.75" customHeight="1">
      <c r="A136" s="6">
        <v>44054</v>
      </c>
      <c r="B136" s="7">
        <v>203.05</v>
      </c>
      <c r="C136" s="7">
        <v>200</v>
      </c>
      <c r="D136" s="7">
        <v>207.7</v>
      </c>
      <c r="E136" s="7">
        <v>200</v>
      </c>
      <c r="F136" s="7" t="s">
        <v>142</v>
      </c>
      <c r="G136" s="8">
        <v>2.1100000000000001E-2</v>
      </c>
    </row>
    <row r="137" spans="1:7" ht="15.75" customHeight="1">
      <c r="A137" s="6">
        <v>44053</v>
      </c>
      <c r="B137" s="7">
        <v>198.85</v>
      </c>
      <c r="C137" s="7">
        <v>196.4</v>
      </c>
      <c r="D137" s="7">
        <v>199.65</v>
      </c>
      <c r="E137" s="7">
        <v>196.4</v>
      </c>
      <c r="F137" s="7" t="s">
        <v>143</v>
      </c>
      <c r="G137" s="8">
        <v>1.43E-2</v>
      </c>
    </row>
    <row r="138" spans="1:7" ht="15.75" customHeight="1">
      <c r="A138" s="6">
        <v>44050</v>
      </c>
      <c r="B138" s="7">
        <v>196.05</v>
      </c>
      <c r="C138" s="7">
        <v>195.5</v>
      </c>
      <c r="D138" s="7">
        <v>197</v>
      </c>
      <c r="E138" s="7">
        <v>194.15</v>
      </c>
      <c r="F138" s="7" t="s">
        <v>144</v>
      </c>
      <c r="G138" s="8">
        <v>3.5999999999999999E-3</v>
      </c>
    </row>
    <row r="139" spans="1:7" ht="15.75" customHeight="1">
      <c r="A139" s="6">
        <v>44049</v>
      </c>
      <c r="B139" s="7">
        <v>195.35</v>
      </c>
      <c r="C139" s="7">
        <v>194.2</v>
      </c>
      <c r="D139" s="7">
        <v>195.6</v>
      </c>
      <c r="E139" s="7">
        <v>193.1</v>
      </c>
      <c r="F139" s="7" t="s">
        <v>145</v>
      </c>
      <c r="G139" s="8">
        <v>1.32E-2</v>
      </c>
    </row>
    <row r="140" spans="1:7" ht="15.75" customHeight="1">
      <c r="A140" s="6">
        <v>44048</v>
      </c>
      <c r="B140" s="7">
        <v>192.8</v>
      </c>
      <c r="C140" s="7">
        <v>194.5</v>
      </c>
      <c r="D140" s="7">
        <v>194.6</v>
      </c>
      <c r="E140" s="7">
        <v>191.7</v>
      </c>
      <c r="F140" s="7" t="s">
        <v>146</v>
      </c>
      <c r="G140" s="8">
        <v>-4.4000000000000003E-3</v>
      </c>
    </row>
    <row r="141" spans="1:7" ht="15.75" customHeight="1">
      <c r="A141" s="6">
        <v>44047</v>
      </c>
      <c r="B141" s="7">
        <v>193.65</v>
      </c>
      <c r="C141" s="7">
        <v>192.6</v>
      </c>
      <c r="D141" s="7">
        <v>195.8</v>
      </c>
      <c r="E141" s="7">
        <v>192.6</v>
      </c>
      <c r="F141" s="7" t="s">
        <v>147</v>
      </c>
      <c r="G141" s="8">
        <v>5.4999999999999997E-3</v>
      </c>
    </row>
    <row r="142" spans="1:7" ht="15.75" customHeight="1">
      <c r="A142" s="6">
        <v>44046</v>
      </c>
      <c r="B142" s="7">
        <v>192.6</v>
      </c>
      <c r="C142" s="7">
        <v>194</v>
      </c>
      <c r="D142" s="7">
        <v>194</v>
      </c>
      <c r="E142" s="7">
        <v>191.9</v>
      </c>
      <c r="F142" s="7" t="s">
        <v>148</v>
      </c>
      <c r="G142" s="8">
        <v>-8.0000000000000002E-3</v>
      </c>
    </row>
    <row r="143" spans="1:7" ht="15.75" customHeight="1">
      <c r="A143" s="6">
        <v>43951</v>
      </c>
      <c r="B143" s="7">
        <v>182.05</v>
      </c>
      <c r="C143" s="7">
        <v>184.9</v>
      </c>
      <c r="D143" s="7">
        <v>184.9</v>
      </c>
      <c r="E143" s="7">
        <v>180.45</v>
      </c>
      <c r="F143" s="7" t="s">
        <v>149</v>
      </c>
      <c r="G143" s="8">
        <v>-5.0000000000000001E-4</v>
      </c>
    </row>
    <row r="144" spans="1:7" ht="15.75" customHeight="1">
      <c r="A144" s="6">
        <v>43950</v>
      </c>
      <c r="B144" s="7">
        <v>182.15</v>
      </c>
      <c r="C144" s="7">
        <v>180.5</v>
      </c>
      <c r="D144" s="7">
        <v>182.9</v>
      </c>
      <c r="E144" s="7">
        <v>179.65</v>
      </c>
      <c r="F144" s="7" t="s">
        <v>150</v>
      </c>
      <c r="G144" s="8">
        <v>1.4999999999999999E-2</v>
      </c>
    </row>
    <row r="145" spans="1:7" ht="15.75" customHeight="1">
      <c r="A145" s="6">
        <v>43949</v>
      </c>
      <c r="B145" s="7">
        <v>179.45</v>
      </c>
      <c r="C145" s="7">
        <v>180</v>
      </c>
      <c r="D145" s="7">
        <v>180.8</v>
      </c>
      <c r="E145" s="7">
        <v>178.05</v>
      </c>
      <c r="F145" s="7" t="s">
        <v>151</v>
      </c>
      <c r="G145" s="8">
        <v>-2.2000000000000001E-3</v>
      </c>
    </row>
    <row r="146" spans="1:7" ht="15.75" customHeight="1">
      <c r="A146" s="6">
        <v>43948</v>
      </c>
      <c r="B146" s="7">
        <v>179.85</v>
      </c>
      <c r="C146" s="7">
        <v>180.25</v>
      </c>
      <c r="D146" s="7">
        <v>182.3</v>
      </c>
      <c r="E146" s="7">
        <v>179.3</v>
      </c>
      <c r="F146" s="7" t="s">
        <v>152</v>
      </c>
      <c r="G146" s="8">
        <v>-1.1000000000000001E-3</v>
      </c>
    </row>
    <row r="147" spans="1:7" ht="15.75" customHeight="1">
      <c r="A147" s="6">
        <v>43945</v>
      </c>
      <c r="B147" s="7">
        <v>180.05</v>
      </c>
      <c r="C147" s="7">
        <v>181</v>
      </c>
      <c r="D147" s="7">
        <v>182.8</v>
      </c>
      <c r="E147" s="7">
        <v>179.3</v>
      </c>
      <c r="F147" s="7" t="s">
        <v>153</v>
      </c>
      <c r="G147" s="8">
        <v>-2.8E-3</v>
      </c>
    </row>
    <row r="148" spans="1:7" ht="15.75" customHeight="1">
      <c r="A148" s="6">
        <v>43944</v>
      </c>
      <c r="B148" s="7">
        <v>180.55</v>
      </c>
      <c r="C148" s="7">
        <v>182.95</v>
      </c>
      <c r="D148" s="7">
        <v>184</v>
      </c>
      <c r="E148" s="7">
        <v>179.65</v>
      </c>
      <c r="F148" s="7" t="s">
        <v>154</v>
      </c>
      <c r="G148" s="8">
        <v>-9.2999999999999992E-3</v>
      </c>
    </row>
    <row r="149" spans="1:7" ht="15.75" customHeight="1">
      <c r="A149" s="6">
        <v>43943</v>
      </c>
      <c r="B149" s="7">
        <v>182.25</v>
      </c>
      <c r="C149" s="7">
        <v>179</v>
      </c>
      <c r="D149" s="7">
        <v>183.55</v>
      </c>
      <c r="E149" s="7">
        <v>176</v>
      </c>
      <c r="F149" s="7" t="s">
        <v>155</v>
      </c>
      <c r="G149" s="8">
        <v>1.4800000000000001E-2</v>
      </c>
    </row>
    <row r="150" spans="1:7" ht="15.75" customHeight="1">
      <c r="A150" s="6">
        <v>43942</v>
      </c>
      <c r="B150" s="7">
        <v>179.6</v>
      </c>
      <c r="C150" s="7">
        <v>178</v>
      </c>
      <c r="D150" s="7">
        <v>184.3</v>
      </c>
      <c r="E150" s="7">
        <v>176.05</v>
      </c>
      <c r="F150" s="7" t="s">
        <v>156</v>
      </c>
      <c r="G150" s="8">
        <v>-6.1000000000000004E-3</v>
      </c>
    </row>
    <row r="151" spans="1:7" ht="15.75" customHeight="1">
      <c r="A151" s="6">
        <v>43941</v>
      </c>
      <c r="B151" s="7">
        <v>180.7</v>
      </c>
      <c r="C151" s="7">
        <v>189.95</v>
      </c>
      <c r="D151" s="7">
        <v>189.95</v>
      </c>
      <c r="E151" s="7">
        <v>179.5</v>
      </c>
      <c r="F151" s="7" t="s">
        <v>136</v>
      </c>
      <c r="G151" s="8">
        <v>-3.9300000000000002E-2</v>
      </c>
    </row>
    <row r="152" spans="1:7" ht="15.75" customHeight="1">
      <c r="A152" s="6">
        <v>43938</v>
      </c>
      <c r="B152" s="7">
        <v>188.1</v>
      </c>
      <c r="C152" s="7">
        <v>190.45</v>
      </c>
      <c r="D152" s="7">
        <v>191.4</v>
      </c>
      <c r="E152" s="7">
        <v>186.95</v>
      </c>
      <c r="F152" s="7" t="s">
        <v>157</v>
      </c>
      <c r="G152" s="8">
        <v>9.4000000000000004E-3</v>
      </c>
    </row>
    <row r="153" spans="1:7" ht="15.75" customHeight="1">
      <c r="A153" s="6">
        <v>43937</v>
      </c>
      <c r="B153" s="7">
        <v>186.35</v>
      </c>
      <c r="C153" s="7">
        <v>189.65</v>
      </c>
      <c r="D153" s="7">
        <v>191.2</v>
      </c>
      <c r="E153" s="7">
        <v>185.45</v>
      </c>
      <c r="F153" s="7" t="s">
        <v>158</v>
      </c>
      <c r="G153" s="8">
        <v>-1.5800000000000002E-2</v>
      </c>
    </row>
    <row r="154" spans="1:7" ht="15.75" customHeight="1">
      <c r="A154" s="6">
        <v>43936</v>
      </c>
      <c r="B154" s="7">
        <v>189.35</v>
      </c>
      <c r="C154" s="7">
        <v>184.05</v>
      </c>
      <c r="D154" s="7">
        <v>193.75</v>
      </c>
      <c r="E154" s="7">
        <v>182.7</v>
      </c>
      <c r="F154" s="7" t="s">
        <v>159</v>
      </c>
      <c r="G154" s="8">
        <v>4.2700000000000002E-2</v>
      </c>
    </row>
    <row r="155" spans="1:7" ht="15.75" customHeight="1">
      <c r="A155" s="6">
        <v>43934</v>
      </c>
      <c r="B155" s="7">
        <v>181.6</v>
      </c>
      <c r="C155" s="7">
        <v>184.5</v>
      </c>
      <c r="D155" s="7">
        <v>186.65</v>
      </c>
      <c r="E155" s="7">
        <v>181.05</v>
      </c>
      <c r="F155" s="7" t="s">
        <v>160</v>
      </c>
      <c r="G155" s="8">
        <v>-1.9699999999999999E-2</v>
      </c>
    </row>
    <row r="156" spans="1:7" ht="15.75" customHeight="1">
      <c r="A156" s="6">
        <v>43930</v>
      </c>
      <c r="B156" s="7">
        <v>185.25</v>
      </c>
      <c r="C156" s="7">
        <v>184</v>
      </c>
      <c r="D156" s="7">
        <v>186.25</v>
      </c>
      <c r="E156" s="7">
        <v>180</v>
      </c>
      <c r="F156" s="7" t="s">
        <v>161</v>
      </c>
      <c r="G156" s="8">
        <v>3.6900000000000002E-2</v>
      </c>
    </row>
    <row r="157" spans="1:7" ht="15.75" customHeight="1">
      <c r="A157" s="6">
        <v>43929</v>
      </c>
      <c r="B157" s="7">
        <v>178.65</v>
      </c>
      <c r="C157" s="7">
        <v>180.85</v>
      </c>
      <c r="D157" s="7">
        <v>184</v>
      </c>
      <c r="E157" s="7">
        <v>176.65</v>
      </c>
      <c r="F157" s="7" t="s">
        <v>162</v>
      </c>
      <c r="G157" s="8">
        <v>-1.6E-2</v>
      </c>
    </row>
    <row r="158" spans="1:7" ht="15.75" customHeight="1">
      <c r="A158" s="6">
        <v>43928</v>
      </c>
      <c r="B158" s="7">
        <v>181.55</v>
      </c>
      <c r="C158" s="7">
        <v>185.7</v>
      </c>
      <c r="D158" s="7">
        <v>185.7</v>
      </c>
      <c r="E158" s="7">
        <v>173.65</v>
      </c>
      <c r="F158" s="7" t="s">
        <v>163</v>
      </c>
      <c r="G158" s="8">
        <v>2.0500000000000001E-2</v>
      </c>
    </row>
    <row r="159" spans="1:7" ht="15.75" customHeight="1">
      <c r="A159" s="6">
        <v>43924</v>
      </c>
      <c r="B159" s="7">
        <v>177.9</v>
      </c>
      <c r="C159" s="7">
        <v>167.9</v>
      </c>
      <c r="D159" s="7">
        <v>182.75</v>
      </c>
      <c r="E159" s="7">
        <v>167</v>
      </c>
      <c r="F159" s="7" t="s">
        <v>164</v>
      </c>
      <c r="G159" s="8">
        <v>6.9099999999999995E-2</v>
      </c>
    </row>
    <row r="160" spans="1:7" ht="15.75" customHeight="1">
      <c r="A160" s="6">
        <v>43922</v>
      </c>
      <c r="B160" s="7">
        <v>166.4</v>
      </c>
      <c r="C160" s="7">
        <v>171.7</v>
      </c>
      <c r="D160" s="7">
        <v>172.75</v>
      </c>
      <c r="E160" s="7">
        <v>164.55</v>
      </c>
      <c r="F160" s="7" t="s">
        <v>165</v>
      </c>
      <c r="G160" s="8">
        <v>-3.09E-2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G160">
    <filterColumn colId="0"/>
  </autoFilter>
  <dataValidations count="1">
    <dataValidation type="custom" allowBlank="1" showDropDown="1" showErrorMessage="1" sqref="C2:D2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6" ht="15.75" customHeight="1">
      <c r="A1" s="1" t="s">
        <v>0</v>
      </c>
      <c r="C1" s="1" t="s">
        <v>1</v>
      </c>
      <c r="D1" s="1" t="s">
        <v>2</v>
      </c>
    </row>
    <row r="2" spans="1:6" ht="15.75" customHeight="1">
      <c r="A2" s="1" t="s">
        <v>166</v>
      </c>
      <c r="C2" s="2">
        <v>43831</v>
      </c>
      <c r="D2" s="2">
        <v>44059</v>
      </c>
    </row>
    <row r="3" spans="1:6" ht="15.75" customHeight="1"/>
    <row r="4" spans="1:6" ht="15.75" customHeight="1"/>
    <row r="5" spans="1:6" ht="15.75" customHeight="1">
      <c r="A5" s="1" t="str">
        <f ca="1">IFERROR(__xludf.DUMMYFUNCTION("GOOGLEFINANCE(A2,""all"",C2, D2, ""DAILY"")"),"Date")</f>
        <v>Date</v>
      </c>
      <c r="B5" s="1" t="str">
        <f ca="1">IFERROR(__xludf.DUMMYFUNCTION("""COMPUTED_VALUE"""),"Open")</f>
        <v>Open</v>
      </c>
      <c r="C5" s="1" t="str">
        <f ca="1">IFERROR(__xludf.DUMMYFUNCTION("""COMPUTED_VALUE"""),"High")</f>
        <v>High</v>
      </c>
      <c r="D5" s="1" t="str">
        <f ca="1">IFERROR(__xludf.DUMMYFUNCTION("""COMPUTED_VALUE"""),"Low")</f>
        <v>Low</v>
      </c>
      <c r="E5" s="1" t="str">
        <f ca="1">IFERROR(__xludf.DUMMYFUNCTION("""COMPUTED_VALUE"""),"Close")</f>
        <v>Close</v>
      </c>
      <c r="F5" s="1" t="str">
        <f ca="1">IFERROR(__xludf.DUMMYFUNCTION("""COMPUTED_VALUE"""),"Volume")</f>
        <v>Volume</v>
      </c>
    </row>
    <row r="6" spans="1:6" ht="15.75" customHeight="1">
      <c r="A6" s="10">
        <f ca="1">IFERROR(__xludf.DUMMYFUNCTION("""COMPUTED_VALUE"""),43832.6666666666)</f>
        <v>43832.666666666599</v>
      </c>
      <c r="B6" s="1">
        <f ca="1">IFERROR(__xludf.DUMMYFUNCTION("""COMPUTED_VALUE"""),177.68)</f>
        <v>177.68</v>
      </c>
      <c r="C6" s="1">
        <f ca="1">IFERROR(__xludf.DUMMYFUNCTION("""COMPUTED_VALUE"""),180.01)</f>
        <v>180.01</v>
      </c>
      <c r="D6" s="1">
        <f ca="1">IFERROR(__xludf.DUMMYFUNCTION("""COMPUTED_VALUE"""),177.14)</f>
        <v>177.14</v>
      </c>
      <c r="E6" s="1">
        <f ca="1">IFERROR(__xludf.DUMMYFUNCTION("""COMPUTED_VALUE"""),180)</f>
        <v>180</v>
      </c>
      <c r="F6" s="1">
        <f ca="1">IFERROR(__xludf.DUMMYFUNCTION("""COMPUTED_VALUE"""),3448335)</f>
        <v>3448335</v>
      </c>
    </row>
    <row r="7" spans="1:6" ht="15.75" customHeight="1">
      <c r="A7" s="10">
        <f ca="1">IFERROR(__xludf.DUMMYFUNCTION("""COMPUTED_VALUE"""),43833.6666666666)</f>
        <v>43833.666666666599</v>
      </c>
      <c r="B7" s="1">
        <f ca="1">IFERROR(__xludf.DUMMYFUNCTION("""COMPUTED_VALUE"""),177.02)</f>
        <v>177.02</v>
      </c>
      <c r="C7" s="1">
        <f ca="1">IFERROR(__xludf.DUMMYFUNCTION("""COMPUTED_VALUE"""),178.66)</f>
        <v>178.66</v>
      </c>
      <c r="D7" s="1">
        <f ca="1">IFERROR(__xludf.DUMMYFUNCTION("""COMPUTED_VALUE"""),175.63)</f>
        <v>175.63</v>
      </c>
      <c r="E7" s="1">
        <f ca="1">IFERROR(__xludf.DUMMYFUNCTION("""COMPUTED_VALUE"""),178.45)</f>
        <v>178.45</v>
      </c>
      <c r="F7" s="1">
        <f ca="1">IFERROR(__xludf.DUMMYFUNCTION("""COMPUTED_VALUE"""),2467310)</f>
        <v>2467310</v>
      </c>
    </row>
    <row r="8" spans="1:6" ht="15.75" customHeight="1">
      <c r="A8" s="10">
        <f ca="1">IFERROR(__xludf.DUMMYFUNCTION("""COMPUTED_VALUE"""),43836.6666666666)</f>
        <v>43836.666666666599</v>
      </c>
      <c r="B8" s="1">
        <f ca="1">IFERROR(__xludf.DUMMYFUNCTION("""COMPUTED_VALUE"""),177.15)</f>
        <v>177.15</v>
      </c>
      <c r="C8" s="1">
        <f ca="1">IFERROR(__xludf.DUMMYFUNCTION("""COMPUTED_VALUE"""),178.71)</f>
        <v>178.71</v>
      </c>
      <c r="D8" s="1">
        <f ca="1">IFERROR(__xludf.DUMMYFUNCTION("""COMPUTED_VALUE"""),176.35)</f>
        <v>176.35</v>
      </c>
      <c r="E8" s="1">
        <f ca="1">IFERROR(__xludf.DUMMYFUNCTION("""COMPUTED_VALUE"""),178.62)</f>
        <v>178.62</v>
      </c>
      <c r="F8" s="1">
        <f ca="1">IFERROR(__xludf.DUMMYFUNCTION("""COMPUTED_VALUE"""),1997981)</f>
        <v>1997981</v>
      </c>
    </row>
    <row r="9" spans="1:6" ht="15.75" customHeight="1">
      <c r="A9" s="10">
        <f ca="1">IFERROR(__xludf.DUMMYFUNCTION("""COMPUTED_VALUE"""),43837.6666666666)</f>
        <v>43837.666666666599</v>
      </c>
      <c r="B9" s="1">
        <f ca="1">IFERROR(__xludf.DUMMYFUNCTION("""COMPUTED_VALUE"""),178.28)</f>
        <v>178.28</v>
      </c>
      <c r="C9" s="1">
        <f ca="1">IFERROR(__xludf.DUMMYFUNCTION("""COMPUTED_VALUE"""),178.51)</f>
        <v>178.51</v>
      </c>
      <c r="D9" s="1">
        <f ca="1">IFERROR(__xludf.DUMMYFUNCTION("""COMPUTED_VALUE"""),176.82)</f>
        <v>176.82</v>
      </c>
      <c r="E9" s="1">
        <f ca="1">IFERROR(__xludf.DUMMYFUNCTION("""COMPUTED_VALUE"""),177.9)</f>
        <v>177.9</v>
      </c>
      <c r="F9" s="1">
        <f ca="1">IFERROR(__xludf.DUMMYFUNCTION("""COMPUTED_VALUE"""),2176615)</f>
        <v>2176615</v>
      </c>
    </row>
    <row r="10" spans="1:6" ht="15.75" customHeight="1">
      <c r="A10" s="10">
        <f ca="1">IFERROR(__xludf.DUMMYFUNCTION("""COMPUTED_VALUE"""),43838.6666666666)</f>
        <v>43838.666666666599</v>
      </c>
      <c r="B10" s="1">
        <f ca="1">IFERROR(__xludf.DUMMYFUNCTION("""COMPUTED_VALUE"""),178)</f>
        <v>178</v>
      </c>
      <c r="C10" s="1">
        <f ca="1">IFERROR(__xludf.DUMMYFUNCTION("""COMPUTED_VALUE"""),181.5)</f>
        <v>181.5</v>
      </c>
      <c r="D10" s="1">
        <f ca="1">IFERROR(__xludf.DUMMYFUNCTION("""COMPUTED_VALUE"""),177.65)</f>
        <v>177.65</v>
      </c>
      <c r="E10" s="1">
        <f ca="1">IFERROR(__xludf.DUMMYFUNCTION("""COMPUTED_VALUE"""),180.63)</f>
        <v>180.63</v>
      </c>
      <c r="F10" s="1">
        <f ca="1">IFERROR(__xludf.DUMMYFUNCTION("""COMPUTED_VALUE"""),2758339)</f>
        <v>2758339</v>
      </c>
    </row>
    <row r="11" spans="1:6" ht="15.75" customHeight="1">
      <c r="A11" s="10">
        <f ca="1">IFERROR(__xludf.DUMMYFUNCTION("""COMPUTED_VALUE"""),43839.6666666666)</f>
        <v>43839.666666666599</v>
      </c>
      <c r="B11" s="1">
        <f ca="1">IFERROR(__xludf.DUMMYFUNCTION("""COMPUTED_VALUE"""),181.51)</f>
        <v>181.51</v>
      </c>
      <c r="C11" s="1">
        <f ca="1">IFERROR(__xludf.DUMMYFUNCTION("""COMPUTED_VALUE"""),181.59)</f>
        <v>181.59</v>
      </c>
      <c r="D11" s="1">
        <f ca="1">IFERROR(__xludf.DUMMYFUNCTION("""COMPUTED_VALUE"""),179.76)</f>
        <v>179.76</v>
      </c>
      <c r="E11" s="1">
        <f ca="1">IFERROR(__xludf.DUMMYFUNCTION("""COMPUTED_VALUE"""),181.2)</f>
        <v>181.2</v>
      </c>
      <c r="F11" s="1">
        <f ca="1">IFERROR(__xludf.DUMMYFUNCTION("""COMPUTED_VALUE"""),2746346)</f>
        <v>2746346</v>
      </c>
    </row>
    <row r="12" spans="1:6" ht="15.75" customHeight="1">
      <c r="A12" s="10">
        <f ca="1">IFERROR(__xludf.DUMMYFUNCTION("""COMPUTED_VALUE"""),43840.6666666666)</f>
        <v>43840.666666666599</v>
      </c>
      <c r="B12" s="1">
        <f ca="1">IFERROR(__xludf.DUMMYFUNCTION("""COMPUTED_VALUE"""),181.61)</f>
        <v>181.61</v>
      </c>
      <c r="C12" s="1">
        <f ca="1">IFERROR(__xludf.DUMMYFUNCTION("""COMPUTED_VALUE"""),182.18)</f>
        <v>182.18</v>
      </c>
      <c r="D12" s="1">
        <f ca="1">IFERROR(__xludf.DUMMYFUNCTION("""COMPUTED_VALUE"""),180.14)</f>
        <v>180.14</v>
      </c>
      <c r="E12" s="1">
        <f ca="1">IFERROR(__xludf.DUMMYFUNCTION("""COMPUTED_VALUE"""),180.47)</f>
        <v>180.47</v>
      </c>
      <c r="F12" s="1">
        <f ca="1">IFERROR(__xludf.DUMMYFUNCTION("""COMPUTED_VALUE"""),2103818)</f>
        <v>2103818</v>
      </c>
    </row>
    <row r="13" spans="1:6" ht="15.75" customHeight="1">
      <c r="A13" s="10">
        <f ca="1">IFERROR(__xludf.DUMMYFUNCTION("""COMPUTED_VALUE"""),43843.6666666666)</f>
        <v>43843.666666666599</v>
      </c>
      <c r="B13" s="1">
        <f ca="1">IFERROR(__xludf.DUMMYFUNCTION("""COMPUTED_VALUE"""),180.94)</f>
        <v>180.94</v>
      </c>
      <c r="C13" s="1">
        <f ca="1">IFERROR(__xludf.DUMMYFUNCTION("""COMPUTED_VALUE"""),182.23)</f>
        <v>182.23</v>
      </c>
      <c r="D13" s="1">
        <f ca="1">IFERROR(__xludf.DUMMYFUNCTION("""COMPUTED_VALUE"""),180.36)</f>
        <v>180.36</v>
      </c>
      <c r="E13" s="1">
        <f ca="1">IFERROR(__xludf.DUMMYFUNCTION("""COMPUTED_VALUE"""),180.92)</f>
        <v>180.92</v>
      </c>
      <c r="F13" s="1">
        <f ca="1">IFERROR(__xludf.DUMMYFUNCTION("""COMPUTED_VALUE"""),2091209)</f>
        <v>2091209</v>
      </c>
    </row>
    <row r="14" spans="1:6" ht="15.75" customHeight="1">
      <c r="A14" s="10">
        <f ca="1">IFERROR(__xludf.DUMMYFUNCTION("""COMPUTED_VALUE"""),43844.6666666666)</f>
        <v>43844.666666666599</v>
      </c>
      <c r="B14" s="1">
        <f ca="1">IFERROR(__xludf.DUMMYFUNCTION("""COMPUTED_VALUE"""),180.92)</f>
        <v>180.92</v>
      </c>
      <c r="C14" s="1">
        <f ca="1">IFERROR(__xludf.DUMMYFUNCTION("""COMPUTED_VALUE"""),182.55)</f>
        <v>182.55</v>
      </c>
      <c r="D14" s="1">
        <f ca="1">IFERROR(__xludf.DUMMYFUNCTION("""COMPUTED_VALUE"""),180.21)</f>
        <v>180.21</v>
      </c>
      <c r="E14" s="1">
        <f ca="1">IFERROR(__xludf.DUMMYFUNCTION("""COMPUTED_VALUE"""),181.37)</f>
        <v>181.37</v>
      </c>
      <c r="F14" s="1">
        <f ca="1">IFERROR(__xludf.DUMMYFUNCTION("""COMPUTED_VALUE"""),2911327)</f>
        <v>2911327</v>
      </c>
    </row>
    <row r="15" spans="1:6" ht="15.75" customHeight="1">
      <c r="A15" s="10">
        <f ca="1">IFERROR(__xludf.DUMMYFUNCTION("""COMPUTED_VALUE"""),43845.6666666666)</f>
        <v>43845.666666666599</v>
      </c>
      <c r="B15" s="1">
        <f ca="1">IFERROR(__xludf.DUMMYFUNCTION("""COMPUTED_VALUE"""),181.42)</f>
        <v>181.42</v>
      </c>
      <c r="C15" s="1">
        <f ca="1">IFERROR(__xludf.DUMMYFUNCTION("""COMPUTED_VALUE"""),181.86)</f>
        <v>181.86</v>
      </c>
      <c r="D15" s="1">
        <f ca="1">IFERROR(__xludf.DUMMYFUNCTION("""COMPUTED_VALUE"""),179.18)</f>
        <v>179.18</v>
      </c>
      <c r="E15" s="1">
        <f ca="1">IFERROR(__xludf.DUMMYFUNCTION("""COMPUTED_VALUE"""),179.78)</f>
        <v>179.78</v>
      </c>
      <c r="F15" s="1">
        <f ca="1">IFERROR(__xludf.DUMMYFUNCTION("""COMPUTED_VALUE"""),2482218)</f>
        <v>2482218</v>
      </c>
    </row>
    <row r="16" spans="1:6" ht="15.75" customHeight="1">
      <c r="A16" s="10">
        <f ca="1">IFERROR(__xludf.DUMMYFUNCTION("""COMPUTED_VALUE"""),43846.6666666666)</f>
        <v>43846.666666666599</v>
      </c>
      <c r="B16" s="1">
        <f ca="1">IFERROR(__xludf.DUMMYFUNCTION("""COMPUTED_VALUE"""),180.68)</f>
        <v>180.68</v>
      </c>
      <c r="C16" s="1">
        <f ca="1">IFERROR(__xludf.DUMMYFUNCTION("""COMPUTED_VALUE"""),181.2)</f>
        <v>181.2</v>
      </c>
      <c r="D16" s="1">
        <f ca="1">IFERROR(__xludf.DUMMYFUNCTION("""COMPUTED_VALUE"""),179.69)</f>
        <v>179.69</v>
      </c>
      <c r="E16" s="1">
        <f ca="1">IFERROR(__xludf.DUMMYFUNCTION("""COMPUTED_VALUE"""),181.01)</f>
        <v>181.01</v>
      </c>
      <c r="F16" s="1">
        <f ca="1">IFERROR(__xludf.DUMMYFUNCTION("""COMPUTED_VALUE"""),2149924)</f>
        <v>2149924</v>
      </c>
    </row>
    <row r="17" spans="1:6" ht="15.75" customHeight="1">
      <c r="A17" s="10">
        <f ca="1">IFERROR(__xludf.DUMMYFUNCTION("""COMPUTED_VALUE"""),43847.6666666666)</f>
        <v>43847.666666666599</v>
      </c>
      <c r="B17" s="1">
        <f ca="1">IFERROR(__xludf.DUMMYFUNCTION("""COMPUTED_VALUE"""),181)</f>
        <v>181</v>
      </c>
      <c r="C17" s="1">
        <f ca="1">IFERROR(__xludf.DUMMYFUNCTION("""COMPUTED_VALUE"""),182.15)</f>
        <v>182.15</v>
      </c>
      <c r="D17" s="1">
        <f ca="1">IFERROR(__xludf.DUMMYFUNCTION("""COMPUTED_VALUE"""),180.7)</f>
        <v>180.7</v>
      </c>
      <c r="E17" s="1">
        <f ca="1">IFERROR(__xludf.DUMMYFUNCTION("""COMPUTED_VALUE"""),181.35)</f>
        <v>181.35</v>
      </c>
      <c r="F17" s="1">
        <f ca="1">IFERROR(__xludf.DUMMYFUNCTION("""COMPUTED_VALUE"""),3690110)</f>
        <v>3690110</v>
      </c>
    </row>
    <row r="18" spans="1:6" ht="15.75" customHeight="1">
      <c r="A18" s="10">
        <f ca="1">IFERROR(__xludf.DUMMYFUNCTION("""COMPUTED_VALUE"""),43851.6666666666)</f>
        <v>43851.666666666599</v>
      </c>
      <c r="B18" s="1">
        <f ca="1">IFERROR(__xludf.DUMMYFUNCTION("""COMPUTED_VALUE"""),181.85)</f>
        <v>181.85</v>
      </c>
      <c r="C18" s="1">
        <f ca="1">IFERROR(__xludf.DUMMYFUNCTION("""COMPUTED_VALUE"""),181.91)</f>
        <v>181.91</v>
      </c>
      <c r="D18" s="1">
        <f ca="1">IFERROR(__xludf.DUMMYFUNCTION("""COMPUTED_VALUE"""),178.63)</f>
        <v>178.63</v>
      </c>
      <c r="E18" s="1">
        <f ca="1">IFERROR(__xludf.DUMMYFUNCTION("""COMPUTED_VALUE"""),179.39)</f>
        <v>179.39</v>
      </c>
      <c r="F18" s="1">
        <f ca="1">IFERROR(__xludf.DUMMYFUNCTION("""COMPUTED_VALUE"""),3368041)</f>
        <v>3368041</v>
      </c>
    </row>
    <row r="19" spans="1:6" ht="15.75" customHeight="1">
      <c r="A19" s="10">
        <f ca="1">IFERROR(__xludf.DUMMYFUNCTION("""COMPUTED_VALUE"""),43852.6666666666)</f>
        <v>43852.666666666599</v>
      </c>
      <c r="B19" s="1">
        <f ca="1">IFERROR(__xludf.DUMMYFUNCTION("""COMPUTED_VALUE"""),179.51)</f>
        <v>179.51</v>
      </c>
      <c r="C19" s="1">
        <f ca="1">IFERROR(__xludf.DUMMYFUNCTION("""COMPUTED_VALUE"""),180.57)</f>
        <v>180.57</v>
      </c>
      <c r="D19" s="1">
        <f ca="1">IFERROR(__xludf.DUMMYFUNCTION("""COMPUTED_VALUE"""),177.88)</f>
        <v>177.88</v>
      </c>
      <c r="E19" s="1">
        <f ca="1">IFERROR(__xludf.DUMMYFUNCTION("""COMPUTED_VALUE"""),178.03)</f>
        <v>178.03</v>
      </c>
      <c r="F19" s="1">
        <f ca="1">IFERROR(__xludf.DUMMYFUNCTION("""COMPUTED_VALUE"""),2420200)</f>
        <v>2420200</v>
      </c>
    </row>
    <row r="20" spans="1:6" ht="15.75" customHeight="1">
      <c r="A20" s="10">
        <f ca="1">IFERROR(__xludf.DUMMYFUNCTION("""COMPUTED_VALUE"""),43853.6666666666)</f>
        <v>43853.666666666599</v>
      </c>
      <c r="B20" s="1">
        <f ca="1">IFERROR(__xludf.DUMMYFUNCTION("""COMPUTED_VALUE"""),177.07)</f>
        <v>177.07</v>
      </c>
      <c r="C20" s="1">
        <f ca="1">IFERROR(__xludf.DUMMYFUNCTION("""COMPUTED_VALUE"""),178.44)</f>
        <v>178.44</v>
      </c>
      <c r="D20" s="1">
        <f ca="1">IFERROR(__xludf.DUMMYFUNCTION("""COMPUTED_VALUE"""),176.39)</f>
        <v>176.39</v>
      </c>
      <c r="E20" s="1">
        <f ca="1">IFERROR(__xludf.DUMMYFUNCTION("""COMPUTED_VALUE"""),177.74)</f>
        <v>177.74</v>
      </c>
      <c r="F20" s="1">
        <f ca="1">IFERROR(__xludf.DUMMYFUNCTION("""COMPUTED_VALUE"""),2358443)</f>
        <v>2358443</v>
      </c>
    </row>
    <row r="21" spans="1:6" ht="15.75" customHeight="1">
      <c r="A21" s="10">
        <f ca="1">IFERROR(__xludf.DUMMYFUNCTION("""COMPUTED_VALUE"""),43854.6666666666)</f>
        <v>43854.666666666599</v>
      </c>
      <c r="B21" s="1">
        <f ca="1">IFERROR(__xludf.DUMMYFUNCTION("""COMPUTED_VALUE"""),178.49)</f>
        <v>178.49</v>
      </c>
      <c r="C21" s="1">
        <f ca="1">IFERROR(__xludf.DUMMYFUNCTION("""COMPUTED_VALUE"""),179.81)</f>
        <v>179.81</v>
      </c>
      <c r="D21" s="1">
        <f ca="1">IFERROR(__xludf.DUMMYFUNCTION("""COMPUTED_VALUE"""),177.53)</f>
        <v>177.53</v>
      </c>
      <c r="E21" s="1">
        <f ca="1">IFERROR(__xludf.DUMMYFUNCTION("""COMPUTED_VALUE"""),178.15)</f>
        <v>178.15</v>
      </c>
      <c r="F21" s="1">
        <f ca="1">IFERROR(__xludf.DUMMYFUNCTION("""COMPUTED_VALUE"""),2643095)</f>
        <v>2643095</v>
      </c>
    </row>
    <row r="22" spans="1:6" ht="15.75" customHeight="1">
      <c r="A22" s="10">
        <f ca="1">IFERROR(__xludf.DUMMYFUNCTION("""COMPUTED_VALUE"""),43857.6666666666)</f>
        <v>43857.666666666599</v>
      </c>
      <c r="B22" s="1">
        <f ca="1">IFERROR(__xludf.DUMMYFUNCTION("""COMPUTED_VALUE"""),179.86)</f>
        <v>179.86</v>
      </c>
      <c r="C22" s="1">
        <f ca="1">IFERROR(__xludf.DUMMYFUNCTION("""COMPUTED_VALUE"""),180.59)</f>
        <v>180.59</v>
      </c>
      <c r="D22" s="1">
        <f ca="1">IFERROR(__xludf.DUMMYFUNCTION("""COMPUTED_VALUE"""),175.54)</f>
        <v>175.54</v>
      </c>
      <c r="E22" s="1">
        <f ca="1">IFERROR(__xludf.DUMMYFUNCTION("""COMPUTED_VALUE"""),175.63)</f>
        <v>175.63</v>
      </c>
      <c r="F22" s="1">
        <f ca="1">IFERROR(__xludf.DUMMYFUNCTION("""COMPUTED_VALUE"""),4361414)</f>
        <v>4361414</v>
      </c>
    </row>
    <row r="23" spans="1:6" ht="15.75" customHeight="1">
      <c r="A23" s="10">
        <f ca="1">IFERROR(__xludf.DUMMYFUNCTION("""COMPUTED_VALUE"""),43858.6666666666)</f>
        <v>43858.666666666599</v>
      </c>
      <c r="B23" s="1">
        <f ca="1">IFERROR(__xludf.DUMMYFUNCTION("""COMPUTED_VALUE"""),171.9)</f>
        <v>171.9</v>
      </c>
      <c r="C23" s="1">
        <f ca="1">IFERROR(__xludf.DUMMYFUNCTION("""COMPUTED_VALUE"""),172.34)</f>
        <v>172.34</v>
      </c>
      <c r="D23" s="1">
        <f ca="1">IFERROR(__xludf.DUMMYFUNCTION("""COMPUTED_VALUE"""),165.05)</f>
        <v>165.05</v>
      </c>
      <c r="E23" s="1">
        <f ca="1">IFERROR(__xludf.DUMMYFUNCTION("""COMPUTED_VALUE"""),165.58)</f>
        <v>165.58</v>
      </c>
      <c r="F23" s="1">
        <f ca="1">IFERROR(__xludf.DUMMYFUNCTION("""COMPUTED_VALUE"""),8920690)</f>
        <v>8920690</v>
      </c>
    </row>
    <row r="24" spans="1:6" ht="15.75" customHeight="1">
      <c r="A24" s="10">
        <f ca="1">IFERROR(__xludf.DUMMYFUNCTION("""COMPUTED_VALUE"""),43859.6666666666)</f>
        <v>43859.666666666599</v>
      </c>
      <c r="B24" s="1">
        <f ca="1">IFERROR(__xludf.DUMMYFUNCTION("""COMPUTED_VALUE"""),166.35)</f>
        <v>166.35</v>
      </c>
      <c r="C24" s="1">
        <f ca="1">IFERROR(__xludf.DUMMYFUNCTION("""COMPUTED_VALUE"""),166.47)</f>
        <v>166.47</v>
      </c>
      <c r="D24" s="1">
        <f ca="1">IFERROR(__xludf.DUMMYFUNCTION("""COMPUTED_VALUE"""),161.53)</f>
        <v>161.53</v>
      </c>
      <c r="E24" s="1">
        <f ca="1">IFERROR(__xludf.DUMMYFUNCTION("""COMPUTED_VALUE"""),162)</f>
        <v>162</v>
      </c>
      <c r="F24" s="1">
        <f ca="1">IFERROR(__xludf.DUMMYFUNCTION("""COMPUTED_VALUE"""),5344836)</f>
        <v>5344836</v>
      </c>
    </row>
    <row r="25" spans="1:6" ht="15.75" customHeight="1">
      <c r="A25" s="10">
        <f ca="1">IFERROR(__xludf.DUMMYFUNCTION("""COMPUTED_VALUE"""),43860.6666666666)</f>
        <v>43860.666666666599</v>
      </c>
      <c r="B25" s="1">
        <f ca="1">IFERROR(__xludf.DUMMYFUNCTION("""COMPUTED_VALUE"""),161)</f>
        <v>161</v>
      </c>
      <c r="C25" s="1">
        <f ca="1">IFERROR(__xludf.DUMMYFUNCTION("""COMPUTED_VALUE"""),162.64)</f>
        <v>162.63999999999999</v>
      </c>
      <c r="D25" s="1">
        <f ca="1">IFERROR(__xludf.DUMMYFUNCTION("""COMPUTED_VALUE"""),158.76)</f>
        <v>158.76</v>
      </c>
      <c r="E25" s="1">
        <f ca="1">IFERROR(__xludf.DUMMYFUNCTION("""COMPUTED_VALUE"""),162.51)</f>
        <v>162.51</v>
      </c>
      <c r="F25" s="1">
        <f ca="1">IFERROR(__xludf.DUMMYFUNCTION("""COMPUTED_VALUE"""),4357053)</f>
        <v>4357053</v>
      </c>
    </row>
    <row r="26" spans="1:6" ht="15.75" customHeight="1">
      <c r="A26" s="10">
        <f ca="1">IFERROR(__xludf.DUMMYFUNCTION("""COMPUTED_VALUE"""),43861.6666666666)</f>
        <v>43861.666666666599</v>
      </c>
      <c r="B26" s="1">
        <f ca="1">IFERROR(__xludf.DUMMYFUNCTION("""COMPUTED_VALUE"""),162)</f>
        <v>162</v>
      </c>
      <c r="C26" s="1">
        <f ca="1">IFERROR(__xludf.DUMMYFUNCTION("""COMPUTED_VALUE"""),162.65)</f>
        <v>162.65</v>
      </c>
      <c r="D26" s="1">
        <f ca="1">IFERROR(__xludf.DUMMYFUNCTION("""COMPUTED_VALUE"""),158.23)</f>
        <v>158.22999999999999</v>
      </c>
      <c r="E26" s="1">
        <f ca="1">IFERROR(__xludf.DUMMYFUNCTION("""COMPUTED_VALUE"""),158.66)</f>
        <v>158.66</v>
      </c>
      <c r="F26" s="1">
        <f ca="1">IFERROR(__xludf.DUMMYFUNCTION("""COMPUTED_VALUE"""),5740330)</f>
        <v>5740330</v>
      </c>
    </row>
    <row r="27" spans="1:6" ht="15.75" customHeight="1">
      <c r="A27" s="10">
        <f ca="1">IFERROR(__xludf.DUMMYFUNCTION("""COMPUTED_VALUE"""),43864.6666666666)</f>
        <v>43864.666666666599</v>
      </c>
      <c r="B27" s="1">
        <f ca="1">IFERROR(__xludf.DUMMYFUNCTION("""COMPUTED_VALUE"""),160.03)</f>
        <v>160.03</v>
      </c>
      <c r="C27" s="1">
        <f ca="1">IFERROR(__xludf.DUMMYFUNCTION("""COMPUTED_VALUE"""),160.31)</f>
        <v>160.31</v>
      </c>
      <c r="D27" s="1">
        <f ca="1">IFERROR(__xludf.DUMMYFUNCTION("""COMPUTED_VALUE"""),156.38)</f>
        <v>156.38</v>
      </c>
      <c r="E27" s="1">
        <f ca="1">IFERROR(__xludf.DUMMYFUNCTION("""COMPUTED_VALUE"""),156.59)</f>
        <v>156.59</v>
      </c>
      <c r="F27" s="1">
        <f ca="1">IFERROR(__xludf.DUMMYFUNCTION("""COMPUTED_VALUE"""),3927092)</f>
        <v>3927092</v>
      </c>
    </row>
    <row r="28" spans="1:6" ht="15.75" customHeight="1">
      <c r="A28" s="10">
        <f ca="1">IFERROR(__xludf.DUMMYFUNCTION("""COMPUTED_VALUE"""),43865.6666666666)</f>
        <v>43865.666666666599</v>
      </c>
      <c r="B28" s="1">
        <f ca="1">IFERROR(__xludf.DUMMYFUNCTION("""COMPUTED_VALUE"""),159.77)</f>
        <v>159.77000000000001</v>
      </c>
      <c r="C28" s="1">
        <f ca="1">IFERROR(__xludf.DUMMYFUNCTION("""COMPUTED_VALUE"""),159.96)</f>
        <v>159.96</v>
      </c>
      <c r="D28" s="1">
        <f ca="1">IFERROR(__xludf.DUMMYFUNCTION("""COMPUTED_VALUE"""),157)</f>
        <v>157</v>
      </c>
      <c r="E28" s="1">
        <f ca="1">IFERROR(__xludf.DUMMYFUNCTION("""COMPUTED_VALUE"""),157.24)</f>
        <v>157.24</v>
      </c>
      <c r="F28" s="1">
        <f ca="1">IFERROR(__xludf.DUMMYFUNCTION("""COMPUTED_VALUE"""),4363945)</f>
        <v>4363945</v>
      </c>
    </row>
    <row r="29" spans="1:6" ht="15.75" customHeight="1">
      <c r="A29" s="10">
        <f ca="1">IFERROR(__xludf.DUMMYFUNCTION("""COMPUTED_VALUE"""),43866.6666666666)</f>
        <v>43866.666666666599</v>
      </c>
      <c r="B29" s="1">
        <f ca="1">IFERROR(__xludf.DUMMYFUNCTION("""COMPUTED_VALUE"""),159.12)</f>
        <v>159.12</v>
      </c>
      <c r="C29" s="1">
        <f ca="1">IFERROR(__xludf.DUMMYFUNCTION("""COMPUTED_VALUE"""),162.33)</f>
        <v>162.33000000000001</v>
      </c>
      <c r="D29" s="1">
        <f ca="1">IFERROR(__xludf.DUMMYFUNCTION("""COMPUTED_VALUE"""),158.7)</f>
        <v>158.69999999999999</v>
      </c>
      <c r="E29" s="1">
        <f ca="1">IFERROR(__xludf.DUMMYFUNCTION("""COMPUTED_VALUE"""),162.33)</f>
        <v>162.33000000000001</v>
      </c>
      <c r="F29" s="1">
        <f ca="1">IFERROR(__xludf.DUMMYFUNCTION("""COMPUTED_VALUE"""),3118214)</f>
        <v>3118214</v>
      </c>
    </row>
    <row r="30" spans="1:6" ht="15.75" customHeight="1">
      <c r="A30" s="10">
        <f ca="1">IFERROR(__xludf.DUMMYFUNCTION("""COMPUTED_VALUE"""),43867.6666666666)</f>
        <v>43867.666666666599</v>
      </c>
      <c r="B30" s="1">
        <f ca="1">IFERROR(__xludf.DUMMYFUNCTION("""COMPUTED_VALUE"""),164.49)</f>
        <v>164.49</v>
      </c>
      <c r="C30" s="1">
        <f ca="1">IFERROR(__xludf.DUMMYFUNCTION("""COMPUTED_VALUE"""),165)</f>
        <v>165</v>
      </c>
      <c r="D30" s="1">
        <f ca="1">IFERROR(__xludf.DUMMYFUNCTION("""COMPUTED_VALUE"""),162.47)</f>
        <v>162.47</v>
      </c>
      <c r="E30" s="1">
        <f ca="1">IFERROR(__xludf.DUMMYFUNCTION("""COMPUTED_VALUE"""),162.89)</f>
        <v>162.88999999999999</v>
      </c>
      <c r="F30" s="1">
        <f ca="1">IFERROR(__xludf.DUMMYFUNCTION("""COMPUTED_VALUE"""),3413761)</f>
        <v>3413761</v>
      </c>
    </row>
    <row r="31" spans="1:6" ht="15.75" customHeight="1">
      <c r="A31" s="10">
        <f ca="1">IFERROR(__xludf.DUMMYFUNCTION("""COMPUTED_VALUE"""),43868.6666666666)</f>
        <v>43868.666666666599</v>
      </c>
      <c r="B31" s="1">
        <f ca="1">IFERROR(__xludf.DUMMYFUNCTION("""COMPUTED_VALUE"""),161.41)</f>
        <v>161.41</v>
      </c>
      <c r="C31" s="1">
        <f ca="1">IFERROR(__xludf.DUMMYFUNCTION("""COMPUTED_VALUE"""),161.92)</f>
        <v>161.91999999999999</v>
      </c>
      <c r="D31" s="1">
        <f ca="1">IFERROR(__xludf.DUMMYFUNCTION("""COMPUTED_VALUE"""),159.63)</f>
        <v>159.63</v>
      </c>
      <c r="E31" s="1">
        <f ca="1">IFERROR(__xludf.DUMMYFUNCTION("""COMPUTED_VALUE"""),160.08)</f>
        <v>160.08000000000001</v>
      </c>
      <c r="F31" s="1">
        <f ca="1">IFERROR(__xludf.DUMMYFUNCTION("""COMPUTED_VALUE"""),2736232)</f>
        <v>2736232</v>
      </c>
    </row>
    <row r="32" spans="1:6" ht="15.75" customHeight="1">
      <c r="A32" s="10">
        <f ca="1">IFERROR(__xludf.DUMMYFUNCTION("""COMPUTED_VALUE"""),43871.6666666666)</f>
        <v>43871.666666666599</v>
      </c>
      <c r="B32" s="1">
        <f ca="1">IFERROR(__xludf.DUMMYFUNCTION("""COMPUTED_VALUE"""),160.21)</f>
        <v>160.21</v>
      </c>
      <c r="C32" s="1">
        <f ca="1">IFERROR(__xludf.DUMMYFUNCTION("""COMPUTED_VALUE"""),161.26)</f>
        <v>161.26</v>
      </c>
      <c r="D32" s="1">
        <f ca="1">IFERROR(__xludf.DUMMYFUNCTION("""COMPUTED_VALUE"""),158.87)</f>
        <v>158.87</v>
      </c>
      <c r="E32" s="1">
        <f ca="1">IFERROR(__xludf.DUMMYFUNCTION("""COMPUTED_VALUE"""),160.15)</f>
        <v>160.15</v>
      </c>
      <c r="F32" s="1">
        <f ca="1">IFERROR(__xludf.DUMMYFUNCTION("""COMPUTED_VALUE"""),2754764)</f>
        <v>2754764</v>
      </c>
    </row>
    <row r="33" spans="1:6" ht="15.75" customHeight="1">
      <c r="A33" s="10">
        <f ca="1">IFERROR(__xludf.DUMMYFUNCTION("""COMPUTED_VALUE"""),43872.6666666666)</f>
        <v>43872.666666666599</v>
      </c>
      <c r="B33" s="1">
        <f ca="1">IFERROR(__xludf.DUMMYFUNCTION("""COMPUTED_VALUE"""),161)</f>
        <v>161</v>
      </c>
      <c r="C33" s="1">
        <f ca="1">IFERROR(__xludf.DUMMYFUNCTION("""COMPUTED_VALUE"""),162.52)</f>
        <v>162.52000000000001</v>
      </c>
      <c r="D33" s="1">
        <f ca="1">IFERROR(__xludf.DUMMYFUNCTION("""COMPUTED_VALUE"""),160.02)</f>
        <v>160.02000000000001</v>
      </c>
      <c r="E33" s="1">
        <f ca="1">IFERROR(__xludf.DUMMYFUNCTION("""COMPUTED_VALUE"""),162.45)</f>
        <v>162.44999999999999</v>
      </c>
      <c r="F33" s="1">
        <f ca="1">IFERROR(__xludf.DUMMYFUNCTION("""COMPUTED_VALUE"""),2275323)</f>
        <v>2275323</v>
      </c>
    </row>
    <row r="34" spans="1:6" ht="15.75" customHeight="1">
      <c r="A34" s="10">
        <f ca="1">IFERROR(__xludf.DUMMYFUNCTION("""COMPUTED_VALUE"""),43873.6666666666)</f>
        <v>43873.666666666599</v>
      </c>
      <c r="B34" s="1">
        <f ca="1">IFERROR(__xludf.DUMMYFUNCTION("""COMPUTED_VALUE"""),164.24)</f>
        <v>164.24</v>
      </c>
      <c r="C34" s="1">
        <f ca="1">IFERROR(__xludf.DUMMYFUNCTION("""COMPUTED_VALUE"""),165.04)</f>
        <v>165.04</v>
      </c>
      <c r="D34" s="1">
        <f ca="1">IFERROR(__xludf.DUMMYFUNCTION("""COMPUTED_VALUE"""),163.57)</f>
        <v>163.57</v>
      </c>
      <c r="E34" s="1">
        <f ca="1">IFERROR(__xludf.DUMMYFUNCTION("""COMPUTED_VALUE"""),163.8)</f>
        <v>163.80000000000001</v>
      </c>
      <c r="F34" s="1">
        <f ca="1">IFERROR(__xludf.DUMMYFUNCTION("""COMPUTED_VALUE"""),2736382)</f>
        <v>2736382</v>
      </c>
    </row>
    <row r="35" spans="1:6" ht="15.75" customHeight="1">
      <c r="A35" s="10">
        <f ca="1">IFERROR(__xludf.DUMMYFUNCTION("""COMPUTED_VALUE"""),43874.6666666666)</f>
        <v>43874.666666666599</v>
      </c>
      <c r="B35" s="1">
        <f ca="1">IFERROR(__xludf.DUMMYFUNCTION("""COMPUTED_VALUE"""),161.76)</f>
        <v>161.76</v>
      </c>
      <c r="C35" s="1">
        <f ca="1">IFERROR(__xludf.DUMMYFUNCTION("""COMPUTED_VALUE"""),161.87)</f>
        <v>161.87</v>
      </c>
      <c r="D35" s="1">
        <f ca="1">IFERROR(__xludf.DUMMYFUNCTION("""COMPUTED_VALUE"""),159)</f>
        <v>159</v>
      </c>
      <c r="E35" s="1">
        <f ca="1">IFERROR(__xludf.DUMMYFUNCTION("""COMPUTED_VALUE"""),159.76)</f>
        <v>159.76</v>
      </c>
      <c r="F35" s="1">
        <f ca="1">IFERROR(__xludf.DUMMYFUNCTION("""COMPUTED_VALUE"""),3414117)</f>
        <v>3414117</v>
      </c>
    </row>
    <row r="36" spans="1:6" ht="15.75" customHeight="1">
      <c r="A36" s="10">
        <f ca="1">IFERROR(__xludf.DUMMYFUNCTION("""COMPUTED_VALUE"""),43875.6666666666)</f>
        <v>43875.666666666599</v>
      </c>
      <c r="B36" s="1">
        <f ca="1">IFERROR(__xludf.DUMMYFUNCTION("""COMPUTED_VALUE"""),159.85)</f>
        <v>159.85</v>
      </c>
      <c r="C36" s="1">
        <f ca="1">IFERROR(__xludf.DUMMYFUNCTION("""COMPUTED_VALUE"""),161.14)</f>
        <v>161.13999999999999</v>
      </c>
      <c r="D36" s="1">
        <f ca="1">IFERROR(__xludf.DUMMYFUNCTION("""COMPUTED_VALUE"""),158.82)</f>
        <v>158.82</v>
      </c>
      <c r="E36" s="1">
        <f ca="1">IFERROR(__xludf.DUMMYFUNCTION("""COMPUTED_VALUE"""),161.01)</f>
        <v>161.01</v>
      </c>
      <c r="F36" s="1">
        <f ca="1">IFERROR(__xludf.DUMMYFUNCTION("""COMPUTED_VALUE"""),2233840)</f>
        <v>2233840</v>
      </c>
    </row>
    <row r="37" spans="1:6" ht="15.75" customHeight="1">
      <c r="A37" s="10">
        <f ca="1">IFERROR(__xludf.DUMMYFUNCTION("""COMPUTED_VALUE"""),43879.6666666666)</f>
        <v>43879.666666666599</v>
      </c>
      <c r="B37" s="1">
        <f ca="1">IFERROR(__xludf.DUMMYFUNCTION("""COMPUTED_VALUE"""),160.36)</f>
        <v>160.36000000000001</v>
      </c>
      <c r="C37" s="1">
        <f ca="1">IFERROR(__xludf.DUMMYFUNCTION("""COMPUTED_VALUE"""),160.53)</f>
        <v>160.53</v>
      </c>
      <c r="D37" s="1">
        <f ca="1">IFERROR(__xludf.DUMMYFUNCTION("""COMPUTED_VALUE"""),158.04)</f>
        <v>158.04</v>
      </c>
      <c r="E37" s="1">
        <f ca="1">IFERROR(__xludf.DUMMYFUNCTION("""COMPUTED_VALUE"""),158.88)</f>
        <v>158.88</v>
      </c>
      <c r="F37" s="1">
        <f ca="1">IFERROR(__xludf.DUMMYFUNCTION("""COMPUTED_VALUE"""),2481963)</f>
        <v>2481963</v>
      </c>
    </row>
    <row r="38" spans="1:6" ht="15.75" customHeight="1">
      <c r="A38" s="10">
        <f ca="1">IFERROR(__xludf.DUMMYFUNCTION("""COMPUTED_VALUE"""),43880.6666666666)</f>
        <v>43880.666666666599</v>
      </c>
      <c r="B38" s="1">
        <f ca="1">IFERROR(__xludf.DUMMYFUNCTION("""COMPUTED_VALUE"""),159.08)</f>
        <v>159.08000000000001</v>
      </c>
      <c r="C38" s="1">
        <f ca="1">IFERROR(__xludf.DUMMYFUNCTION("""COMPUTED_VALUE"""),160.47)</f>
        <v>160.47</v>
      </c>
      <c r="D38" s="1">
        <f ca="1">IFERROR(__xludf.DUMMYFUNCTION("""COMPUTED_VALUE"""),158.36)</f>
        <v>158.36000000000001</v>
      </c>
      <c r="E38" s="1">
        <f ca="1">IFERROR(__xludf.DUMMYFUNCTION("""COMPUTED_VALUE"""),159.34)</f>
        <v>159.34</v>
      </c>
      <c r="F38" s="1">
        <f ca="1">IFERROR(__xludf.DUMMYFUNCTION("""COMPUTED_VALUE"""),2296554)</f>
        <v>2296554</v>
      </c>
    </row>
    <row r="39" spans="1:6" ht="15.75" customHeight="1">
      <c r="A39" s="10">
        <f ca="1">IFERROR(__xludf.DUMMYFUNCTION("""COMPUTED_VALUE"""),43881.6666666666)</f>
        <v>43881.666666666599</v>
      </c>
      <c r="B39" s="1">
        <f ca="1">IFERROR(__xludf.DUMMYFUNCTION("""COMPUTED_VALUE"""),159)</f>
        <v>159</v>
      </c>
      <c r="C39" s="1">
        <f ca="1">IFERROR(__xludf.DUMMYFUNCTION("""COMPUTED_VALUE"""),161.39)</f>
        <v>161.38999999999999</v>
      </c>
      <c r="D39" s="1">
        <f ca="1">IFERROR(__xludf.DUMMYFUNCTION("""COMPUTED_VALUE"""),158.5)</f>
        <v>158.5</v>
      </c>
      <c r="E39" s="1">
        <f ca="1">IFERROR(__xludf.DUMMYFUNCTION("""COMPUTED_VALUE"""),158.56)</f>
        <v>158.56</v>
      </c>
      <c r="F39" s="1">
        <f ca="1">IFERROR(__xludf.DUMMYFUNCTION("""COMPUTED_VALUE"""),3275083)</f>
        <v>3275083</v>
      </c>
    </row>
    <row r="40" spans="1:6" ht="15.75" customHeight="1">
      <c r="A40" s="10">
        <f ca="1">IFERROR(__xludf.DUMMYFUNCTION("""COMPUTED_VALUE"""),43882.6666666666)</f>
        <v>43882.666666666599</v>
      </c>
      <c r="B40" s="1">
        <f ca="1">IFERROR(__xludf.DUMMYFUNCTION("""COMPUTED_VALUE"""),158.33)</f>
        <v>158.33000000000001</v>
      </c>
      <c r="C40" s="1">
        <f ca="1">IFERROR(__xludf.DUMMYFUNCTION("""COMPUTED_VALUE"""),158.59)</f>
        <v>158.59</v>
      </c>
      <c r="D40" s="1">
        <f ca="1">IFERROR(__xludf.DUMMYFUNCTION("""COMPUTED_VALUE"""),156.12)</f>
        <v>156.12</v>
      </c>
      <c r="E40" s="1">
        <f ca="1">IFERROR(__xludf.DUMMYFUNCTION("""COMPUTED_VALUE"""),156.93)</f>
        <v>156.93</v>
      </c>
      <c r="F40" s="1">
        <f ca="1">IFERROR(__xludf.DUMMYFUNCTION("""COMPUTED_VALUE"""),3535642)</f>
        <v>3535642</v>
      </c>
    </row>
    <row r="41" spans="1:6" ht="15.75" customHeight="1">
      <c r="A41" s="10">
        <f ca="1">IFERROR(__xludf.DUMMYFUNCTION("""COMPUTED_VALUE"""),43885.6666666666)</f>
        <v>43885.666666666599</v>
      </c>
      <c r="B41" s="1">
        <f ca="1">IFERROR(__xludf.DUMMYFUNCTION("""COMPUTED_VALUE"""),154.45)</f>
        <v>154.44999999999999</v>
      </c>
      <c r="C41" s="1">
        <f ca="1">IFERROR(__xludf.DUMMYFUNCTION("""COMPUTED_VALUE"""),154.71)</f>
        <v>154.71</v>
      </c>
      <c r="D41" s="1">
        <f ca="1">IFERROR(__xludf.DUMMYFUNCTION("""COMPUTED_VALUE"""),152.22)</f>
        <v>152.22</v>
      </c>
      <c r="E41" s="1">
        <f ca="1">IFERROR(__xludf.DUMMYFUNCTION("""COMPUTED_VALUE"""),152.55)</f>
        <v>152.55000000000001</v>
      </c>
      <c r="F41" s="1">
        <f ca="1">IFERROR(__xludf.DUMMYFUNCTION("""COMPUTED_VALUE"""),3635787)</f>
        <v>3635787</v>
      </c>
    </row>
    <row r="42" spans="1:6" ht="15.75" customHeight="1">
      <c r="A42" s="10">
        <f ca="1">IFERROR(__xludf.DUMMYFUNCTION("""COMPUTED_VALUE"""),43886.6666666666)</f>
        <v>43886.666666666599</v>
      </c>
      <c r="B42" s="1">
        <f ca="1">IFERROR(__xludf.DUMMYFUNCTION("""COMPUTED_VALUE"""),153.31)</f>
        <v>153.31</v>
      </c>
      <c r="C42" s="1">
        <f ca="1">IFERROR(__xludf.DUMMYFUNCTION("""COMPUTED_VALUE"""),153.44)</f>
        <v>153.44</v>
      </c>
      <c r="D42" s="1">
        <f ca="1">IFERROR(__xludf.DUMMYFUNCTION("""COMPUTED_VALUE"""),145.97)</f>
        <v>145.97</v>
      </c>
      <c r="E42" s="1">
        <f ca="1">IFERROR(__xludf.DUMMYFUNCTION("""COMPUTED_VALUE"""),146.85)</f>
        <v>146.85</v>
      </c>
      <c r="F42" s="1">
        <f ca="1">IFERROR(__xludf.DUMMYFUNCTION("""COMPUTED_VALUE"""),5263388)</f>
        <v>5263388</v>
      </c>
    </row>
    <row r="43" spans="1:6" ht="15.75" customHeight="1">
      <c r="A43" s="10">
        <f ca="1">IFERROR(__xludf.DUMMYFUNCTION("""COMPUTED_VALUE"""),43887.6666666666)</f>
        <v>43887.666666666599</v>
      </c>
      <c r="B43" s="1">
        <f ca="1">IFERROR(__xludf.DUMMYFUNCTION("""COMPUTED_VALUE"""),149.57)</f>
        <v>149.57</v>
      </c>
      <c r="C43" s="1">
        <f ca="1">IFERROR(__xludf.DUMMYFUNCTION("""COMPUTED_VALUE"""),151.82)</f>
        <v>151.82</v>
      </c>
      <c r="D43" s="1">
        <f ca="1">IFERROR(__xludf.DUMMYFUNCTION("""COMPUTED_VALUE"""),148.09)</f>
        <v>148.09</v>
      </c>
      <c r="E43" s="1">
        <f ca="1">IFERROR(__xludf.DUMMYFUNCTION("""COMPUTED_VALUE"""),148.96)</f>
        <v>148.96</v>
      </c>
      <c r="F43" s="1">
        <f ca="1">IFERROR(__xludf.DUMMYFUNCTION("""COMPUTED_VALUE"""),5155285)</f>
        <v>5155285</v>
      </c>
    </row>
    <row r="44" spans="1:6" ht="15.75" customHeight="1">
      <c r="A44" s="10">
        <f ca="1">IFERROR(__xludf.DUMMYFUNCTION("""COMPUTED_VALUE"""),43888.6666666666)</f>
        <v>43888.666666666599</v>
      </c>
      <c r="B44" s="1">
        <f ca="1">IFERROR(__xludf.DUMMYFUNCTION("""COMPUTED_VALUE"""),151.23)</f>
        <v>151.22999999999999</v>
      </c>
      <c r="C44" s="1">
        <f ca="1">IFERROR(__xludf.DUMMYFUNCTION("""COMPUTED_VALUE"""),155.43)</f>
        <v>155.43</v>
      </c>
      <c r="D44" s="1">
        <f ca="1">IFERROR(__xludf.DUMMYFUNCTION("""COMPUTED_VALUE"""),149)</f>
        <v>149</v>
      </c>
      <c r="E44" s="1">
        <f ca="1">IFERROR(__xludf.DUMMYFUNCTION("""COMPUTED_VALUE"""),150.16)</f>
        <v>150.16</v>
      </c>
      <c r="F44" s="1">
        <f ca="1">IFERROR(__xludf.DUMMYFUNCTION("""COMPUTED_VALUE"""),8241561)</f>
        <v>8241561</v>
      </c>
    </row>
    <row r="45" spans="1:6" ht="15.75" customHeight="1">
      <c r="A45" s="10">
        <f ca="1">IFERROR(__xludf.DUMMYFUNCTION("""COMPUTED_VALUE"""),43889.6666666666)</f>
        <v>43889.666666666599</v>
      </c>
      <c r="B45" s="1">
        <f ca="1">IFERROR(__xludf.DUMMYFUNCTION("""COMPUTED_VALUE"""),154.09)</f>
        <v>154.09</v>
      </c>
      <c r="C45" s="1">
        <f ca="1">IFERROR(__xludf.DUMMYFUNCTION("""COMPUTED_VALUE"""),156.72)</f>
        <v>156.72</v>
      </c>
      <c r="D45" s="1">
        <f ca="1">IFERROR(__xludf.DUMMYFUNCTION("""COMPUTED_VALUE"""),146)</f>
        <v>146</v>
      </c>
      <c r="E45" s="1">
        <f ca="1">IFERROR(__xludf.DUMMYFUNCTION("""COMPUTED_VALUE"""),149.24)</f>
        <v>149.24</v>
      </c>
      <c r="F45" s="1">
        <f ca="1">IFERROR(__xludf.DUMMYFUNCTION("""COMPUTED_VALUE"""),11508710)</f>
        <v>11508710</v>
      </c>
    </row>
    <row r="46" spans="1:6" ht="15.75" customHeight="1">
      <c r="A46" s="10">
        <f ca="1">IFERROR(__xludf.DUMMYFUNCTION("""COMPUTED_VALUE"""),43892.6666666666)</f>
        <v>43892.666666666599</v>
      </c>
      <c r="B46" s="1">
        <f ca="1">IFERROR(__xludf.DUMMYFUNCTION("""COMPUTED_VALUE"""),151.34)</f>
        <v>151.34</v>
      </c>
      <c r="C46" s="1">
        <f ca="1">IFERROR(__xludf.DUMMYFUNCTION("""COMPUTED_VALUE"""),153.43)</f>
        <v>153.43</v>
      </c>
      <c r="D46" s="1">
        <f ca="1">IFERROR(__xludf.DUMMYFUNCTION("""COMPUTED_VALUE"""),148.37)</f>
        <v>148.37</v>
      </c>
      <c r="E46" s="1">
        <f ca="1">IFERROR(__xludf.DUMMYFUNCTION("""COMPUTED_VALUE"""),153.02)</f>
        <v>153.02000000000001</v>
      </c>
      <c r="F46" s="1">
        <f ca="1">IFERROR(__xludf.DUMMYFUNCTION("""COMPUTED_VALUE"""),8026254)</f>
        <v>8026254</v>
      </c>
    </row>
    <row r="47" spans="1:6" ht="15.75" customHeight="1">
      <c r="A47" s="10">
        <f ca="1">IFERROR(__xludf.DUMMYFUNCTION("""COMPUTED_VALUE"""),43893.6666666666)</f>
        <v>43893.666666666599</v>
      </c>
      <c r="B47" s="1">
        <f ca="1">IFERROR(__xludf.DUMMYFUNCTION("""COMPUTED_VALUE"""),152.44)</f>
        <v>152.44</v>
      </c>
      <c r="C47" s="1">
        <f ca="1">IFERROR(__xludf.DUMMYFUNCTION("""COMPUTED_VALUE"""),154)</f>
        <v>154</v>
      </c>
      <c r="D47" s="1">
        <f ca="1">IFERROR(__xludf.DUMMYFUNCTION("""COMPUTED_VALUE"""),144.44)</f>
        <v>144.44</v>
      </c>
      <c r="E47" s="1">
        <f ca="1">IFERROR(__xludf.DUMMYFUNCTION("""COMPUTED_VALUE"""),145.24)</f>
        <v>145.24</v>
      </c>
      <c r="F47" s="1">
        <f ca="1">IFERROR(__xludf.DUMMYFUNCTION("""COMPUTED_VALUE"""),8296485)</f>
        <v>8296485</v>
      </c>
    </row>
    <row r="48" spans="1:6" ht="15.75" customHeight="1">
      <c r="A48" s="10">
        <f ca="1">IFERROR(__xludf.DUMMYFUNCTION("""COMPUTED_VALUE"""),43894.6666666666)</f>
        <v>43894.666666666599</v>
      </c>
      <c r="B48" s="1">
        <f ca="1">IFERROR(__xludf.DUMMYFUNCTION("""COMPUTED_VALUE"""),147.02)</f>
        <v>147.02000000000001</v>
      </c>
      <c r="C48" s="1">
        <f ca="1">IFERROR(__xludf.DUMMYFUNCTION("""COMPUTED_VALUE"""),154)</f>
        <v>154</v>
      </c>
      <c r="D48" s="1">
        <f ca="1">IFERROR(__xludf.DUMMYFUNCTION("""COMPUTED_VALUE"""),145.99)</f>
        <v>145.99</v>
      </c>
      <c r="E48" s="1">
        <f ca="1">IFERROR(__xludf.DUMMYFUNCTION("""COMPUTED_VALUE"""),153.98)</f>
        <v>153.97999999999999</v>
      </c>
      <c r="F48" s="1">
        <f ca="1">IFERROR(__xludf.DUMMYFUNCTION("""COMPUTED_VALUE"""),5773845)</f>
        <v>5773845</v>
      </c>
    </row>
    <row r="49" spans="1:6" ht="15.75" customHeight="1">
      <c r="A49" s="10">
        <f ca="1">IFERROR(__xludf.DUMMYFUNCTION("""COMPUTED_VALUE"""),43895.6666666666)</f>
        <v>43895.666666666599</v>
      </c>
      <c r="B49" s="1">
        <f ca="1">IFERROR(__xludf.DUMMYFUNCTION("""COMPUTED_VALUE"""),150.8)</f>
        <v>150.80000000000001</v>
      </c>
      <c r="C49" s="1">
        <f ca="1">IFERROR(__xludf.DUMMYFUNCTION("""COMPUTED_VALUE"""),154.35)</f>
        <v>154.35</v>
      </c>
      <c r="D49" s="1">
        <f ca="1">IFERROR(__xludf.DUMMYFUNCTION("""COMPUTED_VALUE"""),149.55)</f>
        <v>149.55000000000001</v>
      </c>
      <c r="E49" s="1">
        <f ca="1">IFERROR(__xludf.DUMMYFUNCTION("""COMPUTED_VALUE"""),151.41)</f>
        <v>151.41</v>
      </c>
      <c r="F49" s="1">
        <f ca="1">IFERROR(__xludf.DUMMYFUNCTION("""COMPUTED_VALUE"""),5887040)</f>
        <v>5887040</v>
      </c>
    </row>
    <row r="50" spans="1:6" ht="15.75" customHeight="1">
      <c r="A50" s="10">
        <f ca="1">IFERROR(__xludf.DUMMYFUNCTION("""COMPUTED_VALUE"""),43896.6666666666)</f>
        <v>43896.666666666599</v>
      </c>
      <c r="B50" s="1">
        <f ca="1">IFERROR(__xludf.DUMMYFUNCTION("""COMPUTED_VALUE"""),149.59)</f>
        <v>149.59</v>
      </c>
      <c r="C50" s="1">
        <f ca="1">IFERROR(__xludf.DUMMYFUNCTION("""COMPUTED_VALUE"""),154.74)</f>
        <v>154.74</v>
      </c>
      <c r="D50" s="1">
        <f ca="1">IFERROR(__xludf.DUMMYFUNCTION("""COMPUTED_VALUE"""),147.87)</f>
        <v>147.87</v>
      </c>
      <c r="E50" s="1">
        <f ca="1">IFERROR(__xludf.DUMMYFUNCTION("""COMPUTED_VALUE"""),153.65)</f>
        <v>153.65</v>
      </c>
      <c r="F50" s="1">
        <f ca="1">IFERROR(__xludf.DUMMYFUNCTION("""COMPUTED_VALUE"""),7155126)</f>
        <v>7155126</v>
      </c>
    </row>
    <row r="51" spans="1:6" ht="15.75" customHeight="1">
      <c r="A51" s="10">
        <f ca="1">IFERROR(__xludf.DUMMYFUNCTION("""COMPUTED_VALUE"""),43899.6666666666)</f>
        <v>43899.666666666599</v>
      </c>
      <c r="B51" s="1">
        <f ca="1">IFERROR(__xludf.DUMMYFUNCTION("""COMPUTED_VALUE"""),146.59)</f>
        <v>146.59</v>
      </c>
      <c r="C51" s="1">
        <f ca="1">IFERROR(__xludf.DUMMYFUNCTION("""COMPUTED_VALUE"""),149.46)</f>
        <v>149.46</v>
      </c>
      <c r="D51" s="1">
        <f ca="1">IFERROR(__xludf.DUMMYFUNCTION("""COMPUTED_VALUE"""),143.55)</f>
        <v>143.55000000000001</v>
      </c>
      <c r="E51" s="1">
        <f ca="1">IFERROR(__xludf.DUMMYFUNCTION("""COMPUTED_VALUE"""),144.06)</f>
        <v>144.06</v>
      </c>
      <c r="F51" s="1">
        <f ca="1">IFERROR(__xludf.DUMMYFUNCTION("""COMPUTED_VALUE"""),8194358)</f>
        <v>8194358</v>
      </c>
    </row>
    <row r="52" spans="1:6" ht="15.75" customHeight="1">
      <c r="A52" s="10">
        <f ca="1">IFERROR(__xludf.DUMMYFUNCTION("""COMPUTED_VALUE"""),43900.6666666666)</f>
        <v>43900.666666666599</v>
      </c>
      <c r="B52" s="1">
        <f ca="1">IFERROR(__xludf.DUMMYFUNCTION("""COMPUTED_VALUE"""),149.02)</f>
        <v>149.02000000000001</v>
      </c>
      <c r="C52" s="1">
        <f ca="1">IFERROR(__xludf.DUMMYFUNCTION("""COMPUTED_VALUE"""),153.38)</f>
        <v>153.38</v>
      </c>
      <c r="D52" s="1">
        <f ca="1">IFERROR(__xludf.DUMMYFUNCTION("""COMPUTED_VALUE"""),144.88)</f>
        <v>144.88</v>
      </c>
      <c r="E52" s="1">
        <f ca="1">IFERROR(__xludf.DUMMYFUNCTION("""COMPUTED_VALUE"""),153.3)</f>
        <v>153.30000000000001</v>
      </c>
      <c r="F52" s="1">
        <f ca="1">IFERROR(__xludf.DUMMYFUNCTION("""COMPUTED_VALUE"""),5651741)</f>
        <v>5651741</v>
      </c>
    </row>
    <row r="53" spans="1:6" ht="15.75" customHeight="1">
      <c r="A53" s="10">
        <f ca="1">IFERROR(__xludf.DUMMYFUNCTION("""COMPUTED_VALUE"""),43901.6666666666)</f>
        <v>43901.666666666599</v>
      </c>
      <c r="B53" s="1">
        <f ca="1">IFERROR(__xludf.DUMMYFUNCTION("""COMPUTED_VALUE"""),149.73)</f>
        <v>149.72999999999999</v>
      </c>
      <c r="C53" s="1">
        <f ca="1">IFERROR(__xludf.DUMMYFUNCTION("""COMPUTED_VALUE"""),149.73)</f>
        <v>149.72999999999999</v>
      </c>
      <c r="D53" s="1">
        <f ca="1">IFERROR(__xludf.DUMMYFUNCTION("""COMPUTED_VALUE"""),146.47)</f>
        <v>146.47</v>
      </c>
      <c r="E53" s="1">
        <f ca="1">IFERROR(__xludf.DUMMYFUNCTION("""COMPUTED_VALUE"""),147.24)</f>
        <v>147.24</v>
      </c>
      <c r="F53" s="1">
        <f ca="1">IFERROR(__xludf.DUMMYFUNCTION("""COMPUTED_VALUE"""),4753737)</f>
        <v>4753737</v>
      </c>
    </row>
    <row r="54" spans="1:6" ht="15.75" customHeight="1">
      <c r="A54" s="10">
        <f ca="1">IFERROR(__xludf.DUMMYFUNCTION("""COMPUTED_VALUE"""),43902.6666666666)</f>
        <v>43902.666666666599</v>
      </c>
      <c r="B54" s="1">
        <f ca="1">IFERROR(__xludf.DUMMYFUNCTION("""COMPUTED_VALUE"""),139.96)</f>
        <v>139.96</v>
      </c>
      <c r="C54" s="1">
        <f ca="1">IFERROR(__xludf.DUMMYFUNCTION("""COMPUTED_VALUE"""),141.71)</f>
        <v>141.71</v>
      </c>
      <c r="D54" s="1">
        <f ca="1">IFERROR(__xludf.DUMMYFUNCTION("""COMPUTED_VALUE"""),130.34)</f>
        <v>130.34</v>
      </c>
      <c r="E54" s="1">
        <f ca="1">IFERROR(__xludf.DUMMYFUNCTION("""COMPUTED_VALUE"""),133.58)</f>
        <v>133.58000000000001</v>
      </c>
      <c r="F54" s="1">
        <f ca="1">IFERROR(__xludf.DUMMYFUNCTION("""COMPUTED_VALUE"""),8215829)</f>
        <v>8215829</v>
      </c>
    </row>
    <row r="55" spans="1:6" ht="15.75" customHeight="1">
      <c r="A55" s="10">
        <f ca="1">IFERROR(__xludf.DUMMYFUNCTION("""COMPUTED_VALUE"""),43903.6666666666)</f>
        <v>43903.666666666599</v>
      </c>
      <c r="B55" s="1">
        <f ca="1">IFERROR(__xludf.DUMMYFUNCTION("""COMPUTED_VALUE"""),141.01)</f>
        <v>141.01</v>
      </c>
      <c r="C55" s="1">
        <f ca="1">IFERROR(__xludf.DUMMYFUNCTION("""COMPUTED_VALUE"""),141.69)</f>
        <v>141.69</v>
      </c>
      <c r="D55" s="1">
        <f ca="1">IFERROR(__xludf.DUMMYFUNCTION("""COMPUTED_VALUE"""),131)</f>
        <v>131</v>
      </c>
      <c r="E55" s="1">
        <f ca="1">IFERROR(__xludf.DUMMYFUNCTION("""COMPUTED_VALUE"""),141.68)</f>
        <v>141.68</v>
      </c>
      <c r="F55" s="1">
        <f ca="1">IFERROR(__xludf.DUMMYFUNCTION("""COMPUTED_VALUE"""),6580346)</f>
        <v>6580346</v>
      </c>
    </row>
    <row r="56" spans="1:6" ht="15.75" customHeight="1">
      <c r="A56" s="10">
        <f ca="1">IFERROR(__xludf.DUMMYFUNCTION("""COMPUTED_VALUE"""),43906.6666666666)</f>
        <v>43906.666666666599</v>
      </c>
      <c r="B56" s="1">
        <f ca="1">IFERROR(__xludf.DUMMYFUNCTION("""COMPUTED_VALUE"""),129.86)</f>
        <v>129.86000000000001</v>
      </c>
      <c r="C56" s="1">
        <f ca="1">IFERROR(__xludf.DUMMYFUNCTION("""COMPUTED_VALUE"""),135.5)</f>
        <v>135.5</v>
      </c>
      <c r="D56" s="1">
        <f ca="1">IFERROR(__xludf.DUMMYFUNCTION("""COMPUTED_VALUE"""),128.01)</f>
        <v>128.01</v>
      </c>
      <c r="E56" s="1">
        <f ca="1">IFERROR(__xludf.DUMMYFUNCTION("""COMPUTED_VALUE"""),130.91)</f>
        <v>130.91</v>
      </c>
      <c r="F56" s="1">
        <f ca="1">IFERROR(__xludf.DUMMYFUNCTION("""COMPUTED_VALUE"""),7440840)</f>
        <v>7440840</v>
      </c>
    </row>
    <row r="57" spans="1:6" ht="15.75" customHeight="1">
      <c r="A57" s="10">
        <f ca="1">IFERROR(__xludf.DUMMYFUNCTION("""COMPUTED_VALUE"""),43907.6666666666)</f>
        <v>43907.666666666599</v>
      </c>
      <c r="B57" s="1">
        <f ca="1">IFERROR(__xludf.DUMMYFUNCTION("""COMPUTED_VALUE"""),131.94)</f>
        <v>131.94</v>
      </c>
      <c r="C57" s="1">
        <f ca="1">IFERROR(__xludf.DUMMYFUNCTION("""COMPUTED_VALUE"""),136.77)</f>
        <v>136.77000000000001</v>
      </c>
      <c r="D57" s="1">
        <f ca="1">IFERROR(__xludf.DUMMYFUNCTION("""COMPUTED_VALUE"""),129.61)</f>
        <v>129.61000000000001</v>
      </c>
      <c r="E57" s="1">
        <f ca="1">IFERROR(__xludf.DUMMYFUNCTION("""COMPUTED_VALUE"""),134.44)</f>
        <v>134.44</v>
      </c>
      <c r="F57" s="1">
        <f ca="1">IFERROR(__xludf.DUMMYFUNCTION("""COMPUTED_VALUE"""),6535424)</f>
        <v>6535424</v>
      </c>
    </row>
    <row r="58" spans="1:6" ht="15.75" customHeight="1">
      <c r="A58" s="10">
        <f ca="1">IFERROR(__xludf.DUMMYFUNCTION("""COMPUTED_VALUE"""),43908.6666666666)</f>
        <v>43908.666666666599</v>
      </c>
      <c r="B58" s="1">
        <f ca="1">IFERROR(__xludf.DUMMYFUNCTION("""COMPUTED_VALUE"""),128.46)</f>
        <v>128.46</v>
      </c>
      <c r="C58" s="1">
        <f ca="1">IFERROR(__xludf.DUMMYFUNCTION("""COMPUTED_VALUE"""),139.37)</f>
        <v>139.37</v>
      </c>
      <c r="D58" s="1">
        <f ca="1">IFERROR(__xludf.DUMMYFUNCTION("""COMPUTED_VALUE"""),128.39)</f>
        <v>128.38999999999999</v>
      </c>
      <c r="E58" s="1">
        <f ca="1">IFERROR(__xludf.DUMMYFUNCTION("""COMPUTED_VALUE"""),137.02)</f>
        <v>137.02000000000001</v>
      </c>
      <c r="F58" s="1">
        <f ca="1">IFERROR(__xludf.DUMMYFUNCTION("""COMPUTED_VALUE"""),6860393)</f>
        <v>6860393</v>
      </c>
    </row>
    <row r="59" spans="1:6" ht="15.75" customHeight="1">
      <c r="A59" s="10">
        <f ca="1">IFERROR(__xludf.DUMMYFUNCTION("""COMPUTED_VALUE"""),43909.6666666666)</f>
        <v>43909.666666666599</v>
      </c>
      <c r="B59" s="1">
        <f ca="1">IFERROR(__xludf.DUMMYFUNCTION("""COMPUTED_VALUE"""),137.71)</f>
        <v>137.71</v>
      </c>
      <c r="C59" s="1">
        <f ca="1">IFERROR(__xludf.DUMMYFUNCTION("""COMPUTED_VALUE"""),140.18)</f>
        <v>140.18</v>
      </c>
      <c r="D59" s="1">
        <f ca="1">IFERROR(__xludf.DUMMYFUNCTION("""COMPUTED_VALUE"""),132.93)</f>
        <v>132.93</v>
      </c>
      <c r="E59" s="1">
        <f ca="1">IFERROR(__xludf.DUMMYFUNCTION("""COMPUTED_VALUE"""),137.51)</f>
        <v>137.51</v>
      </c>
      <c r="F59" s="1">
        <f ca="1">IFERROR(__xludf.DUMMYFUNCTION("""COMPUTED_VALUE"""),6365999)</f>
        <v>6365999</v>
      </c>
    </row>
    <row r="60" spans="1:6" ht="15.75" customHeight="1">
      <c r="A60" s="10">
        <f ca="1">IFERROR(__xludf.DUMMYFUNCTION("""COMPUTED_VALUE"""),43910.6666666666)</f>
        <v>43910.666666666599</v>
      </c>
      <c r="B60" s="1">
        <f ca="1">IFERROR(__xludf.DUMMYFUNCTION("""COMPUTED_VALUE"""),138.07)</f>
        <v>138.07</v>
      </c>
      <c r="C60" s="1">
        <f ca="1">IFERROR(__xludf.DUMMYFUNCTION("""COMPUTED_VALUE"""),139.24)</f>
        <v>139.24</v>
      </c>
      <c r="D60" s="1">
        <f ca="1">IFERROR(__xludf.DUMMYFUNCTION("""COMPUTED_VALUE"""),122.71)</f>
        <v>122.71</v>
      </c>
      <c r="E60" s="1">
        <f ca="1">IFERROR(__xludf.DUMMYFUNCTION("""COMPUTED_VALUE"""),124.89)</f>
        <v>124.89</v>
      </c>
      <c r="F60" s="1">
        <f ca="1">IFERROR(__xludf.DUMMYFUNCTION("""COMPUTED_VALUE"""),9589183)</f>
        <v>9589183</v>
      </c>
    </row>
    <row r="61" spans="1:6" ht="15.75" customHeight="1">
      <c r="A61" s="10">
        <f ca="1">IFERROR(__xludf.DUMMYFUNCTION("""COMPUTED_VALUE"""),43913.6666666666)</f>
        <v>43913.666666666599</v>
      </c>
      <c r="B61" s="1">
        <f ca="1">IFERROR(__xludf.DUMMYFUNCTION("""COMPUTED_VALUE"""),128.16)</f>
        <v>128.16</v>
      </c>
      <c r="C61" s="1">
        <f ca="1">IFERROR(__xludf.DUMMYFUNCTION("""COMPUTED_VALUE"""),128.4)</f>
        <v>128.4</v>
      </c>
      <c r="D61" s="1">
        <f ca="1">IFERROR(__xludf.DUMMYFUNCTION("""COMPUTED_VALUE"""),114.04)</f>
        <v>114.04</v>
      </c>
      <c r="E61" s="1">
        <f ca="1">IFERROR(__xludf.DUMMYFUNCTION("""COMPUTED_VALUE"""),117.87)</f>
        <v>117.87</v>
      </c>
      <c r="F61" s="1">
        <f ca="1">IFERROR(__xludf.DUMMYFUNCTION("""COMPUTED_VALUE"""),7934299)</f>
        <v>7934299</v>
      </c>
    </row>
    <row r="62" spans="1:6" ht="15.75" customHeight="1">
      <c r="A62" s="10">
        <f ca="1">IFERROR(__xludf.DUMMYFUNCTION("""COMPUTED_VALUE"""),43914.6666666666)</f>
        <v>43914.666666666599</v>
      </c>
      <c r="B62" s="1">
        <f ca="1">IFERROR(__xludf.DUMMYFUNCTION("""COMPUTED_VALUE"""),122.29)</f>
        <v>122.29</v>
      </c>
      <c r="C62" s="1">
        <f ca="1">IFERROR(__xludf.DUMMYFUNCTION("""COMPUTED_VALUE"""),133.45)</f>
        <v>133.44999999999999</v>
      </c>
      <c r="D62" s="1">
        <f ca="1">IFERROR(__xludf.DUMMYFUNCTION("""COMPUTED_VALUE"""),121)</f>
        <v>121</v>
      </c>
      <c r="E62" s="1">
        <f ca="1">IFERROR(__xludf.DUMMYFUNCTION("""COMPUTED_VALUE"""),132.72)</f>
        <v>132.72</v>
      </c>
      <c r="F62" s="1">
        <f ca="1">IFERROR(__xludf.DUMMYFUNCTION("""COMPUTED_VALUE"""),9311725)</f>
        <v>9311725</v>
      </c>
    </row>
    <row r="63" spans="1:6" ht="15.75" customHeight="1">
      <c r="A63" s="10">
        <f ca="1">IFERROR(__xludf.DUMMYFUNCTION("""COMPUTED_VALUE"""),43915.6666666666)</f>
        <v>43915.666666666599</v>
      </c>
      <c r="B63" s="1">
        <f ca="1">IFERROR(__xludf.DUMMYFUNCTION("""COMPUTED_VALUE"""),133.15)</f>
        <v>133.15</v>
      </c>
      <c r="C63" s="1">
        <f ca="1">IFERROR(__xludf.DUMMYFUNCTION("""COMPUTED_VALUE"""),134.69)</f>
        <v>134.69</v>
      </c>
      <c r="D63" s="1">
        <f ca="1">IFERROR(__xludf.DUMMYFUNCTION("""COMPUTED_VALUE"""),126.8)</f>
        <v>126.8</v>
      </c>
      <c r="E63" s="1">
        <f ca="1">IFERROR(__xludf.DUMMYFUNCTION("""COMPUTED_VALUE"""),131.54)</f>
        <v>131.54</v>
      </c>
      <c r="F63" s="1">
        <f ca="1">IFERROR(__xludf.DUMMYFUNCTION("""COMPUTED_VALUE"""),7742500)</f>
        <v>7742500</v>
      </c>
    </row>
    <row r="64" spans="1:6" ht="15.75" customHeight="1">
      <c r="A64" s="10">
        <f ca="1">IFERROR(__xludf.DUMMYFUNCTION("""COMPUTED_VALUE"""),43916.6666666666)</f>
        <v>43916.666666666599</v>
      </c>
      <c r="B64" s="1">
        <f ca="1">IFERROR(__xludf.DUMMYFUNCTION("""COMPUTED_VALUE"""),131.79)</f>
        <v>131.79</v>
      </c>
      <c r="C64" s="1">
        <f ca="1">IFERROR(__xludf.DUMMYFUNCTION("""COMPUTED_VALUE"""),136.38)</f>
        <v>136.38</v>
      </c>
      <c r="D64" s="1">
        <f ca="1">IFERROR(__xludf.DUMMYFUNCTION("""COMPUTED_VALUE"""),130.61)</f>
        <v>130.61000000000001</v>
      </c>
      <c r="E64" s="1">
        <f ca="1">IFERROR(__xludf.DUMMYFUNCTION("""COMPUTED_VALUE"""),136.18)</f>
        <v>136.18</v>
      </c>
      <c r="F64" s="1">
        <f ca="1">IFERROR(__xludf.DUMMYFUNCTION("""COMPUTED_VALUE"""),6718291)</f>
        <v>6718291</v>
      </c>
    </row>
    <row r="65" spans="1:6" ht="15.75" customHeight="1">
      <c r="A65" s="10">
        <f ca="1">IFERROR(__xludf.DUMMYFUNCTION("""COMPUTED_VALUE"""),43917.6666666666)</f>
        <v>43917.666666666599</v>
      </c>
      <c r="B65" s="1">
        <f ca="1">IFERROR(__xludf.DUMMYFUNCTION("""COMPUTED_VALUE"""),132.83)</f>
        <v>132.83000000000001</v>
      </c>
      <c r="C65" s="1">
        <f ca="1">IFERROR(__xludf.DUMMYFUNCTION("""COMPUTED_VALUE"""),137.07)</f>
        <v>137.07</v>
      </c>
      <c r="D65" s="1">
        <f ca="1">IFERROR(__xludf.DUMMYFUNCTION("""COMPUTED_VALUE"""),130.91)</f>
        <v>130.91</v>
      </c>
      <c r="E65" s="1">
        <f ca="1">IFERROR(__xludf.DUMMYFUNCTION("""COMPUTED_VALUE"""),133.24)</f>
        <v>133.24</v>
      </c>
      <c r="F65" s="1">
        <f ca="1">IFERROR(__xludf.DUMMYFUNCTION("""COMPUTED_VALUE"""),4262337)</f>
        <v>4262337</v>
      </c>
    </row>
    <row r="66" spans="1:6" ht="15.75" customHeight="1">
      <c r="A66" s="10">
        <f ca="1">IFERROR(__xludf.DUMMYFUNCTION("""COMPUTED_VALUE"""),43920.6666666666)</f>
        <v>43920.666666666599</v>
      </c>
      <c r="B66" s="1">
        <f ca="1">IFERROR(__xludf.DUMMYFUNCTION("""COMPUTED_VALUE"""),132.25)</f>
        <v>132.25</v>
      </c>
      <c r="C66" s="1">
        <f ca="1">IFERROR(__xludf.DUMMYFUNCTION("""COMPUTED_VALUE"""),138.01)</f>
        <v>138.01</v>
      </c>
      <c r="D66" s="1">
        <f ca="1">IFERROR(__xludf.DUMMYFUNCTION("""COMPUTED_VALUE"""),131.06)</f>
        <v>131.06</v>
      </c>
      <c r="E66" s="1">
        <f ca="1">IFERROR(__xludf.DUMMYFUNCTION("""COMPUTED_VALUE"""),137.74)</f>
        <v>137.74</v>
      </c>
      <c r="F66" s="1">
        <f ca="1">IFERROR(__xludf.DUMMYFUNCTION("""COMPUTED_VALUE"""),3869504)</f>
        <v>3869504</v>
      </c>
    </row>
    <row r="67" spans="1:6" ht="15.75" customHeight="1">
      <c r="A67" s="10">
        <f ca="1">IFERROR(__xludf.DUMMYFUNCTION("""COMPUTED_VALUE"""),43921.6666666666)</f>
        <v>43921.666666666599</v>
      </c>
      <c r="B67" s="1">
        <f ca="1">IFERROR(__xludf.DUMMYFUNCTION("""COMPUTED_VALUE"""),135.69)</f>
        <v>135.69</v>
      </c>
      <c r="C67" s="1">
        <f ca="1">IFERROR(__xludf.DUMMYFUNCTION("""COMPUTED_VALUE"""),139.44)</f>
        <v>139.44</v>
      </c>
      <c r="D67" s="1">
        <f ca="1">IFERROR(__xludf.DUMMYFUNCTION("""COMPUTED_VALUE"""),135.68)</f>
        <v>135.68</v>
      </c>
      <c r="E67" s="1">
        <f ca="1">IFERROR(__xludf.DUMMYFUNCTION("""COMPUTED_VALUE"""),136.51)</f>
        <v>136.51</v>
      </c>
      <c r="F67" s="1">
        <f ca="1">IFERROR(__xludf.DUMMYFUNCTION("""COMPUTED_VALUE"""),3614963)</f>
        <v>3614963</v>
      </c>
    </row>
    <row r="68" spans="1:6" ht="15.75" customHeight="1">
      <c r="A68" s="10">
        <f ca="1">IFERROR(__xludf.DUMMYFUNCTION("""COMPUTED_VALUE"""),43922.6666666666)</f>
        <v>43922.666666666599</v>
      </c>
      <c r="B68" s="1">
        <f ca="1">IFERROR(__xludf.DUMMYFUNCTION("""COMPUTED_VALUE"""),132)</f>
        <v>132</v>
      </c>
      <c r="C68" s="1">
        <f ca="1">IFERROR(__xludf.DUMMYFUNCTION("""COMPUTED_VALUE"""),135.84)</f>
        <v>135.84</v>
      </c>
      <c r="D68" s="1">
        <f ca="1">IFERROR(__xludf.DUMMYFUNCTION("""COMPUTED_VALUE"""),131.01)</f>
        <v>131.01</v>
      </c>
      <c r="E68" s="1">
        <f ca="1">IFERROR(__xludf.DUMMYFUNCTION("""COMPUTED_VALUE"""),133.14)</f>
        <v>133.13999999999999</v>
      </c>
      <c r="F68" s="1">
        <f ca="1">IFERROR(__xludf.DUMMYFUNCTION("""COMPUTED_VALUE"""),3777954)</f>
        <v>3777954</v>
      </c>
    </row>
    <row r="69" spans="1:6" ht="15.75" customHeight="1">
      <c r="A69" s="10">
        <f ca="1">IFERROR(__xludf.DUMMYFUNCTION("""COMPUTED_VALUE"""),43923.6666666666)</f>
        <v>43923.666666666599</v>
      </c>
      <c r="B69" s="1">
        <f ca="1">IFERROR(__xludf.DUMMYFUNCTION("""COMPUTED_VALUE"""),132.36)</f>
        <v>132.36000000000001</v>
      </c>
      <c r="C69" s="1">
        <f ca="1">IFERROR(__xludf.DUMMYFUNCTION("""COMPUTED_VALUE"""),138.21)</f>
        <v>138.21</v>
      </c>
      <c r="D69" s="1">
        <f ca="1">IFERROR(__xludf.DUMMYFUNCTION("""COMPUTED_VALUE"""),132.1)</f>
        <v>132.1</v>
      </c>
      <c r="E69" s="1">
        <f ca="1">IFERROR(__xludf.DUMMYFUNCTION("""COMPUTED_VALUE"""),137.91)</f>
        <v>137.91</v>
      </c>
      <c r="F69" s="1">
        <f ca="1">IFERROR(__xludf.DUMMYFUNCTION("""COMPUTED_VALUE"""),3990340)</f>
        <v>3990340</v>
      </c>
    </row>
    <row r="70" spans="1:6" ht="15.75" customHeight="1">
      <c r="A70" s="10">
        <f ca="1">IFERROR(__xludf.DUMMYFUNCTION("""COMPUTED_VALUE"""),43924.6666666666)</f>
        <v>43924.666666666599</v>
      </c>
      <c r="B70" s="1">
        <f ca="1">IFERROR(__xludf.DUMMYFUNCTION("""COMPUTED_VALUE"""),136.01)</f>
        <v>136.01</v>
      </c>
      <c r="C70" s="1">
        <f ca="1">IFERROR(__xludf.DUMMYFUNCTION("""COMPUTED_VALUE"""),137.44)</f>
        <v>137.44</v>
      </c>
      <c r="D70" s="1">
        <f ca="1">IFERROR(__xludf.DUMMYFUNCTION("""COMPUTED_VALUE"""),132.9)</f>
        <v>132.9</v>
      </c>
      <c r="E70" s="1">
        <f ca="1">IFERROR(__xludf.DUMMYFUNCTION("""COMPUTED_VALUE"""),133.79)</f>
        <v>133.79</v>
      </c>
      <c r="F70" s="1">
        <f ca="1">IFERROR(__xludf.DUMMYFUNCTION("""COMPUTED_VALUE"""),3588252)</f>
        <v>3588252</v>
      </c>
    </row>
    <row r="71" spans="1:6" ht="15.75" customHeight="1">
      <c r="A71" s="10">
        <f ca="1">IFERROR(__xludf.DUMMYFUNCTION("""COMPUTED_VALUE"""),43927.6666666666)</f>
        <v>43927.666666666599</v>
      </c>
      <c r="B71" s="1">
        <f ca="1">IFERROR(__xludf.DUMMYFUNCTION("""COMPUTED_VALUE"""),137.86)</f>
        <v>137.86000000000001</v>
      </c>
      <c r="C71" s="1">
        <f ca="1">IFERROR(__xludf.DUMMYFUNCTION("""COMPUTED_VALUE"""),141.25)</f>
        <v>141.25</v>
      </c>
      <c r="D71" s="1">
        <f ca="1">IFERROR(__xludf.DUMMYFUNCTION("""COMPUTED_VALUE"""),136.9)</f>
        <v>136.9</v>
      </c>
      <c r="E71" s="1">
        <f ca="1">IFERROR(__xludf.DUMMYFUNCTION("""COMPUTED_VALUE"""),140.7)</f>
        <v>140.69999999999999</v>
      </c>
      <c r="F71" s="1">
        <f ca="1">IFERROR(__xludf.DUMMYFUNCTION("""COMPUTED_VALUE"""),5639666)</f>
        <v>5639666</v>
      </c>
    </row>
    <row r="72" spans="1:6" ht="15.75" customHeight="1">
      <c r="A72" s="10">
        <f ca="1">IFERROR(__xludf.DUMMYFUNCTION("""COMPUTED_VALUE"""),43928.6666666666)</f>
        <v>43928.666666666599</v>
      </c>
      <c r="B72" s="1">
        <f ca="1">IFERROR(__xludf.DUMMYFUNCTION("""COMPUTED_VALUE"""),147.5)</f>
        <v>147.5</v>
      </c>
      <c r="C72" s="1">
        <f ca="1">IFERROR(__xludf.DUMMYFUNCTION("""COMPUTED_VALUE"""),150.64)</f>
        <v>150.63999999999999</v>
      </c>
      <c r="D72" s="1">
        <f ca="1">IFERROR(__xludf.DUMMYFUNCTION("""COMPUTED_VALUE"""),144.4)</f>
        <v>144.4</v>
      </c>
      <c r="E72" s="1">
        <f ca="1">IFERROR(__xludf.DUMMYFUNCTION("""COMPUTED_VALUE"""),144.6)</f>
        <v>144.6</v>
      </c>
      <c r="F72" s="1">
        <f ca="1">IFERROR(__xludf.DUMMYFUNCTION("""COMPUTED_VALUE"""),5496738)</f>
        <v>5496738</v>
      </c>
    </row>
    <row r="73" spans="1:6" ht="15.75" customHeight="1">
      <c r="A73" s="10">
        <f ca="1">IFERROR(__xludf.DUMMYFUNCTION("""COMPUTED_VALUE"""),43929.6666666666)</f>
        <v>43929.666666666599</v>
      </c>
      <c r="B73" s="1">
        <f ca="1">IFERROR(__xludf.DUMMYFUNCTION("""COMPUTED_VALUE"""),145.73)</f>
        <v>145.72999999999999</v>
      </c>
      <c r="C73" s="1">
        <f ca="1">IFERROR(__xludf.DUMMYFUNCTION("""COMPUTED_VALUE"""),149.72)</f>
        <v>149.72</v>
      </c>
      <c r="D73" s="1">
        <f ca="1">IFERROR(__xludf.DUMMYFUNCTION("""COMPUTED_VALUE"""),143.91)</f>
        <v>143.91</v>
      </c>
      <c r="E73" s="1">
        <f ca="1">IFERROR(__xludf.DUMMYFUNCTION("""COMPUTED_VALUE"""),148.99)</f>
        <v>148.99</v>
      </c>
      <c r="F73" s="1">
        <f ca="1">IFERROR(__xludf.DUMMYFUNCTION("""COMPUTED_VALUE"""),3071063)</f>
        <v>3071063</v>
      </c>
    </row>
    <row r="74" spans="1:6" ht="15.75" customHeight="1">
      <c r="A74" s="10">
        <f ca="1">IFERROR(__xludf.DUMMYFUNCTION("""COMPUTED_VALUE"""),43930.6666666666)</f>
        <v>43930.666666666599</v>
      </c>
      <c r="B74" s="1">
        <f ca="1">IFERROR(__xludf.DUMMYFUNCTION("""COMPUTED_VALUE"""),148.46)</f>
        <v>148.46</v>
      </c>
      <c r="C74" s="1">
        <f ca="1">IFERROR(__xludf.DUMMYFUNCTION("""COMPUTED_VALUE"""),149.73)</f>
        <v>149.72999999999999</v>
      </c>
      <c r="D74" s="1">
        <f ca="1">IFERROR(__xludf.DUMMYFUNCTION("""COMPUTED_VALUE"""),146.54)</f>
        <v>146.54</v>
      </c>
      <c r="E74" s="1">
        <f ca="1">IFERROR(__xludf.DUMMYFUNCTION("""COMPUTED_VALUE"""),147.78)</f>
        <v>147.78</v>
      </c>
      <c r="F74" s="1">
        <f ca="1">IFERROR(__xludf.DUMMYFUNCTION("""COMPUTED_VALUE"""),4784237)</f>
        <v>4784237</v>
      </c>
    </row>
    <row r="75" spans="1:6" ht="15.75" customHeight="1">
      <c r="A75" s="10">
        <f ca="1">IFERROR(__xludf.DUMMYFUNCTION("""COMPUTED_VALUE"""),43934.6666666666)</f>
        <v>43934.666666666599</v>
      </c>
      <c r="B75" s="1">
        <f ca="1">IFERROR(__xludf.DUMMYFUNCTION("""COMPUTED_VALUE"""),147.5)</f>
        <v>147.5</v>
      </c>
      <c r="C75" s="1">
        <f ca="1">IFERROR(__xludf.DUMMYFUNCTION("""COMPUTED_VALUE"""),148.58)</f>
        <v>148.58000000000001</v>
      </c>
      <c r="D75" s="1">
        <f ca="1">IFERROR(__xludf.DUMMYFUNCTION("""COMPUTED_VALUE"""),145.3)</f>
        <v>145.30000000000001</v>
      </c>
      <c r="E75" s="1">
        <f ca="1">IFERROR(__xludf.DUMMYFUNCTION("""COMPUTED_VALUE"""),146.4)</f>
        <v>146.4</v>
      </c>
      <c r="F75" s="1">
        <f ca="1">IFERROR(__xludf.DUMMYFUNCTION("""COMPUTED_VALUE"""),2642295)</f>
        <v>2642295</v>
      </c>
    </row>
    <row r="76" spans="1:6" ht="15.75" customHeight="1">
      <c r="A76" s="10">
        <f ca="1">IFERROR(__xludf.DUMMYFUNCTION("""COMPUTED_VALUE"""),43935.6666666666)</f>
        <v>43935.666666666599</v>
      </c>
      <c r="B76" s="1">
        <f ca="1">IFERROR(__xludf.DUMMYFUNCTION("""COMPUTED_VALUE"""),149.62)</f>
        <v>149.62</v>
      </c>
      <c r="C76" s="1">
        <f ca="1">IFERROR(__xludf.DUMMYFUNCTION("""COMPUTED_VALUE"""),150.98)</f>
        <v>150.97999999999999</v>
      </c>
      <c r="D76" s="1">
        <f ca="1">IFERROR(__xludf.DUMMYFUNCTION("""COMPUTED_VALUE"""),148.05)</f>
        <v>148.05000000000001</v>
      </c>
      <c r="E76" s="1">
        <f ca="1">IFERROR(__xludf.DUMMYFUNCTION("""COMPUTED_VALUE"""),150.14)</f>
        <v>150.13999999999999</v>
      </c>
      <c r="F76" s="1">
        <f ca="1">IFERROR(__xludf.DUMMYFUNCTION("""COMPUTED_VALUE"""),3318390)</f>
        <v>3318390</v>
      </c>
    </row>
    <row r="77" spans="1:6" ht="15.75" customHeight="1">
      <c r="A77" s="10">
        <f ca="1">IFERROR(__xludf.DUMMYFUNCTION("""COMPUTED_VALUE"""),43936.6666666666)</f>
        <v>43936.666666666599</v>
      </c>
      <c r="B77" s="1">
        <f ca="1">IFERROR(__xludf.DUMMYFUNCTION("""COMPUTED_VALUE"""),148.19)</f>
        <v>148.19</v>
      </c>
      <c r="C77" s="1">
        <f ca="1">IFERROR(__xludf.DUMMYFUNCTION("""COMPUTED_VALUE"""),148.55)</f>
        <v>148.55000000000001</v>
      </c>
      <c r="D77" s="1">
        <f ca="1">IFERROR(__xludf.DUMMYFUNCTION("""COMPUTED_VALUE"""),144.9)</f>
        <v>144.9</v>
      </c>
      <c r="E77" s="1">
        <f ca="1">IFERROR(__xludf.DUMMYFUNCTION("""COMPUTED_VALUE"""),145.16)</f>
        <v>145.16</v>
      </c>
      <c r="F77" s="1">
        <f ca="1">IFERROR(__xludf.DUMMYFUNCTION("""COMPUTED_VALUE"""),3043859)</f>
        <v>3043859</v>
      </c>
    </row>
    <row r="78" spans="1:6" ht="15.75" customHeight="1">
      <c r="A78" s="10">
        <f ca="1">IFERROR(__xludf.DUMMYFUNCTION("""COMPUTED_VALUE"""),43937.6666666666)</f>
        <v>43937.666666666599</v>
      </c>
      <c r="B78" s="1">
        <f ca="1">IFERROR(__xludf.DUMMYFUNCTION("""COMPUTED_VALUE"""),145.27)</f>
        <v>145.27000000000001</v>
      </c>
      <c r="C78" s="1">
        <f ca="1">IFERROR(__xludf.DUMMYFUNCTION("""COMPUTED_VALUE"""),146.45)</f>
        <v>146.44999999999999</v>
      </c>
      <c r="D78" s="1">
        <f ca="1">IFERROR(__xludf.DUMMYFUNCTION("""COMPUTED_VALUE"""),143.23)</f>
        <v>143.22999999999999</v>
      </c>
      <c r="E78" s="1">
        <f ca="1">IFERROR(__xludf.DUMMYFUNCTION("""COMPUTED_VALUE"""),144.9)</f>
        <v>144.9</v>
      </c>
      <c r="F78" s="1">
        <f ca="1">IFERROR(__xludf.DUMMYFUNCTION("""COMPUTED_VALUE"""),4170357)</f>
        <v>4170357</v>
      </c>
    </row>
    <row r="79" spans="1:6" ht="15.75" customHeight="1">
      <c r="A79" s="10">
        <f ca="1">IFERROR(__xludf.DUMMYFUNCTION("""COMPUTED_VALUE"""),43938.6666666666)</f>
        <v>43938.666666666599</v>
      </c>
      <c r="B79" s="1">
        <f ca="1">IFERROR(__xludf.DUMMYFUNCTION("""COMPUTED_VALUE"""),147.44)</f>
        <v>147.44</v>
      </c>
      <c r="C79" s="1">
        <f ca="1">IFERROR(__xludf.DUMMYFUNCTION("""COMPUTED_VALUE"""),148.5)</f>
        <v>148.5</v>
      </c>
      <c r="D79" s="1">
        <f ca="1">IFERROR(__xludf.DUMMYFUNCTION("""COMPUTED_VALUE"""),144.8)</f>
        <v>144.80000000000001</v>
      </c>
      <c r="E79" s="1">
        <f ca="1">IFERROR(__xludf.DUMMYFUNCTION("""COMPUTED_VALUE"""),146.46)</f>
        <v>146.46</v>
      </c>
      <c r="F79" s="1">
        <f ca="1">IFERROR(__xludf.DUMMYFUNCTION("""COMPUTED_VALUE"""),5393130)</f>
        <v>5393130</v>
      </c>
    </row>
    <row r="80" spans="1:6" ht="15.75" customHeight="1">
      <c r="A80" s="10">
        <f ca="1">IFERROR(__xludf.DUMMYFUNCTION("""COMPUTED_VALUE"""),43941.6666666666)</f>
        <v>43941.666666666599</v>
      </c>
      <c r="B80" s="1">
        <f ca="1">IFERROR(__xludf.DUMMYFUNCTION("""COMPUTED_VALUE"""),144.75)</f>
        <v>144.75</v>
      </c>
      <c r="C80" s="1">
        <f ca="1">IFERROR(__xludf.DUMMYFUNCTION("""COMPUTED_VALUE"""),147.02)</f>
        <v>147.02000000000001</v>
      </c>
      <c r="D80" s="1">
        <f ca="1">IFERROR(__xludf.DUMMYFUNCTION("""COMPUTED_VALUE"""),143.65)</f>
        <v>143.65</v>
      </c>
      <c r="E80" s="1">
        <f ca="1">IFERROR(__xludf.DUMMYFUNCTION("""COMPUTED_VALUE"""),143.67)</f>
        <v>143.66999999999999</v>
      </c>
      <c r="F80" s="1">
        <f ca="1">IFERROR(__xludf.DUMMYFUNCTION("""COMPUTED_VALUE"""),2893045)</f>
        <v>2893045</v>
      </c>
    </row>
    <row r="81" spans="1:6" ht="15.75" customHeight="1">
      <c r="A81" s="10">
        <f ca="1">IFERROR(__xludf.DUMMYFUNCTION("""COMPUTED_VALUE"""),43942.6666666666)</f>
        <v>43942.666666666599</v>
      </c>
      <c r="B81" s="1">
        <f ca="1">IFERROR(__xludf.DUMMYFUNCTION("""COMPUTED_VALUE"""),142.25)</f>
        <v>142.25</v>
      </c>
      <c r="C81" s="1">
        <f ca="1">IFERROR(__xludf.DUMMYFUNCTION("""COMPUTED_VALUE"""),142.77)</f>
        <v>142.77000000000001</v>
      </c>
      <c r="D81" s="1">
        <f ca="1">IFERROR(__xludf.DUMMYFUNCTION("""COMPUTED_VALUE"""),140.5)</f>
        <v>140.5</v>
      </c>
      <c r="E81" s="1">
        <f ca="1">IFERROR(__xludf.DUMMYFUNCTION("""COMPUTED_VALUE"""),141.63)</f>
        <v>141.63</v>
      </c>
      <c r="F81" s="1">
        <f ca="1">IFERROR(__xludf.DUMMYFUNCTION("""COMPUTED_VALUE"""),2331372)</f>
        <v>2331372</v>
      </c>
    </row>
    <row r="82" spans="1:6" ht="15.75" customHeight="1">
      <c r="A82" s="10">
        <f ca="1">IFERROR(__xludf.DUMMYFUNCTION("""COMPUTED_VALUE"""),43943.6666666666)</f>
        <v>43943.666666666599</v>
      </c>
      <c r="B82" s="1">
        <f ca="1">IFERROR(__xludf.DUMMYFUNCTION("""COMPUTED_VALUE"""),143.36)</f>
        <v>143.36000000000001</v>
      </c>
      <c r="C82" s="1">
        <f ca="1">IFERROR(__xludf.DUMMYFUNCTION("""COMPUTED_VALUE"""),144.48)</f>
        <v>144.47999999999999</v>
      </c>
      <c r="D82" s="1">
        <f ca="1">IFERROR(__xludf.DUMMYFUNCTION("""COMPUTED_VALUE"""),141.71)</f>
        <v>141.71</v>
      </c>
      <c r="E82" s="1">
        <f ca="1">IFERROR(__xludf.DUMMYFUNCTION("""COMPUTED_VALUE"""),143.61)</f>
        <v>143.61000000000001</v>
      </c>
      <c r="F82" s="1">
        <f ca="1">IFERROR(__xludf.DUMMYFUNCTION("""COMPUTED_VALUE"""),2750414)</f>
        <v>2750414</v>
      </c>
    </row>
    <row r="83" spans="1:6" ht="15.75" customHeight="1">
      <c r="A83" s="10">
        <f ca="1">IFERROR(__xludf.DUMMYFUNCTION("""COMPUTED_VALUE"""),43944.6666666666)</f>
        <v>43944.666666666599</v>
      </c>
      <c r="B83" s="1">
        <f ca="1">IFERROR(__xludf.DUMMYFUNCTION("""COMPUTED_VALUE"""),144.58)</f>
        <v>144.58000000000001</v>
      </c>
      <c r="C83" s="1">
        <f ca="1">IFERROR(__xludf.DUMMYFUNCTION("""COMPUTED_VALUE"""),147.58)</f>
        <v>147.58000000000001</v>
      </c>
      <c r="D83" s="1">
        <f ca="1">IFERROR(__xludf.DUMMYFUNCTION("""COMPUTED_VALUE"""),143.88)</f>
        <v>143.88</v>
      </c>
      <c r="E83" s="1">
        <f ca="1">IFERROR(__xludf.DUMMYFUNCTION("""COMPUTED_VALUE"""),144.33)</f>
        <v>144.33000000000001</v>
      </c>
      <c r="F83" s="1">
        <f ca="1">IFERROR(__xludf.DUMMYFUNCTION("""COMPUTED_VALUE"""),2585335)</f>
        <v>2585335</v>
      </c>
    </row>
    <row r="84" spans="1:6" ht="15.75" customHeight="1">
      <c r="A84" s="10">
        <f ca="1">IFERROR(__xludf.DUMMYFUNCTION("""COMPUTED_VALUE"""),43945.6666666666)</f>
        <v>43945.666666666599</v>
      </c>
      <c r="B84" s="1">
        <f ca="1">IFERROR(__xludf.DUMMYFUNCTION("""COMPUTED_VALUE"""),145.17)</f>
        <v>145.16999999999999</v>
      </c>
      <c r="C84" s="1">
        <f ca="1">IFERROR(__xludf.DUMMYFUNCTION("""COMPUTED_VALUE"""),147.34)</f>
        <v>147.34</v>
      </c>
      <c r="D84" s="1">
        <f ca="1">IFERROR(__xludf.DUMMYFUNCTION("""COMPUTED_VALUE"""),144.31)</f>
        <v>144.31</v>
      </c>
      <c r="E84" s="1">
        <f ca="1">IFERROR(__xludf.DUMMYFUNCTION("""COMPUTED_VALUE"""),147)</f>
        <v>147</v>
      </c>
      <c r="F84" s="1">
        <f ca="1">IFERROR(__xludf.DUMMYFUNCTION("""COMPUTED_VALUE"""),2247654)</f>
        <v>2247654</v>
      </c>
    </row>
    <row r="85" spans="1:6" ht="15.75" customHeight="1">
      <c r="A85" s="10">
        <f ca="1">IFERROR(__xludf.DUMMYFUNCTION("""COMPUTED_VALUE"""),43948.6666666666)</f>
        <v>43948.666666666599</v>
      </c>
      <c r="B85" s="1">
        <f ca="1">IFERROR(__xludf.DUMMYFUNCTION("""COMPUTED_VALUE"""),148)</f>
        <v>148</v>
      </c>
      <c r="C85" s="1">
        <f ca="1">IFERROR(__xludf.DUMMYFUNCTION("""COMPUTED_VALUE"""),154.49)</f>
        <v>154.49</v>
      </c>
      <c r="D85" s="1">
        <f ca="1">IFERROR(__xludf.DUMMYFUNCTION("""COMPUTED_VALUE"""),147.89)</f>
        <v>147.88999999999999</v>
      </c>
      <c r="E85" s="1">
        <f ca="1">IFERROR(__xludf.DUMMYFUNCTION("""COMPUTED_VALUE"""),153.65)</f>
        <v>153.65</v>
      </c>
      <c r="F85" s="1">
        <f ca="1">IFERROR(__xludf.DUMMYFUNCTION("""COMPUTED_VALUE"""),4644944)</f>
        <v>4644944</v>
      </c>
    </row>
    <row r="86" spans="1:6" ht="15.75" customHeight="1">
      <c r="A86" s="10">
        <f ca="1">IFERROR(__xludf.DUMMYFUNCTION("""COMPUTED_VALUE"""),43949.6666666666)</f>
        <v>43949.666666666599</v>
      </c>
      <c r="B86" s="1">
        <f ca="1">IFERROR(__xludf.DUMMYFUNCTION("""COMPUTED_VALUE"""),160.03)</f>
        <v>160.03</v>
      </c>
      <c r="C86" s="1">
        <f ca="1">IFERROR(__xludf.DUMMYFUNCTION("""COMPUTED_VALUE"""),163.08)</f>
        <v>163.08000000000001</v>
      </c>
      <c r="D86" s="1">
        <f ca="1">IFERROR(__xludf.DUMMYFUNCTION("""COMPUTED_VALUE"""),155.2)</f>
        <v>155.19999999999999</v>
      </c>
      <c r="E86" s="1">
        <f ca="1">IFERROR(__xludf.DUMMYFUNCTION("""COMPUTED_VALUE"""),157.61)</f>
        <v>157.61000000000001</v>
      </c>
      <c r="F86" s="1">
        <f ca="1">IFERROR(__xludf.DUMMYFUNCTION("""COMPUTED_VALUE"""),8294104)</f>
        <v>8294104</v>
      </c>
    </row>
    <row r="87" spans="1:6" ht="15.75" customHeight="1">
      <c r="A87" s="10">
        <f ca="1">IFERROR(__xludf.DUMMYFUNCTION("""COMPUTED_VALUE"""),43950.6666666666)</f>
        <v>43950.666666666599</v>
      </c>
      <c r="B87" s="1">
        <f ca="1">IFERROR(__xludf.DUMMYFUNCTION("""COMPUTED_VALUE"""),158.54)</f>
        <v>158.54</v>
      </c>
      <c r="C87" s="1">
        <f ca="1">IFERROR(__xludf.DUMMYFUNCTION("""COMPUTED_VALUE"""),160.22)</f>
        <v>160.22</v>
      </c>
      <c r="D87" s="1">
        <f ca="1">IFERROR(__xludf.DUMMYFUNCTION("""COMPUTED_VALUE"""),155.17)</f>
        <v>155.16999999999999</v>
      </c>
      <c r="E87" s="1">
        <f ca="1">IFERROR(__xludf.DUMMYFUNCTION("""COMPUTED_VALUE"""),156.26)</f>
        <v>156.26</v>
      </c>
      <c r="F87" s="1">
        <f ca="1">IFERROR(__xludf.DUMMYFUNCTION("""COMPUTED_VALUE"""),3987124)</f>
        <v>3987124</v>
      </c>
    </row>
    <row r="88" spans="1:6" ht="15.75" customHeight="1">
      <c r="A88" s="10">
        <f ca="1">IFERROR(__xludf.DUMMYFUNCTION("""COMPUTED_VALUE"""),43951.6666666666)</f>
        <v>43951.666666666599</v>
      </c>
      <c r="B88" s="1">
        <f ca="1">IFERROR(__xludf.DUMMYFUNCTION("""COMPUTED_VALUE"""),154.31)</f>
        <v>154.31</v>
      </c>
      <c r="C88" s="1">
        <f ca="1">IFERROR(__xludf.DUMMYFUNCTION("""COMPUTED_VALUE"""),154.94)</f>
        <v>154.94</v>
      </c>
      <c r="D88" s="1">
        <f ca="1">IFERROR(__xludf.DUMMYFUNCTION("""COMPUTED_VALUE"""),151.75)</f>
        <v>151.75</v>
      </c>
      <c r="E88" s="1">
        <f ca="1">IFERROR(__xludf.DUMMYFUNCTION("""COMPUTED_VALUE"""),151.92)</f>
        <v>151.91999999999999</v>
      </c>
      <c r="F88" s="1">
        <f ca="1">IFERROR(__xludf.DUMMYFUNCTION("""COMPUTED_VALUE"""),3667848)</f>
        <v>3667848</v>
      </c>
    </row>
    <row r="89" spans="1:6" ht="15.75" customHeight="1">
      <c r="A89" s="10">
        <f ca="1">IFERROR(__xludf.DUMMYFUNCTION("""COMPUTED_VALUE"""),43952.6666666666)</f>
        <v>43952.666666666599</v>
      </c>
      <c r="B89" s="1">
        <f ca="1">IFERROR(__xludf.DUMMYFUNCTION("""COMPUTED_VALUE"""),149.3)</f>
        <v>149.30000000000001</v>
      </c>
      <c r="C89" s="1">
        <f ca="1">IFERROR(__xludf.DUMMYFUNCTION("""COMPUTED_VALUE"""),150.04)</f>
        <v>150.04</v>
      </c>
      <c r="D89" s="1">
        <f ca="1">IFERROR(__xludf.DUMMYFUNCTION("""COMPUTED_VALUE"""),147.73)</f>
        <v>147.72999999999999</v>
      </c>
      <c r="E89" s="1">
        <f ca="1">IFERROR(__xludf.DUMMYFUNCTION("""COMPUTED_VALUE"""),148.6)</f>
        <v>148.6</v>
      </c>
      <c r="F89" s="1">
        <f ca="1">IFERROR(__xludf.DUMMYFUNCTION("""COMPUTED_VALUE"""),2926714)</f>
        <v>2926714</v>
      </c>
    </row>
    <row r="90" spans="1:6" ht="15.75" customHeight="1">
      <c r="A90" s="10">
        <f ca="1">IFERROR(__xludf.DUMMYFUNCTION("""COMPUTED_VALUE"""),43955.6666666666)</f>
        <v>43955.666666666599</v>
      </c>
      <c r="B90" s="1">
        <f ca="1">IFERROR(__xludf.DUMMYFUNCTION("""COMPUTED_VALUE"""),148.54)</f>
        <v>148.54</v>
      </c>
      <c r="C90" s="1">
        <f ca="1">IFERROR(__xludf.DUMMYFUNCTION("""COMPUTED_VALUE"""),148.56)</f>
        <v>148.56</v>
      </c>
      <c r="D90" s="1">
        <f ca="1">IFERROR(__xludf.DUMMYFUNCTION("""COMPUTED_VALUE"""),146.06)</f>
        <v>146.06</v>
      </c>
      <c r="E90" s="1">
        <f ca="1">IFERROR(__xludf.DUMMYFUNCTION("""COMPUTED_VALUE"""),148.4)</f>
        <v>148.4</v>
      </c>
      <c r="F90" s="1">
        <f ca="1">IFERROR(__xludf.DUMMYFUNCTION("""COMPUTED_VALUE"""),2229849)</f>
        <v>2229849</v>
      </c>
    </row>
    <row r="91" spans="1:6" ht="15.75" customHeight="1">
      <c r="A91" s="10">
        <f ca="1">IFERROR(__xludf.DUMMYFUNCTION("""COMPUTED_VALUE"""),43956.6666666666)</f>
        <v>43956.666666666599</v>
      </c>
      <c r="B91" s="1">
        <f ca="1">IFERROR(__xludf.DUMMYFUNCTION("""COMPUTED_VALUE"""),149.89)</f>
        <v>149.88999999999999</v>
      </c>
      <c r="C91" s="1">
        <f ca="1">IFERROR(__xludf.DUMMYFUNCTION("""COMPUTED_VALUE"""),150)</f>
        <v>150</v>
      </c>
      <c r="D91" s="1">
        <f ca="1">IFERROR(__xludf.DUMMYFUNCTION("""COMPUTED_VALUE"""),147.1)</f>
        <v>147.1</v>
      </c>
      <c r="E91" s="1">
        <f ca="1">IFERROR(__xludf.DUMMYFUNCTION("""COMPUTED_VALUE"""),147.43)</f>
        <v>147.43</v>
      </c>
      <c r="F91" s="1">
        <f ca="1">IFERROR(__xludf.DUMMYFUNCTION("""COMPUTED_VALUE"""),2269160)</f>
        <v>2269160</v>
      </c>
    </row>
    <row r="92" spans="1:6" ht="15.75" customHeight="1">
      <c r="A92" s="10">
        <f ca="1">IFERROR(__xludf.DUMMYFUNCTION("""COMPUTED_VALUE"""),43957.6666666666)</f>
        <v>43957.666666666599</v>
      </c>
      <c r="B92" s="1">
        <f ca="1">IFERROR(__xludf.DUMMYFUNCTION("""COMPUTED_VALUE"""),147.79)</f>
        <v>147.79</v>
      </c>
      <c r="C92" s="1">
        <f ca="1">IFERROR(__xludf.DUMMYFUNCTION("""COMPUTED_VALUE"""),148.17)</f>
        <v>148.16999999999999</v>
      </c>
      <c r="D92" s="1">
        <f ca="1">IFERROR(__xludf.DUMMYFUNCTION("""COMPUTED_VALUE"""),145.99)</f>
        <v>145.99</v>
      </c>
      <c r="E92" s="1">
        <f ca="1">IFERROR(__xludf.DUMMYFUNCTION("""COMPUTED_VALUE"""),146.2)</f>
        <v>146.19999999999999</v>
      </c>
      <c r="F92" s="1">
        <f ca="1">IFERROR(__xludf.DUMMYFUNCTION("""COMPUTED_VALUE"""),2168564)</f>
        <v>2168564</v>
      </c>
    </row>
    <row r="93" spans="1:6" ht="15.75" customHeight="1">
      <c r="A93" s="10">
        <f ca="1">IFERROR(__xludf.DUMMYFUNCTION("""COMPUTED_VALUE"""),43958.6666666666)</f>
        <v>43958.666666666599</v>
      </c>
      <c r="B93" s="1">
        <f ca="1">IFERROR(__xludf.DUMMYFUNCTION("""COMPUTED_VALUE"""),147.7)</f>
        <v>147.69999999999999</v>
      </c>
      <c r="C93" s="1">
        <f ca="1">IFERROR(__xludf.DUMMYFUNCTION("""COMPUTED_VALUE"""),147.85)</f>
        <v>147.85</v>
      </c>
      <c r="D93" s="1">
        <f ca="1">IFERROR(__xludf.DUMMYFUNCTION("""COMPUTED_VALUE"""),144.9)</f>
        <v>144.9</v>
      </c>
      <c r="E93" s="1">
        <f ca="1">IFERROR(__xludf.DUMMYFUNCTION("""COMPUTED_VALUE"""),145.74)</f>
        <v>145.74</v>
      </c>
      <c r="F93" s="1">
        <f ca="1">IFERROR(__xludf.DUMMYFUNCTION("""COMPUTED_VALUE"""),2801164)</f>
        <v>2801164</v>
      </c>
    </row>
    <row r="94" spans="1:6" ht="15.75" customHeight="1">
      <c r="A94" s="10">
        <f ca="1">IFERROR(__xludf.DUMMYFUNCTION("""COMPUTED_VALUE"""),43959.6666666666)</f>
        <v>43959.666666666599</v>
      </c>
      <c r="B94" s="1">
        <f ca="1">IFERROR(__xludf.DUMMYFUNCTION("""COMPUTED_VALUE"""),147.08)</f>
        <v>147.08000000000001</v>
      </c>
      <c r="C94" s="1">
        <f ca="1">IFERROR(__xludf.DUMMYFUNCTION("""COMPUTED_VALUE"""),149.18)</f>
        <v>149.18</v>
      </c>
      <c r="D94" s="1">
        <f ca="1">IFERROR(__xludf.DUMMYFUNCTION("""COMPUTED_VALUE"""),146.38)</f>
        <v>146.38</v>
      </c>
      <c r="E94" s="1">
        <f ca="1">IFERROR(__xludf.DUMMYFUNCTION("""COMPUTED_VALUE"""),148.51)</f>
        <v>148.51</v>
      </c>
      <c r="F94" s="1">
        <f ca="1">IFERROR(__xludf.DUMMYFUNCTION("""COMPUTED_VALUE"""),2170027)</f>
        <v>2170027</v>
      </c>
    </row>
    <row r="95" spans="1:6" ht="15.75" customHeight="1">
      <c r="A95" s="10">
        <f ca="1">IFERROR(__xludf.DUMMYFUNCTION("""COMPUTED_VALUE"""),43962.6666666666)</f>
        <v>43962.666666666599</v>
      </c>
      <c r="B95" s="1">
        <f ca="1">IFERROR(__xludf.DUMMYFUNCTION("""COMPUTED_VALUE"""),147.82)</f>
        <v>147.82</v>
      </c>
      <c r="C95" s="1">
        <f ca="1">IFERROR(__xludf.DUMMYFUNCTION("""COMPUTED_VALUE"""),147.96)</f>
        <v>147.96</v>
      </c>
      <c r="D95" s="1">
        <f ca="1">IFERROR(__xludf.DUMMYFUNCTION("""COMPUTED_VALUE"""),145.59)</f>
        <v>145.59</v>
      </c>
      <c r="E95" s="1">
        <f ca="1">IFERROR(__xludf.DUMMYFUNCTION("""COMPUTED_VALUE"""),145.73)</f>
        <v>145.72999999999999</v>
      </c>
      <c r="F95" s="1">
        <f ca="1">IFERROR(__xludf.DUMMYFUNCTION("""COMPUTED_VALUE"""),3034572)</f>
        <v>3034572</v>
      </c>
    </row>
    <row r="96" spans="1:6" ht="15.75" customHeight="1">
      <c r="A96" s="10">
        <f ca="1">IFERROR(__xludf.DUMMYFUNCTION("""COMPUTED_VALUE"""),43963.6666666666)</f>
        <v>43963.666666666599</v>
      </c>
      <c r="B96" s="1">
        <f ca="1">IFERROR(__xludf.DUMMYFUNCTION("""COMPUTED_VALUE"""),146.55)</f>
        <v>146.55000000000001</v>
      </c>
      <c r="C96" s="1">
        <f ca="1">IFERROR(__xludf.DUMMYFUNCTION("""COMPUTED_VALUE"""),147.22)</f>
        <v>147.22</v>
      </c>
      <c r="D96" s="1">
        <f ca="1">IFERROR(__xludf.DUMMYFUNCTION("""COMPUTED_VALUE"""),141.45)</f>
        <v>141.44999999999999</v>
      </c>
      <c r="E96" s="1">
        <f ca="1">IFERROR(__xludf.DUMMYFUNCTION("""COMPUTED_VALUE"""),141.52)</f>
        <v>141.52000000000001</v>
      </c>
      <c r="F96" s="1">
        <f ca="1">IFERROR(__xludf.DUMMYFUNCTION("""COMPUTED_VALUE"""),3029968)</f>
        <v>3029968</v>
      </c>
    </row>
    <row r="97" spans="1:6" ht="15.75" customHeight="1">
      <c r="A97" s="10">
        <f ca="1">IFERROR(__xludf.DUMMYFUNCTION("""COMPUTED_VALUE"""),43964.6666666666)</f>
        <v>43964.666666666599</v>
      </c>
      <c r="B97" s="1">
        <f ca="1">IFERROR(__xludf.DUMMYFUNCTION("""COMPUTED_VALUE"""),140.71)</f>
        <v>140.71</v>
      </c>
      <c r="C97" s="1">
        <f ca="1">IFERROR(__xludf.DUMMYFUNCTION("""COMPUTED_VALUE"""),140.73)</f>
        <v>140.72999999999999</v>
      </c>
      <c r="D97" s="1">
        <f ca="1">IFERROR(__xludf.DUMMYFUNCTION("""COMPUTED_VALUE"""),135)</f>
        <v>135</v>
      </c>
      <c r="E97" s="1">
        <f ca="1">IFERROR(__xludf.DUMMYFUNCTION("""COMPUTED_VALUE"""),136.12)</f>
        <v>136.12</v>
      </c>
      <c r="F97" s="1">
        <f ca="1">IFERROR(__xludf.DUMMYFUNCTION("""COMPUTED_VALUE"""),4806049)</f>
        <v>4806049</v>
      </c>
    </row>
    <row r="98" spans="1:6" ht="15.75" customHeight="1">
      <c r="A98" s="10">
        <f ca="1">IFERROR(__xludf.DUMMYFUNCTION("""COMPUTED_VALUE"""),43965.6666666666)</f>
        <v>43965.666666666599</v>
      </c>
      <c r="B98" s="1">
        <f ca="1">IFERROR(__xludf.DUMMYFUNCTION("""COMPUTED_VALUE"""),135)</f>
        <v>135</v>
      </c>
      <c r="C98" s="1">
        <f ca="1">IFERROR(__xludf.DUMMYFUNCTION("""COMPUTED_VALUE"""),136.15)</f>
        <v>136.15</v>
      </c>
      <c r="D98" s="1">
        <f ca="1">IFERROR(__xludf.DUMMYFUNCTION("""COMPUTED_VALUE"""),131.12)</f>
        <v>131.12</v>
      </c>
      <c r="E98" s="1">
        <f ca="1">IFERROR(__xludf.DUMMYFUNCTION("""COMPUTED_VALUE"""),135.99)</f>
        <v>135.99</v>
      </c>
      <c r="F98" s="1">
        <f ca="1">IFERROR(__xludf.DUMMYFUNCTION("""COMPUTED_VALUE"""),5897704)</f>
        <v>5897704</v>
      </c>
    </row>
    <row r="99" spans="1:6" ht="15.75" customHeight="1">
      <c r="A99" s="10">
        <f ca="1">IFERROR(__xludf.DUMMYFUNCTION("""COMPUTED_VALUE"""),43966.6666666666)</f>
        <v>43966.666666666599</v>
      </c>
      <c r="B99" s="1">
        <f ca="1">IFERROR(__xludf.DUMMYFUNCTION("""COMPUTED_VALUE"""),134.53)</f>
        <v>134.53</v>
      </c>
      <c r="C99" s="1">
        <f ca="1">IFERROR(__xludf.DUMMYFUNCTION("""COMPUTED_VALUE"""),138.87)</f>
        <v>138.87</v>
      </c>
      <c r="D99" s="1">
        <f ca="1">IFERROR(__xludf.DUMMYFUNCTION("""COMPUTED_VALUE"""),134.2)</f>
        <v>134.19999999999999</v>
      </c>
      <c r="E99" s="1">
        <f ca="1">IFERROR(__xludf.DUMMYFUNCTION("""COMPUTED_VALUE"""),138.69)</f>
        <v>138.69</v>
      </c>
      <c r="F99" s="1">
        <f ca="1">IFERROR(__xludf.DUMMYFUNCTION("""COMPUTED_VALUE"""),10113654)</f>
        <v>10113654</v>
      </c>
    </row>
    <row r="100" spans="1:6" ht="15.75" customHeight="1">
      <c r="A100" s="10">
        <f ca="1">IFERROR(__xludf.DUMMYFUNCTION("""COMPUTED_VALUE"""),43969.6666666666)</f>
        <v>43969.666666666599</v>
      </c>
      <c r="B100" s="1">
        <f ca="1">IFERROR(__xludf.DUMMYFUNCTION("""COMPUTED_VALUE"""),143.16)</f>
        <v>143.16</v>
      </c>
      <c r="C100" s="1">
        <f ca="1">IFERROR(__xludf.DUMMYFUNCTION("""COMPUTED_VALUE"""),149.72)</f>
        <v>149.72</v>
      </c>
      <c r="D100" s="1">
        <f ca="1">IFERROR(__xludf.DUMMYFUNCTION("""COMPUTED_VALUE"""),142.51)</f>
        <v>142.51</v>
      </c>
      <c r="E100" s="1">
        <f ca="1">IFERROR(__xludf.DUMMYFUNCTION("""COMPUTED_VALUE"""),149.27)</f>
        <v>149.27000000000001</v>
      </c>
      <c r="F100" s="1">
        <f ca="1">IFERROR(__xludf.DUMMYFUNCTION("""COMPUTED_VALUE"""),6018514)</f>
        <v>6018514</v>
      </c>
    </row>
    <row r="101" spans="1:6" ht="15.75" customHeight="1">
      <c r="A101" s="10">
        <f ca="1">IFERROR(__xludf.DUMMYFUNCTION("""COMPUTED_VALUE"""),43970.6666666666)</f>
        <v>43970.666666666599</v>
      </c>
      <c r="B101" s="1">
        <f ca="1">IFERROR(__xludf.DUMMYFUNCTION("""COMPUTED_VALUE"""),148.5)</f>
        <v>148.5</v>
      </c>
      <c r="C101" s="1">
        <f ca="1">IFERROR(__xludf.DUMMYFUNCTION("""COMPUTED_VALUE"""),151.65)</f>
        <v>151.65</v>
      </c>
      <c r="D101" s="1">
        <f ca="1">IFERROR(__xludf.DUMMYFUNCTION("""COMPUTED_VALUE"""),147.37)</f>
        <v>147.37</v>
      </c>
      <c r="E101" s="1">
        <f ca="1">IFERROR(__xludf.DUMMYFUNCTION("""COMPUTED_VALUE"""),148.38)</f>
        <v>148.38</v>
      </c>
      <c r="F101" s="1">
        <f ca="1">IFERROR(__xludf.DUMMYFUNCTION("""COMPUTED_VALUE"""),4059864)</f>
        <v>4059864</v>
      </c>
    </row>
    <row r="102" spans="1:6" ht="15.75" customHeight="1">
      <c r="A102" s="10">
        <f ca="1">IFERROR(__xludf.DUMMYFUNCTION("""COMPUTED_VALUE"""),43971.6666666666)</f>
        <v>43971.666666666599</v>
      </c>
      <c r="B102" s="1">
        <f ca="1">IFERROR(__xludf.DUMMYFUNCTION("""COMPUTED_VALUE"""),149.87)</f>
        <v>149.87</v>
      </c>
      <c r="C102" s="1">
        <f ca="1">IFERROR(__xludf.DUMMYFUNCTION("""COMPUTED_VALUE"""),151.43)</f>
        <v>151.43</v>
      </c>
      <c r="D102" s="1">
        <f ca="1">IFERROR(__xludf.DUMMYFUNCTION("""COMPUTED_VALUE"""),148.83)</f>
        <v>148.83000000000001</v>
      </c>
      <c r="E102" s="1">
        <f ca="1">IFERROR(__xludf.DUMMYFUNCTION("""COMPUTED_VALUE"""),149.68)</f>
        <v>149.68</v>
      </c>
      <c r="F102" s="1">
        <f ca="1">IFERROR(__xludf.DUMMYFUNCTION("""COMPUTED_VALUE"""),3428789)</f>
        <v>3428789</v>
      </c>
    </row>
    <row r="103" spans="1:6" ht="15.75" customHeight="1">
      <c r="A103" s="10">
        <f ca="1">IFERROR(__xludf.DUMMYFUNCTION("""COMPUTED_VALUE"""),43972.6666666666)</f>
        <v>43972.666666666599</v>
      </c>
      <c r="B103" s="1">
        <f ca="1">IFERROR(__xludf.DUMMYFUNCTION("""COMPUTED_VALUE"""),147.74)</f>
        <v>147.74</v>
      </c>
      <c r="C103" s="1">
        <f ca="1">IFERROR(__xludf.DUMMYFUNCTION("""COMPUTED_VALUE"""),148.64)</f>
        <v>148.63999999999999</v>
      </c>
      <c r="D103" s="1">
        <f ca="1">IFERROR(__xludf.DUMMYFUNCTION("""COMPUTED_VALUE"""),145.34)</f>
        <v>145.34</v>
      </c>
      <c r="E103" s="1">
        <f ca="1">IFERROR(__xludf.DUMMYFUNCTION("""COMPUTED_VALUE"""),145.81)</f>
        <v>145.81</v>
      </c>
      <c r="F103" s="1">
        <f ca="1">IFERROR(__xludf.DUMMYFUNCTION("""COMPUTED_VALUE"""),2789110)</f>
        <v>2789110</v>
      </c>
    </row>
    <row r="104" spans="1:6" ht="15.75" customHeight="1">
      <c r="A104" s="10">
        <f ca="1">IFERROR(__xludf.DUMMYFUNCTION("""COMPUTED_VALUE"""),43973.6666666666)</f>
        <v>43973.666666666599</v>
      </c>
      <c r="B104" s="1">
        <f ca="1">IFERROR(__xludf.DUMMYFUNCTION("""COMPUTED_VALUE"""),145.74)</f>
        <v>145.74</v>
      </c>
      <c r="C104" s="1">
        <f ca="1">IFERROR(__xludf.DUMMYFUNCTION("""COMPUTED_VALUE"""),146.64)</f>
        <v>146.63999999999999</v>
      </c>
      <c r="D104" s="1">
        <f ca="1">IFERROR(__xludf.DUMMYFUNCTION("""COMPUTED_VALUE"""),144.6)</f>
        <v>144.6</v>
      </c>
      <c r="E104" s="1">
        <f ca="1">IFERROR(__xludf.DUMMYFUNCTION("""COMPUTED_VALUE"""),146.44)</f>
        <v>146.44</v>
      </c>
      <c r="F104" s="1">
        <f ca="1">IFERROR(__xludf.DUMMYFUNCTION("""COMPUTED_VALUE"""),2661662)</f>
        <v>2661662</v>
      </c>
    </row>
    <row r="105" spans="1:6" ht="15.75" customHeight="1">
      <c r="A105" s="10">
        <f ca="1">IFERROR(__xludf.DUMMYFUNCTION("""COMPUTED_VALUE"""),43977.6666666666)</f>
        <v>43977.666666666599</v>
      </c>
      <c r="B105" s="1">
        <f ca="1">IFERROR(__xludf.DUMMYFUNCTION("""COMPUTED_VALUE"""),150.43)</f>
        <v>150.43</v>
      </c>
      <c r="C105" s="1">
        <f ca="1">IFERROR(__xludf.DUMMYFUNCTION("""COMPUTED_VALUE"""),152.98)</f>
        <v>152.97999999999999</v>
      </c>
      <c r="D105" s="1">
        <f ca="1">IFERROR(__xludf.DUMMYFUNCTION("""COMPUTED_VALUE"""),149.2)</f>
        <v>149.19999999999999</v>
      </c>
      <c r="E105" s="1">
        <f ca="1">IFERROR(__xludf.DUMMYFUNCTION("""COMPUTED_VALUE"""),152.08)</f>
        <v>152.08000000000001</v>
      </c>
      <c r="F105" s="1">
        <f ca="1">IFERROR(__xludf.DUMMYFUNCTION("""COMPUTED_VALUE"""),4616331)</f>
        <v>4616331</v>
      </c>
    </row>
    <row r="106" spans="1:6" ht="15.75" customHeight="1">
      <c r="A106" s="10">
        <f ca="1">IFERROR(__xludf.DUMMYFUNCTION("""COMPUTED_VALUE"""),43978.6666666666)</f>
        <v>43978.666666666599</v>
      </c>
      <c r="B106" s="1">
        <f ca="1">IFERROR(__xludf.DUMMYFUNCTION("""COMPUTED_VALUE"""),153.99)</f>
        <v>153.99</v>
      </c>
      <c r="C106" s="1">
        <f ca="1">IFERROR(__xludf.DUMMYFUNCTION("""COMPUTED_VALUE"""),158.16)</f>
        <v>158.16</v>
      </c>
      <c r="D106" s="1">
        <f ca="1">IFERROR(__xludf.DUMMYFUNCTION("""COMPUTED_VALUE"""),153.34)</f>
        <v>153.34</v>
      </c>
      <c r="E106" s="1">
        <f ca="1">IFERROR(__xludf.DUMMYFUNCTION("""COMPUTED_VALUE"""),158.15)</f>
        <v>158.15</v>
      </c>
      <c r="F106" s="1">
        <f ca="1">IFERROR(__xludf.DUMMYFUNCTION("""COMPUTED_VALUE"""),6056347)</f>
        <v>6056347</v>
      </c>
    </row>
    <row r="107" spans="1:6" ht="15.75" customHeight="1">
      <c r="A107" s="10">
        <f ca="1">IFERROR(__xludf.DUMMYFUNCTION("""COMPUTED_VALUE"""),43979.6666666666)</f>
        <v>43979.666666666599</v>
      </c>
      <c r="B107" s="1">
        <f ca="1">IFERROR(__xludf.DUMMYFUNCTION("""COMPUTED_VALUE"""),158.71)</f>
        <v>158.71</v>
      </c>
      <c r="C107" s="1">
        <f ca="1">IFERROR(__xludf.DUMMYFUNCTION("""COMPUTED_VALUE"""),159.87)</f>
        <v>159.87</v>
      </c>
      <c r="D107" s="1">
        <f ca="1">IFERROR(__xludf.DUMMYFUNCTION("""COMPUTED_VALUE"""),154.13)</f>
        <v>154.13</v>
      </c>
      <c r="E107" s="1">
        <f ca="1">IFERROR(__xludf.DUMMYFUNCTION("""COMPUTED_VALUE"""),156.82)</f>
        <v>156.82</v>
      </c>
      <c r="F107" s="1">
        <f ca="1">IFERROR(__xludf.DUMMYFUNCTION("""COMPUTED_VALUE"""),6731222)</f>
        <v>6731222</v>
      </c>
    </row>
    <row r="108" spans="1:6" ht="15.75" customHeight="1">
      <c r="A108" s="10">
        <f ca="1">IFERROR(__xludf.DUMMYFUNCTION("""COMPUTED_VALUE"""),43980.6666666666)</f>
        <v>43980.666666666599</v>
      </c>
      <c r="B108" s="1">
        <f ca="1">IFERROR(__xludf.DUMMYFUNCTION("""COMPUTED_VALUE"""),155.5)</f>
        <v>155.5</v>
      </c>
      <c r="C108" s="1">
        <f ca="1">IFERROR(__xludf.DUMMYFUNCTION("""COMPUTED_VALUE"""),156.87)</f>
        <v>156.87</v>
      </c>
      <c r="D108" s="1">
        <f ca="1">IFERROR(__xludf.DUMMYFUNCTION("""COMPUTED_VALUE"""),153.05)</f>
        <v>153.05000000000001</v>
      </c>
      <c r="E108" s="1">
        <f ca="1">IFERROR(__xludf.DUMMYFUNCTION("""COMPUTED_VALUE"""),156.44)</f>
        <v>156.44</v>
      </c>
      <c r="F108" s="1">
        <f ca="1">IFERROR(__xludf.DUMMYFUNCTION("""COMPUTED_VALUE"""),8632670)</f>
        <v>8632670</v>
      </c>
    </row>
    <row r="109" spans="1:6" ht="15.75" customHeight="1">
      <c r="A109" s="10">
        <f ca="1">IFERROR(__xludf.DUMMYFUNCTION("""COMPUTED_VALUE"""),43983.6666666666)</f>
        <v>43983.666666666599</v>
      </c>
      <c r="B109" s="1">
        <f ca="1">IFERROR(__xludf.DUMMYFUNCTION("""COMPUTED_VALUE"""),155.95)</f>
        <v>155.94999999999999</v>
      </c>
      <c r="C109" s="1">
        <f ca="1">IFERROR(__xludf.DUMMYFUNCTION("""COMPUTED_VALUE"""),157.55)</f>
        <v>157.55000000000001</v>
      </c>
      <c r="D109" s="1">
        <f ca="1">IFERROR(__xludf.DUMMYFUNCTION("""COMPUTED_VALUE"""),154.89)</f>
        <v>154.88999999999999</v>
      </c>
      <c r="E109" s="1">
        <f ca="1">IFERROR(__xludf.DUMMYFUNCTION("""COMPUTED_VALUE"""),155.58)</f>
        <v>155.58000000000001</v>
      </c>
      <c r="F109" s="1">
        <f ca="1">IFERROR(__xludf.DUMMYFUNCTION("""COMPUTED_VALUE"""),2084341)</f>
        <v>2084341</v>
      </c>
    </row>
    <row r="110" spans="1:6" ht="15.75" customHeight="1">
      <c r="A110" s="10">
        <f ca="1">IFERROR(__xludf.DUMMYFUNCTION("""COMPUTED_VALUE"""),43984.6666666666)</f>
        <v>43984.666666666599</v>
      </c>
      <c r="B110" s="1">
        <f ca="1">IFERROR(__xludf.DUMMYFUNCTION("""COMPUTED_VALUE"""),156.75)</f>
        <v>156.75</v>
      </c>
      <c r="C110" s="1">
        <f ca="1">IFERROR(__xludf.DUMMYFUNCTION("""COMPUTED_VALUE"""),158.6)</f>
        <v>158.6</v>
      </c>
      <c r="D110" s="1">
        <f ca="1">IFERROR(__xludf.DUMMYFUNCTION("""COMPUTED_VALUE"""),156.63)</f>
        <v>156.63</v>
      </c>
      <c r="E110" s="1">
        <f ca="1">IFERROR(__xludf.DUMMYFUNCTION("""COMPUTED_VALUE"""),157.64)</f>
        <v>157.63999999999999</v>
      </c>
      <c r="F110" s="1">
        <f ca="1">IFERROR(__xludf.DUMMYFUNCTION("""COMPUTED_VALUE"""),2333820)</f>
        <v>2333820</v>
      </c>
    </row>
    <row r="111" spans="1:6" ht="15.75" customHeight="1">
      <c r="A111" s="10">
        <f ca="1">IFERROR(__xludf.DUMMYFUNCTION("""COMPUTED_VALUE"""),43985.6666666666)</f>
        <v>43985.666666666599</v>
      </c>
      <c r="B111" s="1">
        <f ca="1">IFERROR(__xludf.DUMMYFUNCTION("""COMPUTED_VALUE"""),159.35)</f>
        <v>159.35</v>
      </c>
      <c r="C111" s="1">
        <f ca="1">IFERROR(__xludf.DUMMYFUNCTION("""COMPUTED_VALUE"""),161.66)</f>
        <v>161.66</v>
      </c>
      <c r="D111" s="1">
        <f ca="1">IFERROR(__xludf.DUMMYFUNCTION("""COMPUTED_VALUE"""),158.52)</f>
        <v>158.52000000000001</v>
      </c>
      <c r="E111" s="1">
        <f ca="1">IFERROR(__xludf.DUMMYFUNCTION("""COMPUTED_VALUE"""),161.21)</f>
        <v>161.21</v>
      </c>
      <c r="F111" s="1">
        <f ca="1">IFERROR(__xludf.DUMMYFUNCTION("""COMPUTED_VALUE"""),3674275)</f>
        <v>3674275</v>
      </c>
    </row>
    <row r="112" spans="1:6" ht="15.75" customHeight="1">
      <c r="A112" s="10">
        <f ca="1">IFERROR(__xludf.DUMMYFUNCTION("""COMPUTED_VALUE"""),43986.6666666666)</f>
        <v>43986.666666666599</v>
      </c>
      <c r="B112" s="1">
        <f ca="1">IFERROR(__xludf.DUMMYFUNCTION("""COMPUTED_VALUE"""),159.76)</f>
        <v>159.76</v>
      </c>
      <c r="C112" s="1">
        <f ca="1">IFERROR(__xludf.DUMMYFUNCTION("""COMPUTED_VALUE"""),162.58)</f>
        <v>162.58000000000001</v>
      </c>
      <c r="D112" s="1">
        <f ca="1">IFERROR(__xludf.DUMMYFUNCTION("""COMPUTED_VALUE"""),159.18)</f>
        <v>159.18</v>
      </c>
      <c r="E112" s="1">
        <f ca="1">IFERROR(__xludf.DUMMYFUNCTION("""COMPUTED_VALUE"""),162.55)</f>
        <v>162.55000000000001</v>
      </c>
      <c r="F112" s="1">
        <f ca="1">IFERROR(__xludf.DUMMYFUNCTION("""COMPUTED_VALUE"""),2880967)</f>
        <v>2880967</v>
      </c>
    </row>
    <row r="113" spans="1:6" ht="15.75" customHeight="1">
      <c r="A113" s="10">
        <f ca="1">IFERROR(__xludf.DUMMYFUNCTION("""COMPUTED_VALUE"""),43987.6666666666)</f>
        <v>43987.666666666599</v>
      </c>
      <c r="B113" s="1">
        <f ca="1">IFERROR(__xludf.DUMMYFUNCTION("""COMPUTED_VALUE"""),165)</f>
        <v>165</v>
      </c>
      <c r="C113" s="1">
        <f ca="1">IFERROR(__xludf.DUMMYFUNCTION("""COMPUTED_VALUE"""),168.35)</f>
        <v>168.35</v>
      </c>
      <c r="D113" s="1">
        <f ca="1">IFERROR(__xludf.DUMMYFUNCTION("""COMPUTED_VALUE"""),165)</f>
        <v>165</v>
      </c>
      <c r="E113" s="1">
        <f ca="1">IFERROR(__xludf.DUMMYFUNCTION("""COMPUTED_VALUE"""),167.41)</f>
        <v>167.41</v>
      </c>
      <c r="F113" s="1">
        <f ca="1">IFERROR(__xludf.DUMMYFUNCTION("""COMPUTED_VALUE"""),4527587)</f>
        <v>4527587</v>
      </c>
    </row>
    <row r="114" spans="1:6" ht="15.75" customHeight="1">
      <c r="A114" s="10">
        <f ca="1">IFERROR(__xludf.DUMMYFUNCTION("""COMPUTED_VALUE"""),43990.6666666666)</f>
        <v>43990.666666666599</v>
      </c>
      <c r="B114" s="1">
        <f ca="1">IFERROR(__xludf.DUMMYFUNCTION("""COMPUTED_VALUE"""),167.1)</f>
        <v>167.1</v>
      </c>
      <c r="C114" s="1">
        <f ca="1">IFERROR(__xludf.DUMMYFUNCTION("""COMPUTED_VALUE"""),169.54)</f>
        <v>169.54</v>
      </c>
      <c r="D114" s="1">
        <f ca="1">IFERROR(__xludf.DUMMYFUNCTION("""COMPUTED_VALUE"""),165.27)</f>
        <v>165.27</v>
      </c>
      <c r="E114" s="1">
        <f ca="1">IFERROR(__xludf.DUMMYFUNCTION("""COMPUTED_VALUE"""),166.87)</f>
        <v>166.87</v>
      </c>
      <c r="F114" s="1">
        <f ca="1">IFERROR(__xludf.DUMMYFUNCTION("""COMPUTED_VALUE"""),2987595)</f>
        <v>2987595</v>
      </c>
    </row>
    <row r="115" spans="1:6" ht="15.75" customHeight="1">
      <c r="A115" s="10">
        <f ca="1">IFERROR(__xludf.DUMMYFUNCTION("""COMPUTED_VALUE"""),43991.6666666666)</f>
        <v>43991.666666666599</v>
      </c>
      <c r="B115" s="1">
        <f ca="1">IFERROR(__xludf.DUMMYFUNCTION("""COMPUTED_VALUE"""),165.48)</f>
        <v>165.48</v>
      </c>
      <c r="C115" s="1">
        <f ca="1">IFERROR(__xludf.DUMMYFUNCTION("""COMPUTED_VALUE"""),167.96)</f>
        <v>167.96</v>
      </c>
      <c r="D115" s="1">
        <f ca="1">IFERROR(__xludf.DUMMYFUNCTION("""COMPUTED_VALUE"""),164.08)</f>
        <v>164.08</v>
      </c>
      <c r="E115" s="1">
        <f ca="1">IFERROR(__xludf.DUMMYFUNCTION("""COMPUTED_VALUE"""),166.7)</f>
        <v>166.7</v>
      </c>
      <c r="F115" s="1">
        <f ca="1">IFERROR(__xludf.DUMMYFUNCTION("""COMPUTED_VALUE"""),3161966)</f>
        <v>3161966</v>
      </c>
    </row>
    <row r="116" spans="1:6" ht="15.75" customHeight="1">
      <c r="A116" s="10">
        <f ca="1">IFERROR(__xludf.DUMMYFUNCTION("""COMPUTED_VALUE"""),43992.6666666666)</f>
        <v>43992.666666666599</v>
      </c>
      <c r="B116" s="1">
        <f ca="1">IFERROR(__xludf.DUMMYFUNCTION("""COMPUTED_VALUE"""),166.9)</f>
        <v>166.9</v>
      </c>
      <c r="C116" s="1">
        <f ca="1">IFERROR(__xludf.DUMMYFUNCTION("""COMPUTED_VALUE"""),167.34)</f>
        <v>167.34</v>
      </c>
      <c r="D116" s="1">
        <f ca="1">IFERROR(__xludf.DUMMYFUNCTION("""COMPUTED_VALUE"""),163.81)</f>
        <v>163.81</v>
      </c>
      <c r="E116" s="1">
        <f ca="1">IFERROR(__xludf.DUMMYFUNCTION("""COMPUTED_VALUE"""),163.9)</f>
        <v>163.9</v>
      </c>
      <c r="F116" s="1">
        <f ca="1">IFERROR(__xludf.DUMMYFUNCTION("""COMPUTED_VALUE"""),2551336)</f>
        <v>2551336</v>
      </c>
    </row>
    <row r="117" spans="1:6" ht="15.75" customHeight="1">
      <c r="A117" s="10">
        <f ca="1">IFERROR(__xludf.DUMMYFUNCTION("""COMPUTED_VALUE"""),43993.6666666666)</f>
        <v>43993.666666666599</v>
      </c>
      <c r="B117" s="1">
        <f ca="1">IFERROR(__xludf.DUMMYFUNCTION("""COMPUTED_VALUE"""),160.06)</f>
        <v>160.06</v>
      </c>
      <c r="C117" s="1">
        <f ca="1">IFERROR(__xludf.DUMMYFUNCTION("""COMPUTED_VALUE"""),160.25)</f>
        <v>160.25</v>
      </c>
      <c r="D117" s="1">
        <f ca="1">IFERROR(__xludf.DUMMYFUNCTION("""COMPUTED_VALUE"""),152.31)</f>
        <v>152.31</v>
      </c>
      <c r="E117" s="1">
        <f ca="1">IFERROR(__xludf.DUMMYFUNCTION("""COMPUTED_VALUE"""),152.38)</f>
        <v>152.38</v>
      </c>
      <c r="F117" s="1">
        <f ca="1">IFERROR(__xludf.DUMMYFUNCTION("""COMPUTED_VALUE"""),5016599)</f>
        <v>5016599</v>
      </c>
    </row>
    <row r="118" spans="1:6" ht="15.75" customHeight="1">
      <c r="A118" s="10">
        <f ca="1">IFERROR(__xludf.DUMMYFUNCTION("""COMPUTED_VALUE"""),43994.6666666666)</f>
        <v>43994.666666666599</v>
      </c>
      <c r="B118" s="1">
        <f ca="1">IFERROR(__xludf.DUMMYFUNCTION("""COMPUTED_VALUE"""),156.28)</f>
        <v>156.28</v>
      </c>
      <c r="C118" s="1">
        <f ca="1">IFERROR(__xludf.DUMMYFUNCTION("""COMPUTED_VALUE"""),157.42)</f>
        <v>157.41999999999999</v>
      </c>
      <c r="D118" s="1">
        <f ca="1">IFERROR(__xludf.DUMMYFUNCTION("""COMPUTED_VALUE"""),151.73)</f>
        <v>151.72999999999999</v>
      </c>
      <c r="E118" s="1">
        <f ca="1">IFERROR(__xludf.DUMMYFUNCTION("""COMPUTED_VALUE"""),154.87)</f>
        <v>154.87</v>
      </c>
      <c r="F118" s="1">
        <f ca="1">IFERROR(__xludf.DUMMYFUNCTION("""COMPUTED_VALUE"""),2998771)</f>
        <v>2998771</v>
      </c>
    </row>
    <row r="119" spans="1:6" ht="15.75" customHeight="1">
      <c r="A119" s="10">
        <f ca="1">IFERROR(__xludf.DUMMYFUNCTION("""COMPUTED_VALUE"""),43997.6666666666)</f>
        <v>43997.666666666599</v>
      </c>
      <c r="B119" s="1">
        <f ca="1">IFERROR(__xludf.DUMMYFUNCTION("""COMPUTED_VALUE"""),150.88)</f>
        <v>150.88</v>
      </c>
      <c r="C119" s="1">
        <f ca="1">IFERROR(__xludf.DUMMYFUNCTION("""COMPUTED_VALUE"""),159.62)</f>
        <v>159.62</v>
      </c>
      <c r="D119" s="1">
        <f ca="1">IFERROR(__xludf.DUMMYFUNCTION("""COMPUTED_VALUE"""),150.49)</f>
        <v>150.49</v>
      </c>
      <c r="E119" s="1">
        <f ca="1">IFERROR(__xludf.DUMMYFUNCTION("""COMPUTED_VALUE"""),157.73)</f>
        <v>157.72999999999999</v>
      </c>
      <c r="F119" s="1">
        <f ca="1">IFERROR(__xludf.DUMMYFUNCTION("""COMPUTED_VALUE"""),4094160)</f>
        <v>4094160</v>
      </c>
    </row>
    <row r="120" spans="1:6" ht="15.75" customHeight="1">
      <c r="A120" s="10">
        <f ca="1">IFERROR(__xludf.DUMMYFUNCTION("""COMPUTED_VALUE"""),43998.6666666666)</f>
        <v>43998.666666666599</v>
      </c>
      <c r="B120" s="1">
        <f ca="1">IFERROR(__xludf.DUMMYFUNCTION("""COMPUTED_VALUE"""),162.85)</f>
        <v>162.85</v>
      </c>
      <c r="C120" s="1">
        <f ca="1">IFERROR(__xludf.DUMMYFUNCTION("""COMPUTED_VALUE"""),163.38)</f>
        <v>163.38</v>
      </c>
      <c r="D120" s="1">
        <f ca="1">IFERROR(__xludf.DUMMYFUNCTION("""COMPUTED_VALUE"""),156.89)</f>
        <v>156.88999999999999</v>
      </c>
      <c r="E120" s="1">
        <f ca="1">IFERROR(__xludf.DUMMYFUNCTION("""COMPUTED_VALUE"""),159.67)</f>
        <v>159.66999999999999</v>
      </c>
      <c r="F120" s="1">
        <f ca="1">IFERROR(__xludf.DUMMYFUNCTION("""COMPUTED_VALUE"""),3388296)</f>
        <v>3388296</v>
      </c>
    </row>
    <row r="121" spans="1:6" ht="15.75" customHeight="1">
      <c r="A121" s="10">
        <f ca="1">IFERROR(__xludf.DUMMYFUNCTION("""COMPUTED_VALUE"""),43999.6666666666)</f>
        <v>43999.666666666599</v>
      </c>
      <c r="B121" s="1">
        <f ca="1">IFERROR(__xludf.DUMMYFUNCTION("""COMPUTED_VALUE"""),160.2)</f>
        <v>160.19999999999999</v>
      </c>
      <c r="C121" s="1">
        <f ca="1">IFERROR(__xludf.DUMMYFUNCTION("""COMPUTED_VALUE"""),160.87)</f>
        <v>160.87</v>
      </c>
      <c r="D121" s="1">
        <f ca="1">IFERROR(__xludf.DUMMYFUNCTION("""COMPUTED_VALUE"""),158.97)</f>
        <v>158.97</v>
      </c>
      <c r="E121" s="1">
        <f ca="1">IFERROR(__xludf.DUMMYFUNCTION("""COMPUTED_VALUE"""),159.22)</f>
        <v>159.22</v>
      </c>
      <c r="F121" s="1">
        <f ca="1">IFERROR(__xludf.DUMMYFUNCTION("""COMPUTED_VALUE"""),1714979)</f>
        <v>1714979</v>
      </c>
    </row>
    <row r="122" spans="1:6" ht="15.75" customHeight="1">
      <c r="A122" s="10">
        <f ca="1">IFERROR(__xludf.DUMMYFUNCTION("""COMPUTED_VALUE"""),44000.6666666666)</f>
        <v>44000.666666666599</v>
      </c>
      <c r="B122" s="1">
        <f ca="1">IFERROR(__xludf.DUMMYFUNCTION("""COMPUTED_VALUE"""),158.07)</f>
        <v>158.07</v>
      </c>
      <c r="C122" s="1">
        <f ca="1">IFERROR(__xludf.DUMMYFUNCTION("""COMPUTED_VALUE"""),159.83)</f>
        <v>159.83000000000001</v>
      </c>
      <c r="D122" s="1">
        <f ca="1">IFERROR(__xludf.DUMMYFUNCTION("""COMPUTED_VALUE"""),157.59)</f>
        <v>157.59</v>
      </c>
      <c r="E122" s="1">
        <f ca="1">IFERROR(__xludf.DUMMYFUNCTION("""COMPUTED_VALUE"""),159.21)</f>
        <v>159.21</v>
      </c>
      <c r="F122" s="1">
        <f ca="1">IFERROR(__xludf.DUMMYFUNCTION("""COMPUTED_VALUE"""),1806269)</f>
        <v>1806269</v>
      </c>
    </row>
    <row r="123" spans="1:6" ht="15.75" customHeight="1">
      <c r="A123" s="10">
        <f ca="1">IFERROR(__xludf.DUMMYFUNCTION("""COMPUTED_VALUE"""),44001.6666666666)</f>
        <v>44001.666666666599</v>
      </c>
      <c r="B123" s="1">
        <f ca="1">IFERROR(__xludf.DUMMYFUNCTION("""COMPUTED_VALUE"""),161.35)</f>
        <v>161.35</v>
      </c>
      <c r="C123" s="1">
        <f ca="1">IFERROR(__xludf.DUMMYFUNCTION("""COMPUTED_VALUE"""),162.09)</f>
        <v>162.09</v>
      </c>
      <c r="D123" s="1">
        <f ca="1">IFERROR(__xludf.DUMMYFUNCTION("""COMPUTED_VALUE"""),156.47)</f>
        <v>156.47</v>
      </c>
      <c r="E123" s="1">
        <f ca="1">IFERROR(__xludf.DUMMYFUNCTION("""COMPUTED_VALUE"""),158.15)</f>
        <v>158.15</v>
      </c>
      <c r="F123" s="1">
        <f ca="1">IFERROR(__xludf.DUMMYFUNCTION("""COMPUTED_VALUE"""),6402272)</f>
        <v>6402272</v>
      </c>
    </row>
    <row r="124" spans="1:6" ht="15.75" customHeight="1">
      <c r="A124" s="10">
        <f ca="1">IFERROR(__xludf.DUMMYFUNCTION("""COMPUTED_VALUE"""),44004.6666666666)</f>
        <v>44004.666666666599</v>
      </c>
      <c r="B124" s="1">
        <f ca="1">IFERROR(__xludf.DUMMYFUNCTION("""COMPUTED_VALUE"""),157)</f>
        <v>157</v>
      </c>
      <c r="C124" s="1">
        <f ca="1">IFERROR(__xludf.DUMMYFUNCTION("""COMPUTED_VALUE"""),157.42)</f>
        <v>157.41999999999999</v>
      </c>
      <c r="D124" s="1">
        <f ca="1">IFERROR(__xludf.DUMMYFUNCTION("""COMPUTED_VALUE"""),155.48)</f>
        <v>155.47999999999999</v>
      </c>
      <c r="E124" s="1">
        <f ca="1">IFERROR(__xludf.DUMMYFUNCTION("""COMPUTED_VALUE"""),156.69)</f>
        <v>156.69</v>
      </c>
      <c r="F124" s="1">
        <f ca="1">IFERROR(__xludf.DUMMYFUNCTION("""COMPUTED_VALUE"""),2020861)</f>
        <v>2020861</v>
      </c>
    </row>
    <row r="125" spans="1:6" ht="15.75" customHeight="1">
      <c r="A125" s="10">
        <f ca="1">IFERROR(__xludf.DUMMYFUNCTION("""COMPUTED_VALUE"""),44005.6666666666)</f>
        <v>44005.666666666599</v>
      </c>
      <c r="B125" s="1">
        <f ca="1">IFERROR(__xludf.DUMMYFUNCTION("""COMPUTED_VALUE"""),157.96)</f>
        <v>157.96</v>
      </c>
      <c r="C125" s="1">
        <f ca="1">IFERROR(__xludf.DUMMYFUNCTION("""COMPUTED_VALUE"""),158.67)</f>
        <v>158.66999999999999</v>
      </c>
      <c r="D125" s="1">
        <f ca="1">IFERROR(__xludf.DUMMYFUNCTION("""COMPUTED_VALUE"""),156.24)</f>
        <v>156.24</v>
      </c>
      <c r="E125" s="1">
        <f ca="1">IFERROR(__xludf.DUMMYFUNCTION("""COMPUTED_VALUE"""),157.84)</f>
        <v>157.84</v>
      </c>
      <c r="F125" s="1">
        <f ca="1">IFERROR(__xludf.DUMMYFUNCTION("""COMPUTED_VALUE"""),2302208)</f>
        <v>2302208</v>
      </c>
    </row>
    <row r="126" spans="1:6" ht="15.75" customHeight="1">
      <c r="A126" s="10">
        <f ca="1">IFERROR(__xludf.DUMMYFUNCTION("""COMPUTED_VALUE"""),44006.6666666666)</f>
        <v>44006.666666666599</v>
      </c>
      <c r="B126" s="1">
        <f ca="1">IFERROR(__xludf.DUMMYFUNCTION("""COMPUTED_VALUE"""),156.29)</f>
        <v>156.29</v>
      </c>
      <c r="C126" s="1">
        <f ca="1">IFERROR(__xludf.DUMMYFUNCTION("""COMPUTED_VALUE"""),156.73)</f>
        <v>156.72999999999999</v>
      </c>
      <c r="D126" s="1">
        <f ca="1">IFERROR(__xludf.DUMMYFUNCTION("""COMPUTED_VALUE"""),151.71)</f>
        <v>151.71</v>
      </c>
      <c r="E126" s="1">
        <f ca="1">IFERROR(__xludf.DUMMYFUNCTION("""COMPUTED_VALUE"""),152.22)</f>
        <v>152.22</v>
      </c>
      <c r="F126" s="1">
        <f ca="1">IFERROR(__xludf.DUMMYFUNCTION("""COMPUTED_VALUE"""),3042844)</f>
        <v>3042844</v>
      </c>
    </row>
    <row r="127" spans="1:6" ht="15.75" customHeight="1">
      <c r="A127" s="10">
        <f ca="1">IFERROR(__xludf.DUMMYFUNCTION("""COMPUTED_VALUE"""),44007.6666666666)</f>
        <v>44007.666666666599</v>
      </c>
      <c r="B127" s="1">
        <f ca="1">IFERROR(__xludf.DUMMYFUNCTION("""COMPUTED_VALUE"""),152.05)</f>
        <v>152.05000000000001</v>
      </c>
      <c r="C127" s="1">
        <f ca="1">IFERROR(__xludf.DUMMYFUNCTION("""COMPUTED_VALUE"""),155.05)</f>
        <v>155.05000000000001</v>
      </c>
      <c r="D127" s="1">
        <f ca="1">IFERROR(__xludf.DUMMYFUNCTION("""COMPUTED_VALUE"""),150.1)</f>
        <v>150.1</v>
      </c>
      <c r="E127" s="1">
        <f ca="1">IFERROR(__xludf.DUMMYFUNCTION("""COMPUTED_VALUE"""),154.67)</f>
        <v>154.66999999999999</v>
      </c>
      <c r="F127" s="1">
        <f ca="1">IFERROR(__xludf.DUMMYFUNCTION("""COMPUTED_VALUE"""),2060691)</f>
        <v>2060691</v>
      </c>
    </row>
    <row r="128" spans="1:6" ht="15.75" customHeight="1">
      <c r="A128" s="10">
        <f ca="1">IFERROR(__xludf.DUMMYFUNCTION("""COMPUTED_VALUE"""),44008.6666666666)</f>
        <v>44008.666666666599</v>
      </c>
      <c r="B128" s="1">
        <f ca="1">IFERROR(__xludf.DUMMYFUNCTION("""COMPUTED_VALUE"""),154.6)</f>
        <v>154.6</v>
      </c>
      <c r="C128" s="1">
        <f ca="1">IFERROR(__xludf.DUMMYFUNCTION("""COMPUTED_VALUE"""),154.78)</f>
        <v>154.78</v>
      </c>
      <c r="D128" s="1">
        <f ca="1">IFERROR(__xludf.DUMMYFUNCTION("""COMPUTED_VALUE"""),151.53)</f>
        <v>151.53</v>
      </c>
      <c r="E128" s="1">
        <f ca="1">IFERROR(__xludf.DUMMYFUNCTION("""COMPUTED_VALUE"""),152.52)</f>
        <v>152.52000000000001</v>
      </c>
      <c r="F128" s="1">
        <f ca="1">IFERROR(__xludf.DUMMYFUNCTION("""COMPUTED_VALUE"""),2826495)</f>
        <v>2826495</v>
      </c>
    </row>
    <row r="129" spans="1:6" ht="15.75" customHeight="1">
      <c r="A129" s="10">
        <f ca="1">IFERROR(__xludf.DUMMYFUNCTION("""COMPUTED_VALUE"""),44011.6666666666)</f>
        <v>44011.666666666599</v>
      </c>
      <c r="B129" s="1">
        <f ca="1">IFERROR(__xludf.DUMMYFUNCTION("""COMPUTED_VALUE"""),153.9)</f>
        <v>153.9</v>
      </c>
      <c r="C129" s="1">
        <f ca="1">IFERROR(__xludf.DUMMYFUNCTION("""COMPUTED_VALUE"""),156.51)</f>
        <v>156.51</v>
      </c>
      <c r="D129" s="1">
        <f ca="1">IFERROR(__xludf.DUMMYFUNCTION("""COMPUTED_VALUE"""),153.48)</f>
        <v>153.47999999999999</v>
      </c>
      <c r="E129" s="1">
        <f ca="1">IFERROR(__xludf.DUMMYFUNCTION("""COMPUTED_VALUE"""),155.57)</f>
        <v>155.57</v>
      </c>
      <c r="F129" s="1">
        <f ca="1">IFERROR(__xludf.DUMMYFUNCTION("""COMPUTED_VALUE"""),2145146)</f>
        <v>2145146</v>
      </c>
    </row>
    <row r="130" spans="1:6" ht="15.75" customHeight="1">
      <c r="A130" s="10">
        <f ca="1">IFERROR(__xludf.DUMMYFUNCTION("""COMPUTED_VALUE"""),44012.6666666666)</f>
        <v>44012.666666666599</v>
      </c>
      <c r="B130" s="1">
        <f ca="1">IFERROR(__xludf.DUMMYFUNCTION("""COMPUTED_VALUE"""),154.91)</f>
        <v>154.91</v>
      </c>
      <c r="C130" s="1">
        <f ca="1">IFERROR(__xludf.DUMMYFUNCTION("""COMPUTED_VALUE"""),156.71)</f>
        <v>156.71</v>
      </c>
      <c r="D130" s="1">
        <f ca="1">IFERROR(__xludf.DUMMYFUNCTION("""COMPUTED_VALUE"""),154.05)</f>
        <v>154.05000000000001</v>
      </c>
      <c r="E130" s="1">
        <f ca="1">IFERROR(__xludf.DUMMYFUNCTION("""COMPUTED_VALUE"""),155.99)</f>
        <v>155.99</v>
      </c>
      <c r="F130" s="1">
        <f ca="1">IFERROR(__xludf.DUMMYFUNCTION("""COMPUTED_VALUE"""),2941732)</f>
        <v>2941732</v>
      </c>
    </row>
    <row r="131" spans="1:6" ht="15.75" customHeight="1">
      <c r="A131" s="10">
        <f ca="1">IFERROR(__xludf.DUMMYFUNCTION("""COMPUTED_VALUE"""),44013.6666666666)</f>
        <v>44013.666666666599</v>
      </c>
      <c r="B131" s="1">
        <f ca="1">IFERROR(__xludf.DUMMYFUNCTION("""COMPUTED_VALUE"""),156.34)</f>
        <v>156.34</v>
      </c>
      <c r="C131" s="1">
        <f ca="1">IFERROR(__xludf.DUMMYFUNCTION("""COMPUTED_VALUE"""),157.8)</f>
        <v>157.80000000000001</v>
      </c>
      <c r="D131" s="1">
        <f ca="1">IFERROR(__xludf.DUMMYFUNCTION("""COMPUTED_VALUE"""),155.31)</f>
        <v>155.31</v>
      </c>
      <c r="E131" s="1">
        <f ca="1">IFERROR(__xludf.DUMMYFUNCTION("""COMPUTED_VALUE"""),155.43)</f>
        <v>155.43</v>
      </c>
      <c r="F131" s="1">
        <f ca="1">IFERROR(__xludf.DUMMYFUNCTION("""COMPUTED_VALUE"""),1625728)</f>
        <v>1625728</v>
      </c>
    </row>
    <row r="132" spans="1:6" ht="15.75" customHeight="1">
      <c r="A132" s="10">
        <f ca="1">IFERROR(__xludf.DUMMYFUNCTION("""COMPUTED_VALUE"""),44014.6666666666)</f>
        <v>44014.666666666599</v>
      </c>
      <c r="B132" s="1">
        <f ca="1">IFERROR(__xludf.DUMMYFUNCTION("""COMPUTED_VALUE"""),157.62)</f>
        <v>157.62</v>
      </c>
      <c r="C132" s="1">
        <f ca="1">IFERROR(__xludf.DUMMYFUNCTION("""COMPUTED_VALUE"""),158.88)</f>
        <v>158.88</v>
      </c>
      <c r="D132" s="1">
        <f ca="1">IFERROR(__xludf.DUMMYFUNCTION("""COMPUTED_VALUE"""),156.46)</f>
        <v>156.46</v>
      </c>
      <c r="E132" s="1">
        <f ca="1">IFERROR(__xludf.DUMMYFUNCTION("""COMPUTED_VALUE"""),157.04)</f>
        <v>157.04</v>
      </c>
      <c r="F132" s="1">
        <f ca="1">IFERROR(__xludf.DUMMYFUNCTION("""COMPUTED_VALUE"""),1982976)</f>
        <v>1982976</v>
      </c>
    </row>
    <row r="133" spans="1:6" ht="15.75" customHeight="1">
      <c r="A133" s="10">
        <f ca="1">IFERROR(__xludf.DUMMYFUNCTION("""COMPUTED_VALUE"""),44018.6666666666)</f>
        <v>44018.666666666599</v>
      </c>
      <c r="B133" s="1">
        <f ca="1">IFERROR(__xludf.DUMMYFUNCTION("""COMPUTED_VALUE"""),158.87)</f>
        <v>158.87</v>
      </c>
      <c r="C133" s="1">
        <f ca="1">IFERROR(__xludf.DUMMYFUNCTION("""COMPUTED_VALUE"""),159.96)</f>
        <v>159.96</v>
      </c>
      <c r="D133" s="1">
        <f ca="1">IFERROR(__xludf.DUMMYFUNCTION("""COMPUTED_VALUE"""),157.05)</f>
        <v>157.05000000000001</v>
      </c>
      <c r="E133" s="1">
        <f ca="1">IFERROR(__xludf.DUMMYFUNCTION("""COMPUTED_VALUE"""),158.1)</f>
        <v>158.1</v>
      </c>
      <c r="F133" s="1">
        <f ca="1">IFERROR(__xludf.DUMMYFUNCTION("""COMPUTED_VALUE"""),2099527)</f>
        <v>2099527</v>
      </c>
    </row>
    <row r="134" spans="1:6" ht="15.75" customHeight="1">
      <c r="A134" s="10">
        <f ca="1">IFERROR(__xludf.DUMMYFUNCTION("""COMPUTED_VALUE"""),44019.6666666666)</f>
        <v>44019.666666666599</v>
      </c>
      <c r="B134" s="1">
        <f ca="1">IFERROR(__xludf.DUMMYFUNCTION("""COMPUTED_VALUE"""),156.08)</f>
        <v>156.08000000000001</v>
      </c>
      <c r="C134" s="1">
        <f ca="1">IFERROR(__xludf.DUMMYFUNCTION("""COMPUTED_VALUE"""),157.1)</f>
        <v>157.1</v>
      </c>
      <c r="D134" s="1">
        <f ca="1">IFERROR(__xludf.DUMMYFUNCTION("""COMPUTED_VALUE"""),154.69)</f>
        <v>154.69</v>
      </c>
      <c r="E134" s="1">
        <f ca="1">IFERROR(__xludf.DUMMYFUNCTION("""COMPUTED_VALUE"""),154.82)</f>
        <v>154.82</v>
      </c>
      <c r="F134" s="1">
        <f ca="1">IFERROR(__xludf.DUMMYFUNCTION("""COMPUTED_VALUE"""),1571706)</f>
        <v>1571706</v>
      </c>
    </row>
    <row r="135" spans="1:6" ht="15.75" customHeight="1">
      <c r="A135" s="10">
        <f ca="1">IFERROR(__xludf.DUMMYFUNCTION("""COMPUTED_VALUE"""),44020.6666666666)</f>
        <v>44020.666666666599</v>
      </c>
      <c r="B135" s="1">
        <f ca="1">IFERROR(__xludf.DUMMYFUNCTION("""COMPUTED_VALUE"""),155.07)</f>
        <v>155.07</v>
      </c>
      <c r="C135" s="1">
        <f ca="1">IFERROR(__xludf.DUMMYFUNCTION("""COMPUTED_VALUE"""),155.6)</f>
        <v>155.6</v>
      </c>
      <c r="D135" s="1">
        <f ca="1">IFERROR(__xludf.DUMMYFUNCTION("""COMPUTED_VALUE"""),153.87)</f>
        <v>153.87</v>
      </c>
      <c r="E135" s="1">
        <f ca="1">IFERROR(__xludf.DUMMYFUNCTION("""COMPUTED_VALUE"""),154.58)</f>
        <v>154.58000000000001</v>
      </c>
      <c r="F135" s="1">
        <f ca="1">IFERROR(__xludf.DUMMYFUNCTION("""COMPUTED_VALUE"""),1662062)</f>
        <v>1662062</v>
      </c>
    </row>
    <row r="136" spans="1:6" ht="15.75" customHeight="1">
      <c r="A136" s="10">
        <f ca="1">IFERROR(__xludf.DUMMYFUNCTION("""COMPUTED_VALUE"""),44021.6666666666)</f>
        <v>44021.666666666599</v>
      </c>
      <c r="B136" s="1">
        <f ca="1">IFERROR(__xludf.DUMMYFUNCTION("""COMPUTED_VALUE"""),153.92)</f>
        <v>153.91999999999999</v>
      </c>
      <c r="C136" s="1">
        <f ca="1">IFERROR(__xludf.DUMMYFUNCTION("""COMPUTED_VALUE"""),154.72)</f>
        <v>154.72</v>
      </c>
      <c r="D136" s="1">
        <f ca="1">IFERROR(__xludf.DUMMYFUNCTION("""COMPUTED_VALUE"""),151.04)</f>
        <v>151.04</v>
      </c>
      <c r="E136" s="1">
        <f ca="1">IFERROR(__xludf.DUMMYFUNCTION("""COMPUTED_VALUE"""),151.45)</f>
        <v>151.44999999999999</v>
      </c>
      <c r="F136" s="1">
        <f ca="1">IFERROR(__xludf.DUMMYFUNCTION("""COMPUTED_VALUE"""),2189954)</f>
        <v>2189954</v>
      </c>
    </row>
    <row r="137" spans="1:6" ht="15.75" customHeight="1">
      <c r="A137" s="10">
        <f ca="1">IFERROR(__xludf.DUMMYFUNCTION("""COMPUTED_VALUE"""),44022.6666666666)</f>
        <v>44022.666666666599</v>
      </c>
      <c r="B137" s="1">
        <f ca="1">IFERROR(__xludf.DUMMYFUNCTION("""COMPUTED_VALUE"""),151.69)</f>
        <v>151.69</v>
      </c>
      <c r="C137" s="1">
        <f ca="1">IFERROR(__xludf.DUMMYFUNCTION("""COMPUTED_VALUE"""),153.25)</f>
        <v>153.25</v>
      </c>
      <c r="D137" s="1">
        <f ca="1">IFERROR(__xludf.DUMMYFUNCTION("""COMPUTED_VALUE"""),150.99)</f>
        <v>150.99</v>
      </c>
      <c r="E137" s="1">
        <f ca="1">IFERROR(__xludf.DUMMYFUNCTION("""COMPUTED_VALUE"""),152.85)</f>
        <v>152.85</v>
      </c>
      <c r="F137" s="1">
        <f ca="1">IFERROR(__xludf.DUMMYFUNCTION("""COMPUTED_VALUE"""),1954541)</f>
        <v>1954541</v>
      </c>
    </row>
    <row r="138" spans="1:6" ht="15.75" customHeight="1">
      <c r="A138" s="10">
        <f ca="1">IFERROR(__xludf.DUMMYFUNCTION("""COMPUTED_VALUE"""),44025.6666666666)</f>
        <v>44025.666666666599</v>
      </c>
      <c r="B138" s="1">
        <f ca="1">IFERROR(__xludf.DUMMYFUNCTION("""COMPUTED_VALUE"""),154.35)</f>
        <v>154.35</v>
      </c>
      <c r="C138" s="1">
        <f ca="1">IFERROR(__xludf.DUMMYFUNCTION("""COMPUTED_VALUE"""),156.93)</f>
        <v>156.93</v>
      </c>
      <c r="D138" s="1">
        <f ca="1">IFERROR(__xludf.DUMMYFUNCTION("""COMPUTED_VALUE"""),154.16)</f>
        <v>154.16</v>
      </c>
      <c r="E138" s="1">
        <f ca="1">IFERROR(__xludf.DUMMYFUNCTION("""COMPUTED_VALUE"""),154.8)</f>
        <v>154.80000000000001</v>
      </c>
      <c r="F138" s="1">
        <f ca="1">IFERROR(__xludf.DUMMYFUNCTION("""COMPUTED_VALUE"""),2217754)</f>
        <v>2217754</v>
      </c>
    </row>
    <row r="139" spans="1:6" ht="15.75" customHeight="1">
      <c r="A139" s="10">
        <f ca="1">IFERROR(__xludf.DUMMYFUNCTION("""COMPUTED_VALUE"""),44026.6666666666)</f>
        <v>44026.666666666599</v>
      </c>
      <c r="B139" s="1">
        <f ca="1">IFERROR(__xludf.DUMMYFUNCTION("""COMPUTED_VALUE"""),154.8)</f>
        <v>154.80000000000001</v>
      </c>
      <c r="C139" s="1">
        <f ca="1">IFERROR(__xludf.DUMMYFUNCTION("""COMPUTED_VALUE"""),159.23)</f>
        <v>159.22999999999999</v>
      </c>
      <c r="D139" s="1">
        <f ca="1">IFERROR(__xludf.DUMMYFUNCTION("""COMPUTED_VALUE"""),153.92)</f>
        <v>153.91999999999999</v>
      </c>
      <c r="E139" s="1">
        <f ca="1">IFERROR(__xludf.DUMMYFUNCTION("""COMPUTED_VALUE"""),158.54)</f>
        <v>158.54</v>
      </c>
      <c r="F139" s="1">
        <f ca="1">IFERROR(__xludf.DUMMYFUNCTION("""COMPUTED_VALUE"""),3198942)</f>
        <v>3198942</v>
      </c>
    </row>
    <row r="140" spans="1:6" ht="15.75" customHeight="1">
      <c r="A140" s="10">
        <f ca="1">IFERROR(__xludf.DUMMYFUNCTION("""COMPUTED_VALUE"""),44027.6666666666)</f>
        <v>44027.666666666599</v>
      </c>
      <c r="B140" s="1">
        <f ca="1">IFERROR(__xludf.DUMMYFUNCTION("""COMPUTED_VALUE"""),159.98)</f>
        <v>159.97999999999999</v>
      </c>
      <c r="C140" s="1">
        <f ca="1">IFERROR(__xludf.DUMMYFUNCTION("""COMPUTED_VALUE"""),161.38)</f>
        <v>161.38</v>
      </c>
      <c r="D140" s="1">
        <f ca="1">IFERROR(__xludf.DUMMYFUNCTION("""COMPUTED_VALUE"""),159.25)</f>
        <v>159.25</v>
      </c>
      <c r="E140" s="1">
        <f ca="1">IFERROR(__xludf.DUMMYFUNCTION("""COMPUTED_VALUE"""),159.33)</f>
        <v>159.33000000000001</v>
      </c>
      <c r="F140" s="1">
        <f ca="1">IFERROR(__xludf.DUMMYFUNCTION("""COMPUTED_VALUE"""),3472254)</f>
        <v>3472254</v>
      </c>
    </row>
    <row r="141" spans="1:6" ht="15.75" customHeight="1">
      <c r="A141" s="10">
        <f ca="1">IFERROR(__xludf.DUMMYFUNCTION("""COMPUTED_VALUE"""),44028.6666666666)</f>
        <v>44028.666666666599</v>
      </c>
      <c r="B141" s="1">
        <f ca="1">IFERROR(__xludf.DUMMYFUNCTION("""COMPUTED_VALUE"""),159.25)</f>
        <v>159.25</v>
      </c>
      <c r="C141" s="1">
        <f ca="1">IFERROR(__xludf.DUMMYFUNCTION("""COMPUTED_VALUE"""),160.91)</f>
        <v>160.91</v>
      </c>
      <c r="D141" s="1">
        <f ca="1">IFERROR(__xludf.DUMMYFUNCTION("""COMPUTED_VALUE"""),158.04)</f>
        <v>158.04</v>
      </c>
      <c r="E141" s="1">
        <f ca="1">IFERROR(__xludf.DUMMYFUNCTION("""COMPUTED_VALUE"""),160.5)</f>
        <v>160.5</v>
      </c>
      <c r="F141" s="1">
        <f ca="1">IFERROR(__xludf.DUMMYFUNCTION("""COMPUTED_VALUE"""),1801502)</f>
        <v>1801502</v>
      </c>
    </row>
    <row r="142" spans="1:6" ht="15.75" customHeight="1">
      <c r="A142" s="10">
        <f ca="1">IFERROR(__xludf.DUMMYFUNCTION("""COMPUTED_VALUE"""),44029.6666666666)</f>
        <v>44029.666666666599</v>
      </c>
      <c r="B142" s="1">
        <f ca="1">IFERROR(__xludf.DUMMYFUNCTION("""COMPUTED_VALUE"""),160.86)</f>
        <v>160.86000000000001</v>
      </c>
      <c r="C142" s="1">
        <f ca="1">IFERROR(__xludf.DUMMYFUNCTION("""COMPUTED_VALUE"""),161.56)</f>
        <v>161.56</v>
      </c>
      <c r="D142" s="1">
        <f ca="1">IFERROR(__xludf.DUMMYFUNCTION("""COMPUTED_VALUE"""),159.51)</f>
        <v>159.51</v>
      </c>
      <c r="E142" s="1">
        <f ca="1">IFERROR(__xludf.DUMMYFUNCTION("""COMPUTED_VALUE"""),159.83)</f>
        <v>159.83000000000001</v>
      </c>
      <c r="F142" s="1">
        <f ca="1">IFERROR(__xludf.DUMMYFUNCTION("""COMPUTED_VALUE"""),2551772)</f>
        <v>2551772</v>
      </c>
    </row>
    <row r="143" spans="1:6" ht="15.75" customHeight="1">
      <c r="A143" s="10">
        <f ca="1">IFERROR(__xludf.DUMMYFUNCTION("""COMPUTED_VALUE"""),44032.6666666666)</f>
        <v>44032.666666666599</v>
      </c>
      <c r="B143" s="1">
        <f ca="1">IFERROR(__xludf.DUMMYFUNCTION("""COMPUTED_VALUE"""),158.85)</f>
        <v>158.85</v>
      </c>
      <c r="C143" s="1">
        <f ca="1">IFERROR(__xludf.DUMMYFUNCTION("""COMPUTED_VALUE"""),158.87)</f>
        <v>158.87</v>
      </c>
      <c r="D143" s="1">
        <f ca="1">IFERROR(__xludf.DUMMYFUNCTION("""COMPUTED_VALUE"""),156.37)</f>
        <v>156.37</v>
      </c>
      <c r="E143" s="1">
        <f ca="1">IFERROR(__xludf.DUMMYFUNCTION("""COMPUTED_VALUE"""),156.37)</f>
        <v>156.37</v>
      </c>
      <c r="F143" s="1">
        <f ca="1">IFERROR(__xludf.DUMMYFUNCTION("""COMPUTED_VALUE"""),1790097)</f>
        <v>1790097</v>
      </c>
    </row>
    <row r="144" spans="1:6" ht="15.75" customHeight="1">
      <c r="A144" s="10">
        <f ca="1">IFERROR(__xludf.DUMMYFUNCTION("""COMPUTED_VALUE"""),44033.6666666666)</f>
        <v>44033.666666666599</v>
      </c>
      <c r="B144" s="1">
        <f ca="1">IFERROR(__xludf.DUMMYFUNCTION("""COMPUTED_VALUE"""),157)</f>
        <v>157</v>
      </c>
      <c r="C144" s="1">
        <f ca="1">IFERROR(__xludf.DUMMYFUNCTION("""COMPUTED_VALUE"""),159.63)</f>
        <v>159.63</v>
      </c>
      <c r="D144" s="1">
        <f ca="1">IFERROR(__xludf.DUMMYFUNCTION("""COMPUTED_VALUE"""),156.99)</f>
        <v>156.99</v>
      </c>
      <c r="E144" s="1">
        <f ca="1">IFERROR(__xludf.DUMMYFUNCTION("""COMPUTED_VALUE"""),157.8)</f>
        <v>157.80000000000001</v>
      </c>
      <c r="F144" s="1">
        <f ca="1">IFERROR(__xludf.DUMMYFUNCTION("""COMPUTED_VALUE"""),2757249)</f>
        <v>2757249</v>
      </c>
    </row>
    <row r="145" spans="1:6" ht="15.75" customHeight="1">
      <c r="A145" s="10">
        <f ca="1">IFERROR(__xludf.DUMMYFUNCTION("""COMPUTED_VALUE"""),44034.6666666666)</f>
        <v>44034.666666666599</v>
      </c>
      <c r="B145" s="1">
        <f ca="1">IFERROR(__xludf.DUMMYFUNCTION("""COMPUTED_VALUE"""),157.43)</f>
        <v>157.43</v>
      </c>
      <c r="C145" s="1">
        <f ca="1">IFERROR(__xludf.DUMMYFUNCTION("""COMPUTED_VALUE"""),159.93)</f>
        <v>159.93</v>
      </c>
      <c r="D145" s="1">
        <f ca="1">IFERROR(__xludf.DUMMYFUNCTION("""COMPUTED_VALUE"""),157.02)</f>
        <v>157.02000000000001</v>
      </c>
      <c r="E145" s="1">
        <f ca="1">IFERROR(__xludf.DUMMYFUNCTION("""COMPUTED_VALUE"""),158.71)</f>
        <v>158.71</v>
      </c>
      <c r="F145" s="1">
        <f ca="1">IFERROR(__xludf.DUMMYFUNCTION("""COMPUTED_VALUE"""),1899582)</f>
        <v>1899582</v>
      </c>
    </row>
    <row r="146" spans="1:6" ht="15.75" customHeight="1">
      <c r="A146" s="10">
        <f ca="1">IFERROR(__xludf.DUMMYFUNCTION("""COMPUTED_VALUE"""),44035.6666666666)</f>
        <v>44035.666666666599</v>
      </c>
      <c r="B146" s="1">
        <f ca="1">IFERROR(__xludf.DUMMYFUNCTION("""COMPUTED_VALUE"""),159)</f>
        <v>159</v>
      </c>
      <c r="C146" s="1">
        <f ca="1">IFERROR(__xludf.DUMMYFUNCTION("""COMPUTED_VALUE"""),159.65)</f>
        <v>159.65</v>
      </c>
      <c r="D146" s="1">
        <f ca="1">IFERROR(__xludf.DUMMYFUNCTION("""COMPUTED_VALUE"""),158.36)</f>
        <v>158.36000000000001</v>
      </c>
      <c r="E146" s="1">
        <f ca="1">IFERROR(__xludf.DUMMYFUNCTION("""COMPUTED_VALUE"""),159.29)</f>
        <v>159.29</v>
      </c>
      <c r="F146" s="1">
        <f ca="1">IFERROR(__xludf.DUMMYFUNCTION("""COMPUTED_VALUE"""),2695122)</f>
        <v>2695122</v>
      </c>
    </row>
    <row r="147" spans="1:6" ht="15.75" customHeight="1">
      <c r="A147" s="10">
        <f ca="1">IFERROR(__xludf.DUMMYFUNCTION("""COMPUTED_VALUE"""),44036.6666666666)</f>
        <v>44036.666666666599</v>
      </c>
      <c r="B147" s="1">
        <f ca="1">IFERROR(__xludf.DUMMYFUNCTION("""COMPUTED_VALUE"""),160.05)</f>
        <v>160.05000000000001</v>
      </c>
      <c r="C147" s="1">
        <f ca="1">IFERROR(__xludf.DUMMYFUNCTION("""COMPUTED_VALUE"""),161.6)</f>
        <v>161.6</v>
      </c>
      <c r="D147" s="1">
        <f ca="1">IFERROR(__xludf.DUMMYFUNCTION("""COMPUTED_VALUE"""),158.72)</f>
        <v>158.72</v>
      </c>
      <c r="E147" s="1">
        <f ca="1">IFERROR(__xludf.DUMMYFUNCTION("""COMPUTED_VALUE"""),159.84)</f>
        <v>159.84</v>
      </c>
      <c r="F147" s="1">
        <f ca="1">IFERROR(__xludf.DUMMYFUNCTION("""COMPUTED_VALUE"""),2524854)</f>
        <v>2524854</v>
      </c>
    </row>
    <row r="148" spans="1:6" ht="15.75" customHeight="1">
      <c r="A148" s="10">
        <f ca="1">IFERROR(__xludf.DUMMYFUNCTION("""COMPUTED_VALUE"""),44039.6666666666)</f>
        <v>44039.666666666599</v>
      </c>
      <c r="B148" s="1">
        <f ca="1">IFERROR(__xludf.DUMMYFUNCTION("""COMPUTED_VALUE"""),159.53)</f>
        <v>159.53</v>
      </c>
      <c r="C148" s="1">
        <f ca="1">IFERROR(__xludf.DUMMYFUNCTION("""COMPUTED_VALUE"""),163.38)</f>
        <v>163.38</v>
      </c>
      <c r="D148" s="1">
        <f ca="1">IFERROR(__xludf.DUMMYFUNCTION("""COMPUTED_VALUE"""),159.33)</f>
        <v>159.33000000000001</v>
      </c>
      <c r="E148" s="1">
        <f ca="1">IFERROR(__xludf.DUMMYFUNCTION("""COMPUTED_VALUE"""),163.24)</f>
        <v>163.24</v>
      </c>
      <c r="F148" s="1">
        <f ca="1">IFERROR(__xludf.DUMMYFUNCTION("""COMPUTED_VALUE"""),3198457)</f>
        <v>3198457</v>
      </c>
    </row>
    <row r="149" spans="1:6" ht="15.75" customHeight="1">
      <c r="A149" s="10">
        <f ca="1">IFERROR(__xludf.DUMMYFUNCTION("""COMPUTED_VALUE"""),44040.6666666666)</f>
        <v>44040.666666666599</v>
      </c>
      <c r="B149" s="1">
        <f ca="1">IFERROR(__xludf.DUMMYFUNCTION("""COMPUTED_VALUE"""),155.47)</f>
        <v>155.47</v>
      </c>
      <c r="C149" s="1">
        <f ca="1">IFERROR(__xludf.DUMMYFUNCTION("""COMPUTED_VALUE"""),157.48)</f>
        <v>157.47999999999999</v>
      </c>
      <c r="D149" s="1">
        <f ca="1">IFERROR(__xludf.DUMMYFUNCTION("""COMPUTED_VALUE"""),153.8)</f>
        <v>153.80000000000001</v>
      </c>
      <c r="E149" s="1">
        <f ca="1">IFERROR(__xludf.DUMMYFUNCTION("""COMPUTED_VALUE"""),155.33)</f>
        <v>155.33000000000001</v>
      </c>
      <c r="F149" s="1">
        <f ca="1">IFERROR(__xludf.DUMMYFUNCTION("""COMPUTED_VALUE"""),7738796)</f>
        <v>7738796</v>
      </c>
    </row>
    <row r="150" spans="1:6" ht="15.75" customHeight="1">
      <c r="A150" s="10">
        <f ca="1">IFERROR(__xludf.DUMMYFUNCTION("""COMPUTED_VALUE"""),44041.6666666666)</f>
        <v>44041.666666666599</v>
      </c>
      <c r="B150" s="1">
        <f ca="1">IFERROR(__xludf.DUMMYFUNCTION("""COMPUTED_VALUE"""),156.5)</f>
        <v>156.5</v>
      </c>
      <c r="C150" s="1">
        <f ca="1">IFERROR(__xludf.DUMMYFUNCTION("""COMPUTED_VALUE"""),157.53)</f>
        <v>157.53</v>
      </c>
      <c r="D150" s="1">
        <f ca="1">IFERROR(__xludf.DUMMYFUNCTION("""COMPUTED_VALUE"""),154.92)</f>
        <v>154.91999999999999</v>
      </c>
      <c r="E150" s="1">
        <f ca="1">IFERROR(__xludf.DUMMYFUNCTION("""COMPUTED_VALUE"""),156.25)</f>
        <v>156.25</v>
      </c>
      <c r="F150" s="1">
        <f ca="1">IFERROR(__xludf.DUMMYFUNCTION("""COMPUTED_VALUE"""),3322894)</f>
        <v>3322894</v>
      </c>
    </row>
    <row r="151" spans="1:6" ht="15.75" customHeight="1">
      <c r="A151" s="10">
        <f ca="1">IFERROR(__xludf.DUMMYFUNCTION("""COMPUTED_VALUE"""),44042.6666666666)</f>
        <v>44042.666666666599</v>
      </c>
      <c r="B151" s="1">
        <f ca="1">IFERROR(__xludf.DUMMYFUNCTION("""COMPUTED_VALUE"""),154.31)</f>
        <v>154.31</v>
      </c>
      <c r="C151" s="1">
        <f ca="1">IFERROR(__xludf.DUMMYFUNCTION("""COMPUTED_VALUE"""),154.72)</f>
        <v>154.72</v>
      </c>
      <c r="D151" s="1">
        <f ca="1">IFERROR(__xludf.DUMMYFUNCTION("""COMPUTED_VALUE"""),151.36)</f>
        <v>151.36000000000001</v>
      </c>
      <c r="E151" s="1">
        <f ca="1">IFERROR(__xludf.DUMMYFUNCTION("""COMPUTED_VALUE"""),152.12)</f>
        <v>152.12</v>
      </c>
      <c r="F151" s="1">
        <f ca="1">IFERROR(__xludf.DUMMYFUNCTION("""COMPUTED_VALUE"""),3112986)</f>
        <v>3112986</v>
      </c>
    </row>
    <row r="152" spans="1:6" ht="15.75" customHeight="1">
      <c r="A152" s="10">
        <f ca="1">IFERROR(__xludf.DUMMYFUNCTION("""COMPUTED_VALUE"""),44043.6666666666)</f>
        <v>44043.666666666599</v>
      </c>
      <c r="B152" s="1">
        <f ca="1">IFERROR(__xludf.DUMMYFUNCTION("""COMPUTED_VALUE"""),151.68)</f>
        <v>151.68</v>
      </c>
      <c r="C152" s="1">
        <f ca="1">IFERROR(__xludf.DUMMYFUNCTION("""COMPUTED_VALUE"""),151.75)</f>
        <v>151.75</v>
      </c>
      <c r="D152" s="1">
        <f ca="1">IFERROR(__xludf.DUMMYFUNCTION("""COMPUTED_VALUE"""),148.8)</f>
        <v>148.80000000000001</v>
      </c>
      <c r="E152" s="1">
        <f ca="1">IFERROR(__xludf.DUMMYFUNCTION("""COMPUTED_VALUE"""),150.47)</f>
        <v>150.47</v>
      </c>
      <c r="F152" s="1">
        <f ca="1">IFERROR(__xludf.DUMMYFUNCTION("""COMPUTED_VALUE"""),3266644)</f>
        <v>3266644</v>
      </c>
    </row>
    <row r="153" spans="1:6" ht="15.75" customHeight="1">
      <c r="A153" s="10">
        <f ca="1">IFERROR(__xludf.DUMMYFUNCTION("""COMPUTED_VALUE"""),44046.6666666666)</f>
        <v>44046.666666666599</v>
      </c>
      <c r="B153" s="1">
        <f ca="1">IFERROR(__xludf.DUMMYFUNCTION("""COMPUTED_VALUE"""),151.09)</f>
        <v>151.09</v>
      </c>
      <c r="C153" s="1">
        <f ca="1">IFERROR(__xludf.DUMMYFUNCTION("""COMPUTED_VALUE"""),151.42)</f>
        <v>151.41999999999999</v>
      </c>
      <c r="D153" s="1">
        <f ca="1">IFERROR(__xludf.DUMMYFUNCTION("""COMPUTED_VALUE"""),149.31)</f>
        <v>149.31</v>
      </c>
      <c r="E153" s="1">
        <f ca="1">IFERROR(__xludf.DUMMYFUNCTION("""COMPUTED_VALUE"""),150.41)</f>
        <v>150.41</v>
      </c>
      <c r="F153" s="1">
        <f ca="1">IFERROR(__xludf.DUMMYFUNCTION("""COMPUTED_VALUE"""),2265040)</f>
        <v>2265040</v>
      </c>
    </row>
    <row r="154" spans="1:6" ht="15.75" customHeight="1">
      <c r="A154" s="10">
        <f ca="1">IFERROR(__xludf.DUMMYFUNCTION("""COMPUTED_VALUE"""),44047.6666666666)</f>
        <v>44047.666666666599</v>
      </c>
      <c r="B154" s="1">
        <f ca="1">IFERROR(__xludf.DUMMYFUNCTION("""COMPUTED_VALUE"""),149.9)</f>
        <v>149.9</v>
      </c>
      <c r="C154" s="1">
        <f ca="1">IFERROR(__xludf.DUMMYFUNCTION("""COMPUTED_VALUE"""),151.24)</f>
        <v>151.24</v>
      </c>
      <c r="D154" s="1">
        <f ca="1">IFERROR(__xludf.DUMMYFUNCTION("""COMPUTED_VALUE"""),149.66)</f>
        <v>149.66</v>
      </c>
      <c r="E154" s="1">
        <f ca="1">IFERROR(__xludf.DUMMYFUNCTION("""COMPUTED_VALUE"""),151.21)</f>
        <v>151.21</v>
      </c>
      <c r="F154" s="1">
        <f ca="1">IFERROR(__xludf.DUMMYFUNCTION("""COMPUTED_VALUE"""),1848626)</f>
        <v>1848626</v>
      </c>
    </row>
    <row r="155" spans="1:6" ht="15.75" customHeight="1">
      <c r="A155" s="10">
        <f ca="1">IFERROR(__xludf.DUMMYFUNCTION("""COMPUTED_VALUE"""),44048.6666666666)</f>
        <v>44048.666666666599</v>
      </c>
      <c r="B155" s="1">
        <f ca="1">IFERROR(__xludf.DUMMYFUNCTION("""COMPUTED_VALUE"""),152.16)</f>
        <v>152.16</v>
      </c>
      <c r="C155" s="1">
        <f ca="1">IFERROR(__xludf.DUMMYFUNCTION("""COMPUTED_VALUE"""),155.4)</f>
        <v>155.4</v>
      </c>
      <c r="D155" s="1">
        <f ca="1">IFERROR(__xludf.DUMMYFUNCTION("""COMPUTED_VALUE"""),152.1)</f>
        <v>152.1</v>
      </c>
      <c r="E155" s="1">
        <f ca="1">IFERROR(__xludf.DUMMYFUNCTION("""COMPUTED_VALUE"""),155.35)</f>
        <v>155.35</v>
      </c>
      <c r="F155" s="1">
        <f ca="1">IFERROR(__xludf.DUMMYFUNCTION("""COMPUTED_VALUE"""),2723360)</f>
        <v>2723360</v>
      </c>
    </row>
    <row r="156" spans="1:6" ht="15.75" customHeight="1">
      <c r="A156" s="10">
        <f ca="1">IFERROR(__xludf.DUMMYFUNCTION("""COMPUTED_VALUE"""),44049.6666666666)</f>
        <v>44049.666666666599</v>
      </c>
      <c r="B156" s="1">
        <f ca="1">IFERROR(__xludf.DUMMYFUNCTION("""COMPUTED_VALUE"""),155.93)</f>
        <v>155.93</v>
      </c>
      <c r="C156" s="1">
        <f ca="1">IFERROR(__xludf.DUMMYFUNCTION("""COMPUTED_VALUE"""),156.49)</f>
        <v>156.49</v>
      </c>
      <c r="D156" s="1">
        <f ca="1">IFERROR(__xludf.DUMMYFUNCTION("""COMPUTED_VALUE"""),154.68)</f>
        <v>154.68</v>
      </c>
      <c r="E156" s="1">
        <f ca="1">IFERROR(__xludf.DUMMYFUNCTION("""COMPUTED_VALUE"""),156)</f>
        <v>156</v>
      </c>
      <c r="F156" s="1">
        <f ca="1">IFERROR(__xludf.DUMMYFUNCTION("""COMPUTED_VALUE"""),2885798)</f>
        <v>2885798</v>
      </c>
    </row>
    <row r="157" spans="1:6" ht="15.75" customHeight="1">
      <c r="A157" s="10">
        <f ca="1">IFERROR(__xludf.DUMMYFUNCTION("""COMPUTED_VALUE"""),44050.6666666666)</f>
        <v>44050.666666666599</v>
      </c>
      <c r="B157" s="1">
        <f ca="1">IFERROR(__xludf.DUMMYFUNCTION("""COMPUTED_VALUE"""),155.99)</f>
        <v>155.99</v>
      </c>
      <c r="C157" s="1">
        <f ca="1">IFERROR(__xludf.DUMMYFUNCTION("""COMPUTED_VALUE"""),158.42)</f>
        <v>158.41999999999999</v>
      </c>
      <c r="D157" s="1">
        <f ca="1">IFERROR(__xludf.DUMMYFUNCTION("""COMPUTED_VALUE"""),155.07)</f>
        <v>155.07</v>
      </c>
      <c r="E157" s="1">
        <f ca="1">IFERROR(__xludf.DUMMYFUNCTION("""COMPUTED_VALUE"""),158.33)</f>
        <v>158.33000000000001</v>
      </c>
      <c r="F157" s="1">
        <f ca="1">IFERROR(__xludf.DUMMYFUNCTION("""COMPUTED_VALUE"""),2184531)</f>
        <v>2184531</v>
      </c>
    </row>
    <row r="158" spans="1:6" ht="15.75" customHeight="1">
      <c r="A158" s="10">
        <f ca="1">IFERROR(__xludf.DUMMYFUNCTION("""COMPUTED_VALUE"""),44053.6666666666)</f>
        <v>44053.666666666599</v>
      </c>
      <c r="B158" s="1">
        <f ca="1">IFERROR(__xludf.DUMMYFUNCTION("""COMPUTED_VALUE"""),158.55)</f>
        <v>158.55000000000001</v>
      </c>
      <c r="C158" s="1">
        <f ca="1">IFERROR(__xludf.DUMMYFUNCTION("""COMPUTED_VALUE"""),161.6)</f>
        <v>161.6</v>
      </c>
      <c r="D158" s="1">
        <f ca="1">IFERROR(__xludf.DUMMYFUNCTION("""COMPUTED_VALUE"""),158.55)</f>
        <v>158.55000000000001</v>
      </c>
      <c r="E158" s="1">
        <f ca="1">IFERROR(__xludf.DUMMYFUNCTION("""COMPUTED_VALUE"""),161.44)</f>
        <v>161.44</v>
      </c>
      <c r="F158" s="1">
        <f ca="1">IFERROR(__xludf.DUMMYFUNCTION("""COMPUTED_VALUE"""),2272795)</f>
        <v>2272795</v>
      </c>
    </row>
    <row r="159" spans="1:6" ht="15.75" customHeight="1">
      <c r="A159" s="10">
        <f ca="1">IFERROR(__xludf.DUMMYFUNCTION("""COMPUTED_VALUE"""),44054.6666666666)</f>
        <v>44054.666666666599</v>
      </c>
      <c r="B159" s="1">
        <f ca="1">IFERROR(__xludf.DUMMYFUNCTION("""COMPUTED_VALUE"""),164.13)</f>
        <v>164.13</v>
      </c>
      <c r="C159" s="1">
        <f ca="1">IFERROR(__xludf.DUMMYFUNCTION("""COMPUTED_VALUE"""),166.64)</f>
        <v>166.64</v>
      </c>
      <c r="D159" s="1">
        <f ca="1">IFERROR(__xludf.DUMMYFUNCTION("""COMPUTED_VALUE"""),163.04)</f>
        <v>163.04</v>
      </c>
      <c r="E159" s="1">
        <f ca="1">IFERROR(__xludf.DUMMYFUNCTION("""COMPUTED_VALUE"""),163.38)</f>
        <v>163.38</v>
      </c>
      <c r="F159" s="1">
        <f ca="1">IFERROR(__xludf.DUMMYFUNCTION("""COMPUTED_VALUE"""),3764883)</f>
        <v>3764883</v>
      </c>
    </row>
    <row r="160" spans="1:6" ht="15.75" customHeight="1">
      <c r="A160" s="10">
        <f ca="1">IFERROR(__xludf.DUMMYFUNCTION("""COMPUTED_VALUE"""),44055.6666666666)</f>
        <v>44055.666666666599</v>
      </c>
      <c r="B160" s="1">
        <f ca="1">IFERROR(__xludf.DUMMYFUNCTION("""COMPUTED_VALUE"""),165)</f>
        <v>165</v>
      </c>
      <c r="C160" s="1">
        <f ca="1">IFERROR(__xludf.DUMMYFUNCTION("""COMPUTED_VALUE"""),165.95)</f>
        <v>165.95</v>
      </c>
      <c r="D160" s="1">
        <f ca="1">IFERROR(__xludf.DUMMYFUNCTION("""COMPUTED_VALUE"""),163.35)</f>
        <v>163.35</v>
      </c>
      <c r="E160" s="1">
        <f ca="1">IFERROR(__xludf.DUMMYFUNCTION("""COMPUTED_VALUE"""),164.26)</f>
        <v>164.26</v>
      </c>
      <c r="F160" s="1">
        <f ca="1">IFERROR(__xludf.DUMMYFUNCTION("""COMPUTED_VALUE"""),2079670)</f>
        <v>2079670</v>
      </c>
    </row>
    <row r="161" spans="1:6" ht="15.75" customHeight="1">
      <c r="A161" s="10">
        <f ca="1">IFERROR(__xludf.DUMMYFUNCTION("""COMPUTED_VALUE"""),44056.6666666666)</f>
        <v>44056.666666666599</v>
      </c>
      <c r="B161" s="1">
        <f ca="1">IFERROR(__xludf.DUMMYFUNCTION("""COMPUTED_VALUE"""),165.52)</f>
        <v>165.52</v>
      </c>
      <c r="C161" s="1">
        <f ca="1">IFERROR(__xludf.DUMMYFUNCTION("""COMPUTED_VALUE"""),167.49)</f>
        <v>167.49</v>
      </c>
      <c r="D161" s="1">
        <f ca="1">IFERROR(__xludf.DUMMYFUNCTION("""COMPUTED_VALUE"""),164.75)</f>
        <v>164.75</v>
      </c>
      <c r="E161" s="1">
        <f ca="1">IFERROR(__xludf.DUMMYFUNCTION("""COMPUTED_VALUE"""),165.86)</f>
        <v>165.86</v>
      </c>
      <c r="F161" s="1">
        <f ca="1">IFERROR(__xludf.DUMMYFUNCTION("""COMPUTED_VALUE"""),2884061)</f>
        <v>2884061</v>
      </c>
    </row>
    <row r="162" spans="1:6" ht="15.75" customHeight="1">
      <c r="A162" s="10">
        <f ca="1">IFERROR(__xludf.DUMMYFUNCTION("""COMPUTED_VALUE"""),44057.6666666666)</f>
        <v>44057.666666666599</v>
      </c>
      <c r="B162" s="1">
        <f ca="1">IFERROR(__xludf.DUMMYFUNCTION("""COMPUTED_VALUE"""),164.61)</f>
        <v>164.61</v>
      </c>
      <c r="C162" s="1">
        <f ca="1">IFERROR(__xludf.DUMMYFUNCTION("""COMPUTED_VALUE"""),166.3)</f>
        <v>166.3</v>
      </c>
      <c r="D162" s="1">
        <f ca="1">IFERROR(__xludf.DUMMYFUNCTION("""COMPUTED_VALUE"""),164.52)</f>
        <v>164.52</v>
      </c>
      <c r="E162" s="1">
        <f ca="1">IFERROR(__xludf.DUMMYFUNCTION("""COMPUTED_VALUE"""),166.1)</f>
        <v>166.1</v>
      </c>
      <c r="F162" s="1">
        <f ca="1">IFERROR(__xludf.DUMMYFUNCTION("""COMPUTED_VALUE"""),1607354)</f>
        <v>1607354</v>
      </c>
    </row>
    <row r="163" spans="1:6" ht="15.75" customHeight="1"/>
    <row r="164" spans="1:6" ht="15.75" customHeight="1"/>
    <row r="165" spans="1:6" ht="15.75" customHeight="1"/>
    <row r="166" spans="1:6" ht="15.75" customHeight="1"/>
    <row r="167" spans="1:6" ht="15.75" customHeight="1"/>
    <row r="168" spans="1:6" ht="15.75" customHeight="1"/>
    <row r="169" spans="1:6" ht="15.75" customHeight="1"/>
    <row r="170" spans="1:6" ht="15.75" customHeight="1"/>
    <row r="171" spans="1:6" ht="15.75" customHeight="1"/>
    <row r="172" spans="1:6" ht="15.75" customHeight="1"/>
    <row r="173" spans="1:6" ht="15.75" customHeight="1"/>
    <row r="174" spans="1:6" ht="15.75" customHeight="1"/>
    <row r="175" spans="1:6" ht="15.75" customHeight="1"/>
    <row r="176" spans="1: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custom" allowBlank="1" showDropDown="1" showErrorMessage="1" sqref="C2:D2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6" ht="15.75" customHeight="1">
      <c r="A1" s="1" t="s">
        <v>0</v>
      </c>
      <c r="C1" s="1" t="s">
        <v>1</v>
      </c>
      <c r="D1" s="1" t="s">
        <v>2</v>
      </c>
    </row>
    <row r="2" spans="1:6" ht="15.75" customHeight="1">
      <c r="A2" s="1" t="s">
        <v>167</v>
      </c>
      <c r="C2" s="2">
        <v>43678</v>
      </c>
      <c r="D2" s="2">
        <v>44059</v>
      </c>
    </row>
    <row r="3" spans="1:6" ht="15.75" customHeight="1"/>
    <row r="4" spans="1:6" ht="15.75" customHeight="1"/>
    <row r="5" spans="1:6" ht="15.75" customHeight="1">
      <c r="A5" s="1" t="str">
        <f ca="1">IFERROR(__xludf.DUMMYFUNCTION("GOOGLEFINANCE(A2,""all"",C2, D2, ""DAILY"")"),"Date")</f>
        <v>Date</v>
      </c>
      <c r="B5" s="1" t="str">
        <f ca="1">IFERROR(__xludf.DUMMYFUNCTION("""COMPUTED_VALUE"""),"Open")</f>
        <v>Open</v>
      </c>
      <c r="C5" s="1" t="str">
        <f ca="1">IFERROR(__xludf.DUMMYFUNCTION("""COMPUTED_VALUE"""),"High")</f>
        <v>High</v>
      </c>
      <c r="D5" s="1" t="str">
        <f ca="1">IFERROR(__xludf.DUMMYFUNCTION("""COMPUTED_VALUE"""),"Low")</f>
        <v>Low</v>
      </c>
      <c r="E5" s="1" t="str">
        <f ca="1">IFERROR(__xludf.DUMMYFUNCTION("""COMPUTED_VALUE"""),"Close")</f>
        <v>Close</v>
      </c>
      <c r="F5" s="1" t="str">
        <f ca="1">IFERROR(__xludf.DUMMYFUNCTION("""COMPUTED_VALUE"""),"Volume")</f>
        <v>Volume</v>
      </c>
    </row>
    <row r="6" spans="1:6" ht="15.75" customHeight="1">
      <c r="A6" s="10">
        <f ca="1">IFERROR(__xludf.DUMMYFUNCTION("""COMPUTED_VALUE"""),43678.6666666666)</f>
        <v>43678.666666666599</v>
      </c>
      <c r="B6" s="1">
        <f ca="1">IFERROR(__xludf.DUMMYFUNCTION("""COMPUTED_VALUE"""),103.28)</f>
        <v>103.28</v>
      </c>
      <c r="C6" s="1">
        <f ca="1">IFERROR(__xludf.DUMMYFUNCTION("""COMPUTED_VALUE"""),103.88)</f>
        <v>103.88</v>
      </c>
      <c r="D6" s="1">
        <f ca="1">IFERROR(__xludf.DUMMYFUNCTION("""COMPUTED_VALUE"""),99.05)</f>
        <v>99.05</v>
      </c>
      <c r="E6" s="1">
        <f ca="1">IFERROR(__xludf.DUMMYFUNCTION("""COMPUTED_VALUE"""),99.31)</f>
        <v>99.31</v>
      </c>
      <c r="F6" s="1">
        <f ca="1">IFERROR(__xludf.DUMMYFUNCTION("""COMPUTED_VALUE"""),0)</f>
        <v>0</v>
      </c>
    </row>
    <row r="7" spans="1:6" ht="15.75" customHeight="1">
      <c r="A7" s="10">
        <f ca="1">IFERROR(__xludf.DUMMYFUNCTION("""COMPUTED_VALUE"""),43679.6666666666)</f>
        <v>43679.666666666599</v>
      </c>
      <c r="B7" s="1">
        <f ca="1">IFERROR(__xludf.DUMMYFUNCTION("""COMPUTED_VALUE"""),99.09)</f>
        <v>99.09</v>
      </c>
      <c r="C7" s="1">
        <f ca="1">IFERROR(__xludf.DUMMYFUNCTION("""COMPUTED_VALUE"""),99.25)</f>
        <v>99.25</v>
      </c>
      <c r="D7" s="1">
        <f ca="1">IFERROR(__xludf.DUMMYFUNCTION("""COMPUTED_VALUE"""),97.18)</f>
        <v>97.18</v>
      </c>
      <c r="E7" s="1">
        <f ca="1">IFERROR(__xludf.DUMMYFUNCTION("""COMPUTED_VALUE"""),98.17)</f>
        <v>98.17</v>
      </c>
      <c r="F7" s="1">
        <f ca="1">IFERROR(__xludf.DUMMYFUNCTION("""COMPUTED_VALUE"""),0)</f>
        <v>0</v>
      </c>
    </row>
    <row r="8" spans="1:6" ht="15.75" customHeight="1">
      <c r="A8" s="10">
        <f ca="1">IFERROR(__xludf.DUMMYFUNCTION("""COMPUTED_VALUE"""),43682.6666666666)</f>
        <v>43682.666666666599</v>
      </c>
      <c r="B8" s="1">
        <f ca="1">IFERROR(__xludf.DUMMYFUNCTION("""COMPUTED_VALUE"""),96.23)</f>
        <v>96.23</v>
      </c>
      <c r="C8" s="1">
        <f ca="1">IFERROR(__xludf.DUMMYFUNCTION("""COMPUTED_VALUE"""),96.28)</f>
        <v>96.28</v>
      </c>
      <c r="D8" s="1">
        <f ca="1">IFERROR(__xludf.DUMMYFUNCTION("""COMPUTED_VALUE"""),93.8)</f>
        <v>93.8</v>
      </c>
      <c r="E8" s="1">
        <f ca="1">IFERROR(__xludf.DUMMYFUNCTION("""COMPUTED_VALUE"""),95.25)</f>
        <v>95.25</v>
      </c>
      <c r="F8" s="1">
        <f ca="1">IFERROR(__xludf.DUMMYFUNCTION("""COMPUTED_VALUE"""),0)</f>
        <v>0</v>
      </c>
    </row>
    <row r="9" spans="1:6" ht="15.75" customHeight="1">
      <c r="A9" s="10">
        <f ca="1">IFERROR(__xludf.DUMMYFUNCTION("""COMPUTED_VALUE"""),43683.6666666666)</f>
        <v>43683.666666666599</v>
      </c>
      <c r="B9" s="1">
        <f ca="1">IFERROR(__xludf.DUMMYFUNCTION("""COMPUTED_VALUE"""),95.99)</f>
        <v>95.99</v>
      </c>
      <c r="C9" s="1">
        <f ca="1">IFERROR(__xludf.DUMMYFUNCTION("""COMPUTED_VALUE"""),96.18)</f>
        <v>96.18</v>
      </c>
      <c r="D9" s="1">
        <f ca="1">IFERROR(__xludf.DUMMYFUNCTION("""COMPUTED_VALUE"""),94.22)</f>
        <v>94.22</v>
      </c>
      <c r="E9" s="1">
        <f ca="1">IFERROR(__xludf.DUMMYFUNCTION("""COMPUTED_VALUE"""),96.11)</f>
        <v>96.11</v>
      </c>
      <c r="F9" s="1">
        <f ca="1">IFERROR(__xludf.DUMMYFUNCTION("""COMPUTED_VALUE"""),0)</f>
        <v>0</v>
      </c>
    </row>
    <row r="10" spans="1:6" ht="15.75" customHeight="1">
      <c r="A10" s="10">
        <f ca="1">IFERROR(__xludf.DUMMYFUNCTION("""COMPUTED_VALUE"""),43684.6666666666)</f>
        <v>43684.666666666599</v>
      </c>
      <c r="B10" s="1">
        <f ca="1">IFERROR(__xludf.DUMMYFUNCTION("""COMPUTED_VALUE"""),94.3)</f>
        <v>94.3</v>
      </c>
      <c r="C10" s="1">
        <f ca="1">IFERROR(__xludf.DUMMYFUNCTION("""COMPUTED_VALUE"""),95.5)</f>
        <v>95.5</v>
      </c>
      <c r="D10" s="1">
        <f ca="1">IFERROR(__xludf.DUMMYFUNCTION("""COMPUTED_VALUE"""),93.25)</f>
        <v>93.25</v>
      </c>
      <c r="E10" s="1">
        <f ca="1">IFERROR(__xludf.DUMMYFUNCTION("""COMPUTED_VALUE"""),95.22)</f>
        <v>95.22</v>
      </c>
      <c r="F10" s="1">
        <f ca="1">IFERROR(__xludf.DUMMYFUNCTION("""COMPUTED_VALUE"""),0)</f>
        <v>0</v>
      </c>
    </row>
    <row r="11" spans="1:6" ht="15.75" customHeight="1">
      <c r="A11" s="10">
        <f ca="1">IFERROR(__xludf.DUMMYFUNCTION("""COMPUTED_VALUE"""),43685.6666666666)</f>
        <v>43685.666666666599</v>
      </c>
      <c r="B11" s="1">
        <f ca="1">IFERROR(__xludf.DUMMYFUNCTION("""COMPUTED_VALUE"""),96.05)</f>
        <v>96.05</v>
      </c>
      <c r="C11" s="1">
        <f ca="1">IFERROR(__xludf.DUMMYFUNCTION("""COMPUTED_VALUE"""),97.6)</f>
        <v>97.6</v>
      </c>
      <c r="D11" s="1">
        <f ca="1">IFERROR(__xludf.DUMMYFUNCTION("""COMPUTED_VALUE"""),96)</f>
        <v>96</v>
      </c>
      <c r="E11" s="1">
        <f ca="1">IFERROR(__xludf.DUMMYFUNCTION("""COMPUTED_VALUE"""),97.23)</f>
        <v>97.23</v>
      </c>
      <c r="F11" s="1">
        <f ca="1">IFERROR(__xludf.DUMMYFUNCTION("""COMPUTED_VALUE"""),0)</f>
        <v>0</v>
      </c>
    </row>
    <row r="12" spans="1:6" ht="15.75" customHeight="1">
      <c r="A12" s="10">
        <f ca="1">IFERROR(__xludf.DUMMYFUNCTION("""COMPUTED_VALUE"""),43686.6666666666)</f>
        <v>43686.666666666599</v>
      </c>
      <c r="B12" s="1">
        <f ca="1">IFERROR(__xludf.DUMMYFUNCTION("""COMPUTED_VALUE"""),96.82)</f>
        <v>96.82</v>
      </c>
      <c r="C12" s="1">
        <f ca="1">IFERROR(__xludf.DUMMYFUNCTION("""COMPUTED_VALUE"""),97.28)</f>
        <v>97.28</v>
      </c>
      <c r="D12" s="1">
        <f ca="1">IFERROR(__xludf.DUMMYFUNCTION("""COMPUTED_VALUE"""),96.03)</f>
        <v>96.03</v>
      </c>
      <c r="E12" s="1">
        <f ca="1">IFERROR(__xludf.DUMMYFUNCTION("""COMPUTED_VALUE"""),96.84)</f>
        <v>96.84</v>
      </c>
      <c r="F12" s="1">
        <f ca="1">IFERROR(__xludf.DUMMYFUNCTION("""COMPUTED_VALUE"""),0)</f>
        <v>0</v>
      </c>
    </row>
    <row r="13" spans="1:6" ht="15.75" customHeight="1">
      <c r="A13" s="10">
        <f ca="1">IFERROR(__xludf.DUMMYFUNCTION("""COMPUTED_VALUE"""),43689.6666666666)</f>
        <v>43689.666666666599</v>
      </c>
      <c r="B13" s="1">
        <f ca="1">IFERROR(__xludf.DUMMYFUNCTION("""COMPUTED_VALUE"""),94.98)</f>
        <v>94.98</v>
      </c>
      <c r="C13" s="1">
        <f ca="1">IFERROR(__xludf.DUMMYFUNCTION("""COMPUTED_VALUE"""),95.75)</f>
        <v>95.75</v>
      </c>
      <c r="D13" s="1">
        <f ca="1">IFERROR(__xludf.DUMMYFUNCTION("""COMPUTED_VALUE"""),94.91)</f>
        <v>94.91</v>
      </c>
      <c r="E13" s="1">
        <f ca="1">IFERROR(__xludf.DUMMYFUNCTION("""COMPUTED_VALUE"""),94.97)</f>
        <v>94.97</v>
      </c>
      <c r="F13" s="1">
        <f ca="1">IFERROR(__xludf.DUMMYFUNCTION("""COMPUTED_VALUE"""),0)</f>
        <v>0</v>
      </c>
    </row>
    <row r="14" spans="1:6" ht="15.75" customHeight="1">
      <c r="A14" s="10">
        <f ca="1">IFERROR(__xludf.DUMMYFUNCTION("""COMPUTED_VALUE"""),43690.6666666666)</f>
        <v>43690.666666666599</v>
      </c>
      <c r="B14" s="1">
        <f ca="1">IFERROR(__xludf.DUMMYFUNCTION("""COMPUTED_VALUE"""),94.93)</f>
        <v>94.93</v>
      </c>
      <c r="C14" s="1">
        <f ca="1">IFERROR(__xludf.DUMMYFUNCTION("""COMPUTED_VALUE"""),97.52)</f>
        <v>97.52</v>
      </c>
      <c r="D14" s="1">
        <f ca="1">IFERROR(__xludf.DUMMYFUNCTION("""COMPUTED_VALUE"""),94.8)</f>
        <v>94.8</v>
      </c>
      <c r="E14" s="1">
        <f ca="1">IFERROR(__xludf.DUMMYFUNCTION("""COMPUTED_VALUE"""),95.93)</f>
        <v>95.93</v>
      </c>
      <c r="F14" s="1">
        <f ca="1">IFERROR(__xludf.DUMMYFUNCTION("""COMPUTED_VALUE"""),0)</f>
        <v>0</v>
      </c>
    </row>
    <row r="15" spans="1:6" ht="15.75" customHeight="1">
      <c r="A15" s="10">
        <f ca="1">IFERROR(__xludf.DUMMYFUNCTION("""COMPUTED_VALUE"""),43691.6666666666)</f>
        <v>43691.666666666599</v>
      </c>
      <c r="B15" s="1">
        <f ca="1">IFERROR(__xludf.DUMMYFUNCTION("""COMPUTED_VALUE"""),94.01)</f>
        <v>94.01</v>
      </c>
      <c r="C15" s="1">
        <f ca="1">IFERROR(__xludf.DUMMYFUNCTION("""COMPUTED_VALUE"""),94.29)</f>
        <v>94.29</v>
      </c>
      <c r="D15" s="1">
        <f ca="1">IFERROR(__xludf.DUMMYFUNCTION("""COMPUTED_VALUE"""),92.31)</f>
        <v>92.31</v>
      </c>
      <c r="E15" s="1">
        <f ca="1">IFERROR(__xludf.DUMMYFUNCTION("""COMPUTED_VALUE"""),92.96)</f>
        <v>92.96</v>
      </c>
      <c r="F15" s="1">
        <f ca="1">IFERROR(__xludf.DUMMYFUNCTION("""COMPUTED_VALUE"""),0)</f>
        <v>0</v>
      </c>
    </row>
    <row r="16" spans="1:6" ht="15.75" customHeight="1">
      <c r="A16" s="10">
        <f ca="1">IFERROR(__xludf.DUMMYFUNCTION("""COMPUTED_VALUE"""),43692.6666666666)</f>
        <v>43692.666666666599</v>
      </c>
      <c r="B16" s="1">
        <f ca="1">IFERROR(__xludf.DUMMYFUNCTION("""COMPUTED_VALUE"""),93.3)</f>
        <v>93.3</v>
      </c>
      <c r="C16" s="1">
        <f ca="1">IFERROR(__xludf.DUMMYFUNCTION("""COMPUTED_VALUE"""),93.47)</f>
        <v>93.47</v>
      </c>
      <c r="D16" s="1">
        <f ca="1">IFERROR(__xludf.DUMMYFUNCTION("""COMPUTED_VALUE"""),91.93)</f>
        <v>91.93</v>
      </c>
      <c r="E16" s="1">
        <f ca="1">IFERROR(__xludf.DUMMYFUNCTION("""COMPUTED_VALUE"""),92.03)</f>
        <v>92.03</v>
      </c>
      <c r="F16" s="1">
        <f ca="1">IFERROR(__xludf.DUMMYFUNCTION("""COMPUTED_VALUE"""),0)</f>
        <v>0</v>
      </c>
    </row>
    <row r="17" spans="1:6" ht="15.75" customHeight="1">
      <c r="A17" s="10">
        <f ca="1">IFERROR(__xludf.DUMMYFUNCTION("""COMPUTED_VALUE"""),43693.6666666666)</f>
        <v>43693.666666666599</v>
      </c>
      <c r="B17" s="1">
        <f ca="1">IFERROR(__xludf.DUMMYFUNCTION("""COMPUTED_VALUE"""),92.73)</f>
        <v>92.73</v>
      </c>
      <c r="C17" s="1">
        <f ca="1">IFERROR(__xludf.DUMMYFUNCTION("""COMPUTED_VALUE"""),94.76)</f>
        <v>94.76</v>
      </c>
      <c r="D17" s="1">
        <f ca="1">IFERROR(__xludf.DUMMYFUNCTION("""COMPUTED_VALUE"""),92.68)</f>
        <v>92.68</v>
      </c>
      <c r="E17" s="1">
        <f ca="1">IFERROR(__xludf.DUMMYFUNCTION("""COMPUTED_VALUE"""),94.65)</f>
        <v>94.65</v>
      </c>
      <c r="F17" s="1">
        <f ca="1">IFERROR(__xludf.DUMMYFUNCTION("""COMPUTED_VALUE"""),0)</f>
        <v>0</v>
      </c>
    </row>
    <row r="18" spans="1:6" ht="15.75" customHeight="1">
      <c r="A18" s="10">
        <f ca="1">IFERROR(__xludf.DUMMYFUNCTION("""COMPUTED_VALUE"""),43696.6666666666)</f>
        <v>43696.666666666599</v>
      </c>
      <c r="B18" s="1">
        <f ca="1">IFERROR(__xludf.DUMMYFUNCTION("""COMPUTED_VALUE"""),96.04)</f>
        <v>96.04</v>
      </c>
      <c r="C18" s="1">
        <f ca="1">IFERROR(__xludf.DUMMYFUNCTION("""COMPUTED_VALUE"""),96.13)</f>
        <v>96.13</v>
      </c>
      <c r="D18" s="1">
        <f ca="1">IFERROR(__xludf.DUMMYFUNCTION("""COMPUTED_VALUE"""),95.6)</f>
        <v>95.6</v>
      </c>
      <c r="E18" s="1">
        <f ca="1">IFERROR(__xludf.DUMMYFUNCTION("""COMPUTED_VALUE"""),95.64)</f>
        <v>95.64</v>
      </c>
      <c r="F18" s="1">
        <f ca="1">IFERROR(__xludf.DUMMYFUNCTION("""COMPUTED_VALUE"""),0)</f>
        <v>0</v>
      </c>
    </row>
    <row r="19" spans="1:6" ht="15.75" customHeight="1">
      <c r="A19" s="10">
        <f ca="1">IFERROR(__xludf.DUMMYFUNCTION("""COMPUTED_VALUE"""),43697.6666666666)</f>
        <v>43697.666666666599</v>
      </c>
      <c r="B19" s="1">
        <f ca="1">IFERROR(__xludf.DUMMYFUNCTION("""COMPUTED_VALUE"""),95.14)</f>
        <v>95.14</v>
      </c>
      <c r="C19" s="1">
        <f ca="1">IFERROR(__xludf.DUMMYFUNCTION("""COMPUTED_VALUE"""),95.15)</f>
        <v>95.15</v>
      </c>
      <c r="D19" s="1">
        <f ca="1">IFERROR(__xludf.DUMMYFUNCTION("""COMPUTED_VALUE"""),94.1)</f>
        <v>94.1</v>
      </c>
      <c r="E19" s="1">
        <f ca="1">IFERROR(__xludf.DUMMYFUNCTION("""COMPUTED_VALUE"""),94.31)</f>
        <v>94.31</v>
      </c>
      <c r="F19" s="1">
        <f ca="1">IFERROR(__xludf.DUMMYFUNCTION("""COMPUTED_VALUE"""),0)</f>
        <v>0</v>
      </c>
    </row>
    <row r="20" spans="1:6" ht="15.75" customHeight="1">
      <c r="A20" s="10">
        <f ca="1">IFERROR(__xludf.DUMMYFUNCTION("""COMPUTED_VALUE"""),43698.6666666666)</f>
        <v>43698.666666666599</v>
      </c>
      <c r="B20" s="1">
        <f ca="1">IFERROR(__xludf.DUMMYFUNCTION("""COMPUTED_VALUE"""),95.14)</f>
        <v>95.14</v>
      </c>
      <c r="C20" s="1">
        <f ca="1">IFERROR(__xludf.DUMMYFUNCTION("""COMPUTED_VALUE"""),95.24)</f>
        <v>95.24</v>
      </c>
      <c r="D20" s="1">
        <f ca="1">IFERROR(__xludf.DUMMYFUNCTION("""COMPUTED_VALUE"""),94.55)</f>
        <v>94.55</v>
      </c>
      <c r="E20" s="1">
        <f ca="1">IFERROR(__xludf.DUMMYFUNCTION("""COMPUTED_VALUE"""),94.95)</f>
        <v>94.95</v>
      </c>
      <c r="F20" s="1">
        <f ca="1">IFERROR(__xludf.DUMMYFUNCTION("""COMPUTED_VALUE"""),0)</f>
        <v>0</v>
      </c>
    </row>
    <row r="21" spans="1:6" ht="15.75" customHeight="1">
      <c r="A21" s="10">
        <f ca="1">IFERROR(__xludf.DUMMYFUNCTION("""COMPUTED_VALUE"""),43699.6666666666)</f>
        <v>43699.666666666599</v>
      </c>
      <c r="B21" s="1">
        <f ca="1">IFERROR(__xludf.DUMMYFUNCTION("""COMPUTED_VALUE"""),95.61)</f>
        <v>95.61</v>
      </c>
      <c r="C21" s="1">
        <f ca="1">IFERROR(__xludf.DUMMYFUNCTION("""COMPUTED_VALUE"""),95.87)</f>
        <v>95.87</v>
      </c>
      <c r="D21" s="1">
        <f ca="1">IFERROR(__xludf.DUMMYFUNCTION("""COMPUTED_VALUE"""),94.47)</f>
        <v>94.47</v>
      </c>
      <c r="E21" s="1">
        <f ca="1">IFERROR(__xludf.DUMMYFUNCTION("""COMPUTED_VALUE"""),95.1)</f>
        <v>95.1</v>
      </c>
      <c r="F21" s="1">
        <f ca="1">IFERROR(__xludf.DUMMYFUNCTION("""COMPUTED_VALUE"""),0)</f>
        <v>0</v>
      </c>
    </row>
    <row r="22" spans="1:6" ht="15.75" customHeight="1">
      <c r="A22" s="10">
        <f ca="1">IFERROR(__xludf.DUMMYFUNCTION("""COMPUTED_VALUE"""),43700.6666666666)</f>
        <v>43700.666666666599</v>
      </c>
      <c r="B22" s="1">
        <f ca="1">IFERROR(__xludf.DUMMYFUNCTION("""COMPUTED_VALUE"""),94.62)</f>
        <v>94.62</v>
      </c>
      <c r="C22" s="1">
        <f ca="1">IFERROR(__xludf.DUMMYFUNCTION("""COMPUTED_VALUE"""),95.53)</f>
        <v>95.53</v>
      </c>
      <c r="D22" s="1">
        <f ca="1">IFERROR(__xludf.DUMMYFUNCTION("""COMPUTED_VALUE"""),91.61)</f>
        <v>91.61</v>
      </c>
      <c r="E22" s="1">
        <f ca="1">IFERROR(__xludf.DUMMYFUNCTION("""COMPUTED_VALUE"""),91.89)</f>
        <v>91.89</v>
      </c>
      <c r="F22" s="1">
        <f ca="1">IFERROR(__xludf.DUMMYFUNCTION("""COMPUTED_VALUE"""),0)</f>
        <v>0</v>
      </c>
    </row>
    <row r="23" spans="1:6" ht="15.75" customHeight="1">
      <c r="A23" s="10">
        <f ca="1">IFERROR(__xludf.DUMMYFUNCTION("""COMPUTED_VALUE"""),43703.6666666666)</f>
        <v>43703.666666666599</v>
      </c>
      <c r="B23" s="1">
        <f ca="1">IFERROR(__xludf.DUMMYFUNCTION("""COMPUTED_VALUE"""),92.67)</f>
        <v>92.67</v>
      </c>
      <c r="C23" s="1">
        <f ca="1">IFERROR(__xludf.DUMMYFUNCTION("""COMPUTED_VALUE"""),92.84)</f>
        <v>92.84</v>
      </c>
      <c r="D23" s="1">
        <f ca="1">IFERROR(__xludf.DUMMYFUNCTION("""COMPUTED_VALUE"""),91.75)</f>
        <v>91.75</v>
      </c>
      <c r="E23" s="1">
        <f ca="1">IFERROR(__xludf.DUMMYFUNCTION("""COMPUTED_VALUE"""),92.82)</f>
        <v>92.82</v>
      </c>
      <c r="F23" s="1">
        <f ca="1">IFERROR(__xludf.DUMMYFUNCTION("""COMPUTED_VALUE"""),0)</f>
        <v>0</v>
      </c>
    </row>
    <row r="24" spans="1:6" ht="15.75" customHeight="1">
      <c r="A24" s="10">
        <f ca="1">IFERROR(__xludf.DUMMYFUNCTION("""COMPUTED_VALUE"""),43704.6666666666)</f>
        <v>43704.666666666599</v>
      </c>
      <c r="B24" s="1">
        <f ca="1">IFERROR(__xludf.DUMMYFUNCTION("""COMPUTED_VALUE"""),93.27)</f>
        <v>93.27</v>
      </c>
      <c r="C24" s="1">
        <f ca="1">IFERROR(__xludf.DUMMYFUNCTION("""COMPUTED_VALUE"""),93.35)</f>
        <v>93.35</v>
      </c>
      <c r="D24" s="1">
        <f ca="1">IFERROR(__xludf.DUMMYFUNCTION("""COMPUTED_VALUE"""),90.54)</f>
        <v>90.54</v>
      </c>
      <c r="E24" s="1">
        <f ca="1">IFERROR(__xludf.DUMMYFUNCTION("""COMPUTED_VALUE"""),90.97)</f>
        <v>90.97</v>
      </c>
      <c r="F24" s="1">
        <f ca="1">IFERROR(__xludf.DUMMYFUNCTION("""COMPUTED_VALUE"""),0)</f>
        <v>0</v>
      </c>
    </row>
    <row r="25" spans="1:6" ht="15.75" customHeight="1">
      <c r="A25" s="10">
        <f ca="1">IFERROR(__xludf.DUMMYFUNCTION("""COMPUTED_VALUE"""),43705.6666666666)</f>
        <v>43705.666666666599</v>
      </c>
      <c r="B25" s="1">
        <f ca="1">IFERROR(__xludf.DUMMYFUNCTION("""COMPUTED_VALUE"""),90.63)</f>
        <v>90.63</v>
      </c>
      <c r="C25" s="1">
        <f ca="1">IFERROR(__xludf.DUMMYFUNCTION("""COMPUTED_VALUE"""),92.77)</f>
        <v>92.77</v>
      </c>
      <c r="D25" s="1">
        <f ca="1">IFERROR(__xludf.DUMMYFUNCTION("""COMPUTED_VALUE"""),90.63)</f>
        <v>90.63</v>
      </c>
      <c r="E25" s="1">
        <f ca="1">IFERROR(__xludf.DUMMYFUNCTION("""COMPUTED_VALUE"""),92.17)</f>
        <v>92.17</v>
      </c>
      <c r="F25" s="1">
        <f ca="1">IFERROR(__xludf.DUMMYFUNCTION("""COMPUTED_VALUE"""),0)</f>
        <v>0</v>
      </c>
    </row>
    <row r="26" spans="1:6" ht="15.75" customHeight="1">
      <c r="A26" s="10">
        <f ca="1">IFERROR(__xludf.DUMMYFUNCTION("""COMPUTED_VALUE"""),43706.6666666666)</f>
        <v>43706.666666666599</v>
      </c>
      <c r="B26" s="1">
        <f ca="1">IFERROR(__xludf.DUMMYFUNCTION("""COMPUTED_VALUE"""),92.99)</f>
        <v>92.99</v>
      </c>
      <c r="C26" s="1">
        <f ca="1">IFERROR(__xludf.DUMMYFUNCTION("""COMPUTED_VALUE"""),94.28)</f>
        <v>94.28</v>
      </c>
      <c r="D26" s="1">
        <f ca="1">IFERROR(__xludf.DUMMYFUNCTION("""COMPUTED_VALUE"""),92.98)</f>
        <v>92.98</v>
      </c>
      <c r="E26" s="1">
        <f ca="1">IFERROR(__xludf.DUMMYFUNCTION("""COMPUTED_VALUE"""),94.03)</f>
        <v>94.03</v>
      </c>
      <c r="F26" s="1">
        <f ca="1">IFERROR(__xludf.DUMMYFUNCTION("""COMPUTED_VALUE"""),0)</f>
        <v>0</v>
      </c>
    </row>
    <row r="27" spans="1:6" ht="15.75" customHeight="1">
      <c r="A27" s="10">
        <f ca="1">IFERROR(__xludf.DUMMYFUNCTION("""COMPUTED_VALUE"""),43707.6666666666)</f>
        <v>43707.666666666599</v>
      </c>
      <c r="B27" s="1">
        <f ca="1">IFERROR(__xludf.DUMMYFUNCTION("""COMPUTED_VALUE"""),94.6)</f>
        <v>94.6</v>
      </c>
      <c r="C27" s="1">
        <f ca="1">IFERROR(__xludf.DUMMYFUNCTION("""COMPUTED_VALUE"""),94.84)</f>
        <v>94.84</v>
      </c>
      <c r="D27" s="1">
        <f ca="1">IFERROR(__xludf.DUMMYFUNCTION("""COMPUTED_VALUE"""),93.88)</f>
        <v>93.88</v>
      </c>
      <c r="E27" s="1">
        <f ca="1">IFERROR(__xludf.DUMMYFUNCTION("""COMPUTED_VALUE"""),94.39)</f>
        <v>94.39</v>
      </c>
      <c r="F27" s="1">
        <f ca="1">IFERROR(__xludf.DUMMYFUNCTION("""COMPUTED_VALUE"""),0)</f>
        <v>0</v>
      </c>
    </row>
    <row r="28" spans="1:6" ht="15.75" customHeight="1">
      <c r="A28" s="10">
        <f ca="1">IFERROR(__xludf.DUMMYFUNCTION("""COMPUTED_VALUE"""),43711.6666666666)</f>
        <v>43711.666666666599</v>
      </c>
      <c r="B28" s="1">
        <f ca="1">IFERROR(__xludf.DUMMYFUNCTION("""COMPUTED_VALUE"""),93.55)</f>
        <v>93.55</v>
      </c>
      <c r="C28" s="1">
        <f ca="1">IFERROR(__xludf.DUMMYFUNCTION("""COMPUTED_VALUE"""),93.55)</f>
        <v>93.55</v>
      </c>
      <c r="D28" s="1">
        <f ca="1">IFERROR(__xludf.DUMMYFUNCTION("""COMPUTED_VALUE"""),91.63)</f>
        <v>91.63</v>
      </c>
      <c r="E28" s="1">
        <f ca="1">IFERROR(__xludf.DUMMYFUNCTION("""COMPUTED_VALUE"""),92.13)</f>
        <v>92.13</v>
      </c>
      <c r="F28" s="1">
        <f ca="1">IFERROR(__xludf.DUMMYFUNCTION("""COMPUTED_VALUE"""),0)</f>
        <v>0</v>
      </c>
    </row>
    <row r="29" spans="1:6" ht="15.75" customHeight="1">
      <c r="A29" s="10">
        <f ca="1">IFERROR(__xludf.DUMMYFUNCTION("""COMPUTED_VALUE"""),43712.6666666666)</f>
        <v>43712.666666666599</v>
      </c>
      <c r="B29" s="1">
        <f ca="1">IFERROR(__xludf.DUMMYFUNCTION("""COMPUTED_VALUE"""),92.94)</f>
        <v>92.94</v>
      </c>
      <c r="C29" s="1">
        <f ca="1">IFERROR(__xludf.DUMMYFUNCTION("""COMPUTED_VALUE"""),93.02)</f>
        <v>93.02</v>
      </c>
      <c r="D29" s="1">
        <f ca="1">IFERROR(__xludf.DUMMYFUNCTION("""COMPUTED_VALUE"""),92.13)</f>
        <v>92.13</v>
      </c>
      <c r="E29" s="1">
        <f ca="1">IFERROR(__xludf.DUMMYFUNCTION("""COMPUTED_VALUE"""),92.69)</f>
        <v>92.69</v>
      </c>
      <c r="F29" s="1">
        <f ca="1">IFERROR(__xludf.DUMMYFUNCTION("""COMPUTED_VALUE"""),0)</f>
        <v>0</v>
      </c>
    </row>
    <row r="30" spans="1:6" ht="15.75" customHeight="1">
      <c r="A30" s="10">
        <f ca="1">IFERROR(__xludf.DUMMYFUNCTION("""COMPUTED_VALUE"""),43713.6666666666)</f>
        <v>43713.666666666599</v>
      </c>
      <c r="B30" s="1">
        <f ca="1">IFERROR(__xludf.DUMMYFUNCTION("""COMPUTED_VALUE"""),94.23)</f>
        <v>94.23</v>
      </c>
      <c r="C30" s="1">
        <f ca="1">IFERROR(__xludf.DUMMYFUNCTION("""COMPUTED_VALUE"""),96.14)</f>
        <v>96.14</v>
      </c>
      <c r="D30" s="1">
        <f ca="1">IFERROR(__xludf.DUMMYFUNCTION("""COMPUTED_VALUE"""),94.23)</f>
        <v>94.23</v>
      </c>
      <c r="E30" s="1">
        <f ca="1">IFERROR(__xludf.DUMMYFUNCTION("""COMPUTED_VALUE"""),95.03)</f>
        <v>95.03</v>
      </c>
      <c r="F30" s="1">
        <f ca="1">IFERROR(__xludf.DUMMYFUNCTION("""COMPUTED_VALUE"""),0)</f>
        <v>0</v>
      </c>
    </row>
    <row r="31" spans="1:6" ht="15.75" customHeight="1">
      <c r="A31" s="10">
        <f ca="1">IFERROR(__xludf.DUMMYFUNCTION("""COMPUTED_VALUE"""),43714.6666666666)</f>
        <v>43714.666666666599</v>
      </c>
      <c r="B31" s="1">
        <f ca="1">IFERROR(__xludf.DUMMYFUNCTION("""COMPUTED_VALUE"""),95.13)</f>
        <v>95.13</v>
      </c>
      <c r="C31" s="1">
        <f ca="1">IFERROR(__xludf.DUMMYFUNCTION("""COMPUTED_VALUE"""),95.32)</f>
        <v>95.32</v>
      </c>
      <c r="D31" s="1">
        <f ca="1">IFERROR(__xludf.DUMMYFUNCTION("""COMPUTED_VALUE"""),94.31)</f>
        <v>94.31</v>
      </c>
      <c r="E31" s="1">
        <f ca="1">IFERROR(__xludf.DUMMYFUNCTION("""COMPUTED_VALUE"""),94.54)</f>
        <v>94.54</v>
      </c>
      <c r="F31" s="1">
        <f ca="1">IFERROR(__xludf.DUMMYFUNCTION("""COMPUTED_VALUE"""),0)</f>
        <v>0</v>
      </c>
    </row>
    <row r="32" spans="1:6" ht="15.75" customHeight="1">
      <c r="A32" s="10">
        <f ca="1">IFERROR(__xludf.DUMMYFUNCTION("""COMPUTED_VALUE"""),43717.6666666666)</f>
        <v>43717.666666666599</v>
      </c>
      <c r="B32" s="1">
        <f ca="1">IFERROR(__xludf.DUMMYFUNCTION("""COMPUTED_VALUE"""),95.22)</f>
        <v>95.22</v>
      </c>
      <c r="C32" s="1">
        <f ca="1">IFERROR(__xludf.DUMMYFUNCTION("""COMPUTED_VALUE"""),97.77)</f>
        <v>97.77</v>
      </c>
      <c r="D32" s="1">
        <f ca="1">IFERROR(__xludf.DUMMYFUNCTION("""COMPUTED_VALUE"""),95.06)</f>
        <v>95.06</v>
      </c>
      <c r="E32" s="1">
        <f ca="1">IFERROR(__xludf.DUMMYFUNCTION("""COMPUTED_VALUE"""),97.45)</f>
        <v>97.45</v>
      </c>
      <c r="F32" s="1">
        <f ca="1">IFERROR(__xludf.DUMMYFUNCTION("""COMPUTED_VALUE"""),0)</f>
        <v>0</v>
      </c>
    </row>
    <row r="33" spans="1:6" ht="15.75" customHeight="1">
      <c r="A33" s="10">
        <f ca="1">IFERROR(__xludf.DUMMYFUNCTION("""COMPUTED_VALUE"""),43718.6666666666)</f>
        <v>43718.666666666599</v>
      </c>
      <c r="B33" s="1">
        <f ca="1">IFERROR(__xludf.DUMMYFUNCTION("""COMPUTED_VALUE"""),97.89)</f>
        <v>97.89</v>
      </c>
      <c r="C33" s="1">
        <f ca="1">IFERROR(__xludf.DUMMYFUNCTION("""COMPUTED_VALUE"""),99.37)</f>
        <v>99.37</v>
      </c>
      <c r="D33" s="1">
        <f ca="1">IFERROR(__xludf.DUMMYFUNCTION("""COMPUTED_VALUE"""),97.8)</f>
        <v>97.8</v>
      </c>
      <c r="E33" s="1">
        <f ca="1">IFERROR(__xludf.DUMMYFUNCTION("""COMPUTED_VALUE"""),99.34)</f>
        <v>99.34</v>
      </c>
      <c r="F33" s="1">
        <f ca="1">IFERROR(__xludf.DUMMYFUNCTION("""COMPUTED_VALUE"""),0)</f>
        <v>0</v>
      </c>
    </row>
    <row r="34" spans="1:6" ht="15.75" customHeight="1">
      <c r="A34" s="10">
        <f ca="1">IFERROR(__xludf.DUMMYFUNCTION("""COMPUTED_VALUE"""),43719.6666666666)</f>
        <v>43719.666666666599</v>
      </c>
      <c r="B34" s="1">
        <f ca="1">IFERROR(__xludf.DUMMYFUNCTION("""COMPUTED_VALUE"""),99.71)</f>
        <v>99.71</v>
      </c>
      <c r="C34" s="1">
        <f ca="1">IFERROR(__xludf.DUMMYFUNCTION("""COMPUTED_VALUE"""),100.85)</f>
        <v>100.85</v>
      </c>
      <c r="D34" s="1">
        <f ca="1">IFERROR(__xludf.DUMMYFUNCTION("""COMPUTED_VALUE"""),98.19)</f>
        <v>98.19</v>
      </c>
      <c r="E34" s="1">
        <f ca="1">IFERROR(__xludf.DUMMYFUNCTION("""COMPUTED_VALUE"""),100.8)</f>
        <v>100.8</v>
      </c>
      <c r="F34" s="1">
        <f ca="1">IFERROR(__xludf.DUMMYFUNCTION("""COMPUTED_VALUE"""),0)</f>
        <v>0</v>
      </c>
    </row>
    <row r="35" spans="1:6" ht="15.75" customHeight="1">
      <c r="A35" s="10">
        <f ca="1">IFERROR(__xludf.DUMMYFUNCTION("""COMPUTED_VALUE"""),43720.6666666666)</f>
        <v>43720.666666666599</v>
      </c>
      <c r="B35" s="1">
        <f ca="1">IFERROR(__xludf.DUMMYFUNCTION("""COMPUTED_VALUE"""),99.77)</f>
        <v>99.77</v>
      </c>
      <c r="C35" s="1">
        <f ca="1">IFERROR(__xludf.DUMMYFUNCTION("""COMPUTED_VALUE"""),101.19)</f>
        <v>101.19</v>
      </c>
      <c r="D35" s="1">
        <f ca="1">IFERROR(__xludf.DUMMYFUNCTION("""COMPUTED_VALUE"""),99.31)</f>
        <v>99.31</v>
      </c>
      <c r="E35" s="1">
        <f ca="1">IFERROR(__xludf.DUMMYFUNCTION("""COMPUTED_VALUE"""),100.79)</f>
        <v>100.79</v>
      </c>
      <c r="F35" s="1">
        <f ca="1">IFERROR(__xludf.DUMMYFUNCTION("""COMPUTED_VALUE"""),0)</f>
        <v>0</v>
      </c>
    </row>
    <row r="36" spans="1:6" ht="15.75" customHeight="1">
      <c r="A36" s="10">
        <f ca="1">IFERROR(__xludf.DUMMYFUNCTION("""COMPUTED_VALUE"""),43721.6666666666)</f>
        <v>43721.666666666599</v>
      </c>
      <c r="B36" s="1">
        <f ca="1">IFERROR(__xludf.DUMMYFUNCTION("""COMPUTED_VALUE"""),101.84)</f>
        <v>101.84</v>
      </c>
      <c r="C36" s="1">
        <f ca="1">IFERROR(__xludf.DUMMYFUNCTION("""COMPUTED_VALUE"""),102.44)</f>
        <v>102.44</v>
      </c>
      <c r="D36" s="1">
        <f ca="1">IFERROR(__xludf.DUMMYFUNCTION("""COMPUTED_VALUE"""),101.17)</f>
        <v>101.17</v>
      </c>
      <c r="E36" s="1">
        <f ca="1">IFERROR(__xludf.DUMMYFUNCTION("""COMPUTED_VALUE"""),101.7)</f>
        <v>101.7</v>
      </c>
      <c r="F36" s="1">
        <f ca="1">IFERROR(__xludf.DUMMYFUNCTION("""COMPUTED_VALUE"""),0)</f>
        <v>0</v>
      </c>
    </row>
    <row r="37" spans="1:6" ht="15.75" customHeight="1">
      <c r="A37" s="10">
        <f ca="1">IFERROR(__xludf.DUMMYFUNCTION("""COMPUTED_VALUE"""),43724.6666666666)</f>
        <v>43724.666666666599</v>
      </c>
      <c r="B37" s="1">
        <f ca="1">IFERROR(__xludf.DUMMYFUNCTION("""COMPUTED_VALUE"""),100.62)</f>
        <v>100.62</v>
      </c>
      <c r="C37" s="1">
        <f ca="1">IFERROR(__xludf.DUMMYFUNCTION("""COMPUTED_VALUE"""),102.11)</f>
        <v>102.11</v>
      </c>
      <c r="D37" s="1">
        <f ca="1">IFERROR(__xludf.DUMMYFUNCTION("""COMPUTED_VALUE"""),100.51)</f>
        <v>100.51</v>
      </c>
      <c r="E37" s="1">
        <f ca="1">IFERROR(__xludf.DUMMYFUNCTION("""COMPUTED_VALUE"""),101.56)</f>
        <v>101.56</v>
      </c>
      <c r="F37" s="1">
        <f ca="1">IFERROR(__xludf.DUMMYFUNCTION("""COMPUTED_VALUE"""),0)</f>
        <v>0</v>
      </c>
    </row>
    <row r="38" spans="1:6" ht="15.75" customHeight="1">
      <c r="A38" s="10">
        <f ca="1">IFERROR(__xludf.DUMMYFUNCTION("""COMPUTED_VALUE"""),43725.6666666666)</f>
        <v>43725.666666666599</v>
      </c>
      <c r="B38" s="1">
        <f ca="1">IFERROR(__xludf.DUMMYFUNCTION("""COMPUTED_VALUE"""),100.96)</f>
        <v>100.96</v>
      </c>
      <c r="C38" s="1">
        <f ca="1">IFERROR(__xludf.DUMMYFUNCTION("""COMPUTED_VALUE"""),100.96)</f>
        <v>100.96</v>
      </c>
      <c r="D38" s="1">
        <f ca="1">IFERROR(__xludf.DUMMYFUNCTION("""COMPUTED_VALUE"""),99.65)</f>
        <v>99.65</v>
      </c>
      <c r="E38" s="1">
        <f ca="1">IFERROR(__xludf.DUMMYFUNCTION("""COMPUTED_VALUE"""),100.27)</f>
        <v>100.27</v>
      </c>
      <c r="F38" s="1">
        <f ca="1">IFERROR(__xludf.DUMMYFUNCTION("""COMPUTED_VALUE"""),0)</f>
        <v>0</v>
      </c>
    </row>
    <row r="39" spans="1:6" ht="15.75" customHeight="1">
      <c r="A39" s="10">
        <f ca="1">IFERROR(__xludf.DUMMYFUNCTION("""COMPUTED_VALUE"""),43726.6666666666)</f>
        <v>43726.666666666599</v>
      </c>
      <c r="B39" s="1">
        <f ca="1">IFERROR(__xludf.DUMMYFUNCTION("""COMPUTED_VALUE"""),99.81)</f>
        <v>99.81</v>
      </c>
      <c r="C39" s="1">
        <f ca="1">IFERROR(__xludf.DUMMYFUNCTION("""COMPUTED_VALUE"""),101.18)</f>
        <v>101.18</v>
      </c>
      <c r="D39" s="1">
        <f ca="1">IFERROR(__xludf.DUMMYFUNCTION("""COMPUTED_VALUE"""),99.59)</f>
        <v>99.59</v>
      </c>
      <c r="E39" s="1">
        <f ca="1">IFERROR(__xludf.DUMMYFUNCTION("""COMPUTED_VALUE"""),100.86)</f>
        <v>100.86</v>
      </c>
      <c r="F39" s="1">
        <f ca="1">IFERROR(__xludf.DUMMYFUNCTION("""COMPUTED_VALUE"""),0)</f>
        <v>0</v>
      </c>
    </row>
    <row r="40" spans="1:6" ht="15.75" customHeight="1">
      <c r="A40" s="10">
        <f ca="1">IFERROR(__xludf.DUMMYFUNCTION("""COMPUTED_VALUE"""),43727.6666666666)</f>
        <v>43727.666666666599</v>
      </c>
      <c r="B40" s="1">
        <f ca="1">IFERROR(__xludf.DUMMYFUNCTION("""COMPUTED_VALUE"""),100.77)</f>
        <v>100.77</v>
      </c>
      <c r="C40" s="1">
        <f ca="1">IFERROR(__xludf.DUMMYFUNCTION("""COMPUTED_VALUE"""),101.79)</f>
        <v>101.79</v>
      </c>
      <c r="D40" s="1">
        <f ca="1">IFERROR(__xludf.DUMMYFUNCTION("""COMPUTED_VALUE"""),100.05)</f>
        <v>100.05</v>
      </c>
      <c r="E40" s="1">
        <f ca="1">IFERROR(__xludf.DUMMYFUNCTION("""COMPUTED_VALUE"""),100.14)</f>
        <v>100.14</v>
      </c>
      <c r="F40" s="1">
        <f ca="1">IFERROR(__xludf.DUMMYFUNCTION("""COMPUTED_VALUE"""),0)</f>
        <v>0</v>
      </c>
    </row>
    <row r="41" spans="1:6" ht="15.75" customHeight="1">
      <c r="A41" s="10">
        <f ca="1">IFERROR(__xludf.DUMMYFUNCTION("""COMPUTED_VALUE"""),43728.6666666666)</f>
        <v>43728.666666666599</v>
      </c>
      <c r="B41" s="1">
        <f ca="1">IFERROR(__xludf.DUMMYFUNCTION("""COMPUTED_VALUE"""),100.24)</f>
        <v>100.24</v>
      </c>
      <c r="C41" s="1">
        <f ca="1">IFERROR(__xludf.DUMMYFUNCTION("""COMPUTED_VALUE"""),101.07)</f>
        <v>101.07</v>
      </c>
      <c r="D41" s="1">
        <f ca="1">IFERROR(__xludf.DUMMYFUNCTION("""COMPUTED_VALUE"""),99.47)</f>
        <v>99.47</v>
      </c>
      <c r="E41" s="1">
        <f ca="1">IFERROR(__xludf.DUMMYFUNCTION("""COMPUTED_VALUE"""),99.81)</f>
        <v>99.81</v>
      </c>
      <c r="F41" s="1">
        <f ca="1">IFERROR(__xludf.DUMMYFUNCTION("""COMPUTED_VALUE"""),0)</f>
        <v>0</v>
      </c>
    </row>
    <row r="42" spans="1:6" ht="15.75" customHeight="1">
      <c r="A42" s="10">
        <f ca="1">IFERROR(__xludf.DUMMYFUNCTION("""COMPUTED_VALUE"""),43731.6666666666)</f>
        <v>43731.666666666599</v>
      </c>
      <c r="B42" s="1">
        <f ca="1">IFERROR(__xludf.DUMMYFUNCTION("""COMPUTED_VALUE"""),99.19)</f>
        <v>99.19</v>
      </c>
      <c r="C42" s="1">
        <f ca="1">IFERROR(__xludf.DUMMYFUNCTION("""COMPUTED_VALUE"""),100.47)</f>
        <v>100.47</v>
      </c>
      <c r="D42" s="1">
        <f ca="1">IFERROR(__xludf.DUMMYFUNCTION("""COMPUTED_VALUE"""),98.86)</f>
        <v>98.86</v>
      </c>
      <c r="E42" s="1">
        <f ca="1">IFERROR(__xludf.DUMMYFUNCTION("""COMPUTED_VALUE"""),100.01)</f>
        <v>100.01</v>
      </c>
      <c r="F42" s="1">
        <f ca="1">IFERROR(__xludf.DUMMYFUNCTION("""COMPUTED_VALUE"""),0)</f>
        <v>0</v>
      </c>
    </row>
    <row r="43" spans="1:6" ht="15.75" customHeight="1">
      <c r="A43" s="10">
        <f ca="1">IFERROR(__xludf.DUMMYFUNCTION("""COMPUTED_VALUE"""),43732.6666666666)</f>
        <v>43732.666666666599</v>
      </c>
      <c r="B43" s="1">
        <f ca="1">IFERROR(__xludf.DUMMYFUNCTION("""COMPUTED_VALUE"""),100.04)</f>
        <v>100.04</v>
      </c>
      <c r="C43" s="1">
        <f ca="1">IFERROR(__xludf.DUMMYFUNCTION("""COMPUTED_VALUE"""),100.32)</f>
        <v>100.32</v>
      </c>
      <c r="D43" s="1">
        <f ca="1">IFERROR(__xludf.DUMMYFUNCTION("""COMPUTED_VALUE"""),97.94)</f>
        <v>97.94</v>
      </c>
      <c r="E43" s="1">
        <f ca="1">IFERROR(__xludf.DUMMYFUNCTION("""COMPUTED_VALUE"""),98.44)</f>
        <v>98.44</v>
      </c>
      <c r="F43" s="1">
        <f ca="1">IFERROR(__xludf.DUMMYFUNCTION("""COMPUTED_VALUE"""),0)</f>
        <v>0</v>
      </c>
    </row>
    <row r="44" spans="1:6" ht="15.75" customHeight="1">
      <c r="A44" s="10">
        <f ca="1">IFERROR(__xludf.DUMMYFUNCTION("""COMPUTED_VALUE"""),43733.6666666666)</f>
        <v>43733.666666666599</v>
      </c>
      <c r="B44" s="1">
        <f ca="1">IFERROR(__xludf.DUMMYFUNCTION("""COMPUTED_VALUE"""),98.57)</f>
        <v>98.57</v>
      </c>
      <c r="C44" s="1">
        <f ca="1">IFERROR(__xludf.DUMMYFUNCTION("""COMPUTED_VALUE"""),100.68)</f>
        <v>100.68</v>
      </c>
      <c r="D44" s="1">
        <f ca="1">IFERROR(__xludf.DUMMYFUNCTION("""COMPUTED_VALUE"""),98.57)</f>
        <v>98.57</v>
      </c>
      <c r="E44" s="1">
        <f ca="1">IFERROR(__xludf.DUMMYFUNCTION("""COMPUTED_VALUE"""),100.51)</f>
        <v>100.51</v>
      </c>
      <c r="F44" s="1">
        <f ca="1">IFERROR(__xludf.DUMMYFUNCTION("""COMPUTED_VALUE"""),0)</f>
        <v>0</v>
      </c>
    </row>
    <row r="45" spans="1:6" ht="15.75" customHeight="1">
      <c r="A45" s="10">
        <f ca="1">IFERROR(__xludf.DUMMYFUNCTION("""COMPUTED_VALUE"""),43734.6666666666)</f>
        <v>43734.666666666599</v>
      </c>
      <c r="B45" s="1">
        <f ca="1">IFERROR(__xludf.DUMMYFUNCTION("""COMPUTED_VALUE"""),100.15)</f>
        <v>100.15</v>
      </c>
      <c r="C45" s="1">
        <f ca="1">IFERROR(__xludf.DUMMYFUNCTION("""COMPUTED_VALUE"""),100.16)</f>
        <v>100.16</v>
      </c>
      <c r="D45" s="1">
        <f ca="1">IFERROR(__xludf.DUMMYFUNCTION("""COMPUTED_VALUE"""),99.02)</f>
        <v>99.02</v>
      </c>
      <c r="E45" s="1">
        <f ca="1">IFERROR(__xludf.DUMMYFUNCTION("""COMPUTED_VALUE"""),99.06)</f>
        <v>99.06</v>
      </c>
      <c r="F45" s="1">
        <f ca="1">IFERROR(__xludf.DUMMYFUNCTION("""COMPUTED_VALUE"""),0)</f>
        <v>0</v>
      </c>
    </row>
    <row r="46" spans="1:6" ht="15.75" customHeight="1">
      <c r="A46" s="10">
        <f ca="1">IFERROR(__xludf.DUMMYFUNCTION("""COMPUTED_VALUE"""),43735.6666666666)</f>
        <v>43735.666666666599</v>
      </c>
      <c r="B46" s="1">
        <f ca="1">IFERROR(__xludf.DUMMYFUNCTION("""COMPUTED_VALUE"""),99.88)</f>
        <v>99.88</v>
      </c>
      <c r="C46" s="1">
        <f ca="1">IFERROR(__xludf.DUMMYFUNCTION("""COMPUTED_VALUE"""),101.14)</f>
        <v>101.14</v>
      </c>
      <c r="D46" s="1">
        <f ca="1">IFERROR(__xludf.DUMMYFUNCTION("""COMPUTED_VALUE"""),98.88)</f>
        <v>98.88</v>
      </c>
      <c r="E46" s="1">
        <f ca="1">IFERROR(__xludf.DUMMYFUNCTION("""COMPUTED_VALUE"""),99.29)</f>
        <v>99.29</v>
      </c>
      <c r="F46" s="1">
        <f ca="1">IFERROR(__xludf.DUMMYFUNCTION("""COMPUTED_VALUE"""),0)</f>
        <v>0</v>
      </c>
    </row>
    <row r="47" spans="1:6" ht="15.75" customHeight="1">
      <c r="A47" s="10">
        <f ca="1">IFERROR(__xludf.DUMMYFUNCTION("""COMPUTED_VALUE"""),43738.6666666666)</f>
        <v>43738.666666666599</v>
      </c>
      <c r="B47" s="1">
        <f ca="1">IFERROR(__xludf.DUMMYFUNCTION("""COMPUTED_VALUE"""),99.66)</f>
        <v>99.66</v>
      </c>
      <c r="C47" s="1">
        <f ca="1">IFERROR(__xludf.DUMMYFUNCTION("""COMPUTED_VALUE"""),99.66)</f>
        <v>99.66</v>
      </c>
      <c r="D47" s="1">
        <f ca="1">IFERROR(__xludf.DUMMYFUNCTION("""COMPUTED_VALUE"""),98.71)</f>
        <v>98.71</v>
      </c>
      <c r="E47" s="1">
        <f ca="1">IFERROR(__xludf.DUMMYFUNCTION("""COMPUTED_VALUE"""),98.81)</f>
        <v>98.81</v>
      </c>
      <c r="F47" s="1">
        <f ca="1">IFERROR(__xludf.DUMMYFUNCTION("""COMPUTED_VALUE"""),0)</f>
        <v>0</v>
      </c>
    </row>
    <row r="48" spans="1:6" ht="15.75" customHeight="1">
      <c r="A48" s="10">
        <f ca="1">IFERROR(__xludf.DUMMYFUNCTION("""COMPUTED_VALUE"""),43739.6666666666)</f>
        <v>43739.666666666599</v>
      </c>
      <c r="B48" s="1">
        <f ca="1">IFERROR(__xludf.DUMMYFUNCTION("""COMPUTED_VALUE"""),99.53)</f>
        <v>99.53</v>
      </c>
      <c r="C48" s="1">
        <f ca="1">IFERROR(__xludf.DUMMYFUNCTION("""COMPUTED_VALUE"""),100.05)</f>
        <v>100.05</v>
      </c>
      <c r="D48" s="1">
        <f ca="1">IFERROR(__xludf.DUMMYFUNCTION("""COMPUTED_VALUE"""),96.06)</f>
        <v>96.06</v>
      </c>
      <c r="E48" s="1">
        <f ca="1">IFERROR(__xludf.DUMMYFUNCTION("""COMPUTED_VALUE"""),96.45)</f>
        <v>96.45</v>
      </c>
      <c r="F48" s="1">
        <f ca="1">IFERROR(__xludf.DUMMYFUNCTION("""COMPUTED_VALUE"""),0)</f>
        <v>0</v>
      </c>
    </row>
    <row r="49" spans="1:6" ht="15.75" customHeight="1">
      <c r="A49" s="10">
        <f ca="1">IFERROR(__xludf.DUMMYFUNCTION("""COMPUTED_VALUE"""),43740.6666666666)</f>
        <v>43740.666666666599</v>
      </c>
      <c r="B49" s="1">
        <f ca="1">IFERROR(__xludf.DUMMYFUNCTION("""COMPUTED_VALUE"""),95.72)</f>
        <v>95.72</v>
      </c>
      <c r="C49" s="1">
        <f ca="1">IFERROR(__xludf.DUMMYFUNCTION("""COMPUTED_VALUE"""),96.25)</f>
        <v>96.25</v>
      </c>
      <c r="D49" s="1">
        <f ca="1">IFERROR(__xludf.DUMMYFUNCTION("""COMPUTED_VALUE"""),94.88)</f>
        <v>94.88</v>
      </c>
      <c r="E49" s="1">
        <f ca="1">IFERROR(__xludf.DUMMYFUNCTION("""COMPUTED_VALUE"""),95.74)</f>
        <v>95.74</v>
      </c>
      <c r="F49" s="1">
        <f ca="1">IFERROR(__xludf.DUMMYFUNCTION("""COMPUTED_VALUE"""),0)</f>
        <v>0</v>
      </c>
    </row>
    <row r="50" spans="1:6" ht="15.75" customHeight="1">
      <c r="A50" s="10">
        <f ca="1">IFERROR(__xludf.DUMMYFUNCTION("""COMPUTED_VALUE"""),43741.6666666666)</f>
        <v>43741.666666666599</v>
      </c>
      <c r="B50" s="1">
        <f ca="1">IFERROR(__xludf.DUMMYFUNCTION("""COMPUTED_VALUE"""),95.3)</f>
        <v>95.3</v>
      </c>
      <c r="C50" s="1">
        <f ca="1">IFERROR(__xludf.DUMMYFUNCTION("""COMPUTED_VALUE"""),95.74)</f>
        <v>95.74</v>
      </c>
      <c r="D50" s="1">
        <f ca="1">IFERROR(__xludf.DUMMYFUNCTION("""COMPUTED_VALUE"""),94)</f>
        <v>94</v>
      </c>
      <c r="E50" s="1">
        <f ca="1">IFERROR(__xludf.DUMMYFUNCTION("""COMPUTED_VALUE"""),95.72)</f>
        <v>95.72</v>
      </c>
      <c r="F50" s="1">
        <f ca="1">IFERROR(__xludf.DUMMYFUNCTION("""COMPUTED_VALUE"""),0)</f>
        <v>0</v>
      </c>
    </row>
    <row r="51" spans="1:6" ht="15.75" customHeight="1">
      <c r="A51" s="10">
        <f ca="1">IFERROR(__xludf.DUMMYFUNCTION("""COMPUTED_VALUE"""),43742.6666666666)</f>
        <v>43742.666666666599</v>
      </c>
      <c r="B51" s="1">
        <f ca="1">IFERROR(__xludf.DUMMYFUNCTION("""COMPUTED_VALUE"""),95.88)</f>
        <v>95.88</v>
      </c>
      <c r="C51" s="1">
        <f ca="1">IFERROR(__xludf.DUMMYFUNCTION("""COMPUTED_VALUE"""),96.84)</f>
        <v>96.84</v>
      </c>
      <c r="D51" s="1">
        <f ca="1">IFERROR(__xludf.DUMMYFUNCTION("""COMPUTED_VALUE"""),95.01)</f>
        <v>95.01</v>
      </c>
      <c r="E51" s="1">
        <f ca="1">IFERROR(__xludf.DUMMYFUNCTION("""COMPUTED_VALUE"""),96.81)</f>
        <v>96.81</v>
      </c>
      <c r="F51" s="1">
        <f ca="1">IFERROR(__xludf.DUMMYFUNCTION("""COMPUTED_VALUE"""),0)</f>
        <v>0</v>
      </c>
    </row>
    <row r="52" spans="1:6" ht="15.75" customHeight="1">
      <c r="A52" s="10">
        <f ca="1">IFERROR(__xludf.DUMMYFUNCTION("""COMPUTED_VALUE"""),43745.6666666666)</f>
        <v>43745.666666666599</v>
      </c>
      <c r="B52" s="1">
        <f ca="1">IFERROR(__xludf.DUMMYFUNCTION("""COMPUTED_VALUE"""),96.54)</f>
        <v>96.54</v>
      </c>
      <c r="C52" s="1">
        <f ca="1">IFERROR(__xludf.DUMMYFUNCTION("""COMPUTED_VALUE"""),97.25)</f>
        <v>97.25</v>
      </c>
      <c r="D52" s="1">
        <f ca="1">IFERROR(__xludf.DUMMYFUNCTION("""COMPUTED_VALUE"""),96.28)</f>
        <v>96.28</v>
      </c>
      <c r="E52" s="1">
        <f ca="1">IFERROR(__xludf.DUMMYFUNCTION("""COMPUTED_VALUE"""),96.48)</f>
        <v>96.48</v>
      </c>
      <c r="F52" s="1">
        <f ca="1">IFERROR(__xludf.DUMMYFUNCTION("""COMPUTED_VALUE"""),0)</f>
        <v>0</v>
      </c>
    </row>
    <row r="53" spans="1:6" ht="15.75" customHeight="1">
      <c r="A53" s="10">
        <f ca="1">IFERROR(__xludf.DUMMYFUNCTION("""COMPUTED_VALUE"""),43746.6666666666)</f>
        <v>43746.666666666599</v>
      </c>
      <c r="B53" s="1">
        <f ca="1">IFERROR(__xludf.DUMMYFUNCTION("""COMPUTED_VALUE"""),95.25)</f>
        <v>95.25</v>
      </c>
      <c r="C53" s="1">
        <f ca="1">IFERROR(__xludf.DUMMYFUNCTION("""COMPUTED_VALUE"""),95.28)</f>
        <v>95.28</v>
      </c>
      <c r="D53" s="1">
        <f ca="1">IFERROR(__xludf.DUMMYFUNCTION("""COMPUTED_VALUE"""),94.03)</f>
        <v>94.03</v>
      </c>
      <c r="E53" s="1">
        <f ca="1">IFERROR(__xludf.DUMMYFUNCTION("""COMPUTED_VALUE"""),94.1)</f>
        <v>94.1</v>
      </c>
      <c r="F53" s="1">
        <f ca="1">IFERROR(__xludf.DUMMYFUNCTION("""COMPUTED_VALUE"""),0)</f>
        <v>0</v>
      </c>
    </row>
    <row r="54" spans="1:6" ht="15.75" customHeight="1">
      <c r="A54" s="10">
        <f ca="1">IFERROR(__xludf.DUMMYFUNCTION("""COMPUTED_VALUE"""),43747.6666666666)</f>
        <v>43747.666666666599</v>
      </c>
      <c r="B54" s="1">
        <f ca="1">IFERROR(__xludf.DUMMYFUNCTION("""COMPUTED_VALUE"""),94.97)</f>
        <v>94.97</v>
      </c>
      <c r="C54" s="1">
        <f ca="1">IFERROR(__xludf.DUMMYFUNCTION("""COMPUTED_VALUE"""),95.27)</f>
        <v>95.27</v>
      </c>
      <c r="D54" s="1">
        <f ca="1">IFERROR(__xludf.DUMMYFUNCTION("""COMPUTED_VALUE"""),94.09)</f>
        <v>94.09</v>
      </c>
      <c r="E54" s="1">
        <f ca="1">IFERROR(__xludf.DUMMYFUNCTION("""COMPUTED_VALUE"""),94.83)</f>
        <v>94.83</v>
      </c>
      <c r="F54" s="1">
        <f ca="1">IFERROR(__xludf.DUMMYFUNCTION("""COMPUTED_VALUE"""),0)</f>
        <v>0</v>
      </c>
    </row>
    <row r="55" spans="1:6" ht="15.75" customHeight="1">
      <c r="A55" s="10">
        <f ca="1">IFERROR(__xludf.DUMMYFUNCTION("""COMPUTED_VALUE"""),43748.6666666666)</f>
        <v>43748.666666666599</v>
      </c>
      <c r="B55" s="1">
        <f ca="1">IFERROR(__xludf.DUMMYFUNCTION("""COMPUTED_VALUE"""),95.29)</f>
        <v>95.29</v>
      </c>
      <c r="C55" s="1">
        <f ca="1">IFERROR(__xludf.DUMMYFUNCTION("""COMPUTED_VALUE"""),96.48)</f>
        <v>96.48</v>
      </c>
      <c r="D55" s="1">
        <f ca="1">IFERROR(__xludf.DUMMYFUNCTION("""COMPUTED_VALUE"""),95.25)</f>
        <v>95.25</v>
      </c>
      <c r="E55" s="1">
        <f ca="1">IFERROR(__xludf.DUMMYFUNCTION("""COMPUTED_VALUE"""),95.78)</f>
        <v>95.78</v>
      </c>
      <c r="F55" s="1">
        <f ca="1">IFERROR(__xludf.DUMMYFUNCTION("""COMPUTED_VALUE"""),0)</f>
        <v>0</v>
      </c>
    </row>
    <row r="56" spans="1:6" ht="15.75" customHeight="1">
      <c r="A56" s="10">
        <f ca="1">IFERROR(__xludf.DUMMYFUNCTION("""COMPUTED_VALUE"""),43749.6666666666)</f>
        <v>43749.666666666599</v>
      </c>
      <c r="B56" s="1">
        <f ca="1">IFERROR(__xludf.DUMMYFUNCTION("""COMPUTED_VALUE"""),97.48)</f>
        <v>97.48</v>
      </c>
      <c r="C56" s="1">
        <f ca="1">IFERROR(__xludf.DUMMYFUNCTION("""COMPUTED_VALUE"""),98.8)</f>
        <v>98.8</v>
      </c>
      <c r="D56" s="1">
        <f ca="1">IFERROR(__xludf.DUMMYFUNCTION("""COMPUTED_VALUE"""),97.48)</f>
        <v>97.48</v>
      </c>
      <c r="E56" s="1">
        <f ca="1">IFERROR(__xludf.DUMMYFUNCTION("""COMPUTED_VALUE"""),97.52)</f>
        <v>97.52</v>
      </c>
      <c r="F56" s="1">
        <f ca="1">IFERROR(__xludf.DUMMYFUNCTION("""COMPUTED_VALUE"""),0)</f>
        <v>0</v>
      </c>
    </row>
    <row r="57" spans="1:6" ht="15.75" customHeight="1">
      <c r="A57" s="10">
        <f ca="1">IFERROR(__xludf.DUMMYFUNCTION("""COMPUTED_VALUE"""),43752.6666666666)</f>
        <v>43752.666666666599</v>
      </c>
      <c r="B57" s="1">
        <f ca="1">IFERROR(__xludf.DUMMYFUNCTION("""COMPUTED_VALUE"""),96.83)</f>
        <v>96.83</v>
      </c>
      <c r="C57" s="1">
        <f ca="1">IFERROR(__xludf.DUMMYFUNCTION("""COMPUTED_VALUE"""),97.56)</f>
        <v>97.56</v>
      </c>
      <c r="D57" s="1">
        <f ca="1">IFERROR(__xludf.DUMMYFUNCTION("""COMPUTED_VALUE"""),96.65)</f>
        <v>96.65</v>
      </c>
      <c r="E57" s="1">
        <f ca="1">IFERROR(__xludf.DUMMYFUNCTION("""COMPUTED_VALUE"""),97.37)</f>
        <v>97.37</v>
      </c>
      <c r="F57" s="1">
        <f ca="1">IFERROR(__xludf.DUMMYFUNCTION("""COMPUTED_VALUE"""),0)</f>
        <v>0</v>
      </c>
    </row>
    <row r="58" spans="1:6" ht="15.75" customHeight="1">
      <c r="A58" s="10">
        <f ca="1">IFERROR(__xludf.DUMMYFUNCTION("""COMPUTED_VALUE"""),43753.6666666666)</f>
        <v>43753.666666666599</v>
      </c>
      <c r="B58" s="1">
        <f ca="1">IFERROR(__xludf.DUMMYFUNCTION("""COMPUTED_VALUE"""),97.66)</f>
        <v>97.66</v>
      </c>
      <c r="C58" s="1">
        <f ca="1">IFERROR(__xludf.DUMMYFUNCTION("""COMPUTED_VALUE"""),99.22)</f>
        <v>99.22</v>
      </c>
      <c r="D58" s="1">
        <f ca="1">IFERROR(__xludf.DUMMYFUNCTION("""COMPUTED_VALUE"""),97.39)</f>
        <v>97.39</v>
      </c>
      <c r="E58" s="1">
        <f ca="1">IFERROR(__xludf.DUMMYFUNCTION("""COMPUTED_VALUE"""),98.77)</f>
        <v>98.77</v>
      </c>
      <c r="F58" s="1">
        <f ca="1">IFERROR(__xludf.DUMMYFUNCTION("""COMPUTED_VALUE"""),0)</f>
        <v>0</v>
      </c>
    </row>
    <row r="59" spans="1:6" ht="15.75" customHeight="1">
      <c r="A59" s="10">
        <f ca="1">IFERROR(__xludf.DUMMYFUNCTION("""COMPUTED_VALUE"""),43754.6666666666)</f>
        <v>43754.666666666599</v>
      </c>
      <c r="B59" s="1">
        <f ca="1">IFERROR(__xludf.DUMMYFUNCTION("""COMPUTED_VALUE"""),98.77)</f>
        <v>98.77</v>
      </c>
      <c r="C59" s="1">
        <f ca="1">IFERROR(__xludf.DUMMYFUNCTION("""COMPUTED_VALUE"""),99.62)</f>
        <v>99.62</v>
      </c>
      <c r="D59" s="1">
        <f ca="1">IFERROR(__xludf.DUMMYFUNCTION("""COMPUTED_VALUE"""),97.99)</f>
        <v>97.99</v>
      </c>
      <c r="E59" s="1">
        <f ca="1">IFERROR(__xludf.DUMMYFUNCTION("""COMPUTED_VALUE"""),98.57)</f>
        <v>98.57</v>
      </c>
      <c r="F59" s="1">
        <f ca="1">IFERROR(__xludf.DUMMYFUNCTION("""COMPUTED_VALUE"""),0)</f>
        <v>0</v>
      </c>
    </row>
    <row r="60" spans="1:6" ht="15.75" customHeight="1">
      <c r="A60" s="10">
        <f ca="1">IFERROR(__xludf.DUMMYFUNCTION("""COMPUTED_VALUE"""),43755.6666666666)</f>
        <v>43755.666666666599</v>
      </c>
      <c r="B60" s="1">
        <f ca="1">IFERROR(__xludf.DUMMYFUNCTION("""COMPUTED_VALUE"""),99.05)</f>
        <v>99.05</v>
      </c>
      <c r="C60" s="1">
        <f ca="1">IFERROR(__xludf.DUMMYFUNCTION("""COMPUTED_VALUE"""),99.05)</f>
        <v>99.05</v>
      </c>
      <c r="D60" s="1">
        <f ca="1">IFERROR(__xludf.DUMMYFUNCTION("""COMPUTED_VALUE"""),98)</f>
        <v>98</v>
      </c>
      <c r="E60" s="1">
        <f ca="1">IFERROR(__xludf.DUMMYFUNCTION("""COMPUTED_VALUE"""),98.94)</f>
        <v>98.94</v>
      </c>
      <c r="F60" s="1">
        <f ca="1">IFERROR(__xludf.DUMMYFUNCTION("""COMPUTED_VALUE"""),0)</f>
        <v>0</v>
      </c>
    </row>
    <row r="61" spans="1:6" ht="15.75" customHeight="1">
      <c r="A61" s="10">
        <f ca="1">IFERROR(__xludf.DUMMYFUNCTION("""COMPUTED_VALUE"""),43756.6666666666)</f>
        <v>43756.666666666599</v>
      </c>
      <c r="B61" s="1">
        <f ca="1">IFERROR(__xludf.DUMMYFUNCTION("""COMPUTED_VALUE"""),98.59)</f>
        <v>98.59</v>
      </c>
      <c r="C61" s="1">
        <f ca="1">IFERROR(__xludf.DUMMYFUNCTION("""COMPUTED_VALUE"""),99.79)</f>
        <v>99.79</v>
      </c>
      <c r="D61" s="1">
        <f ca="1">IFERROR(__xludf.DUMMYFUNCTION("""COMPUTED_VALUE"""),98.43)</f>
        <v>98.43</v>
      </c>
      <c r="E61" s="1">
        <f ca="1">IFERROR(__xludf.DUMMYFUNCTION("""COMPUTED_VALUE"""),99.63)</f>
        <v>99.63</v>
      </c>
      <c r="F61" s="1">
        <f ca="1">IFERROR(__xludf.DUMMYFUNCTION("""COMPUTED_VALUE"""),0)</f>
        <v>0</v>
      </c>
    </row>
    <row r="62" spans="1:6" ht="15.75" customHeight="1">
      <c r="A62" s="10">
        <f ca="1">IFERROR(__xludf.DUMMYFUNCTION("""COMPUTED_VALUE"""),43759.6666666666)</f>
        <v>43759.666666666599</v>
      </c>
      <c r="B62" s="1">
        <f ca="1">IFERROR(__xludf.DUMMYFUNCTION("""COMPUTED_VALUE"""),100.69)</f>
        <v>100.69</v>
      </c>
      <c r="C62" s="1">
        <f ca="1">IFERROR(__xludf.DUMMYFUNCTION("""COMPUTED_VALUE"""),101.51)</f>
        <v>101.51</v>
      </c>
      <c r="D62" s="1">
        <f ca="1">IFERROR(__xludf.DUMMYFUNCTION("""COMPUTED_VALUE"""),100.56)</f>
        <v>100.56</v>
      </c>
      <c r="E62" s="1">
        <f ca="1">IFERROR(__xludf.DUMMYFUNCTION("""COMPUTED_VALUE"""),100.9)</f>
        <v>100.9</v>
      </c>
      <c r="F62" s="1">
        <f ca="1">IFERROR(__xludf.DUMMYFUNCTION("""COMPUTED_VALUE"""),0)</f>
        <v>0</v>
      </c>
    </row>
    <row r="63" spans="1:6" ht="15.75" customHeight="1">
      <c r="A63" s="10">
        <f ca="1">IFERROR(__xludf.DUMMYFUNCTION("""COMPUTED_VALUE"""),43760.6666666666)</f>
        <v>43760.666666666599</v>
      </c>
      <c r="B63" s="1">
        <f ca="1">IFERROR(__xludf.DUMMYFUNCTION("""COMPUTED_VALUE"""),100.76)</f>
        <v>100.76</v>
      </c>
      <c r="C63" s="1">
        <f ca="1">IFERROR(__xludf.DUMMYFUNCTION("""COMPUTED_VALUE"""),102.23)</f>
        <v>102.23</v>
      </c>
      <c r="D63" s="1">
        <f ca="1">IFERROR(__xludf.DUMMYFUNCTION("""COMPUTED_VALUE"""),99.9)</f>
        <v>99.9</v>
      </c>
      <c r="E63" s="1">
        <f ca="1">IFERROR(__xludf.DUMMYFUNCTION("""COMPUTED_VALUE"""),101.15)</f>
        <v>101.15</v>
      </c>
      <c r="F63" s="1">
        <f ca="1">IFERROR(__xludf.DUMMYFUNCTION("""COMPUTED_VALUE"""),0)</f>
        <v>0</v>
      </c>
    </row>
    <row r="64" spans="1:6" ht="15.75" customHeight="1">
      <c r="A64" s="10">
        <f ca="1">IFERROR(__xludf.DUMMYFUNCTION("""COMPUTED_VALUE"""),43761.6666666666)</f>
        <v>43761.666666666599</v>
      </c>
      <c r="B64" s="1">
        <f ca="1">IFERROR(__xludf.DUMMYFUNCTION("""COMPUTED_VALUE"""),101.13)</f>
        <v>101.13</v>
      </c>
      <c r="C64" s="1">
        <f ca="1">IFERROR(__xludf.DUMMYFUNCTION("""COMPUTED_VALUE"""),101.32)</f>
        <v>101.32</v>
      </c>
      <c r="D64" s="1">
        <f ca="1">IFERROR(__xludf.DUMMYFUNCTION("""COMPUTED_VALUE"""),100.48)</f>
        <v>100.48</v>
      </c>
      <c r="E64" s="1">
        <f ca="1">IFERROR(__xludf.DUMMYFUNCTION("""COMPUTED_VALUE"""),101.2)</f>
        <v>101.2</v>
      </c>
      <c r="F64" s="1">
        <f ca="1">IFERROR(__xludf.DUMMYFUNCTION("""COMPUTED_VALUE"""),0)</f>
        <v>0</v>
      </c>
    </row>
    <row r="65" spans="1:6" ht="15.75" customHeight="1">
      <c r="A65" s="10">
        <f ca="1">IFERROR(__xludf.DUMMYFUNCTION("""COMPUTED_VALUE"""),43762.6666666666)</f>
        <v>43762.666666666599</v>
      </c>
      <c r="B65" s="1">
        <f ca="1">IFERROR(__xludf.DUMMYFUNCTION("""COMPUTED_VALUE"""),101.35)</f>
        <v>101.35</v>
      </c>
      <c r="C65" s="1">
        <f ca="1">IFERROR(__xludf.DUMMYFUNCTION("""COMPUTED_VALUE"""),101.36)</f>
        <v>101.36</v>
      </c>
      <c r="D65" s="1">
        <f ca="1">IFERROR(__xludf.DUMMYFUNCTION("""COMPUTED_VALUE"""),99.89)</f>
        <v>99.89</v>
      </c>
      <c r="E65" s="1">
        <f ca="1">IFERROR(__xludf.DUMMYFUNCTION("""COMPUTED_VALUE"""),100.4)</f>
        <v>100.4</v>
      </c>
      <c r="F65" s="1">
        <f ca="1">IFERROR(__xludf.DUMMYFUNCTION("""COMPUTED_VALUE"""),0)</f>
        <v>0</v>
      </c>
    </row>
    <row r="66" spans="1:6" ht="15.75" customHeight="1">
      <c r="A66" s="10">
        <f ca="1">IFERROR(__xludf.DUMMYFUNCTION("""COMPUTED_VALUE"""),43763.6666666666)</f>
        <v>43763.666666666599</v>
      </c>
      <c r="B66" s="1">
        <f ca="1">IFERROR(__xludf.DUMMYFUNCTION("""COMPUTED_VALUE"""),100.38)</f>
        <v>100.38</v>
      </c>
      <c r="C66" s="1">
        <f ca="1">IFERROR(__xludf.DUMMYFUNCTION("""COMPUTED_VALUE"""),101.66)</f>
        <v>101.66</v>
      </c>
      <c r="D66" s="1">
        <f ca="1">IFERROR(__xludf.DUMMYFUNCTION("""COMPUTED_VALUE"""),100.23)</f>
        <v>100.23</v>
      </c>
      <c r="E66" s="1">
        <f ca="1">IFERROR(__xludf.DUMMYFUNCTION("""COMPUTED_VALUE"""),101.08)</f>
        <v>101.08</v>
      </c>
      <c r="F66" s="1">
        <f ca="1">IFERROR(__xludf.DUMMYFUNCTION("""COMPUTED_VALUE"""),0)</f>
        <v>0</v>
      </c>
    </row>
    <row r="67" spans="1:6" ht="15.75" customHeight="1">
      <c r="A67" s="10">
        <f ca="1">IFERROR(__xludf.DUMMYFUNCTION("""COMPUTED_VALUE"""),43766.6666666666)</f>
        <v>43766.666666666599</v>
      </c>
      <c r="B67" s="1">
        <f ca="1">IFERROR(__xludf.DUMMYFUNCTION("""COMPUTED_VALUE"""),101.54)</f>
        <v>101.54</v>
      </c>
      <c r="C67" s="1">
        <f ca="1">IFERROR(__xludf.DUMMYFUNCTION("""COMPUTED_VALUE"""),102.46)</f>
        <v>102.46</v>
      </c>
      <c r="D67" s="1">
        <f ca="1">IFERROR(__xludf.DUMMYFUNCTION("""COMPUTED_VALUE"""),101.54)</f>
        <v>101.54</v>
      </c>
      <c r="E67" s="1">
        <f ca="1">IFERROR(__xludf.DUMMYFUNCTION("""COMPUTED_VALUE"""),102.05)</f>
        <v>102.05</v>
      </c>
      <c r="F67" s="1">
        <f ca="1">IFERROR(__xludf.DUMMYFUNCTION("""COMPUTED_VALUE"""),0)</f>
        <v>0</v>
      </c>
    </row>
    <row r="68" spans="1:6" ht="15.75" customHeight="1">
      <c r="A68" s="10">
        <f ca="1">IFERROR(__xludf.DUMMYFUNCTION("""COMPUTED_VALUE"""),43767.6666666666)</f>
        <v>43767.666666666599</v>
      </c>
      <c r="B68" s="1">
        <f ca="1">IFERROR(__xludf.DUMMYFUNCTION("""COMPUTED_VALUE"""),101.68)</f>
        <v>101.68</v>
      </c>
      <c r="C68" s="1">
        <f ca="1">IFERROR(__xludf.DUMMYFUNCTION("""COMPUTED_VALUE"""),103.08)</f>
        <v>103.08</v>
      </c>
      <c r="D68" s="1">
        <f ca="1">IFERROR(__xludf.DUMMYFUNCTION("""COMPUTED_VALUE"""),101.61)</f>
        <v>101.61</v>
      </c>
      <c r="E68" s="1">
        <f ca="1">IFERROR(__xludf.DUMMYFUNCTION("""COMPUTED_VALUE"""),102.87)</f>
        <v>102.87</v>
      </c>
      <c r="F68" s="1">
        <f ca="1">IFERROR(__xludf.DUMMYFUNCTION("""COMPUTED_VALUE"""),0)</f>
        <v>0</v>
      </c>
    </row>
    <row r="69" spans="1:6" ht="15.75" customHeight="1">
      <c r="A69" s="10">
        <f ca="1">IFERROR(__xludf.DUMMYFUNCTION("""COMPUTED_VALUE"""),43768.6666666666)</f>
        <v>43768.666666666599</v>
      </c>
      <c r="B69" s="1">
        <f ca="1">IFERROR(__xludf.DUMMYFUNCTION("""COMPUTED_VALUE"""),102.49)</f>
        <v>102.49</v>
      </c>
      <c r="C69" s="1">
        <f ca="1">IFERROR(__xludf.DUMMYFUNCTION("""COMPUTED_VALUE"""),102.59)</f>
        <v>102.59</v>
      </c>
      <c r="D69" s="1">
        <f ca="1">IFERROR(__xludf.DUMMYFUNCTION("""COMPUTED_VALUE"""),101.2)</f>
        <v>101.2</v>
      </c>
      <c r="E69" s="1">
        <f ca="1">IFERROR(__xludf.DUMMYFUNCTION("""COMPUTED_VALUE"""),101.96)</f>
        <v>101.96</v>
      </c>
      <c r="F69" s="1">
        <f ca="1">IFERROR(__xludf.DUMMYFUNCTION("""COMPUTED_VALUE"""),0)</f>
        <v>0</v>
      </c>
    </row>
    <row r="70" spans="1:6" ht="15.75" customHeight="1">
      <c r="A70" s="10">
        <f ca="1">IFERROR(__xludf.DUMMYFUNCTION("""COMPUTED_VALUE"""),43769.6666666666)</f>
        <v>43769.666666666599</v>
      </c>
      <c r="B70" s="1">
        <f ca="1">IFERROR(__xludf.DUMMYFUNCTION("""COMPUTED_VALUE"""),101.19)</f>
        <v>101.19</v>
      </c>
      <c r="C70" s="1">
        <f ca="1">IFERROR(__xludf.DUMMYFUNCTION("""COMPUTED_VALUE"""),101.19)</f>
        <v>101.19</v>
      </c>
      <c r="D70" s="1">
        <f ca="1">IFERROR(__xludf.DUMMYFUNCTION("""COMPUTED_VALUE"""),99.01)</f>
        <v>99.01</v>
      </c>
      <c r="E70" s="1">
        <f ca="1">IFERROR(__xludf.DUMMYFUNCTION("""COMPUTED_VALUE"""),100.06)</f>
        <v>100.06</v>
      </c>
      <c r="F70" s="1">
        <f ca="1">IFERROR(__xludf.DUMMYFUNCTION("""COMPUTED_VALUE"""),0)</f>
        <v>0</v>
      </c>
    </row>
    <row r="71" spans="1:6" ht="15.75" customHeight="1">
      <c r="A71" s="10">
        <f ca="1">IFERROR(__xludf.DUMMYFUNCTION("""COMPUTED_VALUE"""),43770.6666666666)</f>
        <v>43770.666666666599</v>
      </c>
      <c r="B71" s="1">
        <f ca="1">IFERROR(__xludf.DUMMYFUNCTION("""COMPUTED_VALUE"""),100.91)</f>
        <v>100.91</v>
      </c>
      <c r="C71" s="1">
        <f ca="1">IFERROR(__xludf.DUMMYFUNCTION("""COMPUTED_VALUE"""),102.02)</f>
        <v>102.02</v>
      </c>
      <c r="D71" s="1">
        <f ca="1">IFERROR(__xludf.DUMMYFUNCTION("""COMPUTED_VALUE"""),100.77)</f>
        <v>100.77</v>
      </c>
      <c r="E71" s="1">
        <f ca="1">IFERROR(__xludf.DUMMYFUNCTION("""COMPUTED_VALUE"""),102.02)</f>
        <v>102.02</v>
      </c>
      <c r="F71" s="1">
        <f ca="1">IFERROR(__xludf.DUMMYFUNCTION("""COMPUTED_VALUE"""),0)</f>
        <v>0</v>
      </c>
    </row>
    <row r="72" spans="1:6" ht="15.75" customHeight="1">
      <c r="A72" s="10">
        <f ca="1">IFERROR(__xludf.DUMMYFUNCTION("""COMPUTED_VALUE"""),43773.6666666666)</f>
        <v>43773.666666666599</v>
      </c>
      <c r="B72" s="1">
        <f ca="1">IFERROR(__xludf.DUMMYFUNCTION("""COMPUTED_VALUE"""),103.06)</f>
        <v>103.06</v>
      </c>
      <c r="C72" s="1">
        <f ca="1">IFERROR(__xludf.DUMMYFUNCTION("""COMPUTED_VALUE"""),103.83)</f>
        <v>103.83</v>
      </c>
      <c r="D72" s="1">
        <f ca="1">IFERROR(__xludf.DUMMYFUNCTION("""COMPUTED_VALUE"""),102.81)</f>
        <v>102.81</v>
      </c>
      <c r="E72" s="1">
        <f ca="1">IFERROR(__xludf.DUMMYFUNCTION("""COMPUTED_VALUE"""),103.7)</f>
        <v>103.7</v>
      </c>
      <c r="F72" s="1">
        <f ca="1">IFERROR(__xludf.DUMMYFUNCTION("""COMPUTED_VALUE"""),0)</f>
        <v>0</v>
      </c>
    </row>
    <row r="73" spans="1:6" ht="15.75" customHeight="1">
      <c r="A73" s="10">
        <f ca="1">IFERROR(__xludf.DUMMYFUNCTION("""COMPUTED_VALUE"""),43774.6666666666)</f>
        <v>43774.666666666599</v>
      </c>
      <c r="B73" s="1">
        <f ca="1">IFERROR(__xludf.DUMMYFUNCTION("""COMPUTED_VALUE"""),104.29)</f>
        <v>104.29</v>
      </c>
      <c r="C73" s="1">
        <f ca="1">IFERROR(__xludf.DUMMYFUNCTION("""COMPUTED_VALUE"""),105.3)</f>
        <v>105.3</v>
      </c>
      <c r="D73" s="1">
        <f ca="1">IFERROR(__xludf.DUMMYFUNCTION("""COMPUTED_VALUE"""),104.05)</f>
        <v>104.05</v>
      </c>
      <c r="E73" s="1">
        <f ca="1">IFERROR(__xludf.DUMMYFUNCTION("""COMPUTED_VALUE"""),104.59)</f>
        <v>104.59</v>
      </c>
      <c r="F73" s="1">
        <f ca="1">IFERROR(__xludf.DUMMYFUNCTION("""COMPUTED_VALUE"""),0)</f>
        <v>0</v>
      </c>
    </row>
    <row r="74" spans="1:6" ht="15.75" customHeight="1">
      <c r="A74" s="10">
        <f ca="1">IFERROR(__xludf.DUMMYFUNCTION("""COMPUTED_VALUE"""),43775.6666666666)</f>
        <v>43775.666666666599</v>
      </c>
      <c r="B74" s="1">
        <f ca="1">IFERROR(__xludf.DUMMYFUNCTION("""COMPUTED_VALUE"""),104.23)</f>
        <v>104.23</v>
      </c>
      <c r="C74" s="1">
        <f ca="1">IFERROR(__xludf.DUMMYFUNCTION("""COMPUTED_VALUE"""),104.33)</f>
        <v>104.33</v>
      </c>
      <c r="D74" s="1">
        <f ca="1">IFERROR(__xludf.DUMMYFUNCTION("""COMPUTED_VALUE"""),103.52)</f>
        <v>103.52</v>
      </c>
      <c r="E74" s="1">
        <f ca="1">IFERROR(__xludf.DUMMYFUNCTION("""COMPUTED_VALUE"""),104.13)</f>
        <v>104.13</v>
      </c>
      <c r="F74" s="1">
        <f ca="1">IFERROR(__xludf.DUMMYFUNCTION("""COMPUTED_VALUE"""),0)</f>
        <v>0</v>
      </c>
    </row>
    <row r="75" spans="1:6" ht="15.75" customHeight="1">
      <c r="A75" s="10">
        <f ca="1">IFERROR(__xludf.DUMMYFUNCTION("""COMPUTED_VALUE"""),43776.6666666666)</f>
        <v>43776.666666666599</v>
      </c>
      <c r="B75" s="1">
        <f ca="1">IFERROR(__xludf.DUMMYFUNCTION("""COMPUTED_VALUE"""),105.11)</f>
        <v>105.11</v>
      </c>
      <c r="C75" s="1">
        <f ca="1">IFERROR(__xludf.DUMMYFUNCTION("""COMPUTED_VALUE"""),105.68)</f>
        <v>105.68</v>
      </c>
      <c r="D75" s="1">
        <f ca="1">IFERROR(__xludf.DUMMYFUNCTION("""COMPUTED_VALUE"""),104.43)</f>
        <v>104.43</v>
      </c>
      <c r="E75" s="1">
        <f ca="1">IFERROR(__xludf.DUMMYFUNCTION("""COMPUTED_VALUE"""),104.68)</f>
        <v>104.68</v>
      </c>
      <c r="F75" s="1">
        <f ca="1">IFERROR(__xludf.DUMMYFUNCTION("""COMPUTED_VALUE"""),0)</f>
        <v>0</v>
      </c>
    </row>
    <row r="76" spans="1:6" ht="15.75" customHeight="1">
      <c r="A76" s="10">
        <f ca="1">IFERROR(__xludf.DUMMYFUNCTION("""COMPUTED_VALUE"""),43777.6666666666)</f>
        <v>43777.666666666599</v>
      </c>
      <c r="B76" s="1">
        <f ca="1">IFERROR(__xludf.DUMMYFUNCTION("""COMPUTED_VALUE"""),104.42)</f>
        <v>104.42</v>
      </c>
      <c r="C76" s="1">
        <f ca="1">IFERROR(__xludf.DUMMYFUNCTION("""COMPUTED_VALUE"""),105.1)</f>
        <v>105.1</v>
      </c>
      <c r="D76" s="1">
        <f ca="1">IFERROR(__xludf.DUMMYFUNCTION("""COMPUTED_VALUE"""),104.26)</f>
        <v>104.26</v>
      </c>
      <c r="E76" s="1">
        <f ca="1">IFERROR(__xludf.DUMMYFUNCTION("""COMPUTED_VALUE"""),104.84)</f>
        <v>104.84</v>
      </c>
      <c r="F76" s="1">
        <f ca="1">IFERROR(__xludf.DUMMYFUNCTION("""COMPUTED_VALUE"""),0)</f>
        <v>0</v>
      </c>
    </row>
    <row r="77" spans="1:6" ht="15.75" customHeight="1">
      <c r="A77" s="10">
        <f ca="1">IFERROR(__xludf.DUMMYFUNCTION("""COMPUTED_VALUE"""),43780.6666666666)</f>
        <v>43780.666666666599</v>
      </c>
      <c r="B77" s="1">
        <f ca="1">IFERROR(__xludf.DUMMYFUNCTION("""COMPUTED_VALUE"""),104.15)</f>
        <v>104.15</v>
      </c>
      <c r="C77" s="1">
        <f ca="1">IFERROR(__xludf.DUMMYFUNCTION("""COMPUTED_VALUE"""),104.87)</f>
        <v>104.87</v>
      </c>
      <c r="D77" s="1">
        <f ca="1">IFERROR(__xludf.DUMMYFUNCTION("""COMPUTED_VALUE"""),104.06)</f>
        <v>104.06</v>
      </c>
      <c r="E77" s="1">
        <f ca="1">IFERROR(__xludf.DUMMYFUNCTION("""COMPUTED_VALUE"""),104.35)</f>
        <v>104.35</v>
      </c>
      <c r="F77" s="1">
        <f ca="1">IFERROR(__xludf.DUMMYFUNCTION("""COMPUTED_VALUE"""),0)</f>
        <v>0</v>
      </c>
    </row>
    <row r="78" spans="1:6" ht="15.75" customHeight="1">
      <c r="A78" s="10">
        <f ca="1">IFERROR(__xludf.DUMMYFUNCTION("""COMPUTED_VALUE"""),43781.6666666666)</f>
        <v>43781.666666666599</v>
      </c>
      <c r="B78" s="1">
        <f ca="1">IFERROR(__xludf.DUMMYFUNCTION("""COMPUTED_VALUE"""),104.41)</f>
        <v>104.41</v>
      </c>
      <c r="C78" s="1">
        <f ca="1">IFERROR(__xludf.DUMMYFUNCTION("""COMPUTED_VALUE"""),105)</f>
        <v>105</v>
      </c>
      <c r="D78" s="1">
        <f ca="1">IFERROR(__xludf.DUMMYFUNCTION("""COMPUTED_VALUE"""),104.04)</f>
        <v>104.04</v>
      </c>
      <c r="E78" s="1">
        <f ca="1">IFERROR(__xludf.DUMMYFUNCTION("""COMPUTED_VALUE"""),104.58)</f>
        <v>104.58</v>
      </c>
      <c r="F78" s="1">
        <f ca="1">IFERROR(__xludf.DUMMYFUNCTION("""COMPUTED_VALUE"""),0)</f>
        <v>0</v>
      </c>
    </row>
    <row r="79" spans="1:6" ht="15.75" customHeight="1">
      <c r="A79" s="10">
        <f ca="1">IFERROR(__xludf.DUMMYFUNCTION("""COMPUTED_VALUE"""),43782.6666666666)</f>
        <v>43782.666666666599</v>
      </c>
      <c r="B79" s="1">
        <f ca="1">IFERROR(__xludf.DUMMYFUNCTION("""COMPUTED_VALUE"""),103.49)</f>
        <v>103.49</v>
      </c>
      <c r="C79" s="1">
        <f ca="1">IFERROR(__xludf.DUMMYFUNCTION("""COMPUTED_VALUE"""),104.13)</f>
        <v>104.13</v>
      </c>
      <c r="D79" s="1">
        <f ca="1">IFERROR(__xludf.DUMMYFUNCTION("""COMPUTED_VALUE"""),103.06)</f>
        <v>103.06</v>
      </c>
      <c r="E79" s="1">
        <f ca="1">IFERROR(__xludf.DUMMYFUNCTION("""COMPUTED_VALUE"""),103.66)</f>
        <v>103.66</v>
      </c>
      <c r="F79" s="1">
        <f ca="1">IFERROR(__xludf.DUMMYFUNCTION("""COMPUTED_VALUE"""),0)</f>
        <v>0</v>
      </c>
    </row>
    <row r="80" spans="1:6" ht="15.75" customHeight="1">
      <c r="A80" s="10">
        <f ca="1">IFERROR(__xludf.DUMMYFUNCTION("""COMPUTED_VALUE"""),43783.6666666666)</f>
        <v>43783.666666666599</v>
      </c>
      <c r="B80" s="1">
        <f ca="1">IFERROR(__xludf.DUMMYFUNCTION("""COMPUTED_VALUE"""),103.33)</f>
        <v>103.33</v>
      </c>
      <c r="C80" s="1">
        <f ca="1">IFERROR(__xludf.DUMMYFUNCTION("""COMPUTED_VALUE"""),103.84)</f>
        <v>103.84</v>
      </c>
      <c r="D80" s="1">
        <f ca="1">IFERROR(__xludf.DUMMYFUNCTION("""COMPUTED_VALUE"""),103.05)</f>
        <v>103.05</v>
      </c>
      <c r="E80" s="1">
        <f ca="1">IFERROR(__xludf.DUMMYFUNCTION("""COMPUTED_VALUE"""),103.55)</f>
        <v>103.55</v>
      </c>
      <c r="F80" s="1">
        <f ca="1">IFERROR(__xludf.DUMMYFUNCTION("""COMPUTED_VALUE"""),0)</f>
        <v>0</v>
      </c>
    </row>
    <row r="81" spans="1:6" ht="15.75" customHeight="1">
      <c r="A81" s="10">
        <f ca="1">IFERROR(__xludf.DUMMYFUNCTION("""COMPUTED_VALUE"""),43784.6666666666)</f>
        <v>43784.666666666599</v>
      </c>
      <c r="B81" s="1">
        <f ca="1">IFERROR(__xludf.DUMMYFUNCTION("""COMPUTED_VALUE"""),104.11)</f>
        <v>104.11</v>
      </c>
      <c r="C81" s="1">
        <f ca="1">IFERROR(__xludf.DUMMYFUNCTION("""COMPUTED_VALUE"""),104.16)</f>
        <v>104.16</v>
      </c>
      <c r="D81" s="1">
        <f ca="1">IFERROR(__xludf.DUMMYFUNCTION("""COMPUTED_VALUE"""),103.26)</f>
        <v>103.26</v>
      </c>
      <c r="E81" s="1">
        <f ca="1">IFERROR(__xludf.DUMMYFUNCTION("""COMPUTED_VALUE"""),103.34)</f>
        <v>103.34</v>
      </c>
      <c r="F81" s="1">
        <f ca="1">IFERROR(__xludf.DUMMYFUNCTION("""COMPUTED_VALUE"""),0)</f>
        <v>0</v>
      </c>
    </row>
    <row r="82" spans="1:6" ht="15.75" customHeight="1">
      <c r="A82" s="10">
        <f ca="1">IFERROR(__xludf.DUMMYFUNCTION("""COMPUTED_VALUE"""),43787.6666666666)</f>
        <v>43787.666666666599</v>
      </c>
      <c r="B82" s="1">
        <f ca="1">IFERROR(__xludf.DUMMYFUNCTION("""COMPUTED_VALUE"""),102.83)</f>
        <v>102.83</v>
      </c>
      <c r="C82" s="1">
        <f ca="1">IFERROR(__xludf.DUMMYFUNCTION("""COMPUTED_VALUE"""),102.93)</f>
        <v>102.93</v>
      </c>
      <c r="D82" s="1">
        <f ca="1">IFERROR(__xludf.DUMMYFUNCTION("""COMPUTED_VALUE"""),102.08)</f>
        <v>102.08</v>
      </c>
      <c r="E82" s="1">
        <f ca="1">IFERROR(__xludf.DUMMYFUNCTION("""COMPUTED_VALUE"""),102.79)</f>
        <v>102.79</v>
      </c>
      <c r="F82" s="1">
        <f ca="1">IFERROR(__xludf.DUMMYFUNCTION("""COMPUTED_VALUE"""),0)</f>
        <v>0</v>
      </c>
    </row>
    <row r="83" spans="1:6" ht="15.75" customHeight="1">
      <c r="A83" s="10">
        <f ca="1">IFERROR(__xludf.DUMMYFUNCTION("""COMPUTED_VALUE"""),43788.6666666666)</f>
        <v>43788.666666666599</v>
      </c>
      <c r="B83" s="1">
        <f ca="1">IFERROR(__xludf.DUMMYFUNCTION("""COMPUTED_VALUE"""),103.16)</f>
        <v>103.16</v>
      </c>
      <c r="C83" s="1">
        <f ca="1">IFERROR(__xludf.DUMMYFUNCTION("""COMPUTED_VALUE"""),103.43)</f>
        <v>103.43</v>
      </c>
      <c r="D83" s="1">
        <f ca="1">IFERROR(__xludf.DUMMYFUNCTION("""COMPUTED_VALUE"""),102.56)</f>
        <v>102.56</v>
      </c>
      <c r="E83" s="1">
        <f ca="1">IFERROR(__xludf.DUMMYFUNCTION("""COMPUTED_VALUE"""),103.18)</f>
        <v>103.18</v>
      </c>
      <c r="F83" s="1">
        <f ca="1">IFERROR(__xludf.DUMMYFUNCTION("""COMPUTED_VALUE"""),0)</f>
        <v>0</v>
      </c>
    </row>
    <row r="84" spans="1:6" ht="15.75" customHeight="1">
      <c r="A84" s="10">
        <f ca="1">IFERROR(__xludf.DUMMYFUNCTION("""COMPUTED_VALUE"""),43789.6666666666)</f>
        <v>43789.666666666599</v>
      </c>
      <c r="B84" s="1">
        <f ca="1">IFERROR(__xludf.DUMMYFUNCTION("""COMPUTED_VALUE"""),102.66)</f>
        <v>102.66</v>
      </c>
      <c r="C84" s="1">
        <f ca="1">IFERROR(__xludf.DUMMYFUNCTION("""COMPUTED_VALUE"""),103.36)</f>
        <v>103.36</v>
      </c>
      <c r="D84" s="1">
        <f ca="1">IFERROR(__xludf.DUMMYFUNCTION("""COMPUTED_VALUE"""),101.96)</f>
        <v>101.96</v>
      </c>
      <c r="E84" s="1">
        <f ca="1">IFERROR(__xludf.DUMMYFUNCTION("""COMPUTED_VALUE"""),102.66)</f>
        <v>102.66</v>
      </c>
      <c r="F84" s="1">
        <f ca="1">IFERROR(__xludf.DUMMYFUNCTION("""COMPUTED_VALUE"""),0)</f>
        <v>0</v>
      </c>
    </row>
    <row r="85" spans="1:6" ht="15.75" customHeight="1">
      <c r="A85" s="10">
        <f ca="1">IFERROR(__xludf.DUMMYFUNCTION("""COMPUTED_VALUE"""),43790.6666666666)</f>
        <v>43790.666666666599</v>
      </c>
      <c r="B85" s="1">
        <f ca="1">IFERROR(__xludf.DUMMYFUNCTION("""COMPUTED_VALUE"""),103.25)</f>
        <v>103.25</v>
      </c>
      <c r="C85" s="1">
        <f ca="1">IFERROR(__xludf.DUMMYFUNCTION("""COMPUTED_VALUE"""),103.25)</f>
        <v>103.25</v>
      </c>
      <c r="D85" s="1">
        <f ca="1">IFERROR(__xludf.DUMMYFUNCTION("""COMPUTED_VALUE"""),102.04)</f>
        <v>102.04</v>
      </c>
      <c r="E85" s="1">
        <f ca="1">IFERROR(__xludf.DUMMYFUNCTION("""COMPUTED_VALUE"""),102.59)</f>
        <v>102.59</v>
      </c>
      <c r="F85" s="1">
        <f ca="1">IFERROR(__xludf.DUMMYFUNCTION("""COMPUTED_VALUE"""),0)</f>
        <v>0</v>
      </c>
    </row>
    <row r="86" spans="1:6" ht="15.75" customHeight="1">
      <c r="A86" s="10">
        <f ca="1">IFERROR(__xludf.DUMMYFUNCTION("""COMPUTED_VALUE"""),43791.6666666666)</f>
        <v>43791.666666666599</v>
      </c>
      <c r="B86" s="1">
        <f ca="1">IFERROR(__xludf.DUMMYFUNCTION("""COMPUTED_VALUE"""),103.01)</f>
        <v>103.01</v>
      </c>
      <c r="C86" s="1">
        <f ca="1">IFERROR(__xludf.DUMMYFUNCTION("""COMPUTED_VALUE"""),103.41)</f>
        <v>103.41</v>
      </c>
      <c r="D86" s="1">
        <f ca="1">IFERROR(__xludf.DUMMYFUNCTION("""COMPUTED_VALUE"""),102.62)</f>
        <v>102.62</v>
      </c>
      <c r="E86" s="1">
        <f ca="1">IFERROR(__xludf.DUMMYFUNCTION("""COMPUTED_VALUE"""),102.99)</f>
        <v>102.99</v>
      </c>
      <c r="F86" s="1">
        <f ca="1">IFERROR(__xludf.DUMMYFUNCTION("""COMPUTED_VALUE"""),0)</f>
        <v>0</v>
      </c>
    </row>
    <row r="87" spans="1:6" ht="15.75" customHeight="1">
      <c r="A87" s="10">
        <f ca="1">IFERROR(__xludf.DUMMYFUNCTION("""COMPUTED_VALUE"""),43794.6666666666)</f>
        <v>43794.666666666599</v>
      </c>
      <c r="B87" s="1">
        <f ca="1">IFERROR(__xludf.DUMMYFUNCTION("""COMPUTED_VALUE"""),103.12)</f>
        <v>103.12</v>
      </c>
      <c r="C87" s="1">
        <f ca="1">IFERROR(__xludf.DUMMYFUNCTION("""COMPUTED_VALUE"""),104.31)</f>
        <v>104.31</v>
      </c>
      <c r="D87" s="1">
        <f ca="1">IFERROR(__xludf.DUMMYFUNCTION("""COMPUTED_VALUE"""),102.97)</f>
        <v>102.97</v>
      </c>
      <c r="E87" s="1">
        <f ca="1">IFERROR(__xludf.DUMMYFUNCTION("""COMPUTED_VALUE"""),104.01)</f>
        <v>104.01</v>
      </c>
      <c r="F87" s="1">
        <f ca="1">IFERROR(__xludf.DUMMYFUNCTION("""COMPUTED_VALUE"""),0)</f>
        <v>0</v>
      </c>
    </row>
    <row r="88" spans="1:6" ht="15.75" customHeight="1">
      <c r="A88" s="10">
        <f ca="1">IFERROR(__xludf.DUMMYFUNCTION("""COMPUTED_VALUE"""),43795.6666666666)</f>
        <v>43795.666666666599</v>
      </c>
      <c r="B88" s="1">
        <f ca="1">IFERROR(__xludf.DUMMYFUNCTION("""COMPUTED_VALUE"""),103.71)</f>
        <v>103.71</v>
      </c>
      <c r="C88" s="1">
        <f ca="1">IFERROR(__xludf.DUMMYFUNCTION("""COMPUTED_VALUE"""),104)</f>
        <v>104</v>
      </c>
      <c r="D88" s="1">
        <f ca="1">IFERROR(__xludf.DUMMYFUNCTION("""COMPUTED_VALUE"""),103.36)</f>
        <v>103.36</v>
      </c>
      <c r="E88" s="1">
        <f ca="1">IFERROR(__xludf.DUMMYFUNCTION("""COMPUTED_VALUE"""),103.56)</f>
        <v>103.56</v>
      </c>
      <c r="F88" s="1">
        <f ca="1">IFERROR(__xludf.DUMMYFUNCTION("""COMPUTED_VALUE"""),0)</f>
        <v>0</v>
      </c>
    </row>
    <row r="89" spans="1:6" ht="15.75" customHeight="1">
      <c r="A89" s="10">
        <f ca="1">IFERROR(__xludf.DUMMYFUNCTION("""COMPUTED_VALUE"""),43796.6666666666)</f>
        <v>43796.666666666599</v>
      </c>
      <c r="B89" s="1">
        <f ca="1">IFERROR(__xludf.DUMMYFUNCTION("""COMPUTED_VALUE"""),103.95)</f>
        <v>103.95</v>
      </c>
      <c r="C89" s="1">
        <f ca="1">IFERROR(__xludf.DUMMYFUNCTION("""COMPUTED_VALUE"""),104.35)</f>
        <v>104.35</v>
      </c>
      <c r="D89" s="1">
        <f ca="1">IFERROR(__xludf.DUMMYFUNCTION("""COMPUTED_VALUE"""),103.69)</f>
        <v>103.69</v>
      </c>
      <c r="E89" s="1">
        <f ca="1">IFERROR(__xludf.DUMMYFUNCTION("""COMPUTED_VALUE"""),104.21)</f>
        <v>104.21</v>
      </c>
      <c r="F89" s="1">
        <f ca="1">IFERROR(__xludf.DUMMYFUNCTION("""COMPUTED_VALUE"""),0)</f>
        <v>0</v>
      </c>
    </row>
    <row r="90" spans="1:6" ht="15.75" customHeight="1">
      <c r="A90" s="10">
        <f ca="1">IFERROR(__xludf.DUMMYFUNCTION("""COMPUTED_VALUE"""),43798.5416666666)</f>
        <v>43798.541666666599</v>
      </c>
      <c r="B90" s="1">
        <f ca="1">IFERROR(__xludf.DUMMYFUNCTION("""COMPUTED_VALUE"""),103.81)</f>
        <v>103.81</v>
      </c>
      <c r="C90" s="1">
        <f ca="1">IFERROR(__xludf.DUMMYFUNCTION("""COMPUTED_VALUE"""),104.31)</f>
        <v>104.31</v>
      </c>
      <c r="D90" s="1">
        <f ca="1">IFERROR(__xludf.DUMMYFUNCTION("""COMPUTED_VALUE"""),103.41)</f>
        <v>103.41</v>
      </c>
      <c r="E90" s="1">
        <f ca="1">IFERROR(__xludf.DUMMYFUNCTION("""COMPUTED_VALUE"""),103.46)</f>
        <v>103.46</v>
      </c>
      <c r="F90" s="1">
        <f ca="1">IFERROR(__xludf.DUMMYFUNCTION("""COMPUTED_VALUE"""),0)</f>
        <v>0</v>
      </c>
    </row>
    <row r="91" spans="1:6" ht="15.75" customHeight="1">
      <c r="A91" s="10">
        <f ca="1">IFERROR(__xludf.DUMMYFUNCTION("""COMPUTED_VALUE"""),43801.6666666666)</f>
        <v>43801.666666666599</v>
      </c>
      <c r="B91" s="1">
        <f ca="1">IFERROR(__xludf.DUMMYFUNCTION("""COMPUTED_VALUE"""),104.03)</f>
        <v>104.03</v>
      </c>
      <c r="C91" s="1">
        <f ca="1">IFERROR(__xludf.DUMMYFUNCTION("""COMPUTED_VALUE"""),104.34)</f>
        <v>104.34</v>
      </c>
      <c r="D91" s="1">
        <f ca="1">IFERROR(__xludf.DUMMYFUNCTION("""COMPUTED_VALUE"""),102.6)</f>
        <v>102.6</v>
      </c>
      <c r="E91" s="1">
        <f ca="1">IFERROR(__xludf.DUMMYFUNCTION("""COMPUTED_VALUE"""),102.7)</f>
        <v>102.7</v>
      </c>
      <c r="F91" s="1">
        <f ca="1">IFERROR(__xludf.DUMMYFUNCTION("""COMPUTED_VALUE"""),0)</f>
        <v>0</v>
      </c>
    </row>
    <row r="92" spans="1:6" ht="15.75" customHeight="1">
      <c r="A92" s="10">
        <f ca="1">IFERROR(__xludf.DUMMYFUNCTION("""COMPUTED_VALUE"""),43802.6666666666)</f>
        <v>43802.666666666599</v>
      </c>
      <c r="B92" s="1">
        <f ca="1">IFERROR(__xludf.DUMMYFUNCTION("""COMPUTED_VALUE"""),101.38)</f>
        <v>101.38</v>
      </c>
      <c r="C92" s="1">
        <f ca="1">IFERROR(__xludf.DUMMYFUNCTION("""COMPUTED_VALUE"""),101.54)</f>
        <v>101.54</v>
      </c>
      <c r="D92" s="1">
        <f ca="1">IFERROR(__xludf.DUMMYFUNCTION("""COMPUTED_VALUE"""),100.65)</f>
        <v>100.65</v>
      </c>
      <c r="E92" s="1">
        <f ca="1">IFERROR(__xludf.DUMMYFUNCTION("""COMPUTED_VALUE"""),101.51)</f>
        <v>101.51</v>
      </c>
      <c r="F92" s="1">
        <f ca="1">IFERROR(__xludf.DUMMYFUNCTION("""COMPUTED_VALUE"""),0)</f>
        <v>0</v>
      </c>
    </row>
    <row r="93" spans="1:6" ht="15.75" customHeight="1">
      <c r="A93" s="10">
        <f ca="1">IFERROR(__xludf.DUMMYFUNCTION("""COMPUTED_VALUE"""),43803.6666666666)</f>
        <v>43803.666666666599</v>
      </c>
      <c r="B93" s="1">
        <f ca="1">IFERROR(__xludf.DUMMYFUNCTION("""COMPUTED_VALUE"""),101.9)</f>
        <v>101.9</v>
      </c>
      <c r="C93" s="1">
        <f ca="1">IFERROR(__xludf.DUMMYFUNCTION("""COMPUTED_VALUE"""),103.23)</f>
        <v>103.23</v>
      </c>
      <c r="D93" s="1">
        <f ca="1">IFERROR(__xludf.DUMMYFUNCTION("""COMPUTED_VALUE"""),101.86)</f>
        <v>101.86</v>
      </c>
      <c r="E93" s="1">
        <f ca="1">IFERROR(__xludf.DUMMYFUNCTION("""COMPUTED_VALUE"""),102.8)</f>
        <v>102.8</v>
      </c>
      <c r="F93" s="1">
        <f ca="1">IFERROR(__xludf.DUMMYFUNCTION("""COMPUTED_VALUE"""),0)</f>
        <v>0</v>
      </c>
    </row>
    <row r="94" spans="1:6" ht="15.75" customHeight="1">
      <c r="A94" s="10">
        <f ca="1">IFERROR(__xludf.DUMMYFUNCTION("""COMPUTED_VALUE"""),43804.6666666666)</f>
        <v>43804.666666666599</v>
      </c>
      <c r="B94" s="1">
        <f ca="1">IFERROR(__xludf.DUMMYFUNCTION("""COMPUTED_VALUE"""),103.34)</f>
        <v>103.34</v>
      </c>
      <c r="C94" s="1">
        <f ca="1">IFERROR(__xludf.DUMMYFUNCTION("""COMPUTED_VALUE"""),103.6)</f>
        <v>103.6</v>
      </c>
      <c r="D94" s="1">
        <f ca="1">IFERROR(__xludf.DUMMYFUNCTION("""COMPUTED_VALUE"""),103.03)</f>
        <v>103.03</v>
      </c>
      <c r="E94" s="1">
        <f ca="1">IFERROR(__xludf.DUMMYFUNCTION("""COMPUTED_VALUE"""),103.28)</f>
        <v>103.28</v>
      </c>
      <c r="F94" s="1">
        <f ca="1">IFERROR(__xludf.DUMMYFUNCTION("""COMPUTED_VALUE"""),0)</f>
        <v>0</v>
      </c>
    </row>
    <row r="95" spans="1:6" ht="15.75" customHeight="1">
      <c r="A95" s="10">
        <f ca="1">IFERROR(__xludf.DUMMYFUNCTION("""COMPUTED_VALUE"""),43805.6666666666)</f>
        <v>43805.666666666599</v>
      </c>
      <c r="B95" s="1">
        <f ca="1">IFERROR(__xludf.DUMMYFUNCTION("""COMPUTED_VALUE"""),104.5)</f>
        <v>104.5</v>
      </c>
      <c r="C95" s="1">
        <f ca="1">IFERROR(__xludf.DUMMYFUNCTION("""COMPUTED_VALUE"""),105.23)</f>
        <v>105.23</v>
      </c>
      <c r="D95" s="1">
        <f ca="1">IFERROR(__xludf.DUMMYFUNCTION("""COMPUTED_VALUE"""),104.32)</f>
        <v>104.32</v>
      </c>
      <c r="E95" s="1">
        <f ca="1">IFERROR(__xludf.DUMMYFUNCTION("""COMPUTED_VALUE"""),104.37)</f>
        <v>104.37</v>
      </c>
      <c r="F95" s="1">
        <f ca="1">IFERROR(__xludf.DUMMYFUNCTION("""COMPUTED_VALUE"""),0)</f>
        <v>0</v>
      </c>
    </row>
    <row r="96" spans="1:6" ht="15.75" customHeight="1">
      <c r="A96" s="10">
        <f ca="1">IFERROR(__xludf.DUMMYFUNCTION("""COMPUTED_VALUE"""),43808.6666666666)</f>
        <v>43808.666666666599</v>
      </c>
      <c r="B96" s="1">
        <f ca="1">IFERROR(__xludf.DUMMYFUNCTION("""COMPUTED_VALUE"""),104.13)</f>
        <v>104.13</v>
      </c>
      <c r="C96" s="1">
        <f ca="1">IFERROR(__xludf.DUMMYFUNCTION("""COMPUTED_VALUE"""),104.78)</f>
        <v>104.78</v>
      </c>
      <c r="D96" s="1">
        <f ca="1">IFERROR(__xludf.DUMMYFUNCTION("""COMPUTED_VALUE"""),104.13)</f>
        <v>104.13</v>
      </c>
      <c r="E96" s="1">
        <f ca="1">IFERROR(__xludf.DUMMYFUNCTION("""COMPUTED_VALUE"""),104.4)</f>
        <v>104.4</v>
      </c>
      <c r="F96" s="1">
        <f ca="1">IFERROR(__xludf.DUMMYFUNCTION("""COMPUTED_VALUE"""),0)</f>
        <v>0</v>
      </c>
    </row>
    <row r="97" spans="1:6" ht="15.75" customHeight="1">
      <c r="A97" s="10">
        <f ca="1">IFERROR(__xludf.DUMMYFUNCTION("""COMPUTED_VALUE"""),43809.6666666666)</f>
        <v>43809.666666666599</v>
      </c>
      <c r="B97" s="1">
        <f ca="1">IFERROR(__xludf.DUMMYFUNCTION("""COMPUTED_VALUE"""),104.42)</f>
        <v>104.42</v>
      </c>
      <c r="C97" s="1">
        <f ca="1">IFERROR(__xludf.DUMMYFUNCTION("""COMPUTED_VALUE"""),104.92)</f>
        <v>104.92</v>
      </c>
      <c r="D97" s="1">
        <f ca="1">IFERROR(__xludf.DUMMYFUNCTION("""COMPUTED_VALUE"""),104.17)</f>
        <v>104.17</v>
      </c>
      <c r="E97" s="1">
        <f ca="1">IFERROR(__xludf.DUMMYFUNCTION("""COMPUTED_VALUE"""),104.63)</f>
        <v>104.63</v>
      </c>
      <c r="F97" s="1">
        <f ca="1">IFERROR(__xludf.DUMMYFUNCTION("""COMPUTED_VALUE"""),0)</f>
        <v>0</v>
      </c>
    </row>
    <row r="98" spans="1:6" ht="15.75" customHeight="1">
      <c r="A98" s="10">
        <f ca="1">IFERROR(__xludf.DUMMYFUNCTION("""COMPUTED_VALUE"""),43810.6666666666)</f>
        <v>43810.666666666599</v>
      </c>
      <c r="B98" s="1">
        <f ca="1">IFERROR(__xludf.DUMMYFUNCTION("""COMPUTED_VALUE"""),104.8)</f>
        <v>104.8</v>
      </c>
      <c r="C98" s="1">
        <f ca="1">IFERROR(__xludf.DUMMYFUNCTION("""COMPUTED_VALUE"""),105.03)</f>
        <v>105.03</v>
      </c>
      <c r="D98" s="1">
        <f ca="1">IFERROR(__xludf.DUMMYFUNCTION("""COMPUTED_VALUE"""),104.27)</f>
        <v>104.27</v>
      </c>
      <c r="E98" s="1">
        <f ca="1">IFERROR(__xludf.DUMMYFUNCTION("""COMPUTED_VALUE"""),104.61)</f>
        <v>104.61</v>
      </c>
      <c r="F98" s="1">
        <f ca="1">IFERROR(__xludf.DUMMYFUNCTION("""COMPUTED_VALUE"""),0)</f>
        <v>0</v>
      </c>
    </row>
    <row r="99" spans="1:6" ht="15.75" customHeight="1">
      <c r="A99" s="10">
        <f ca="1">IFERROR(__xludf.DUMMYFUNCTION("""COMPUTED_VALUE"""),43811.6666666666)</f>
        <v>43811.666666666599</v>
      </c>
      <c r="B99" s="1">
        <f ca="1">IFERROR(__xludf.DUMMYFUNCTION("""COMPUTED_VALUE"""),104.96)</f>
        <v>104.96</v>
      </c>
      <c r="C99" s="1">
        <f ca="1">IFERROR(__xludf.DUMMYFUNCTION("""COMPUTED_VALUE"""),107.8)</f>
        <v>107.8</v>
      </c>
      <c r="D99" s="1">
        <f ca="1">IFERROR(__xludf.DUMMYFUNCTION("""COMPUTED_VALUE"""),104.91)</f>
        <v>104.91</v>
      </c>
      <c r="E99" s="1">
        <f ca="1">IFERROR(__xludf.DUMMYFUNCTION("""COMPUTED_VALUE"""),107.61)</f>
        <v>107.61</v>
      </c>
      <c r="F99" s="1">
        <f ca="1">IFERROR(__xludf.DUMMYFUNCTION("""COMPUTED_VALUE"""),0)</f>
        <v>0</v>
      </c>
    </row>
    <row r="100" spans="1:6" ht="15.75" customHeight="1">
      <c r="A100" s="10">
        <f ca="1">IFERROR(__xludf.DUMMYFUNCTION("""COMPUTED_VALUE"""),43812.6666666666)</f>
        <v>43812.666666666599</v>
      </c>
      <c r="B100" s="1">
        <f ca="1">IFERROR(__xludf.DUMMYFUNCTION("""COMPUTED_VALUE"""),107.4)</f>
        <v>107.4</v>
      </c>
      <c r="C100" s="1">
        <f ca="1">IFERROR(__xludf.DUMMYFUNCTION("""COMPUTED_VALUE"""),108.07)</f>
        <v>108.07</v>
      </c>
      <c r="D100" s="1">
        <f ca="1">IFERROR(__xludf.DUMMYFUNCTION("""COMPUTED_VALUE"""),106.15)</f>
        <v>106.15</v>
      </c>
      <c r="E100" s="1">
        <f ca="1">IFERROR(__xludf.DUMMYFUNCTION("""COMPUTED_VALUE"""),106.82)</f>
        <v>106.82</v>
      </c>
      <c r="F100" s="1">
        <f ca="1">IFERROR(__xludf.DUMMYFUNCTION("""COMPUTED_VALUE"""),0)</f>
        <v>0</v>
      </c>
    </row>
    <row r="101" spans="1:6" ht="15.75" customHeight="1">
      <c r="A101" s="10">
        <f ca="1">IFERROR(__xludf.DUMMYFUNCTION("""COMPUTED_VALUE"""),43815.6666666666)</f>
        <v>43815.666666666599</v>
      </c>
      <c r="B101" s="1">
        <f ca="1">IFERROR(__xludf.DUMMYFUNCTION("""COMPUTED_VALUE"""),107.82)</f>
        <v>107.82</v>
      </c>
      <c r="C101" s="1">
        <f ca="1">IFERROR(__xludf.DUMMYFUNCTION("""COMPUTED_VALUE"""),108.49)</f>
        <v>108.49</v>
      </c>
      <c r="D101" s="1">
        <f ca="1">IFERROR(__xludf.DUMMYFUNCTION("""COMPUTED_VALUE"""),107.71)</f>
        <v>107.71</v>
      </c>
      <c r="E101" s="1">
        <f ca="1">IFERROR(__xludf.DUMMYFUNCTION("""COMPUTED_VALUE"""),107.79)</f>
        <v>107.79</v>
      </c>
      <c r="F101" s="1">
        <f ca="1">IFERROR(__xludf.DUMMYFUNCTION("""COMPUTED_VALUE"""),0)</f>
        <v>0</v>
      </c>
    </row>
    <row r="102" spans="1:6" ht="15.75" customHeight="1">
      <c r="A102" s="10">
        <f ca="1">IFERROR(__xludf.DUMMYFUNCTION("""COMPUTED_VALUE"""),43816.6666666666)</f>
        <v>43816.666666666599</v>
      </c>
      <c r="B102" s="1">
        <f ca="1">IFERROR(__xludf.DUMMYFUNCTION("""COMPUTED_VALUE"""),107.92)</f>
        <v>107.92</v>
      </c>
      <c r="C102" s="1">
        <f ca="1">IFERROR(__xludf.DUMMYFUNCTION("""COMPUTED_VALUE"""),109.12)</f>
        <v>109.12</v>
      </c>
      <c r="D102" s="1">
        <f ca="1">IFERROR(__xludf.DUMMYFUNCTION("""COMPUTED_VALUE"""),107.81)</f>
        <v>107.81</v>
      </c>
      <c r="E102" s="1">
        <f ca="1">IFERROR(__xludf.DUMMYFUNCTION("""COMPUTED_VALUE"""),108.95)</f>
        <v>108.95</v>
      </c>
      <c r="F102" s="1">
        <f ca="1">IFERROR(__xludf.DUMMYFUNCTION("""COMPUTED_VALUE"""),0)</f>
        <v>0</v>
      </c>
    </row>
    <row r="103" spans="1:6" ht="15.75" customHeight="1">
      <c r="A103" s="10">
        <f ca="1">IFERROR(__xludf.DUMMYFUNCTION("""COMPUTED_VALUE"""),43817.6666666666)</f>
        <v>43817.666666666599</v>
      </c>
      <c r="B103" s="1">
        <f ca="1">IFERROR(__xludf.DUMMYFUNCTION("""COMPUTED_VALUE"""),109.15)</f>
        <v>109.15</v>
      </c>
      <c r="C103" s="1">
        <f ca="1">IFERROR(__xludf.DUMMYFUNCTION("""COMPUTED_VALUE"""),109.18)</f>
        <v>109.18</v>
      </c>
      <c r="D103" s="1">
        <f ca="1">IFERROR(__xludf.DUMMYFUNCTION("""COMPUTED_VALUE"""),108.35)</f>
        <v>108.35</v>
      </c>
      <c r="E103" s="1">
        <f ca="1">IFERROR(__xludf.DUMMYFUNCTION("""COMPUTED_VALUE"""),108.51)</f>
        <v>108.51</v>
      </c>
      <c r="F103" s="1">
        <f ca="1">IFERROR(__xludf.DUMMYFUNCTION("""COMPUTED_VALUE"""),0)</f>
        <v>0</v>
      </c>
    </row>
    <row r="104" spans="1:6" ht="15.75" customHeight="1">
      <c r="A104" s="10">
        <f ca="1">IFERROR(__xludf.DUMMYFUNCTION("""COMPUTED_VALUE"""),43818.6666666666)</f>
        <v>43818.666666666599</v>
      </c>
      <c r="B104" s="1">
        <f ca="1">IFERROR(__xludf.DUMMYFUNCTION("""COMPUTED_VALUE"""),108.5)</f>
        <v>108.5</v>
      </c>
      <c r="C104" s="1">
        <f ca="1">IFERROR(__xludf.DUMMYFUNCTION("""COMPUTED_VALUE"""),108.66)</f>
        <v>108.66</v>
      </c>
      <c r="D104" s="1">
        <f ca="1">IFERROR(__xludf.DUMMYFUNCTION("""COMPUTED_VALUE"""),108.27)</f>
        <v>108.27</v>
      </c>
      <c r="E104" s="1">
        <f ca="1">IFERROR(__xludf.DUMMYFUNCTION("""COMPUTED_VALUE"""),108.53)</f>
        <v>108.53</v>
      </c>
      <c r="F104" s="1">
        <f ca="1">IFERROR(__xludf.DUMMYFUNCTION("""COMPUTED_VALUE"""),0)</f>
        <v>0</v>
      </c>
    </row>
    <row r="105" spans="1:6" ht="15.75" customHeight="1">
      <c r="A105" s="10">
        <f ca="1">IFERROR(__xludf.DUMMYFUNCTION("""COMPUTED_VALUE"""),43819.6666666666)</f>
        <v>43819.666666666599</v>
      </c>
      <c r="B105" s="1">
        <f ca="1">IFERROR(__xludf.DUMMYFUNCTION("""COMPUTED_VALUE"""),108.85)</f>
        <v>108.85</v>
      </c>
      <c r="C105" s="1">
        <f ca="1">IFERROR(__xludf.DUMMYFUNCTION("""COMPUTED_VALUE"""),109.33)</f>
        <v>109.33</v>
      </c>
      <c r="D105" s="1">
        <f ca="1">IFERROR(__xludf.DUMMYFUNCTION("""COMPUTED_VALUE"""),108.55)</f>
        <v>108.55</v>
      </c>
      <c r="E105" s="1">
        <f ca="1">IFERROR(__xludf.DUMMYFUNCTION("""COMPUTED_VALUE"""),108.7)</f>
        <v>108.7</v>
      </c>
      <c r="F105" s="1">
        <f ca="1">IFERROR(__xludf.DUMMYFUNCTION("""COMPUTED_VALUE"""),0)</f>
        <v>0</v>
      </c>
    </row>
    <row r="106" spans="1:6" ht="15.75" customHeight="1">
      <c r="A106" s="10">
        <f ca="1">IFERROR(__xludf.DUMMYFUNCTION("""COMPUTED_VALUE"""),43822.6666666666)</f>
        <v>43822.666666666599</v>
      </c>
      <c r="B106" s="1">
        <f ca="1">IFERROR(__xludf.DUMMYFUNCTION("""COMPUTED_VALUE"""),108.94)</f>
        <v>108.94</v>
      </c>
      <c r="C106" s="1">
        <f ca="1">IFERROR(__xludf.DUMMYFUNCTION("""COMPUTED_VALUE"""),108.95)</f>
        <v>108.95</v>
      </c>
      <c r="D106" s="1">
        <f ca="1">IFERROR(__xludf.DUMMYFUNCTION("""COMPUTED_VALUE"""),107.79)</f>
        <v>107.79</v>
      </c>
      <c r="E106" s="1">
        <f ca="1">IFERROR(__xludf.DUMMYFUNCTION("""COMPUTED_VALUE"""),108.06)</f>
        <v>108.06</v>
      </c>
      <c r="F106" s="1">
        <f ca="1">IFERROR(__xludf.DUMMYFUNCTION("""COMPUTED_VALUE"""),0)</f>
        <v>0</v>
      </c>
    </row>
    <row r="107" spans="1:6" ht="15.75" customHeight="1">
      <c r="A107" s="10">
        <f ca="1">IFERROR(__xludf.DUMMYFUNCTION("""COMPUTED_VALUE"""),43823.5416666666)</f>
        <v>43823.541666666599</v>
      </c>
      <c r="B107" s="1">
        <f ca="1">IFERROR(__xludf.DUMMYFUNCTION("""COMPUTED_VALUE"""),108.15)</f>
        <v>108.15</v>
      </c>
      <c r="C107" s="1">
        <f ca="1">IFERROR(__xludf.DUMMYFUNCTION("""COMPUTED_VALUE"""),108.22)</f>
        <v>108.22</v>
      </c>
      <c r="D107" s="1">
        <f ca="1">IFERROR(__xludf.DUMMYFUNCTION("""COMPUTED_VALUE"""),107.86)</f>
        <v>107.86</v>
      </c>
      <c r="E107" s="1">
        <f ca="1">IFERROR(__xludf.DUMMYFUNCTION("""COMPUTED_VALUE"""),108.14)</f>
        <v>108.14</v>
      </c>
      <c r="F107" s="1">
        <f ca="1">IFERROR(__xludf.DUMMYFUNCTION("""COMPUTED_VALUE"""),0)</f>
        <v>0</v>
      </c>
    </row>
    <row r="108" spans="1:6" ht="15.75" customHeight="1">
      <c r="A108" s="10">
        <f ca="1">IFERROR(__xludf.DUMMYFUNCTION("""COMPUTED_VALUE"""),43825.6666666666)</f>
        <v>43825.666666666599</v>
      </c>
      <c r="B108" s="1">
        <f ca="1">IFERROR(__xludf.DUMMYFUNCTION("""COMPUTED_VALUE"""),108.3)</f>
        <v>108.3</v>
      </c>
      <c r="C108" s="1">
        <f ca="1">IFERROR(__xludf.DUMMYFUNCTION("""COMPUTED_VALUE"""),108.51)</f>
        <v>108.51</v>
      </c>
      <c r="D108" s="1">
        <f ca="1">IFERROR(__xludf.DUMMYFUNCTION("""COMPUTED_VALUE"""),107.98)</f>
        <v>107.98</v>
      </c>
      <c r="E108" s="1">
        <f ca="1">IFERROR(__xludf.DUMMYFUNCTION("""COMPUTED_VALUE"""),108.23)</f>
        <v>108.23</v>
      </c>
      <c r="F108" s="1">
        <f ca="1">IFERROR(__xludf.DUMMYFUNCTION("""COMPUTED_VALUE"""),0)</f>
        <v>0</v>
      </c>
    </row>
    <row r="109" spans="1:6" ht="15.75" customHeight="1">
      <c r="A109" s="10">
        <f ca="1">IFERROR(__xludf.DUMMYFUNCTION("""COMPUTED_VALUE"""),43826.6666666666)</f>
        <v>43826.666666666599</v>
      </c>
      <c r="B109" s="1">
        <f ca="1">IFERROR(__xludf.DUMMYFUNCTION("""COMPUTED_VALUE"""),108.3)</f>
        <v>108.3</v>
      </c>
      <c r="C109" s="1">
        <f ca="1">IFERROR(__xludf.DUMMYFUNCTION("""COMPUTED_VALUE"""),108.3)</f>
        <v>108.3</v>
      </c>
      <c r="D109" s="1">
        <f ca="1">IFERROR(__xludf.DUMMYFUNCTION("""COMPUTED_VALUE"""),107.43)</f>
        <v>107.43</v>
      </c>
      <c r="E109" s="1">
        <f ca="1">IFERROR(__xludf.DUMMYFUNCTION("""COMPUTED_VALUE"""),107.55)</f>
        <v>107.55</v>
      </c>
      <c r="F109" s="1">
        <f ca="1">IFERROR(__xludf.DUMMYFUNCTION("""COMPUTED_VALUE"""),0)</f>
        <v>0</v>
      </c>
    </row>
    <row r="110" spans="1:6" ht="15.75" customHeight="1">
      <c r="A110" s="10">
        <f ca="1">IFERROR(__xludf.DUMMYFUNCTION("""COMPUTED_VALUE"""),43829.6666666666)</f>
        <v>43829.666666666599</v>
      </c>
      <c r="B110" s="1">
        <f ca="1">IFERROR(__xludf.DUMMYFUNCTION("""COMPUTED_VALUE"""),108.08)</f>
        <v>108.08</v>
      </c>
      <c r="C110" s="1">
        <f ca="1">IFERROR(__xludf.DUMMYFUNCTION("""COMPUTED_VALUE"""),108.21)</f>
        <v>108.21</v>
      </c>
      <c r="D110" s="1">
        <f ca="1">IFERROR(__xludf.DUMMYFUNCTION("""COMPUTED_VALUE"""),107.54)</f>
        <v>107.54</v>
      </c>
      <c r="E110" s="1">
        <f ca="1">IFERROR(__xludf.DUMMYFUNCTION("""COMPUTED_VALUE"""),107.65)</f>
        <v>107.65</v>
      </c>
      <c r="F110" s="1">
        <f ca="1">IFERROR(__xludf.DUMMYFUNCTION("""COMPUTED_VALUE"""),0)</f>
        <v>0</v>
      </c>
    </row>
    <row r="111" spans="1:6" ht="15.75" customHeight="1">
      <c r="A111" s="10">
        <f ca="1">IFERROR(__xludf.DUMMYFUNCTION("""COMPUTED_VALUE"""),43830.6666666666)</f>
        <v>43830.666666666599</v>
      </c>
      <c r="B111" s="1">
        <f ca="1">IFERROR(__xludf.DUMMYFUNCTION("""COMPUTED_VALUE"""),107.49)</f>
        <v>107.49</v>
      </c>
      <c r="C111" s="1">
        <f ca="1">IFERROR(__xludf.DUMMYFUNCTION("""COMPUTED_VALUE"""),108.17)</f>
        <v>108.17</v>
      </c>
      <c r="D111" s="1">
        <f ca="1">IFERROR(__xludf.DUMMYFUNCTION("""COMPUTED_VALUE"""),107.48)</f>
        <v>107.48</v>
      </c>
      <c r="E111" s="1">
        <f ca="1">IFERROR(__xludf.DUMMYFUNCTION("""COMPUTED_VALUE"""),107.62)</f>
        <v>107.62</v>
      </c>
      <c r="F111" s="1">
        <f ca="1">IFERROR(__xludf.DUMMYFUNCTION("""COMPUTED_VALUE"""),0)</f>
        <v>0</v>
      </c>
    </row>
    <row r="112" spans="1:6" ht="15.75" customHeight="1">
      <c r="A112" s="10">
        <f ca="1">IFERROR(__xludf.DUMMYFUNCTION("""COMPUTED_VALUE"""),43832.6666666666)</f>
        <v>43832.666666666599</v>
      </c>
      <c r="B112" s="1">
        <f ca="1">IFERROR(__xludf.DUMMYFUNCTION("""COMPUTED_VALUE"""),108.06)</f>
        <v>108.06</v>
      </c>
      <c r="C112" s="1">
        <f ca="1">IFERROR(__xludf.DUMMYFUNCTION("""COMPUTED_VALUE"""),108.06)</f>
        <v>108.06</v>
      </c>
      <c r="D112" s="1">
        <f ca="1">IFERROR(__xludf.DUMMYFUNCTION("""COMPUTED_VALUE"""),106.79)</f>
        <v>106.79</v>
      </c>
      <c r="E112" s="1">
        <f ca="1">IFERROR(__xludf.DUMMYFUNCTION("""COMPUTED_VALUE"""),107.82)</f>
        <v>107.82</v>
      </c>
      <c r="F112" s="1">
        <f ca="1">IFERROR(__xludf.DUMMYFUNCTION("""COMPUTED_VALUE"""),0)</f>
        <v>0</v>
      </c>
    </row>
    <row r="113" spans="1:6" ht="15.75" customHeight="1">
      <c r="A113" s="10">
        <f ca="1">IFERROR(__xludf.DUMMYFUNCTION("""COMPUTED_VALUE"""),43833.6666666666)</f>
        <v>43833.666666666599</v>
      </c>
      <c r="B113" s="1">
        <f ca="1">IFERROR(__xludf.DUMMYFUNCTION("""COMPUTED_VALUE"""),106.44)</f>
        <v>106.44</v>
      </c>
      <c r="C113" s="1">
        <f ca="1">IFERROR(__xludf.DUMMYFUNCTION("""COMPUTED_VALUE"""),107.36)</f>
        <v>107.36</v>
      </c>
      <c r="D113" s="1">
        <f ca="1">IFERROR(__xludf.DUMMYFUNCTION("""COMPUTED_VALUE"""),105.99)</f>
        <v>105.99</v>
      </c>
      <c r="E113" s="1">
        <f ca="1">IFERROR(__xludf.DUMMYFUNCTION("""COMPUTED_VALUE"""),107.12)</f>
        <v>107.12</v>
      </c>
      <c r="F113" s="1">
        <f ca="1">IFERROR(__xludf.DUMMYFUNCTION("""COMPUTED_VALUE"""),0)</f>
        <v>0</v>
      </c>
    </row>
    <row r="114" spans="1:6" ht="15.75" customHeight="1">
      <c r="A114" s="10">
        <f ca="1">IFERROR(__xludf.DUMMYFUNCTION("""COMPUTED_VALUE"""),43836.6666666666)</f>
        <v>43836.666666666599</v>
      </c>
      <c r="B114" s="1">
        <f ca="1">IFERROR(__xludf.DUMMYFUNCTION("""COMPUTED_VALUE"""),106)</f>
        <v>106</v>
      </c>
      <c r="C114" s="1">
        <f ca="1">IFERROR(__xludf.DUMMYFUNCTION("""COMPUTED_VALUE"""),106.36)</f>
        <v>106.36</v>
      </c>
      <c r="D114" s="1">
        <f ca="1">IFERROR(__xludf.DUMMYFUNCTION("""COMPUTED_VALUE"""),105.2)</f>
        <v>105.2</v>
      </c>
      <c r="E114" s="1">
        <f ca="1">IFERROR(__xludf.DUMMYFUNCTION("""COMPUTED_VALUE"""),106.19)</f>
        <v>106.19</v>
      </c>
      <c r="F114" s="1">
        <f ca="1">IFERROR(__xludf.DUMMYFUNCTION("""COMPUTED_VALUE"""),0)</f>
        <v>0</v>
      </c>
    </row>
    <row r="115" spans="1:6" ht="15.75" customHeight="1">
      <c r="A115" s="10">
        <f ca="1">IFERROR(__xludf.DUMMYFUNCTION("""COMPUTED_VALUE"""),43837.6666666666)</f>
        <v>43837.666666666599</v>
      </c>
      <c r="B115" s="1">
        <f ca="1">IFERROR(__xludf.DUMMYFUNCTION("""COMPUTED_VALUE"""),105.87)</f>
        <v>105.87</v>
      </c>
      <c r="C115" s="1">
        <f ca="1">IFERROR(__xludf.DUMMYFUNCTION("""COMPUTED_VALUE"""),105.93)</f>
        <v>105.93</v>
      </c>
      <c r="D115" s="1">
        <f ca="1">IFERROR(__xludf.DUMMYFUNCTION("""COMPUTED_VALUE"""),105.01)</f>
        <v>105.01</v>
      </c>
      <c r="E115" s="1">
        <f ca="1">IFERROR(__xludf.DUMMYFUNCTION("""COMPUTED_VALUE"""),105.34)</f>
        <v>105.34</v>
      </c>
      <c r="F115" s="1">
        <f ca="1">IFERROR(__xludf.DUMMYFUNCTION("""COMPUTED_VALUE"""),0)</f>
        <v>0</v>
      </c>
    </row>
    <row r="116" spans="1:6" ht="15.75" customHeight="1">
      <c r="A116" s="10">
        <f ca="1">IFERROR(__xludf.DUMMYFUNCTION("""COMPUTED_VALUE"""),43838.6666666666)</f>
        <v>43838.666666666599</v>
      </c>
      <c r="B116" s="1">
        <f ca="1">IFERROR(__xludf.DUMMYFUNCTION("""COMPUTED_VALUE"""),105.36)</f>
        <v>105.36</v>
      </c>
      <c r="C116" s="1">
        <f ca="1">IFERROR(__xludf.DUMMYFUNCTION("""COMPUTED_VALUE"""),106.6)</f>
        <v>106.6</v>
      </c>
      <c r="D116" s="1">
        <f ca="1">IFERROR(__xludf.DUMMYFUNCTION("""COMPUTED_VALUE"""),105.35)</f>
        <v>105.35</v>
      </c>
      <c r="E116" s="1">
        <f ca="1">IFERROR(__xludf.DUMMYFUNCTION("""COMPUTED_VALUE"""),106.23)</f>
        <v>106.23</v>
      </c>
      <c r="F116" s="1">
        <f ca="1">IFERROR(__xludf.DUMMYFUNCTION("""COMPUTED_VALUE"""),0)</f>
        <v>0</v>
      </c>
    </row>
    <row r="117" spans="1:6" ht="15.75" customHeight="1">
      <c r="A117" s="10">
        <f ca="1">IFERROR(__xludf.DUMMYFUNCTION("""COMPUTED_VALUE"""),43839.6666666666)</f>
        <v>43839.666666666599</v>
      </c>
      <c r="B117" s="1">
        <f ca="1">IFERROR(__xludf.DUMMYFUNCTION("""COMPUTED_VALUE"""),106.8)</f>
        <v>106.8</v>
      </c>
      <c r="C117" s="1">
        <f ca="1">IFERROR(__xludf.DUMMYFUNCTION("""COMPUTED_VALUE"""),106.81)</f>
        <v>106.81</v>
      </c>
      <c r="D117" s="1">
        <f ca="1">IFERROR(__xludf.DUMMYFUNCTION("""COMPUTED_VALUE"""),106.14)</f>
        <v>106.14</v>
      </c>
      <c r="E117" s="1">
        <f ca="1">IFERROR(__xludf.DUMMYFUNCTION("""COMPUTED_VALUE"""),106.36)</f>
        <v>106.36</v>
      </c>
      <c r="F117" s="1">
        <f ca="1">IFERROR(__xludf.DUMMYFUNCTION("""COMPUTED_VALUE"""),0)</f>
        <v>0</v>
      </c>
    </row>
    <row r="118" spans="1:6" ht="15.75" customHeight="1">
      <c r="A118" s="10">
        <f ca="1">IFERROR(__xludf.DUMMYFUNCTION("""COMPUTED_VALUE"""),43840.6666666666)</f>
        <v>43840.666666666599</v>
      </c>
      <c r="B118" s="1">
        <f ca="1">IFERROR(__xludf.DUMMYFUNCTION("""COMPUTED_VALUE"""),106.35)</f>
        <v>106.35</v>
      </c>
      <c r="C118" s="1">
        <f ca="1">IFERROR(__xludf.DUMMYFUNCTION("""COMPUTED_VALUE"""),106.35)</f>
        <v>106.35</v>
      </c>
      <c r="D118" s="1">
        <f ca="1">IFERROR(__xludf.DUMMYFUNCTION("""COMPUTED_VALUE"""),105.29)</f>
        <v>105.29</v>
      </c>
      <c r="E118" s="1">
        <f ca="1">IFERROR(__xludf.DUMMYFUNCTION("""COMPUTED_VALUE"""),105.46)</f>
        <v>105.46</v>
      </c>
      <c r="F118" s="1">
        <f ca="1">IFERROR(__xludf.DUMMYFUNCTION("""COMPUTED_VALUE"""),0)</f>
        <v>0</v>
      </c>
    </row>
    <row r="119" spans="1:6" ht="15.75" customHeight="1">
      <c r="A119" s="10">
        <f ca="1">IFERROR(__xludf.DUMMYFUNCTION("""COMPUTED_VALUE"""),43843.6666666666)</f>
        <v>43843.666666666599</v>
      </c>
      <c r="B119" s="1">
        <f ca="1">IFERROR(__xludf.DUMMYFUNCTION("""COMPUTED_VALUE"""),105.65)</f>
        <v>105.65</v>
      </c>
      <c r="C119" s="1">
        <f ca="1">IFERROR(__xludf.DUMMYFUNCTION("""COMPUTED_VALUE"""),106.03)</f>
        <v>106.03</v>
      </c>
      <c r="D119" s="1">
        <f ca="1">IFERROR(__xludf.DUMMYFUNCTION("""COMPUTED_VALUE"""),105.19)</f>
        <v>105.19</v>
      </c>
      <c r="E119" s="1">
        <f ca="1">IFERROR(__xludf.DUMMYFUNCTION("""COMPUTED_VALUE"""),106.02)</f>
        <v>106.02</v>
      </c>
      <c r="F119" s="1">
        <f ca="1">IFERROR(__xludf.DUMMYFUNCTION("""COMPUTED_VALUE"""),0)</f>
        <v>0</v>
      </c>
    </row>
    <row r="120" spans="1:6" ht="15.75" customHeight="1">
      <c r="A120" s="10">
        <f ca="1">IFERROR(__xludf.DUMMYFUNCTION("""COMPUTED_VALUE"""),43844.6666666666)</f>
        <v>43844.666666666599</v>
      </c>
      <c r="B120" s="1">
        <f ca="1">IFERROR(__xludf.DUMMYFUNCTION("""COMPUTED_VALUE"""),105.9)</f>
        <v>105.9</v>
      </c>
      <c r="C120" s="1">
        <f ca="1">IFERROR(__xludf.DUMMYFUNCTION("""COMPUTED_VALUE"""),106.6)</f>
        <v>106.6</v>
      </c>
      <c r="D120" s="1">
        <f ca="1">IFERROR(__xludf.DUMMYFUNCTION("""COMPUTED_VALUE"""),105.58)</f>
        <v>105.58</v>
      </c>
      <c r="E120" s="1">
        <f ca="1">IFERROR(__xludf.DUMMYFUNCTION("""COMPUTED_VALUE"""),106.11)</f>
        <v>106.11</v>
      </c>
      <c r="F120" s="1">
        <f ca="1">IFERROR(__xludf.DUMMYFUNCTION("""COMPUTED_VALUE"""),0)</f>
        <v>0</v>
      </c>
    </row>
    <row r="121" spans="1:6" ht="15.75" customHeight="1">
      <c r="A121" s="10">
        <f ca="1">IFERROR(__xludf.DUMMYFUNCTION("""COMPUTED_VALUE"""),43845.6666666666)</f>
        <v>43845.666666666599</v>
      </c>
      <c r="B121" s="1">
        <f ca="1">IFERROR(__xludf.DUMMYFUNCTION("""COMPUTED_VALUE"""),105.46)</f>
        <v>105.46</v>
      </c>
      <c r="C121" s="1">
        <f ca="1">IFERROR(__xludf.DUMMYFUNCTION("""COMPUTED_VALUE"""),105.8)</f>
        <v>105.8</v>
      </c>
      <c r="D121" s="1">
        <f ca="1">IFERROR(__xludf.DUMMYFUNCTION("""COMPUTED_VALUE"""),104.63)</f>
        <v>104.63</v>
      </c>
      <c r="E121" s="1">
        <f ca="1">IFERROR(__xludf.DUMMYFUNCTION("""COMPUTED_VALUE"""),105.15)</f>
        <v>105.15</v>
      </c>
      <c r="F121" s="1">
        <f ca="1">IFERROR(__xludf.DUMMYFUNCTION("""COMPUTED_VALUE"""),0)</f>
        <v>0</v>
      </c>
    </row>
    <row r="122" spans="1:6" ht="15.75" customHeight="1">
      <c r="A122" s="10">
        <f ca="1">IFERROR(__xludf.DUMMYFUNCTION("""COMPUTED_VALUE"""),43846.6666666666)</f>
        <v>43846.666666666599</v>
      </c>
      <c r="B122" s="1">
        <f ca="1">IFERROR(__xludf.DUMMYFUNCTION("""COMPUTED_VALUE"""),105.86)</f>
        <v>105.86</v>
      </c>
      <c r="C122" s="1">
        <f ca="1">IFERROR(__xludf.DUMMYFUNCTION("""COMPUTED_VALUE"""),106.87)</f>
        <v>106.87</v>
      </c>
      <c r="D122" s="1">
        <f ca="1">IFERROR(__xludf.DUMMYFUNCTION("""COMPUTED_VALUE"""),105.86)</f>
        <v>105.86</v>
      </c>
      <c r="E122" s="1">
        <f ca="1">IFERROR(__xludf.DUMMYFUNCTION("""COMPUTED_VALUE"""),106.85)</f>
        <v>106.85</v>
      </c>
      <c r="F122" s="1">
        <f ca="1">IFERROR(__xludf.DUMMYFUNCTION("""COMPUTED_VALUE"""),0)</f>
        <v>0</v>
      </c>
    </row>
    <row r="123" spans="1:6" ht="15.75" customHeight="1">
      <c r="A123" s="10">
        <f ca="1">IFERROR(__xludf.DUMMYFUNCTION("""COMPUTED_VALUE"""),43847.6666666666)</f>
        <v>43847.666666666599</v>
      </c>
      <c r="B123" s="1">
        <f ca="1">IFERROR(__xludf.DUMMYFUNCTION("""COMPUTED_VALUE"""),107.44)</f>
        <v>107.44</v>
      </c>
      <c r="C123" s="1">
        <f ca="1">IFERROR(__xludf.DUMMYFUNCTION("""COMPUTED_VALUE"""),107.51)</f>
        <v>107.51</v>
      </c>
      <c r="D123" s="1">
        <f ca="1">IFERROR(__xludf.DUMMYFUNCTION("""COMPUTED_VALUE"""),106.93)</f>
        <v>106.93</v>
      </c>
      <c r="E123" s="1">
        <f ca="1">IFERROR(__xludf.DUMMYFUNCTION("""COMPUTED_VALUE"""),107.13)</f>
        <v>107.13</v>
      </c>
      <c r="F123" s="1">
        <f ca="1">IFERROR(__xludf.DUMMYFUNCTION("""COMPUTED_VALUE"""),0)</f>
        <v>0</v>
      </c>
    </row>
    <row r="124" spans="1:6" ht="15.75" customHeight="1">
      <c r="A124" s="10">
        <f ca="1">IFERROR(__xludf.DUMMYFUNCTION("""COMPUTED_VALUE"""),43851.6666666666)</f>
        <v>43851.666666666599</v>
      </c>
      <c r="B124" s="1">
        <f ca="1">IFERROR(__xludf.DUMMYFUNCTION("""COMPUTED_VALUE"""),106.57)</f>
        <v>106.57</v>
      </c>
      <c r="C124" s="1">
        <f ca="1">IFERROR(__xludf.DUMMYFUNCTION("""COMPUTED_VALUE"""),106.84)</f>
        <v>106.84</v>
      </c>
      <c r="D124" s="1">
        <f ca="1">IFERROR(__xludf.DUMMYFUNCTION("""COMPUTED_VALUE"""),105.58)</f>
        <v>105.58</v>
      </c>
      <c r="E124" s="1">
        <f ca="1">IFERROR(__xludf.DUMMYFUNCTION("""COMPUTED_VALUE"""),105.66)</f>
        <v>105.66</v>
      </c>
      <c r="F124" s="1">
        <f ca="1">IFERROR(__xludf.DUMMYFUNCTION("""COMPUTED_VALUE"""),0)</f>
        <v>0</v>
      </c>
    </row>
    <row r="125" spans="1:6" ht="15.75" customHeight="1">
      <c r="A125" s="10">
        <f ca="1">IFERROR(__xludf.DUMMYFUNCTION("""COMPUTED_VALUE"""),43852.6666666666)</f>
        <v>43852.666666666599</v>
      </c>
      <c r="B125" s="1">
        <f ca="1">IFERROR(__xludf.DUMMYFUNCTION("""COMPUTED_VALUE"""),105.84)</f>
        <v>105.84</v>
      </c>
      <c r="C125" s="1">
        <f ca="1">IFERROR(__xludf.DUMMYFUNCTION("""COMPUTED_VALUE"""),105.97)</f>
        <v>105.97</v>
      </c>
      <c r="D125" s="1">
        <f ca="1">IFERROR(__xludf.DUMMYFUNCTION("""COMPUTED_VALUE"""),105.3)</f>
        <v>105.3</v>
      </c>
      <c r="E125" s="1">
        <f ca="1">IFERROR(__xludf.DUMMYFUNCTION("""COMPUTED_VALUE"""),105.62)</f>
        <v>105.62</v>
      </c>
      <c r="F125" s="1">
        <f ca="1">IFERROR(__xludf.DUMMYFUNCTION("""COMPUTED_VALUE"""),0)</f>
        <v>0</v>
      </c>
    </row>
    <row r="126" spans="1:6" ht="15.75" customHeight="1">
      <c r="A126" s="10">
        <f ca="1">IFERROR(__xludf.DUMMYFUNCTION("""COMPUTED_VALUE"""),43853.6666666666)</f>
        <v>43853.666666666599</v>
      </c>
      <c r="B126" s="1">
        <f ca="1">IFERROR(__xludf.DUMMYFUNCTION("""COMPUTED_VALUE"""),105.63)</f>
        <v>105.63</v>
      </c>
      <c r="C126" s="1">
        <f ca="1">IFERROR(__xludf.DUMMYFUNCTION("""COMPUTED_VALUE"""),105.99)</f>
        <v>105.99</v>
      </c>
      <c r="D126" s="1">
        <f ca="1">IFERROR(__xludf.DUMMYFUNCTION("""COMPUTED_VALUE"""),104.52)</f>
        <v>104.52</v>
      </c>
      <c r="E126" s="1">
        <f ca="1">IFERROR(__xludf.DUMMYFUNCTION("""COMPUTED_VALUE"""),105.77)</f>
        <v>105.77</v>
      </c>
      <c r="F126" s="1">
        <f ca="1">IFERROR(__xludf.DUMMYFUNCTION("""COMPUTED_VALUE"""),0)</f>
        <v>0</v>
      </c>
    </row>
    <row r="127" spans="1:6" ht="15.75" customHeight="1">
      <c r="A127" s="10">
        <f ca="1">IFERROR(__xludf.DUMMYFUNCTION("""COMPUTED_VALUE"""),43854.6666666666)</f>
        <v>43854.666666666599</v>
      </c>
      <c r="B127" s="1">
        <f ca="1">IFERROR(__xludf.DUMMYFUNCTION("""COMPUTED_VALUE"""),105.93)</f>
        <v>105.93</v>
      </c>
      <c r="C127" s="1">
        <f ca="1">IFERROR(__xludf.DUMMYFUNCTION("""COMPUTED_VALUE"""),106.01)</f>
        <v>106.01</v>
      </c>
      <c r="D127" s="1">
        <f ca="1">IFERROR(__xludf.DUMMYFUNCTION("""COMPUTED_VALUE"""),103.23)</f>
        <v>103.23</v>
      </c>
      <c r="E127" s="1">
        <f ca="1">IFERROR(__xludf.DUMMYFUNCTION("""COMPUTED_VALUE"""),104.21)</f>
        <v>104.21</v>
      </c>
      <c r="F127" s="1">
        <f ca="1">IFERROR(__xludf.DUMMYFUNCTION("""COMPUTED_VALUE"""),0)</f>
        <v>0</v>
      </c>
    </row>
    <row r="128" spans="1:6" ht="15.75" customHeight="1">
      <c r="A128" s="10">
        <f ca="1">IFERROR(__xludf.DUMMYFUNCTION("""COMPUTED_VALUE"""),43857.6666666666)</f>
        <v>43857.666666666599</v>
      </c>
      <c r="B128" s="1">
        <f ca="1">IFERROR(__xludf.DUMMYFUNCTION("""COMPUTED_VALUE"""),102.4)</f>
        <v>102.4</v>
      </c>
      <c r="C128" s="1">
        <f ca="1">IFERROR(__xludf.DUMMYFUNCTION("""COMPUTED_VALUE"""),103.39)</f>
        <v>103.39</v>
      </c>
      <c r="D128" s="1">
        <f ca="1">IFERROR(__xludf.DUMMYFUNCTION("""COMPUTED_VALUE"""),102.19)</f>
        <v>102.19</v>
      </c>
      <c r="E128" s="1">
        <f ca="1">IFERROR(__xludf.DUMMYFUNCTION("""COMPUTED_VALUE"""),102.67)</f>
        <v>102.67</v>
      </c>
      <c r="F128" s="1">
        <f ca="1">IFERROR(__xludf.DUMMYFUNCTION("""COMPUTED_VALUE"""),0)</f>
        <v>0</v>
      </c>
    </row>
    <row r="129" spans="1:6" ht="15.75" customHeight="1">
      <c r="A129" s="10">
        <f ca="1">IFERROR(__xludf.DUMMYFUNCTION("""COMPUTED_VALUE"""),43858.6666666666)</f>
        <v>43858.666666666599</v>
      </c>
      <c r="B129" s="1">
        <f ca="1">IFERROR(__xludf.DUMMYFUNCTION("""COMPUTED_VALUE"""),103.51)</f>
        <v>103.51</v>
      </c>
      <c r="C129" s="1">
        <f ca="1">IFERROR(__xludf.DUMMYFUNCTION("""COMPUTED_VALUE"""),104.01)</f>
        <v>104.01</v>
      </c>
      <c r="D129" s="1">
        <f ca="1">IFERROR(__xludf.DUMMYFUNCTION("""COMPUTED_VALUE"""),102.99)</f>
        <v>102.99</v>
      </c>
      <c r="E129" s="1">
        <f ca="1">IFERROR(__xludf.DUMMYFUNCTION("""COMPUTED_VALUE"""),103.29)</f>
        <v>103.29</v>
      </c>
      <c r="F129" s="1">
        <f ca="1">IFERROR(__xludf.DUMMYFUNCTION("""COMPUTED_VALUE"""),0)</f>
        <v>0</v>
      </c>
    </row>
    <row r="130" spans="1:6" ht="15.75" customHeight="1">
      <c r="A130" s="10">
        <f ca="1">IFERROR(__xludf.DUMMYFUNCTION("""COMPUTED_VALUE"""),43859.6666666666)</f>
        <v>43859.666666666599</v>
      </c>
      <c r="B130" s="1">
        <f ca="1">IFERROR(__xludf.DUMMYFUNCTION("""COMPUTED_VALUE"""),103.46)</f>
        <v>103.46</v>
      </c>
      <c r="C130" s="1">
        <f ca="1">IFERROR(__xludf.DUMMYFUNCTION("""COMPUTED_VALUE"""),103.88)</f>
        <v>103.88</v>
      </c>
      <c r="D130" s="1">
        <f ca="1">IFERROR(__xludf.DUMMYFUNCTION("""COMPUTED_VALUE"""),102.1)</f>
        <v>102.1</v>
      </c>
      <c r="E130" s="1">
        <f ca="1">IFERROR(__xludf.DUMMYFUNCTION("""COMPUTED_VALUE"""),102.1)</f>
        <v>102.1</v>
      </c>
      <c r="F130" s="1">
        <f ca="1">IFERROR(__xludf.DUMMYFUNCTION("""COMPUTED_VALUE"""),0)</f>
        <v>0</v>
      </c>
    </row>
    <row r="131" spans="1:6" ht="15.75" customHeight="1">
      <c r="A131" s="10">
        <f ca="1">IFERROR(__xludf.DUMMYFUNCTION("""COMPUTED_VALUE"""),43860.6666666666)</f>
        <v>43860.666666666599</v>
      </c>
      <c r="B131" s="1">
        <f ca="1">IFERROR(__xludf.DUMMYFUNCTION("""COMPUTED_VALUE"""),101.51)</f>
        <v>101.51</v>
      </c>
      <c r="C131" s="1">
        <f ca="1">IFERROR(__xludf.DUMMYFUNCTION("""COMPUTED_VALUE"""),103.22)</f>
        <v>103.22</v>
      </c>
      <c r="D131" s="1">
        <f ca="1">IFERROR(__xludf.DUMMYFUNCTION("""COMPUTED_VALUE"""),101.23)</f>
        <v>101.23</v>
      </c>
      <c r="E131" s="1">
        <f ca="1">IFERROR(__xludf.DUMMYFUNCTION("""COMPUTED_VALUE"""),103.21)</f>
        <v>103.21</v>
      </c>
      <c r="F131" s="1">
        <f ca="1">IFERROR(__xludf.DUMMYFUNCTION("""COMPUTED_VALUE"""),0)</f>
        <v>0</v>
      </c>
    </row>
    <row r="132" spans="1:6" ht="15.75" customHeight="1">
      <c r="A132" s="10">
        <f ca="1">IFERROR(__xludf.DUMMYFUNCTION("""COMPUTED_VALUE"""),43861.6666666666)</f>
        <v>43861.666666666599</v>
      </c>
      <c r="B132" s="1">
        <f ca="1">IFERROR(__xludf.DUMMYFUNCTION("""COMPUTED_VALUE"""),102.23)</f>
        <v>102.23</v>
      </c>
      <c r="C132" s="1">
        <f ca="1">IFERROR(__xludf.DUMMYFUNCTION("""COMPUTED_VALUE"""),102.31)</f>
        <v>102.31</v>
      </c>
      <c r="D132" s="1">
        <f ca="1">IFERROR(__xludf.DUMMYFUNCTION("""COMPUTED_VALUE"""),100.83)</f>
        <v>100.83</v>
      </c>
      <c r="E132" s="1">
        <f ca="1">IFERROR(__xludf.DUMMYFUNCTION("""COMPUTED_VALUE"""),101.05)</f>
        <v>101.05</v>
      </c>
      <c r="F132" s="1">
        <f ca="1">IFERROR(__xludf.DUMMYFUNCTION("""COMPUTED_VALUE"""),0)</f>
        <v>0</v>
      </c>
    </row>
    <row r="133" spans="1:6" ht="15.75" customHeight="1">
      <c r="A133" s="10">
        <f ca="1">IFERROR(__xludf.DUMMYFUNCTION("""COMPUTED_VALUE"""),43864.6666666666)</f>
        <v>43864.666666666599</v>
      </c>
      <c r="B133" s="1">
        <f ca="1">IFERROR(__xludf.DUMMYFUNCTION("""COMPUTED_VALUE"""),101.77)</f>
        <v>101.77</v>
      </c>
      <c r="C133" s="1">
        <f ca="1">IFERROR(__xludf.DUMMYFUNCTION("""COMPUTED_VALUE"""),102.82)</f>
        <v>102.82</v>
      </c>
      <c r="D133" s="1">
        <f ca="1">IFERROR(__xludf.DUMMYFUNCTION("""COMPUTED_VALUE"""),101.74)</f>
        <v>101.74</v>
      </c>
      <c r="E133" s="1">
        <f ca="1">IFERROR(__xludf.DUMMYFUNCTION("""COMPUTED_VALUE"""),102.42)</f>
        <v>102.42</v>
      </c>
      <c r="F133" s="1">
        <f ca="1">IFERROR(__xludf.DUMMYFUNCTION("""COMPUTED_VALUE"""),0)</f>
        <v>0</v>
      </c>
    </row>
    <row r="134" spans="1:6" ht="15.75" customHeight="1">
      <c r="A134" s="10">
        <f ca="1">IFERROR(__xludf.DUMMYFUNCTION("""COMPUTED_VALUE"""),43865.6666666666)</f>
        <v>43865.666666666599</v>
      </c>
      <c r="B134" s="1">
        <f ca="1">IFERROR(__xludf.DUMMYFUNCTION("""COMPUTED_VALUE"""),103.85)</f>
        <v>103.85</v>
      </c>
      <c r="C134" s="1">
        <f ca="1">IFERROR(__xludf.DUMMYFUNCTION("""COMPUTED_VALUE"""),104.19)</f>
        <v>104.19</v>
      </c>
      <c r="D134" s="1">
        <f ca="1">IFERROR(__xludf.DUMMYFUNCTION("""COMPUTED_VALUE"""),103.44)</f>
        <v>103.44</v>
      </c>
      <c r="E134" s="1">
        <f ca="1">IFERROR(__xludf.DUMMYFUNCTION("""COMPUTED_VALUE"""),103.52)</f>
        <v>103.52</v>
      </c>
      <c r="F134" s="1">
        <f ca="1">IFERROR(__xludf.DUMMYFUNCTION("""COMPUTED_VALUE"""),0)</f>
        <v>0</v>
      </c>
    </row>
    <row r="135" spans="1:6" ht="15.75" customHeight="1">
      <c r="A135" s="10">
        <f ca="1">IFERROR(__xludf.DUMMYFUNCTION("""COMPUTED_VALUE"""),43866.6666666666)</f>
        <v>43866.666666666599</v>
      </c>
      <c r="B135" s="1">
        <f ca="1">IFERROR(__xludf.DUMMYFUNCTION("""COMPUTED_VALUE"""),104.82)</f>
        <v>104.82</v>
      </c>
      <c r="C135" s="1">
        <f ca="1">IFERROR(__xludf.DUMMYFUNCTION("""COMPUTED_VALUE"""),105.96)</f>
        <v>105.96</v>
      </c>
      <c r="D135" s="1">
        <f ca="1">IFERROR(__xludf.DUMMYFUNCTION("""COMPUTED_VALUE"""),104.82)</f>
        <v>104.82</v>
      </c>
      <c r="E135" s="1">
        <f ca="1">IFERROR(__xludf.DUMMYFUNCTION("""COMPUTED_VALUE"""),105.79)</f>
        <v>105.79</v>
      </c>
      <c r="F135" s="1">
        <f ca="1">IFERROR(__xludf.DUMMYFUNCTION("""COMPUTED_VALUE"""),0)</f>
        <v>0</v>
      </c>
    </row>
    <row r="136" spans="1:6" ht="15.75" customHeight="1">
      <c r="A136" s="10">
        <f ca="1">IFERROR(__xludf.DUMMYFUNCTION("""COMPUTED_VALUE"""),43867.6666666666)</f>
        <v>43867.666666666599</v>
      </c>
      <c r="B136" s="1">
        <f ca="1">IFERROR(__xludf.DUMMYFUNCTION("""COMPUTED_VALUE"""),106.32)</f>
        <v>106.32</v>
      </c>
      <c r="C136" s="1">
        <f ca="1">IFERROR(__xludf.DUMMYFUNCTION("""COMPUTED_VALUE"""),106.43)</f>
        <v>106.43</v>
      </c>
      <c r="D136" s="1">
        <f ca="1">IFERROR(__xludf.DUMMYFUNCTION("""COMPUTED_VALUE"""),104.42)</f>
        <v>104.42</v>
      </c>
      <c r="E136" s="1">
        <f ca="1">IFERROR(__xludf.DUMMYFUNCTION("""COMPUTED_VALUE"""),104.48)</f>
        <v>104.48</v>
      </c>
      <c r="F136" s="1">
        <f ca="1">IFERROR(__xludf.DUMMYFUNCTION("""COMPUTED_VALUE"""),0)</f>
        <v>0</v>
      </c>
    </row>
    <row r="137" spans="1:6" ht="15.75" customHeight="1">
      <c r="A137" s="10">
        <f ca="1">IFERROR(__xludf.DUMMYFUNCTION("""COMPUTED_VALUE"""),43868.6666666666)</f>
        <v>43868.666666666599</v>
      </c>
      <c r="B137" s="1">
        <f ca="1">IFERROR(__xludf.DUMMYFUNCTION("""COMPUTED_VALUE"""),103.83)</f>
        <v>103.83</v>
      </c>
      <c r="C137" s="1">
        <f ca="1">IFERROR(__xludf.DUMMYFUNCTION("""COMPUTED_VALUE"""),103.96)</f>
        <v>103.96</v>
      </c>
      <c r="D137" s="1">
        <f ca="1">IFERROR(__xludf.DUMMYFUNCTION("""COMPUTED_VALUE"""),103.16)</f>
        <v>103.16</v>
      </c>
      <c r="E137" s="1">
        <f ca="1">IFERROR(__xludf.DUMMYFUNCTION("""COMPUTED_VALUE"""),103.29)</f>
        <v>103.29</v>
      </c>
      <c r="F137" s="1">
        <f ca="1">IFERROR(__xludf.DUMMYFUNCTION("""COMPUTED_VALUE"""),0)</f>
        <v>0</v>
      </c>
    </row>
    <row r="138" spans="1:6" ht="15.75" customHeight="1">
      <c r="A138" s="10">
        <f ca="1">IFERROR(__xludf.DUMMYFUNCTION("""COMPUTED_VALUE"""),43871.6666666666)</f>
        <v>43871.666666666599</v>
      </c>
      <c r="B138" s="1">
        <f ca="1">IFERROR(__xludf.DUMMYFUNCTION("""COMPUTED_VALUE"""),102.8)</f>
        <v>102.8</v>
      </c>
      <c r="C138" s="1">
        <f ca="1">IFERROR(__xludf.DUMMYFUNCTION("""COMPUTED_VALUE"""),103.39)</f>
        <v>103.39</v>
      </c>
      <c r="D138" s="1">
        <f ca="1">IFERROR(__xludf.DUMMYFUNCTION("""COMPUTED_VALUE"""),102.7)</f>
        <v>102.7</v>
      </c>
      <c r="E138" s="1">
        <f ca="1">IFERROR(__xludf.DUMMYFUNCTION("""COMPUTED_VALUE"""),103.37)</f>
        <v>103.37</v>
      </c>
      <c r="F138" s="1">
        <f ca="1">IFERROR(__xludf.DUMMYFUNCTION("""COMPUTED_VALUE"""),0)</f>
        <v>0</v>
      </c>
    </row>
    <row r="139" spans="1:6" ht="15.75" customHeight="1">
      <c r="A139" s="10">
        <f ca="1">IFERROR(__xludf.DUMMYFUNCTION("""COMPUTED_VALUE"""),43872.6666666666)</f>
        <v>43872.666666666599</v>
      </c>
      <c r="B139" s="1">
        <f ca="1">IFERROR(__xludf.DUMMYFUNCTION("""COMPUTED_VALUE"""),103.78)</f>
        <v>103.78</v>
      </c>
      <c r="C139" s="1">
        <f ca="1">IFERROR(__xludf.DUMMYFUNCTION("""COMPUTED_VALUE"""),104.76)</f>
        <v>104.76</v>
      </c>
      <c r="D139" s="1">
        <f ca="1">IFERROR(__xludf.DUMMYFUNCTION("""COMPUTED_VALUE"""),103.78)</f>
        <v>103.78</v>
      </c>
      <c r="E139" s="1">
        <f ca="1">IFERROR(__xludf.DUMMYFUNCTION("""COMPUTED_VALUE"""),103.83)</f>
        <v>103.83</v>
      </c>
      <c r="F139" s="1">
        <f ca="1">IFERROR(__xludf.DUMMYFUNCTION("""COMPUTED_VALUE"""),0)</f>
        <v>0</v>
      </c>
    </row>
    <row r="140" spans="1:6" ht="15.75" customHeight="1">
      <c r="A140" s="10">
        <f ca="1">IFERROR(__xludf.DUMMYFUNCTION("""COMPUTED_VALUE"""),43873.6666666666)</f>
        <v>43873.666666666599</v>
      </c>
      <c r="B140" s="1">
        <f ca="1">IFERROR(__xludf.DUMMYFUNCTION("""COMPUTED_VALUE"""),104.67)</f>
        <v>104.67</v>
      </c>
      <c r="C140" s="1">
        <f ca="1">IFERROR(__xludf.DUMMYFUNCTION("""COMPUTED_VALUE"""),104.82)</f>
        <v>104.82</v>
      </c>
      <c r="D140" s="1">
        <f ca="1">IFERROR(__xludf.DUMMYFUNCTION("""COMPUTED_VALUE"""),103.7)</f>
        <v>103.7</v>
      </c>
      <c r="E140" s="1">
        <f ca="1">IFERROR(__xludf.DUMMYFUNCTION("""COMPUTED_VALUE"""),104.2)</f>
        <v>104.2</v>
      </c>
      <c r="F140" s="1">
        <f ca="1">IFERROR(__xludf.DUMMYFUNCTION("""COMPUTED_VALUE"""),0)</f>
        <v>0</v>
      </c>
    </row>
    <row r="141" spans="1:6" ht="15.75" customHeight="1">
      <c r="A141" s="10">
        <f ca="1">IFERROR(__xludf.DUMMYFUNCTION("""COMPUTED_VALUE"""),43874.6666666666)</f>
        <v>43874.666666666599</v>
      </c>
      <c r="B141" s="1">
        <f ca="1">IFERROR(__xludf.DUMMYFUNCTION("""COMPUTED_VALUE"""),103.59)</f>
        <v>103.59</v>
      </c>
      <c r="C141" s="1">
        <f ca="1">IFERROR(__xludf.DUMMYFUNCTION("""COMPUTED_VALUE"""),104.77)</f>
        <v>104.77</v>
      </c>
      <c r="D141" s="1">
        <f ca="1">IFERROR(__xludf.DUMMYFUNCTION("""COMPUTED_VALUE"""),103.55)</f>
        <v>103.55</v>
      </c>
      <c r="E141" s="1">
        <f ca="1">IFERROR(__xludf.DUMMYFUNCTION("""COMPUTED_VALUE"""),104.73)</f>
        <v>104.73</v>
      </c>
      <c r="F141" s="1">
        <f ca="1">IFERROR(__xludf.DUMMYFUNCTION("""COMPUTED_VALUE"""),0)</f>
        <v>0</v>
      </c>
    </row>
    <row r="142" spans="1:6" ht="15.75" customHeight="1">
      <c r="A142" s="10">
        <f ca="1">IFERROR(__xludf.DUMMYFUNCTION("""COMPUTED_VALUE"""),43875.6666666666)</f>
        <v>43875.666666666599</v>
      </c>
      <c r="B142" s="1">
        <f ca="1">IFERROR(__xludf.DUMMYFUNCTION("""COMPUTED_VALUE"""),104.64)</f>
        <v>104.64</v>
      </c>
      <c r="C142" s="1">
        <f ca="1">IFERROR(__xludf.DUMMYFUNCTION("""COMPUTED_VALUE"""),104.68)</f>
        <v>104.68</v>
      </c>
      <c r="D142" s="1">
        <f ca="1">IFERROR(__xludf.DUMMYFUNCTION("""COMPUTED_VALUE"""),103.67)</f>
        <v>103.67</v>
      </c>
      <c r="E142" s="1">
        <f ca="1">IFERROR(__xludf.DUMMYFUNCTION("""COMPUTED_VALUE"""),103.88)</f>
        <v>103.88</v>
      </c>
      <c r="F142" s="1">
        <f ca="1">IFERROR(__xludf.DUMMYFUNCTION("""COMPUTED_VALUE"""),0)</f>
        <v>0</v>
      </c>
    </row>
    <row r="143" spans="1:6" ht="15.75" customHeight="1">
      <c r="A143" s="10">
        <f ca="1">IFERROR(__xludf.DUMMYFUNCTION("""COMPUTED_VALUE"""),43879.6666666666)</f>
        <v>43879.666666666599</v>
      </c>
      <c r="B143" s="1">
        <f ca="1">IFERROR(__xludf.DUMMYFUNCTION("""COMPUTED_VALUE"""),103.4)</f>
        <v>103.4</v>
      </c>
      <c r="C143" s="1">
        <f ca="1">IFERROR(__xludf.DUMMYFUNCTION("""COMPUTED_VALUE"""),103.68)</f>
        <v>103.68</v>
      </c>
      <c r="D143" s="1">
        <f ca="1">IFERROR(__xludf.DUMMYFUNCTION("""COMPUTED_VALUE"""),102.08)</f>
        <v>102.08</v>
      </c>
      <c r="E143" s="1">
        <f ca="1">IFERROR(__xludf.DUMMYFUNCTION("""COMPUTED_VALUE"""),102.56)</f>
        <v>102.56</v>
      </c>
      <c r="F143" s="1">
        <f ca="1">IFERROR(__xludf.DUMMYFUNCTION("""COMPUTED_VALUE"""),0)</f>
        <v>0</v>
      </c>
    </row>
    <row r="144" spans="1:6" ht="15.75" customHeight="1">
      <c r="A144" s="10">
        <f ca="1">IFERROR(__xludf.DUMMYFUNCTION("""COMPUTED_VALUE"""),43880.6666666666)</f>
        <v>43880.666666666599</v>
      </c>
      <c r="B144" s="1">
        <f ca="1">IFERROR(__xludf.DUMMYFUNCTION("""COMPUTED_VALUE"""),102.92)</f>
        <v>102.92</v>
      </c>
      <c r="C144" s="1">
        <f ca="1">IFERROR(__xludf.DUMMYFUNCTION("""COMPUTED_VALUE"""),103.3)</f>
        <v>103.3</v>
      </c>
      <c r="D144" s="1">
        <f ca="1">IFERROR(__xludf.DUMMYFUNCTION("""COMPUTED_VALUE"""),102.87)</f>
        <v>102.87</v>
      </c>
      <c r="E144" s="1">
        <f ca="1">IFERROR(__xludf.DUMMYFUNCTION("""COMPUTED_VALUE"""),102.97)</f>
        <v>102.97</v>
      </c>
      <c r="F144" s="1">
        <f ca="1">IFERROR(__xludf.DUMMYFUNCTION("""COMPUTED_VALUE"""),0)</f>
        <v>0</v>
      </c>
    </row>
    <row r="145" spans="1:6" ht="15.75" customHeight="1">
      <c r="A145" s="10">
        <f ca="1">IFERROR(__xludf.DUMMYFUNCTION("""COMPUTED_VALUE"""),43881.6666666666)</f>
        <v>43881.666666666599</v>
      </c>
      <c r="B145" s="1">
        <f ca="1">IFERROR(__xludf.DUMMYFUNCTION("""COMPUTED_VALUE"""),102.77)</f>
        <v>102.77</v>
      </c>
      <c r="C145" s="1">
        <f ca="1">IFERROR(__xludf.DUMMYFUNCTION("""COMPUTED_VALUE"""),104.31)</f>
        <v>104.31</v>
      </c>
      <c r="D145" s="1">
        <f ca="1">IFERROR(__xludf.DUMMYFUNCTION("""COMPUTED_VALUE"""),102.76)</f>
        <v>102.76</v>
      </c>
      <c r="E145" s="1">
        <f ca="1">IFERROR(__xludf.DUMMYFUNCTION("""COMPUTED_VALUE"""),104.01)</f>
        <v>104.01</v>
      </c>
      <c r="F145" s="1">
        <f ca="1">IFERROR(__xludf.DUMMYFUNCTION("""COMPUTED_VALUE"""),0)</f>
        <v>0</v>
      </c>
    </row>
    <row r="146" spans="1:6" ht="15.75" customHeight="1">
      <c r="A146" s="10">
        <f ca="1">IFERROR(__xludf.DUMMYFUNCTION("""COMPUTED_VALUE"""),43882.6666666666)</f>
        <v>43882.666666666599</v>
      </c>
      <c r="B146" s="1">
        <f ca="1">IFERROR(__xludf.DUMMYFUNCTION("""COMPUTED_VALUE"""),103.47)</f>
        <v>103.47</v>
      </c>
      <c r="C146" s="1">
        <f ca="1">IFERROR(__xludf.DUMMYFUNCTION("""COMPUTED_VALUE"""),103.49)</f>
        <v>103.49</v>
      </c>
      <c r="D146" s="1">
        <f ca="1">IFERROR(__xludf.DUMMYFUNCTION("""COMPUTED_VALUE"""),102.11)</f>
        <v>102.11</v>
      </c>
      <c r="E146" s="1">
        <f ca="1">IFERROR(__xludf.DUMMYFUNCTION("""COMPUTED_VALUE"""),102.5)</f>
        <v>102.5</v>
      </c>
      <c r="F146" s="1">
        <f ca="1">IFERROR(__xludf.DUMMYFUNCTION("""COMPUTED_VALUE"""),0)</f>
        <v>0</v>
      </c>
    </row>
    <row r="147" spans="1:6" ht="15.75" customHeight="1">
      <c r="A147" s="10">
        <f ca="1">IFERROR(__xludf.DUMMYFUNCTION("""COMPUTED_VALUE"""),43885.6666666666)</f>
        <v>43885.666666666599</v>
      </c>
      <c r="B147" s="1">
        <f ca="1">IFERROR(__xludf.DUMMYFUNCTION("""COMPUTED_VALUE"""),99.83)</f>
        <v>99.83</v>
      </c>
      <c r="C147" s="1">
        <f ca="1">IFERROR(__xludf.DUMMYFUNCTION("""COMPUTED_VALUE"""),100.03)</f>
        <v>100.03</v>
      </c>
      <c r="D147" s="1">
        <f ca="1">IFERROR(__xludf.DUMMYFUNCTION("""COMPUTED_VALUE"""),98.75)</f>
        <v>98.75</v>
      </c>
      <c r="E147" s="1">
        <f ca="1">IFERROR(__xludf.DUMMYFUNCTION("""COMPUTED_VALUE"""),99.52)</f>
        <v>99.52</v>
      </c>
      <c r="F147" s="1">
        <f ca="1">IFERROR(__xludf.DUMMYFUNCTION("""COMPUTED_VALUE"""),0)</f>
        <v>0</v>
      </c>
    </row>
    <row r="148" spans="1:6" ht="15.75" customHeight="1">
      <c r="A148" s="10">
        <f ca="1">IFERROR(__xludf.DUMMYFUNCTION("""COMPUTED_VALUE"""),43886.6666666666)</f>
        <v>43886.666666666599</v>
      </c>
      <c r="B148" s="1">
        <f ca="1">IFERROR(__xludf.DUMMYFUNCTION("""COMPUTED_VALUE"""),99.59)</f>
        <v>99.59</v>
      </c>
      <c r="C148" s="1">
        <f ca="1">IFERROR(__xludf.DUMMYFUNCTION("""COMPUTED_VALUE"""),99.6)</f>
        <v>99.6</v>
      </c>
      <c r="D148" s="1">
        <f ca="1">IFERROR(__xludf.DUMMYFUNCTION("""COMPUTED_VALUE"""),95.7)</f>
        <v>95.7</v>
      </c>
      <c r="E148" s="1">
        <f ca="1">IFERROR(__xludf.DUMMYFUNCTION("""COMPUTED_VALUE"""),95.92)</f>
        <v>95.92</v>
      </c>
      <c r="F148" s="1">
        <f ca="1">IFERROR(__xludf.DUMMYFUNCTION("""COMPUTED_VALUE"""),0)</f>
        <v>0</v>
      </c>
    </row>
    <row r="149" spans="1:6" ht="15.75" customHeight="1">
      <c r="A149" s="10">
        <f ca="1">IFERROR(__xludf.DUMMYFUNCTION("""COMPUTED_VALUE"""),43887.6666666666)</f>
        <v>43887.666666666599</v>
      </c>
      <c r="B149" s="1">
        <f ca="1">IFERROR(__xludf.DUMMYFUNCTION("""COMPUTED_VALUE"""),96.65)</f>
        <v>96.65</v>
      </c>
      <c r="C149" s="1">
        <f ca="1">IFERROR(__xludf.DUMMYFUNCTION("""COMPUTED_VALUE"""),97.07)</f>
        <v>97.07</v>
      </c>
      <c r="D149" s="1">
        <f ca="1">IFERROR(__xludf.DUMMYFUNCTION("""COMPUTED_VALUE"""),94.47)</f>
        <v>94.47</v>
      </c>
      <c r="E149" s="1">
        <f ca="1">IFERROR(__xludf.DUMMYFUNCTION("""COMPUTED_VALUE"""),94.65)</f>
        <v>94.65</v>
      </c>
      <c r="F149" s="1">
        <f ca="1">IFERROR(__xludf.DUMMYFUNCTION("""COMPUTED_VALUE"""),0)</f>
        <v>0</v>
      </c>
    </row>
    <row r="150" spans="1:6" ht="15.75" customHeight="1">
      <c r="A150" s="10">
        <f ca="1">IFERROR(__xludf.DUMMYFUNCTION("""COMPUTED_VALUE"""),43888.6666666666)</f>
        <v>43888.666666666599</v>
      </c>
      <c r="B150" s="1">
        <f ca="1">IFERROR(__xludf.DUMMYFUNCTION("""COMPUTED_VALUE"""),92.69)</f>
        <v>92.69</v>
      </c>
      <c r="C150" s="1">
        <f ca="1">IFERROR(__xludf.DUMMYFUNCTION("""COMPUTED_VALUE"""),95.24)</f>
        <v>95.24</v>
      </c>
      <c r="D150" s="1">
        <f ca="1">IFERROR(__xludf.DUMMYFUNCTION("""COMPUTED_VALUE"""),91.25)</f>
        <v>91.25</v>
      </c>
      <c r="E150" s="1">
        <f ca="1">IFERROR(__xludf.DUMMYFUNCTION("""COMPUTED_VALUE"""),91.32)</f>
        <v>91.32</v>
      </c>
      <c r="F150" s="1">
        <f ca="1">IFERROR(__xludf.DUMMYFUNCTION("""COMPUTED_VALUE"""),0)</f>
        <v>0</v>
      </c>
    </row>
    <row r="151" spans="1:6" ht="15.75" customHeight="1">
      <c r="A151" s="10">
        <f ca="1">IFERROR(__xludf.DUMMYFUNCTION("""COMPUTED_VALUE"""),43889.6666666666)</f>
        <v>43889.666666666599</v>
      </c>
      <c r="B151" s="1">
        <f ca="1">IFERROR(__xludf.DUMMYFUNCTION("""COMPUTED_VALUE"""),88.91)</f>
        <v>88.91</v>
      </c>
      <c r="C151" s="1">
        <f ca="1">IFERROR(__xludf.DUMMYFUNCTION("""COMPUTED_VALUE"""),89.89)</f>
        <v>89.89</v>
      </c>
      <c r="D151" s="1">
        <f ca="1">IFERROR(__xludf.DUMMYFUNCTION("""COMPUTED_VALUE"""),86.31)</f>
        <v>86.31</v>
      </c>
      <c r="E151" s="1">
        <f ca="1">IFERROR(__xludf.DUMMYFUNCTION("""COMPUTED_VALUE"""),87.88)</f>
        <v>87.88</v>
      </c>
      <c r="F151" s="1">
        <f ca="1">IFERROR(__xludf.DUMMYFUNCTION("""COMPUTED_VALUE"""),0)</f>
        <v>0</v>
      </c>
    </row>
    <row r="152" spans="1:6" ht="15.75" customHeight="1">
      <c r="A152" s="10">
        <f ca="1">IFERROR(__xludf.DUMMYFUNCTION("""COMPUTED_VALUE"""),43892.6666666666)</f>
        <v>43892.666666666599</v>
      </c>
      <c r="B152" s="1">
        <f ca="1">IFERROR(__xludf.DUMMYFUNCTION("""COMPUTED_VALUE"""),88)</f>
        <v>88</v>
      </c>
      <c r="C152" s="1">
        <f ca="1">IFERROR(__xludf.DUMMYFUNCTION("""COMPUTED_VALUE"""),92.13)</f>
        <v>92.13</v>
      </c>
      <c r="D152" s="1">
        <f ca="1">IFERROR(__xludf.DUMMYFUNCTION("""COMPUTED_VALUE"""),87.4)</f>
        <v>87.4</v>
      </c>
      <c r="E152" s="1">
        <f ca="1">IFERROR(__xludf.DUMMYFUNCTION("""COMPUTED_VALUE"""),92.13)</f>
        <v>92.13</v>
      </c>
      <c r="F152" s="1">
        <f ca="1">IFERROR(__xludf.DUMMYFUNCTION("""COMPUTED_VALUE"""),0)</f>
        <v>0</v>
      </c>
    </row>
    <row r="153" spans="1:6" ht="15.75" customHeight="1">
      <c r="A153" s="10">
        <f ca="1">IFERROR(__xludf.DUMMYFUNCTION("""COMPUTED_VALUE"""),43893.6666666666)</f>
        <v>43893.666666666599</v>
      </c>
      <c r="B153" s="1">
        <f ca="1">IFERROR(__xludf.DUMMYFUNCTION("""COMPUTED_VALUE"""),91.82)</f>
        <v>91.82</v>
      </c>
      <c r="C153" s="1">
        <f ca="1">IFERROR(__xludf.DUMMYFUNCTION("""COMPUTED_VALUE"""),92.86)</f>
        <v>92.86</v>
      </c>
      <c r="D153" s="1">
        <f ca="1">IFERROR(__xludf.DUMMYFUNCTION("""COMPUTED_VALUE"""),87.99)</f>
        <v>87.99</v>
      </c>
      <c r="E153" s="1">
        <f ca="1">IFERROR(__xludf.DUMMYFUNCTION("""COMPUTED_VALUE"""),88.85)</f>
        <v>88.85</v>
      </c>
      <c r="F153" s="1">
        <f ca="1">IFERROR(__xludf.DUMMYFUNCTION("""COMPUTED_VALUE"""),0)</f>
        <v>0</v>
      </c>
    </row>
    <row r="154" spans="1:6" ht="15.75" customHeight="1">
      <c r="A154" s="10">
        <f ca="1">IFERROR(__xludf.DUMMYFUNCTION("""COMPUTED_VALUE"""),43894.6666666666)</f>
        <v>43894.666666666599</v>
      </c>
      <c r="B154" s="1">
        <f ca="1">IFERROR(__xludf.DUMMYFUNCTION("""COMPUTED_VALUE"""),89.85)</f>
        <v>89.85</v>
      </c>
      <c r="C154" s="1">
        <f ca="1">IFERROR(__xludf.DUMMYFUNCTION("""COMPUTED_VALUE"""),90.77)</f>
        <v>90.77</v>
      </c>
      <c r="D154" s="1">
        <f ca="1">IFERROR(__xludf.DUMMYFUNCTION("""COMPUTED_VALUE"""),87.55)</f>
        <v>87.55</v>
      </c>
      <c r="E154" s="1">
        <f ca="1">IFERROR(__xludf.DUMMYFUNCTION("""COMPUTED_VALUE"""),90.58)</f>
        <v>90.58</v>
      </c>
      <c r="F154" s="1">
        <f ca="1">IFERROR(__xludf.DUMMYFUNCTION("""COMPUTED_VALUE"""),0)</f>
        <v>0</v>
      </c>
    </row>
    <row r="155" spans="1:6" ht="15.75" customHeight="1">
      <c r="A155" s="10">
        <f ca="1">IFERROR(__xludf.DUMMYFUNCTION("""COMPUTED_VALUE"""),43895.6666666666)</f>
        <v>43895.666666666599</v>
      </c>
      <c r="B155" s="1">
        <f ca="1">IFERROR(__xludf.DUMMYFUNCTION("""COMPUTED_VALUE"""),88.24)</f>
        <v>88.24</v>
      </c>
      <c r="C155" s="1">
        <f ca="1">IFERROR(__xludf.DUMMYFUNCTION("""COMPUTED_VALUE"""),88.24)</f>
        <v>88.24</v>
      </c>
      <c r="D155" s="1">
        <f ca="1">IFERROR(__xludf.DUMMYFUNCTION("""COMPUTED_VALUE"""),85.15)</f>
        <v>85.15</v>
      </c>
      <c r="E155" s="1">
        <f ca="1">IFERROR(__xludf.DUMMYFUNCTION("""COMPUTED_VALUE"""),86.29)</f>
        <v>86.29</v>
      </c>
      <c r="F155" s="1">
        <f ca="1">IFERROR(__xludf.DUMMYFUNCTION("""COMPUTED_VALUE"""),0)</f>
        <v>0</v>
      </c>
    </row>
    <row r="156" spans="1:6" ht="15.75" customHeight="1">
      <c r="A156" s="10">
        <f ca="1">IFERROR(__xludf.DUMMYFUNCTION("""COMPUTED_VALUE"""),43896.6666666666)</f>
        <v>43896.666666666599</v>
      </c>
      <c r="B156" s="1">
        <f ca="1">IFERROR(__xludf.DUMMYFUNCTION("""COMPUTED_VALUE"""),83.88)</f>
        <v>83.88</v>
      </c>
      <c r="C156" s="1">
        <f ca="1">IFERROR(__xludf.DUMMYFUNCTION("""COMPUTED_VALUE"""),85.19)</f>
        <v>85.19</v>
      </c>
      <c r="D156" s="1">
        <f ca="1">IFERROR(__xludf.DUMMYFUNCTION("""COMPUTED_VALUE"""),81.53)</f>
        <v>81.53</v>
      </c>
      <c r="E156" s="1">
        <f ca="1">IFERROR(__xludf.DUMMYFUNCTION("""COMPUTED_VALUE"""),83.14)</f>
        <v>83.14</v>
      </c>
      <c r="F156" s="1">
        <f ca="1">IFERROR(__xludf.DUMMYFUNCTION("""COMPUTED_VALUE"""),0)</f>
        <v>0</v>
      </c>
    </row>
    <row r="157" spans="1:6" ht="15.75" customHeight="1">
      <c r="A157" s="10">
        <f ca="1">IFERROR(__xludf.DUMMYFUNCTION("""COMPUTED_VALUE"""),43899.6666666666)</f>
        <v>43899.666666666599</v>
      </c>
      <c r="B157" s="1">
        <f ca="1">IFERROR(__xludf.DUMMYFUNCTION("""COMPUTED_VALUE"""),78.17)</f>
        <v>78.17</v>
      </c>
      <c r="C157" s="1">
        <f ca="1">IFERROR(__xludf.DUMMYFUNCTION("""COMPUTED_VALUE"""),78.47)</f>
        <v>78.47</v>
      </c>
      <c r="D157" s="1">
        <f ca="1">IFERROR(__xludf.DUMMYFUNCTION("""COMPUTED_VALUE"""),70.49)</f>
        <v>70.489999999999995</v>
      </c>
      <c r="E157" s="1">
        <f ca="1">IFERROR(__xludf.DUMMYFUNCTION("""COMPUTED_VALUE"""),70.52)</f>
        <v>70.52</v>
      </c>
      <c r="F157" s="1">
        <f ca="1">IFERROR(__xludf.DUMMYFUNCTION("""COMPUTED_VALUE"""),0)</f>
        <v>0</v>
      </c>
    </row>
    <row r="158" spans="1:6" ht="15.75" customHeight="1">
      <c r="A158" s="10">
        <f ca="1">IFERROR(__xludf.DUMMYFUNCTION("""COMPUTED_VALUE"""),43900.6666666666)</f>
        <v>43900.666666666599</v>
      </c>
      <c r="B158" s="1">
        <f ca="1">IFERROR(__xludf.DUMMYFUNCTION("""COMPUTED_VALUE"""),73.3)</f>
        <v>73.3</v>
      </c>
      <c r="C158" s="1">
        <f ca="1">IFERROR(__xludf.DUMMYFUNCTION("""COMPUTED_VALUE"""),75.32)</f>
        <v>75.319999999999993</v>
      </c>
      <c r="D158" s="1">
        <f ca="1">IFERROR(__xludf.DUMMYFUNCTION("""COMPUTED_VALUE"""),70.63)</f>
        <v>70.63</v>
      </c>
      <c r="E158" s="1">
        <f ca="1">IFERROR(__xludf.DUMMYFUNCTION("""COMPUTED_VALUE"""),75.32)</f>
        <v>75.319999999999993</v>
      </c>
      <c r="F158" s="1">
        <f ca="1">IFERROR(__xludf.DUMMYFUNCTION("""COMPUTED_VALUE"""),0)</f>
        <v>0</v>
      </c>
    </row>
    <row r="159" spans="1:6" ht="15.75" customHeight="1">
      <c r="A159" s="10">
        <f ca="1">IFERROR(__xludf.DUMMYFUNCTION("""COMPUTED_VALUE"""),43901.6666666666)</f>
        <v>43901.666666666599</v>
      </c>
      <c r="B159" s="1">
        <f ca="1">IFERROR(__xludf.DUMMYFUNCTION("""COMPUTED_VALUE"""),72.91)</f>
        <v>72.91</v>
      </c>
      <c r="C159" s="1">
        <f ca="1">IFERROR(__xludf.DUMMYFUNCTION("""COMPUTED_VALUE"""),73.61)</f>
        <v>73.61</v>
      </c>
      <c r="D159" s="1">
        <f ca="1">IFERROR(__xludf.DUMMYFUNCTION("""COMPUTED_VALUE"""),69.36)</f>
        <v>69.36</v>
      </c>
      <c r="E159" s="1">
        <f ca="1">IFERROR(__xludf.DUMMYFUNCTION("""COMPUTED_VALUE"""),70.25)</f>
        <v>70.25</v>
      </c>
      <c r="F159" s="1">
        <f ca="1">IFERROR(__xludf.DUMMYFUNCTION("""COMPUTED_VALUE"""),0)</f>
        <v>0</v>
      </c>
    </row>
    <row r="160" spans="1:6" ht="15.75" customHeight="1">
      <c r="A160" s="10">
        <f ca="1">IFERROR(__xludf.DUMMYFUNCTION("""COMPUTED_VALUE"""),43902.6666666666)</f>
        <v>43902.666666666599</v>
      </c>
      <c r="B160" s="1">
        <f ca="1">IFERROR(__xludf.DUMMYFUNCTION("""COMPUTED_VALUE"""),65.8)</f>
        <v>65.8</v>
      </c>
      <c r="C160" s="1">
        <f ca="1">IFERROR(__xludf.DUMMYFUNCTION("""COMPUTED_VALUE"""),69.75)</f>
        <v>69.75</v>
      </c>
      <c r="D160" s="1">
        <f ca="1">IFERROR(__xludf.DUMMYFUNCTION("""COMPUTED_VALUE"""),62.48)</f>
        <v>62.48</v>
      </c>
      <c r="E160" s="1">
        <f ca="1">IFERROR(__xludf.DUMMYFUNCTION("""COMPUTED_VALUE"""),64.6)</f>
        <v>64.599999999999994</v>
      </c>
      <c r="F160" s="1">
        <f ca="1">IFERROR(__xludf.DUMMYFUNCTION("""COMPUTED_VALUE"""),0)</f>
        <v>0</v>
      </c>
    </row>
    <row r="161" spans="1:6" ht="15.75" customHeight="1">
      <c r="A161" s="10">
        <f ca="1">IFERROR(__xludf.DUMMYFUNCTION("""COMPUTED_VALUE"""),43903.6666666666)</f>
        <v>43903.666666666599</v>
      </c>
      <c r="B161" s="1">
        <f ca="1">IFERROR(__xludf.DUMMYFUNCTION("""COMPUTED_VALUE"""),68.38)</f>
        <v>68.38</v>
      </c>
      <c r="C161" s="1">
        <f ca="1">IFERROR(__xludf.DUMMYFUNCTION("""COMPUTED_VALUE"""),71.7)</f>
        <v>71.7</v>
      </c>
      <c r="D161" s="1">
        <f ca="1">IFERROR(__xludf.DUMMYFUNCTION("""COMPUTED_VALUE"""),65.78)</f>
        <v>65.78</v>
      </c>
      <c r="E161" s="1">
        <f ca="1">IFERROR(__xludf.DUMMYFUNCTION("""COMPUTED_VALUE"""),71.7)</f>
        <v>71.7</v>
      </c>
      <c r="F161" s="1">
        <f ca="1">IFERROR(__xludf.DUMMYFUNCTION("""COMPUTED_VALUE"""),0)</f>
        <v>0</v>
      </c>
    </row>
    <row r="162" spans="1:6" ht="15.75" customHeight="1">
      <c r="A162" s="10">
        <f ca="1">IFERROR(__xludf.DUMMYFUNCTION("""COMPUTED_VALUE"""),43906.6666666666)</f>
        <v>43906.666666666599</v>
      </c>
      <c r="B162" s="1">
        <f ca="1">IFERROR(__xludf.DUMMYFUNCTION("""COMPUTED_VALUE"""),68.75)</f>
        <v>68.75</v>
      </c>
      <c r="C162" s="1">
        <f ca="1">IFERROR(__xludf.DUMMYFUNCTION("""COMPUTED_VALUE"""),68.75)</f>
        <v>68.75</v>
      </c>
      <c r="D162" s="1">
        <f ca="1">IFERROR(__xludf.DUMMYFUNCTION("""COMPUTED_VALUE"""),63.41)</f>
        <v>63.41</v>
      </c>
      <c r="E162" s="1">
        <f ca="1">IFERROR(__xludf.DUMMYFUNCTION("""COMPUTED_VALUE"""),63.47)</f>
        <v>63.47</v>
      </c>
      <c r="F162" s="1">
        <f ca="1">IFERROR(__xludf.DUMMYFUNCTION("""COMPUTED_VALUE"""),0)</f>
        <v>0</v>
      </c>
    </row>
    <row r="163" spans="1:6" ht="15.75" customHeight="1">
      <c r="A163" s="10">
        <f ca="1">IFERROR(__xludf.DUMMYFUNCTION("""COMPUTED_VALUE"""),43907.6666666666)</f>
        <v>43907.666666666599</v>
      </c>
      <c r="B163" s="1">
        <f ca="1">IFERROR(__xludf.DUMMYFUNCTION("""COMPUTED_VALUE"""),64.57)</f>
        <v>64.569999999999993</v>
      </c>
      <c r="C163" s="1">
        <f ca="1">IFERROR(__xludf.DUMMYFUNCTION("""COMPUTED_VALUE"""),69.14)</f>
        <v>69.14</v>
      </c>
      <c r="D163" s="1">
        <f ca="1">IFERROR(__xludf.DUMMYFUNCTION("""COMPUTED_VALUE"""),62.52)</f>
        <v>62.52</v>
      </c>
      <c r="E163" s="1">
        <f ca="1">IFERROR(__xludf.DUMMYFUNCTION("""COMPUTED_VALUE"""),69.11)</f>
        <v>69.11</v>
      </c>
      <c r="F163" s="1">
        <f ca="1">IFERROR(__xludf.DUMMYFUNCTION("""COMPUTED_VALUE"""),0)</f>
        <v>0</v>
      </c>
    </row>
    <row r="164" spans="1:6" ht="15.75" customHeight="1">
      <c r="A164" s="10">
        <f ca="1">IFERROR(__xludf.DUMMYFUNCTION("""COMPUTED_VALUE"""),43908.6666666666)</f>
        <v>43908.666666666599</v>
      </c>
      <c r="B164" s="1">
        <f ca="1">IFERROR(__xludf.DUMMYFUNCTION("""COMPUTED_VALUE"""),65.02)</f>
        <v>65.02</v>
      </c>
      <c r="C164" s="1">
        <f ca="1">IFERROR(__xludf.DUMMYFUNCTION("""COMPUTED_VALUE"""),66.01)</f>
        <v>66.010000000000005</v>
      </c>
      <c r="D164" s="1">
        <f ca="1">IFERROR(__xludf.DUMMYFUNCTION("""COMPUTED_VALUE"""),60.1)</f>
        <v>60.1</v>
      </c>
      <c r="E164" s="1">
        <f ca="1">IFERROR(__xludf.DUMMYFUNCTION("""COMPUTED_VALUE"""),61.67)</f>
        <v>61.67</v>
      </c>
      <c r="F164" s="1">
        <f ca="1">IFERROR(__xludf.DUMMYFUNCTION("""COMPUTED_VALUE"""),0)</f>
        <v>0</v>
      </c>
    </row>
    <row r="165" spans="1:6" ht="15.75" customHeight="1">
      <c r="A165" s="10">
        <f ca="1">IFERROR(__xludf.DUMMYFUNCTION("""COMPUTED_VALUE"""),43909.6666666666)</f>
        <v>43909.666666666599</v>
      </c>
      <c r="B165" s="1">
        <f ca="1">IFERROR(__xludf.DUMMYFUNCTION("""COMPUTED_VALUE"""),60.58)</f>
        <v>60.58</v>
      </c>
      <c r="C165" s="1">
        <f ca="1">IFERROR(__xludf.DUMMYFUNCTION("""COMPUTED_VALUE"""),66.59)</f>
        <v>66.59</v>
      </c>
      <c r="D165" s="1">
        <f ca="1">IFERROR(__xludf.DUMMYFUNCTION("""COMPUTED_VALUE"""),57.97)</f>
        <v>57.97</v>
      </c>
      <c r="E165" s="1">
        <f ca="1">IFERROR(__xludf.DUMMYFUNCTION("""COMPUTED_VALUE"""),65.3)</f>
        <v>65.3</v>
      </c>
      <c r="F165" s="1">
        <f ca="1">IFERROR(__xludf.DUMMYFUNCTION("""COMPUTED_VALUE"""),0)</f>
        <v>0</v>
      </c>
    </row>
    <row r="166" spans="1:6" ht="15.75" customHeight="1">
      <c r="A166" s="10">
        <f ca="1">IFERROR(__xludf.DUMMYFUNCTION("""COMPUTED_VALUE"""),43910.6666666666)</f>
        <v>43910.666666666599</v>
      </c>
      <c r="B166" s="1">
        <f ca="1">IFERROR(__xludf.DUMMYFUNCTION("""COMPUTED_VALUE"""),65.37)</f>
        <v>65.37</v>
      </c>
      <c r="C166" s="1">
        <f ca="1">IFERROR(__xludf.DUMMYFUNCTION("""COMPUTED_VALUE"""),66.28)</f>
        <v>66.28</v>
      </c>
      <c r="D166" s="1">
        <f ca="1">IFERROR(__xludf.DUMMYFUNCTION("""COMPUTED_VALUE"""),59.77)</f>
        <v>59.77</v>
      </c>
      <c r="E166" s="1">
        <f ca="1">IFERROR(__xludf.DUMMYFUNCTION("""COMPUTED_VALUE"""),60.27)</f>
        <v>60.27</v>
      </c>
      <c r="F166" s="1">
        <f ca="1">IFERROR(__xludf.DUMMYFUNCTION("""COMPUTED_VALUE"""),0)</f>
        <v>0</v>
      </c>
    </row>
    <row r="167" spans="1:6" ht="15.75" customHeight="1">
      <c r="A167" s="10">
        <f ca="1">IFERROR(__xludf.DUMMYFUNCTION("""COMPUTED_VALUE"""),43913.6666666666)</f>
        <v>43913.666666666599</v>
      </c>
      <c r="B167" s="1">
        <f ca="1">IFERROR(__xludf.DUMMYFUNCTION("""COMPUTED_VALUE"""),59.89)</f>
        <v>59.89</v>
      </c>
      <c r="C167" s="1">
        <f ca="1">IFERROR(__xludf.DUMMYFUNCTION("""COMPUTED_VALUE"""),59.93)</f>
        <v>59.93</v>
      </c>
      <c r="D167" s="1">
        <f ca="1">IFERROR(__xludf.DUMMYFUNCTION("""COMPUTED_VALUE"""),53.44)</f>
        <v>53.44</v>
      </c>
      <c r="E167" s="1">
        <f ca="1">IFERROR(__xludf.DUMMYFUNCTION("""COMPUTED_VALUE"""),55.12)</f>
        <v>55.12</v>
      </c>
      <c r="F167" s="1">
        <f ca="1">IFERROR(__xludf.DUMMYFUNCTION("""COMPUTED_VALUE"""),0)</f>
        <v>0</v>
      </c>
    </row>
    <row r="168" spans="1:6" ht="15.75" customHeight="1">
      <c r="A168" s="10">
        <f ca="1">IFERROR(__xludf.DUMMYFUNCTION("""COMPUTED_VALUE"""),43914.6666666666)</f>
        <v>43914.666666666599</v>
      </c>
      <c r="B168" s="1">
        <f ca="1">IFERROR(__xludf.DUMMYFUNCTION("""COMPUTED_VALUE"""),58.34)</f>
        <v>58.34</v>
      </c>
      <c r="C168" s="1">
        <f ca="1">IFERROR(__xludf.DUMMYFUNCTION("""COMPUTED_VALUE"""),61.4)</f>
        <v>61.4</v>
      </c>
      <c r="D168" s="1">
        <f ca="1">IFERROR(__xludf.DUMMYFUNCTION("""COMPUTED_VALUE"""),57.79)</f>
        <v>57.79</v>
      </c>
      <c r="E168" s="1">
        <f ca="1">IFERROR(__xludf.DUMMYFUNCTION("""COMPUTED_VALUE"""),61.29)</f>
        <v>61.29</v>
      </c>
      <c r="F168" s="1">
        <f ca="1">IFERROR(__xludf.DUMMYFUNCTION("""COMPUTED_VALUE"""),0)</f>
        <v>0</v>
      </c>
    </row>
    <row r="169" spans="1:6" ht="15.75" customHeight="1">
      <c r="A169" s="10">
        <f ca="1">IFERROR(__xludf.DUMMYFUNCTION("""COMPUTED_VALUE"""),43915.6666666666)</f>
        <v>43915.666666666599</v>
      </c>
      <c r="B169" s="1">
        <f ca="1">IFERROR(__xludf.DUMMYFUNCTION("""COMPUTED_VALUE"""),62.01)</f>
        <v>62.01</v>
      </c>
      <c r="C169" s="1">
        <f ca="1">IFERROR(__xludf.DUMMYFUNCTION("""COMPUTED_VALUE"""),63.57)</f>
        <v>63.57</v>
      </c>
      <c r="D169" s="1">
        <f ca="1">IFERROR(__xludf.DUMMYFUNCTION("""COMPUTED_VALUE"""),58.89)</f>
        <v>58.89</v>
      </c>
      <c r="E169" s="1">
        <f ca="1">IFERROR(__xludf.DUMMYFUNCTION("""COMPUTED_VALUE"""),60.98)</f>
        <v>60.98</v>
      </c>
      <c r="F169" s="1">
        <f ca="1">IFERROR(__xludf.DUMMYFUNCTION("""COMPUTED_VALUE"""),0)</f>
        <v>0</v>
      </c>
    </row>
    <row r="170" spans="1:6" ht="15.75" customHeight="1">
      <c r="A170" s="10">
        <f ca="1">IFERROR(__xludf.DUMMYFUNCTION("""COMPUTED_VALUE"""),43916.6666666666)</f>
        <v>43916.666666666599</v>
      </c>
      <c r="B170" s="1">
        <f ca="1">IFERROR(__xludf.DUMMYFUNCTION("""COMPUTED_VALUE"""),61.63)</f>
        <v>61.63</v>
      </c>
      <c r="C170" s="1">
        <f ca="1">IFERROR(__xludf.DUMMYFUNCTION("""COMPUTED_VALUE"""),66.71)</f>
        <v>66.709999999999994</v>
      </c>
      <c r="D170" s="1">
        <f ca="1">IFERROR(__xludf.DUMMYFUNCTION("""COMPUTED_VALUE"""),61.06)</f>
        <v>61.06</v>
      </c>
      <c r="E170" s="1">
        <f ca="1">IFERROR(__xludf.DUMMYFUNCTION("""COMPUTED_VALUE"""),66.42)</f>
        <v>66.42</v>
      </c>
      <c r="F170" s="1">
        <f ca="1">IFERROR(__xludf.DUMMYFUNCTION("""COMPUTED_VALUE"""),0)</f>
        <v>0</v>
      </c>
    </row>
    <row r="171" spans="1:6" ht="15.75" customHeight="1">
      <c r="A171" s="10">
        <f ca="1">IFERROR(__xludf.DUMMYFUNCTION("""COMPUTED_VALUE"""),43917.6666666666)</f>
        <v>43917.666666666599</v>
      </c>
      <c r="B171" s="1">
        <f ca="1">IFERROR(__xludf.DUMMYFUNCTION("""COMPUTED_VALUE"""),63.32)</f>
        <v>63.32</v>
      </c>
      <c r="C171" s="1">
        <f ca="1">IFERROR(__xludf.DUMMYFUNCTION("""COMPUTED_VALUE"""),65.72)</f>
        <v>65.72</v>
      </c>
      <c r="D171" s="1">
        <f ca="1">IFERROR(__xludf.DUMMYFUNCTION("""COMPUTED_VALUE"""),62.89)</f>
        <v>62.89</v>
      </c>
      <c r="E171" s="1">
        <f ca="1">IFERROR(__xludf.DUMMYFUNCTION("""COMPUTED_VALUE"""),63.71)</f>
        <v>63.71</v>
      </c>
      <c r="F171" s="1">
        <f ca="1">IFERROR(__xludf.DUMMYFUNCTION("""COMPUTED_VALUE"""),0)</f>
        <v>0</v>
      </c>
    </row>
    <row r="172" spans="1:6" ht="15.75" customHeight="1">
      <c r="A172" s="10">
        <f ca="1">IFERROR(__xludf.DUMMYFUNCTION("""COMPUTED_VALUE"""),43920.6666666666)</f>
        <v>43920.666666666599</v>
      </c>
      <c r="B172" s="1">
        <f ca="1">IFERROR(__xludf.DUMMYFUNCTION("""COMPUTED_VALUE"""),63.58)</f>
        <v>63.58</v>
      </c>
      <c r="C172" s="1">
        <f ca="1">IFERROR(__xludf.DUMMYFUNCTION("""COMPUTED_VALUE"""),64.49)</f>
        <v>64.489999999999995</v>
      </c>
      <c r="D172" s="1">
        <f ca="1">IFERROR(__xludf.DUMMYFUNCTION("""COMPUTED_VALUE"""),62.06)</f>
        <v>62.06</v>
      </c>
      <c r="E172" s="1">
        <f ca="1">IFERROR(__xludf.DUMMYFUNCTION("""COMPUTED_VALUE"""),64.3)</f>
        <v>64.3</v>
      </c>
      <c r="F172" s="1">
        <f ca="1">IFERROR(__xludf.DUMMYFUNCTION("""COMPUTED_VALUE"""),0)</f>
        <v>0</v>
      </c>
    </row>
    <row r="173" spans="1:6" ht="15.75" customHeight="1">
      <c r="A173" s="10">
        <f ca="1">IFERROR(__xludf.DUMMYFUNCTION("""COMPUTED_VALUE"""),43921.6666666666)</f>
        <v>43921.666666666599</v>
      </c>
      <c r="B173" s="1">
        <f ca="1">IFERROR(__xludf.DUMMYFUNCTION("""COMPUTED_VALUE"""),63.65)</f>
        <v>63.65</v>
      </c>
      <c r="C173" s="1">
        <f ca="1">IFERROR(__xludf.DUMMYFUNCTION("""COMPUTED_VALUE"""),65)</f>
        <v>65</v>
      </c>
      <c r="D173" s="1">
        <f ca="1">IFERROR(__xludf.DUMMYFUNCTION("""COMPUTED_VALUE"""),62.22)</f>
        <v>62.22</v>
      </c>
      <c r="E173" s="1">
        <f ca="1">IFERROR(__xludf.DUMMYFUNCTION("""COMPUTED_VALUE"""),63.62)</f>
        <v>63.62</v>
      </c>
      <c r="F173" s="1">
        <f ca="1">IFERROR(__xludf.DUMMYFUNCTION("""COMPUTED_VALUE"""),0)</f>
        <v>0</v>
      </c>
    </row>
    <row r="174" spans="1:6" ht="15.75" customHeight="1">
      <c r="A174" s="10">
        <f ca="1">IFERROR(__xludf.DUMMYFUNCTION("""COMPUTED_VALUE"""),43922.6666666666)</f>
        <v>43922.666666666599</v>
      </c>
      <c r="B174" s="1">
        <f ca="1">IFERROR(__xludf.DUMMYFUNCTION("""COMPUTED_VALUE"""),60.33)</f>
        <v>60.33</v>
      </c>
      <c r="C174" s="1">
        <f ca="1">IFERROR(__xludf.DUMMYFUNCTION("""COMPUTED_VALUE"""),60.92)</f>
        <v>60.92</v>
      </c>
      <c r="D174" s="1">
        <f ca="1">IFERROR(__xludf.DUMMYFUNCTION("""COMPUTED_VALUE"""),59.43)</f>
        <v>59.43</v>
      </c>
      <c r="E174" s="1">
        <f ca="1">IFERROR(__xludf.DUMMYFUNCTION("""COMPUTED_VALUE"""),60.17)</f>
        <v>60.17</v>
      </c>
      <c r="F174" s="1">
        <f ca="1">IFERROR(__xludf.DUMMYFUNCTION("""COMPUTED_VALUE"""),0)</f>
        <v>0</v>
      </c>
    </row>
    <row r="175" spans="1:6" ht="15.75" customHeight="1">
      <c r="A175" s="10">
        <f ca="1">IFERROR(__xludf.DUMMYFUNCTION("""COMPUTED_VALUE"""),43923.6666666666)</f>
        <v>43923.666666666599</v>
      </c>
      <c r="B175" s="1">
        <f ca="1">IFERROR(__xludf.DUMMYFUNCTION("""COMPUTED_VALUE"""),59.65)</f>
        <v>59.65</v>
      </c>
      <c r="C175" s="1">
        <f ca="1">IFERROR(__xludf.DUMMYFUNCTION("""COMPUTED_VALUE"""),62.79)</f>
        <v>62.79</v>
      </c>
      <c r="D175" s="1">
        <f ca="1">IFERROR(__xludf.DUMMYFUNCTION("""COMPUTED_VALUE"""),59.65)</f>
        <v>59.65</v>
      </c>
      <c r="E175" s="1">
        <f ca="1">IFERROR(__xludf.DUMMYFUNCTION("""COMPUTED_VALUE"""),61.77)</f>
        <v>61.77</v>
      </c>
      <c r="F175" s="1">
        <f ca="1">IFERROR(__xludf.DUMMYFUNCTION("""COMPUTED_VALUE"""),0)</f>
        <v>0</v>
      </c>
    </row>
    <row r="176" spans="1:6" ht="15.75" customHeight="1">
      <c r="A176" s="10">
        <f ca="1">IFERROR(__xludf.DUMMYFUNCTION("""COMPUTED_VALUE"""),43924.6666666666)</f>
        <v>43924.666666666599</v>
      </c>
      <c r="B176" s="1">
        <f ca="1">IFERROR(__xludf.DUMMYFUNCTION("""COMPUTED_VALUE"""),61.29)</f>
        <v>61.29</v>
      </c>
      <c r="C176" s="1">
        <f ca="1">IFERROR(__xludf.DUMMYFUNCTION("""COMPUTED_VALUE"""),61.82)</f>
        <v>61.82</v>
      </c>
      <c r="D176" s="1">
        <f ca="1">IFERROR(__xludf.DUMMYFUNCTION("""COMPUTED_VALUE"""),57.84)</f>
        <v>57.84</v>
      </c>
      <c r="E176" s="1">
        <f ca="1">IFERROR(__xludf.DUMMYFUNCTION("""COMPUTED_VALUE"""),58.79)</f>
        <v>58.79</v>
      </c>
      <c r="F176" s="1">
        <f ca="1">IFERROR(__xludf.DUMMYFUNCTION("""COMPUTED_VALUE"""),0)</f>
        <v>0</v>
      </c>
    </row>
    <row r="177" spans="1:6" ht="15.75" customHeight="1">
      <c r="A177" s="10">
        <f ca="1">IFERROR(__xludf.DUMMYFUNCTION("""COMPUTED_VALUE"""),43927.6666666666)</f>
        <v>43927.666666666599</v>
      </c>
      <c r="B177" s="1">
        <f ca="1">IFERROR(__xludf.DUMMYFUNCTION("""COMPUTED_VALUE"""),61.98)</f>
        <v>61.98</v>
      </c>
      <c r="C177" s="1">
        <f ca="1">IFERROR(__xludf.DUMMYFUNCTION("""COMPUTED_VALUE"""),63.03)</f>
        <v>63.03</v>
      </c>
      <c r="D177" s="1">
        <f ca="1">IFERROR(__xludf.DUMMYFUNCTION("""COMPUTED_VALUE"""),60.98)</f>
        <v>60.98</v>
      </c>
      <c r="E177" s="1">
        <f ca="1">IFERROR(__xludf.DUMMYFUNCTION("""COMPUTED_VALUE"""),62.42)</f>
        <v>62.42</v>
      </c>
      <c r="F177" s="1">
        <f ca="1">IFERROR(__xludf.DUMMYFUNCTION("""COMPUTED_VALUE"""),0)</f>
        <v>0</v>
      </c>
    </row>
    <row r="178" spans="1:6" ht="15.75" customHeight="1">
      <c r="A178" s="10">
        <f ca="1">IFERROR(__xludf.DUMMYFUNCTION("""COMPUTED_VALUE"""),43928.6666666666)</f>
        <v>43928.666666666599</v>
      </c>
      <c r="B178" s="1">
        <f ca="1">IFERROR(__xludf.DUMMYFUNCTION("""COMPUTED_VALUE"""),65.46)</f>
        <v>65.459999999999994</v>
      </c>
      <c r="C178" s="1">
        <f ca="1">IFERROR(__xludf.DUMMYFUNCTION("""COMPUTED_VALUE"""),66.92)</f>
        <v>66.92</v>
      </c>
      <c r="D178" s="1">
        <f ca="1">IFERROR(__xludf.DUMMYFUNCTION("""COMPUTED_VALUE"""),63.43)</f>
        <v>63.43</v>
      </c>
      <c r="E178" s="1">
        <f ca="1">IFERROR(__xludf.DUMMYFUNCTION("""COMPUTED_VALUE"""),64.02)</f>
        <v>64.02</v>
      </c>
      <c r="F178" s="1">
        <f ca="1">IFERROR(__xludf.DUMMYFUNCTION("""COMPUTED_VALUE"""),0)</f>
        <v>0</v>
      </c>
    </row>
    <row r="179" spans="1:6" ht="15.75" customHeight="1">
      <c r="A179" s="10">
        <f ca="1">IFERROR(__xludf.DUMMYFUNCTION("""COMPUTED_VALUE"""),43929.6666666666)</f>
        <v>43929.666666666599</v>
      </c>
      <c r="B179" s="1">
        <f ca="1">IFERROR(__xludf.DUMMYFUNCTION("""COMPUTED_VALUE"""),65.27)</f>
        <v>65.27</v>
      </c>
      <c r="C179" s="1">
        <f ca="1">IFERROR(__xludf.DUMMYFUNCTION("""COMPUTED_VALUE"""),67.43)</f>
        <v>67.430000000000007</v>
      </c>
      <c r="D179" s="1">
        <f ca="1">IFERROR(__xludf.DUMMYFUNCTION("""COMPUTED_VALUE"""),63.97)</f>
        <v>63.97</v>
      </c>
      <c r="E179" s="1">
        <f ca="1">IFERROR(__xludf.DUMMYFUNCTION("""COMPUTED_VALUE"""),67.01)</f>
        <v>67.010000000000005</v>
      </c>
      <c r="F179" s="1">
        <f ca="1">IFERROR(__xludf.DUMMYFUNCTION("""COMPUTED_VALUE"""),0)</f>
        <v>0</v>
      </c>
    </row>
    <row r="180" spans="1:6" ht="15.75" customHeight="1">
      <c r="A180" s="10">
        <f ca="1">IFERROR(__xludf.DUMMYFUNCTION("""COMPUTED_VALUE"""),43930.6666666666)</f>
        <v>43930.666666666599</v>
      </c>
      <c r="B180" s="1">
        <f ca="1">IFERROR(__xludf.DUMMYFUNCTION("""COMPUTED_VALUE"""),69.23)</f>
        <v>69.23</v>
      </c>
      <c r="C180" s="1">
        <f ca="1">IFERROR(__xludf.DUMMYFUNCTION("""COMPUTED_VALUE"""),72.7)</f>
        <v>72.7</v>
      </c>
      <c r="D180" s="1">
        <f ca="1">IFERROR(__xludf.DUMMYFUNCTION("""COMPUTED_VALUE"""),69.13)</f>
        <v>69.13</v>
      </c>
      <c r="E180" s="1">
        <f ca="1">IFERROR(__xludf.DUMMYFUNCTION("""COMPUTED_VALUE"""),72.41)</f>
        <v>72.41</v>
      </c>
      <c r="F180" s="1">
        <f ca="1">IFERROR(__xludf.DUMMYFUNCTION("""COMPUTED_VALUE"""),0)</f>
        <v>0</v>
      </c>
    </row>
    <row r="181" spans="1:6" ht="15.75" customHeight="1">
      <c r="A181" s="10">
        <f ca="1">IFERROR(__xludf.DUMMYFUNCTION("""COMPUTED_VALUE"""),43934.6666666666)</f>
        <v>43934.666666666599</v>
      </c>
      <c r="B181" s="1">
        <f ca="1">IFERROR(__xludf.DUMMYFUNCTION("""COMPUTED_VALUE"""),72.34)</f>
        <v>72.34</v>
      </c>
      <c r="C181" s="1">
        <f ca="1">IFERROR(__xludf.DUMMYFUNCTION("""COMPUTED_VALUE"""),72.34)</f>
        <v>72.34</v>
      </c>
      <c r="D181" s="1">
        <f ca="1">IFERROR(__xludf.DUMMYFUNCTION("""COMPUTED_VALUE"""),67.07)</f>
        <v>67.069999999999993</v>
      </c>
      <c r="E181" s="1">
        <f ca="1">IFERROR(__xludf.DUMMYFUNCTION("""COMPUTED_VALUE"""),67.6)</f>
        <v>67.599999999999994</v>
      </c>
      <c r="F181" s="1">
        <f ca="1">IFERROR(__xludf.DUMMYFUNCTION("""COMPUTED_VALUE"""),0)</f>
        <v>0</v>
      </c>
    </row>
    <row r="182" spans="1:6" ht="15.75" customHeight="1">
      <c r="A182" s="10">
        <f ca="1">IFERROR(__xludf.DUMMYFUNCTION("""COMPUTED_VALUE"""),43935.6666666666)</f>
        <v>43935.666666666599</v>
      </c>
      <c r="B182" s="1">
        <f ca="1">IFERROR(__xludf.DUMMYFUNCTION("""COMPUTED_VALUE"""),69.49)</f>
        <v>69.489999999999995</v>
      </c>
      <c r="C182" s="1">
        <f ca="1">IFERROR(__xludf.DUMMYFUNCTION("""COMPUTED_VALUE"""),69.71)</f>
        <v>69.709999999999994</v>
      </c>
      <c r="D182" s="1">
        <f ca="1">IFERROR(__xludf.DUMMYFUNCTION("""COMPUTED_VALUE"""),65.55)</f>
        <v>65.55</v>
      </c>
      <c r="E182" s="1">
        <f ca="1">IFERROR(__xludf.DUMMYFUNCTION("""COMPUTED_VALUE"""),66.65)</f>
        <v>66.650000000000006</v>
      </c>
      <c r="F182" s="1">
        <f ca="1">IFERROR(__xludf.DUMMYFUNCTION("""COMPUTED_VALUE"""),0)</f>
        <v>0</v>
      </c>
    </row>
    <row r="183" spans="1:6" ht="15.75" customHeight="1">
      <c r="A183" s="10">
        <f ca="1">IFERROR(__xludf.DUMMYFUNCTION("""COMPUTED_VALUE"""),43936.6666666666)</f>
        <v>43936.666666666599</v>
      </c>
      <c r="B183" s="1">
        <f ca="1">IFERROR(__xludf.DUMMYFUNCTION("""COMPUTED_VALUE"""),63.66)</f>
        <v>63.66</v>
      </c>
      <c r="C183" s="1">
        <f ca="1">IFERROR(__xludf.DUMMYFUNCTION("""COMPUTED_VALUE"""),63.96)</f>
        <v>63.96</v>
      </c>
      <c r="D183" s="1">
        <f ca="1">IFERROR(__xludf.DUMMYFUNCTION("""COMPUTED_VALUE"""),62.23)</f>
        <v>62.23</v>
      </c>
      <c r="E183" s="1">
        <f ca="1">IFERROR(__xludf.DUMMYFUNCTION("""COMPUTED_VALUE"""),62.47)</f>
        <v>62.47</v>
      </c>
      <c r="F183" s="1">
        <f ca="1">IFERROR(__xludf.DUMMYFUNCTION("""COMPUTED_VALUE"""),0)</f>
        <v>0</v>
      </c>
    </row>
    <row r="184" spans="1:6" ht="15.75" customHeight="1">
      <c r="A184" s="10">
        <f ca="1">IFERROR(__xludf.DUMMYFUNCTION("""COMPUTED_VALUE"""),43937.6666666666)</f>
        <v>43937.666666666599</v>
      </c>
      <c r="B184" s="1">
        <f ca="1">IFERROR(__xludf.DUMMYFUNCTION("""COMPUTED_VALUE"""),62.46)</f>
        <v>62.46</v>
      </c>
      <c r="C184" s="1">
        <f ca="1">IFERROR(__xludf.DUMMYFUNCTION("""COMPUTED_VALUE"""),62.49)</f>
        <v>62.49</v>
      </c>
      <c r="D184" s="1">
        <f ca="1">IFERROR(__xludf.DUMMYFUNCTION("""COMPUTED_VALUE"""),59.26)</f>
        <v>59.26</v>
      </c>
      <c r="E184" s="1">
        <f ca="1">IFERROR(__xludf.DUMMYFUNCTION("""COMPUTED_VALUE"""),60.61)</f>
        <v>60.61</v>
      </c>
      <c r="F184" s="1">
        <f ca="1">IFERROR(__xludf.DUMMYFUNCTION("""COMPUTED_VALUE"""),0)</f>
        <v>0</v>
      </c>
    </row>
    <row r="185" spans="1:6" ht="15.75" customHeight="1">
      <c r="A185" s="10">
        <f ca="1">IFERROR(__xludf.DUMMYFUNCTION("""COMPUTED_VALUE"""),43938.6666666666)</f>
        <v>43938.666666666599</v>
      </c>
      <c r="B185" s="1">
        <f ca="1">IFERROR(__xludf.DUMMYFUNCTION("""COMPUTED_VALUE"""),63.26)</f>
        <v>63.26</v>
      </c>
      <c r="C185" s="1">
        <f ca="1">IFERROR(__xludf.DUMMYFUNCTION("""COMPUTED_VALUE"""),65.73)</f>
        <v>65.73</v>
      </c>
      <c r="D185" s="1">
        <f ca="1">IFERROR(__xludf.DUMMYFUNCTION("""COMPUTED_VALUE"""),63.26)</f>
        <v>63.26</v>
      </c>
      <c r="E185" s="1">
        <f ca="1">IFERROR(__xludf.DUMMYFUNCTION("""COMPUTED_VALUE"""),65.28)</f>
        <v>65.28</v>
      </c>
      <c r="F185" s="1">
        <f ca="1">IFERROR(__xludf.DUMMYFUNCTION("""COMPUTED_VALUE"""),0)</f>
        <v>0</v>
      </c>
    </row>
    <row r="186" spans="1:6" ht="15.75" customHeight="1">
      <c r="A186" s="10">
        <f ca="1">IFERROR(__xludf.DUMMYFUNCTION("""COMPUTED_VALUE"""),43941.6666666666)</f>
        <v>43941.666666666599</v>
      </c>
      <c r="B186" s="1">
        <f ca="1">IFERROR(__xludf.DUMMYFUNCTION("""COMPUTED_VALUE"""),63.32)</f>
        <v>63.32</v>
      </c>
      <c r="C186" s="1">
        <f ca="1">IFERROR(__xludf.DUMMYFUNCTION("""COMPUTED_VALUE"""),66.59)</f>
        <v>66.59</v>
      </c>
      <c r="D186" s="1">
        <f ca="1">IFERROR(__xludf.DUMMYFUNCTION("""COMPUTED_VALUE"""),62.86)</f>
        <v>62.86</v>
      </c>
      <c r="E186" s="1">
        <f ca="1">IFERROR(__xludf.DUMMYFUNCTION("""COMPUTED_VALUE"""),65.02)</f>
        <v>65.02</v>
      </c>
      <c r="F186" s="1">
        <f ca="1">IFERROR(__xludf.DUMMYFUNCTION("""COMPUTED_VALUE"""),0)</f>
        <v>0</v>
      </c>
    </row>
    <row r="187" spans="1:6" ht="15.75" customHeight="1">
      <c r="A187" s="10">
        <f ca="1">IFERROR(__xludf.DUMMYFUNCTION("""COMPUTED_VALUE"""),43942.6666666666)</f>
        <v>43942.666666666599</v>
      </c>
      <c r="B187" s="1">
        <f ca="1">IFERROR(__xludf.DUMMYFUNCTION("""COMPUTED_VALUE"""),62.7)</f>
        <v>62.7</v>
      </c>
      <c r="C187" s="1">
        <f ca="1">IFERROR(__xludf.DUMMYFUNCTION("""COMPUTED_VALUE"""),64.26)</f>
        <v>64.260000000000005</v>
      </c>
      <c r="D187" s="1">
        <f ca="1">IFERROR(__xludf.DUMMYFUNCTION("""COMPUTED_VALUE"""),62.2)</f>
        <v>62.2</v>
      </c>
      <c r="E187" s="1">
        <f ca="1">IFERROR(__xludf.DUMMYFUNCTION("""COMPUTED_VALUE"""),63.21)</f>
        <v>63.21</v>
      </c>
      <c r="F187" s="1">
        <f ca="1">IFERROR(__xludf.DUMMYFUNCTION("""COMPUTED_VALUE"""),0)</f>
        <v>0</v>
      </c>
    </row>
    <row r="188" spans="1:6" ht="15.75" customHeight="1">
      <c r="A188" s="10">
        <f ca="1">IFERROR(__xludf.DUMMYFUNCTION("""COMPUTED_VALUE"""),43943.6666666666)</f>
        <v>43943.666666666599</v>
      </c>
      <c r="B188" s="1">
        <f ca="1">IFERROR(__xludf.DUMMYFUNCTION("""COMPUTED_VALUE"""),64.69)</f>
        <v>64.69</v>
      </c>
      <c r="C188" s="1">
        <f ca="1">IFERROR(__xludf.DUMMYFUNCTION("""COMPUTED_VALUE"""),64.93)</f>
        <v>64.930000000000007</v>
      </c>
      <c r="D188" s="1">
        <f ca="1">IFERROR(__xludf.DUMMYFUNCTION("""COMPUTED_VALUE"""),62.28)</f>
        <v>62.28</v>
      </c>
      <c r="E188" s="1">
        <f ca="1">IFERROR(__xludf.DUMMYFUNCTION("""COMPUTED_VALUE"""),62.54)</f>
        <v>62.54</v>
      </c>
      <c r="F188" s="1">
        <f ca="1">IFERROR(__xludf.DUMMYFUNCTION("""COMPUTED_VALUE"""),0)</f>
        <v>0</v>
      </c>
    </row>
    <row r="189" spans="1:6" ht="15.75" customHeight="1">
      <c r="A189" s="10">
        <f ca="1">IFERROR(__xludf.DUMMYFUNCTION("""COMPUTED_VALUE"""),43944.6666666666)</f>
        <v>43944.666666666599</v>
      </c>
      <c r="B189" s="1">
        <f ca="1">IFERROR(__xludf.DUMMYFUNCTION("""COMPUTED_VALUE"""),63.03)</f>
        <v>63.03</v>
      </c>
      <c r="C189" s="1">
        <f ca="1">IFERROR(__xludf.DUMMYFUNCTION("""COMPUTED_VALUE"""),65.14)</f>
        <v>65.14</v>
      </c>
      <c r="D189" s="1">
        <f ca="1">IFERROR(__xludf.DUMMYFUNCTION("""COMPUTED_VALUE"""),62.96)</f>
        <v>62.96</v>
      </c>
      <c r="E189" s="1">
        <f ca="1">IFERROR(__xludf.DUMMYFUNCTION("""COMPUTED_VALUE"""),63.93)</f>
        <v>63.93</v>
      </c>
      <c r="F189" s="1">
        <f ca="1">IFERROR(__xludf.DUMMYFUNCTION("""COMPUTED_VALUE"""),0)</f>
        <v>0</v>
      </c>
    </row>
    <row r="190" spans="1:6" ht="15.75" customHeight="1">
      <c r="A190" s="10">
        <f ca="1">IFERROR(__xludf.DUMMYFUNCTION("""COMPUTED_VALUE"""),43945.6666666666)</f>
        <v>43945.666666666599</v>
      </c>
      <c r="B190" s="1">
        <f ca="1">IFERROR(__xludf.DUMMYFUNCTION("""COMPUTED_VALUE"""),64.59)</f>
        <v>64.59</v>
      </c>
      <c r="C190" s="1">
        <f ca="1">IFERROR(__xludf.DUMMYFUNCTION("""COMPUTED_VALUE"""),65.89)</f>
        <v>65.89</v>
      </c>
      <c r="D190" s="1">
        <f ca="1">IFERROR(__xludf.DUMMYFUNCTION("""COMPUTED_VALUE"""),63.71)</f>
        <v>63.71</v>
      </c>
      <c r="E190" s="1">
        <f ca="1">IFERROR(__xludf.DUMMYFUNCTION("""COMPUTED_VALUE"""),65.36)</f>
        <v>65.36</v>
      </c>
      <c r="F190" s="1">
        <f ca="1">IFERROR(__xludf.DUMMYFUNCTION("""COMPUTED_VALUE"""),0)</f>
        <v>0</v>
      </c>
    </row>
    <row r="191" spans="1:6" ht="15.75" customHeight="1">
      <c r="A191" s="10">
        <f ca="1">IFERROR(__xludf.DUMMYFUNCTION("""COMPUTED_VALUE"""),43948.6666666666)</f>
        <v>43948.666666666599</v>
      </c>
      <c r="B191" s="1">
        <f ca="1">IFERROR(__xludf.DUMMYFUNCTION("""COMPUTED_VALUE"""),66.39)</f>
        <v>66.39</v>
      </c>
      <c r="C191" s="1">
        <f ca="1">IFERROR(__xludf.DUMMYFUNCTION("""COMPUTED_VALUE"""),70.67)</f>
        <v>70.67</v>
      </c>
      <c r="D191" s="1">
        <f ca="1">IFERROR(__xludf.DUMMYFUNCTION("""COMPUTED_VALUE"""),66.11)</f>
        <v>66.11</v>
      </c>
      <c r="E191" s="1">
        <f ca="1">IFERROR(__xludf.DUMMYFUNCTION("""COMPUTED_VALUE"""),70.04)</f>
        <v>70.040000000000006</v>
      </c>
      <c r="F191" s="1">
        <f ca="1">IFERROR(__xludf.DUMMYFUNCTION("""COMPUTED_VALUE"""),0)</f>
        <v>0</v>
      </c>
    </row>
    <row r="192" spans="1:6" ht="15.75" customHeight="1">
      <c r="A192" s="10">
        <f ca="1">IFERROR(__xludf.DUMMYFUNCTION("""COMPUTED_VALUE"""),43949.6666666666)</f>
        <v>43949.666666666599</v>
      </c>
      <c r="B192" s="1">
        <f ca="1">IFERROR(__xludf.DUMMYFUNCTION("""COMPUTED_VALUE"""),72.38)</f>
        <v>72.38</v>
      </c>
      <c r="C192" s="1">
        <f ca="1">IFERROR(__xludf.DUMMYFUNCTION("""COMPUTED_VALUE"""),73.45)</f>
        <v>73.45</v>
      </c>
      <c r="D192" s="1">
        <f ca="1">IFERROR(__xludf.DUMMYFUNCTION("""COMPUTED_VALUE"""),71.05)</f>
        <v>71.05</v>
      </c>
      <c r="E192" s="1">
        <f ca="1">IFERROR(__xludf.DUMMYFUNCTION("""COMPUTED_VALUE"""),72.1)</f>
        <v>72.099999999999994</v>
      </c>
      <c r="F192" s="1">
        <f ca="1">IFERROR(__xludf.DUMMYFUNCTION("""COMPUTED_VALUE"""),0)</f>
        <v>0</v>
      </c>
    </row>
    <row r="193" spans="1:6" ht="15.75" customHeight="1">
      <c r="A193" s="10">
        <f ca="1">IFERROR(__xludf.DUMMYFUNCTION("""COMPUTED_VALUE"""),43950.6666666666)</f>
        <v>43950.666666666599</v>
      </c>
      <c r="B193" s="1">
        <f ca="1">IFERROR(__xludf.DUMMYFUNCTION("""COMPUTED_VALUE"""),74.5)</f>
        <v>74.5</v>
      </c>
      <c r="C193" s="1">
        <f ca="1">IFERROR(__xludf.DUMMYFUNCTION("""COMPUTED_VALUE"""),77.77)</f>
        <v>77.77</v>
      </c>
      <c r="D193" s="1">
        <f ca="1">IFERROR(__xludf.DUMMYFUNCTION("""COMPUTED_VALUE"""),74.09)</f>
        <v>74.09</v>
      </c>
      <c r="E193" s="1">
        <f ca="1">IFERROR(__xludf.DUMMYFUNCTION("""COMPUTED_VALUE"""),76.72)</f>
        <v>76.72</v>
      </c>
      <c r="F193" s="1">
        <f ca="1">IFERROR(__xludf.DUMMYFUNCTION("""COMPUTED_VALUE"""),0)</f>
        <v>0</v>
      </c>
    </row>
    <row r="194" spans="1:6" ht="15.75" customHeight="1">
      <c r="A194" s="10">
        <f ca="1">IFERROR(__xludf.DUMMYFUNCTION("""COMPUTED_VALUE"""),43951.6666666666)</f>
        <v>43951.666666666599</v>
      </c>
      <c r="B194" s="1">
        <f ca="1">IFERROR(__xludf.DUMMYFUNCTION("""COMPUTED_VALUE"""),74.36)</f>
        <v>74.36</v>
      </c>
      <c r="C194" s="1">
        <f ca="1">IFERROR(__xludf.DUMMYFUNCTION("""COMPUTED_VALUE"""),74.74)</f>
        <v>74.739999999999995</v>
      </c>
      <c r="D194" s="1">
        <f ca="1">IFERROR(__xludf.DUMMYFUNCTION("""COMPUTED_VALUE"""),72.85)</f>
        <v>72.849999999999994</v>
      </c>
      <c r="E194" s="1">
        <f ca="1">IFERROR(__xludf.DUMMYFUNCTION("""COMPUTED_VALUE"""),73.71)</f>
        <v>73.709999999999994</v>
      </c>
      <c r="F194" s="1">
        <f ca="1">IFERROR(__xludf.DUMMYFUNCTION("""COMPUTED_VALUE"""),0)</f>
        <v>0</v>
      </c>
    </row>
    <row r="195" spans="1:6" ht="15.75" customHeight="1">
      <c r="A195" s="10">
        <f ca="1">IFERROR(__xludf.DUMMYFUNCTION("""COMPUTED_VALUE"""),43952.6666666666)</f>
        <v>43952.666666666599</v>
      </c>
      <c r="B195" s="1">
        <f ca="1">IFERROR(__xludf.DUMMYFUNCTION("""COMPUTED_VALUE"""),71.51)</f>
        <v>71.510000000000005</v>
      </c>
      <c r="C195" s="1">
        <f ca="1">IFERROR(__xludf.DUMMYFUNCTION("""COMPUTED_VALUE"""),71.63)</f>
        <v>71.63</v>
      </c>
      <c r="D195" s="1">
        <f ca="1">IFERROR(__xludf.DUMMYFUNCTION("""COMPUTED_VALUE"""),69.23)</f>
        <v>69.23</v>
      </c>
      <c r="E195" s="1">
        <f ca="1">IFERROR(__xludf.DUMMYFUNCTION("""COMPUTED_VALUE"""),70.24)</f>
        <v>70.239999999999995</v>
      </c>
      <c r="F195" s="1">
        <f ca="1">IFERROR(__xludf.DUMMYFUNCTION("""COMPUTED_VALUE"""),0)</f>
        <v>0</v>
      </c>
    </row>
    <row r="196" spans="1:6" ht="15.75" customHeight="1">
      <c r="A196" s="10">
        <f ca="1">IFERROR(__xludf.DUMMYFUNCTION("""COMPUTED_VALUE"""),43955.6666666666)</f>
        <v>43955.666666666599</v>
      </c>
      <c r="B196" s="1">
        <f ca="1">IFERROR(__xludf.DUMMYFUNCTION("""COMPUTED_VALUE"""),68.56)</f>
        <v>68.56</v>
      </c>
      <c r="C196" s="1">
        <f ca="1">IFERROR(__xludf.DUMMYFUNCTION("""COMPUTED_VALUE"""),69.8)</f>
        <v>69.8</v>
      </c>
      <c r="D196" s="1">
        <f ca="1">IFERROR(__xludf.DUMMYFUNCTION("""COMPUTED_VALUE"""),68.07)</f>
        <v>68.069999999999993</v>
      </c>
      <c r="E196" s="1">
        <f ca="1">IFERROR(__xludf.DUMMYFUNCTION("""COMPUTED_VALUE"""),69.58)</f>
        <v>69.58</v>
      </c>
      <c r="F196" s="1">
        <f ca="1">IFERROR(__xludf.DUMMYFUNCTION("""COMPUTED_VALUE"""),0)</f>
        <v>0</v>
      </c>
    </row>
    <row r="197" spans="1:6" ht="15.75" customHeight="1">
      <c r="A197" s="10">
        <f ca="1">IFERROR(__xludf.DUMMYFUNCTION("""COMPUTED_VALUE"""),43956.6666666666)</f>
        <v>43956.666666666599</v>
      </c>
      <c r="B197" s="1">
        <f ca="1">IFERROR(__xludf.DUMMYFUNCTION("""COMPUTED_VALUE"""),71.38)</f>
        <v>71.38</v>
      </c>
      <c r="C197" s="1">
        <f ca="1">IFERROR(__xludf.DUMMYFUNCTION("""COMPUTED_VALUE"""),71.84)</f>
        <v>71.84</v>
      </c>
      <c r="D197" s="1">
        <f ca="1">IFERROR(__xludf.DUMMYFUNCTION("""COMPUTED_VALUE"""),67.95)</f>
        <v>67.95</v>
      </c>
      <c r="E197" s="1">
        <f ca="1">IFERROR(__xludf.DUMMYFUNCTION("""COMPUTED_VALUE"""),68.14)</f>
        <v>68.14</v>
      </c>
      <c r="F197" s="1">
        <f ca="1">IFERROR(__xludf.DUMMYFUNCTION("""COMPUTED_VALUE"""),0)</f>
        <v>0</v>
      </c>
    </row>
    <row r="198" spans="1:6" ht="15.75" customHeight="1">
      <c r="A198" s="10">
        <f ca="1">IFERROR(__xludf.DUMMYFUNCTION("""COMPUTED_VALUE"""),43957.6666666666)</f>
        <v>43957.666666666599</v>
      </c>
      <c r="B198" s="1">
        <f ca="1">IFERROR(__xludf.DUMMYFUNCTION("""COMPUTED_VALUE"""),69)</f>
        <v>69</v>
      </c>
      <c r="C198" s="1">
        <f ca="1">IFERROR(__xludf.DUMMYFUNCTION("""COMPUTED_VALUE"""),69.13)</f>
        <v>69.13</v>
      </c>
      <c r="D198" s="1">
        <f ca="1">IFERROR(__xludf.DUMMYFUNCTION("""COMPUTED_VALUE"""),66)</f>
        <v>66</v>
      </c>
      <c r="E198" s="1">
        <f ca="1">IFERROR(__xludf.DUMMYFUNCTION("""COMPUTED_VALUE"""),66.16)</f>
        <v>66.16</v>
      </c>
      <c r="F198" s="1">
        <f ca="1">IFERROR(__xludf.DUMMYFUNCTION("""COMPUTED_VALUE"""),0)</f>
        <v>0</v>
      </c>
    </row>
    <row r="199" spans="1:6" ht="15.75" customHeight="1">
      <c r="A199" s="10">
        <f ca="1">IFERROR(__xludf.DUMMYFUNCTION("""COMPUTED_VALUE"""),43958.6666666666)</f>
        <v>43958.666666666599</v>
      </c>
      <c r="B199" s="1">
        <f ca="1">IFERROR(__xludf.DUMMYFUNCTION("""COMPUTED_VALUE"""),67)</f>
        <v>67</v>
      </c>
      <c r="C199" s="1">
        <f ca="1">IFERROR(__xludf.DUMMYFUNCTION("""COMPUTED_VALUE"""),68.82)</f>
        <v>68.819999999999993</v>
      </c>
      <c r="D199" s="1">
        <f ca="1">IFERROR(__xludf.DUMMYFUNCTION("""COMPUTED_VALUE"""),66.19)</f>
        <v>66.19</v>
      </c>
      <c r="E199" s="1">
        <f ca="1">IFERROR(__xludf.DUMMYFUNCTION("""COMPUTED_VALUE"""),66.46)</f>
        <v>66.459999999999994</v>
      </c>
      <c r="F199" s="1">
        <f ca="1">IFERROR(__xludf.DUMMYFUNCTION("""COMPUTED_VALUE"""),0)</f>
        <v>0</v>
      </c>
    </row>
    <row r="200" spans="1:6" ht="15.75" customHeight="1">
      <c r="A200" s="10">
        <f ca="1">IFERROR(__xludf.DUMMYFUNCTION("""COMPUTED_VALUE"""),43959.6666666666)</f>
        <v>43959.666666666599</v>
      </c>
      <c r="B200" s="1">
        <f ca="1">IFERROR(__xludf.DUMMYFUNCTION("""COMPUTED_VALUE"""),68.23)</f>
        <v>68.23</v>
      </c>
      <c r="C200" s="1">
        <f ca="1">IFERROR(__xludf.DUMMYFUNCTION("""COMPUTED_VALUE"""),70.37)</f>
        <v>70.37</v>
      </c>
      <c r="D200" s="1">
        <f ca="1">IFERROR(__xludf.DUMMYFUNCTION("""COMPUTED_VALUE"""),68.2)</f>
        <v>68.2</v>
      </c>
      <c r="E200" s="1">
        <f ca="1">IFERROR(__xludf.DUMMYFUNCTION("""COMPUTED_VALUE"""),70.21)</f>
        <v>70.209999999999994</v>
      </c>
      <c r="F200" s="1">
        <f ca="1">IFERROR(__xludf.DUMMYFUNCTION("""COMPUTED_VALUE"""),0)</f>
        <v>0</v>
      </c>
    </row>
    <row r="201" spans="1:6" ht="15.75" customHeight="1">
      <c r="A201" s="10">
        <f ca="1">IFERROR(__xludf.DUMMYFUNCTION("""COMPUTED_VALUE"""),43962.6666666666)</f>
        <v>43962.666666666599</v>
      </c>
      <c r="B201" s="1">
        <f ca="1">IFERROR(__xludf.DUMMYFUNCTION("""COMPUTED_VALUE"""),68.83)</f>
        <v>68.83</v>
      </c>
      <c r="C201" s="1">
        <f ca="1">IFERROR(__xludf.DUMMYFUNCTION("""COMPUTED_VALUE"""),68.83)</f>
        <v>68.83</v>
      </c>
      <c r="D201" s="1">
        <f ca="1">IFERROR(__xludf.DUMMYFUNCTION("""COMPUTED_VALUE"""),66.66)</f>
        <v>66.66</v>
      </c>
      <c r="E201" s="1">
        <f ca="1">IFERROR(__xludf.DUMMYFUNCTION("""COMPUTED_VALUE"""),67.46)</f>
        <v>67.459999999999994</v>
      </c>
      <c r="F201" s="1">
        <f ca="1">IFERROR(__xludf.DUMMYFUNCTION("""COMPUTED_VALUE"""),0)</f>
        <v>0</v>
      </c>
    </row>
    <row r="202" spans="1:6" ht="15.75" customHeight="1">
      <c r="A202" s="10">
        <f ca="1">IFERROR(__xludf.DUMMYFUNCTION("""COMPUTED_VALUE"""),43963.6666666666)</f>
        <v>43963.666666666599</v>
      </c>
      <c r="B202" s="1">
        <f ca="1">IFERROR(__xludf.DUMMYFUNCTION("""COMPUTED_VALUE"""),67.57)</f>
        <v>67.569999999999993</v>
      </c>
      <c r="C202" s="1">
        <f ca="1">IFERROR(__xludf.DUMMYFUNCTION("""COMPUTED_VALUE"""),67.87)</f>
        <v>67.87</v>
      </c>
      <c r="D202" s="1">
        <f ca="1">IFERROR(__xludf.DUMMYFUNCTION("""COMPUTED_VALUE"""),63.64)</f>
        <v>63.64</v>
      </c>
      <c r="E202" s="1">
        <f ca="1">IFERROR(__xludf.DUMMYFUNCTION("""COMPUTED_VALUE"""),63.72)</f>
        <v>63.72</v>
      </c>
      <c r="F202" s="1">
        <f ca="1">IFERROR(__xludf.DUMMYFUNCTION("""COMPUTED_VALUE"""),0)</f>
        <v>0</v>
      </c>
    </row>
    <row r="203" spans="1:6" ht="15.75" customHeight="1">
      <c r="A203" s="10">
        <f ca="1">IFERROR(__xludf.DUMMYFUNCTION("""COMPUTED_VALUE"""),43964.6666666666)</f>
        <v>43964.666666666599</v>
      </c>
      <c r="B203" s="1">
        <f ca="1">IFERROR(__xludf.DUMMYFUNCTION("""COMPUTED_VALUE"""),63.08)</f>
        <v>63.08</v>
      </c>
      <c r="C203" s="1">
        <f ca="1">IFERROR(__xludf.DUMMYFUNCTION("""COMPUTED_VALUE"""),63.08)</f>
        <v>63.08</v>
      </c>
      <c r="D203" s="1">
        <f ca="1">IFERROR(__xludf.DUMMYFUNCTION("""COMPUTED_VALUE"""),59.14)</f>
        <v>59.14</v>
      </c>
      <c r="E203" s="1">
        <f ca="1">IFERROR(__xludf.DUMMYFUNCTION("""COMPUTED_VALUE"""),60.21)</f>
        <v>60.21</v>
      </c>
      <c r="F203" s="1">
        <f ca="1">IFERROR(__xludf.DUMMYFUNCTION("""COMPUTED_VALUE"""),0)</f>
        <v>0</v>
      </c>
    </row>
    <row r="204" spans="1:6" ht="15.75" customHeight="1">
      <c r="A204" s="10">
        <f ca="1">IFERROR(__xludf.DUMMYFUNCTION("""COMPUTED_VALUE"""),43965.6666666666)</f>
        <v>43965.666666666599</v>
      </c>
      <c r="B204" s="1">
        <f ca="1">IFERROR(__xludf.DUMMYFUNCTION("""COMPUTED_VALUE"""),58.69)</f>
        <v>58.69</v>
      </c>
      <c r="C204" s="1">
        <f ca="1">IFERROR(__xludf.DUMMYFUNCTION("""COMPUTED_VALUE"""),62.14)</f>
        <v>62.14</v>
      </c>
      <c r="D204" s="1">
        <f ca="1">IFERROR(__xludf.DUMMYFUNCTION("""COMPUTED_VALUE"""),56.92)</f>
        <v>56.92</v>
      </c>
      <c r="E204" s="1">
        <f ca="1">IFERROR(__xludf.DUMMYFUNCTION("""COMPUTED_VALUE"""),61.7)</f>
        <v>61.7</v>
      </c>
      <c r="F204" s="1">
        <f ca="1">IFERROR(__xludf.DUMMYFUNCTION("""COMPUTED_VALUE"""),0)</f>
        <v>0</v>
      </c>
    </row>
    <row r="205" spans="1:6" ht="15.75" customHeight="1">
      <c r="A205" s="10">
        <f ca="1">IFERROR(__xludf.DUMMYFUNCTION("""COMPUTED_VALUE"""),43966.6666666666)</f>
        <v>43966.666666666599</v>
      </c>
      <c r="B205" s="1">
        <f ca="1">IFERROR(__xludf.DUMMYFUNCTION("""COMPUTED_VALUE"""),61.03)</f>
        <v>61.03</v>
      </c>
      <c r="C205" s="1">
        <f ca="1">IFERROR(__xludf.DUMMYFUNCTION("""COMPUTED_VALUE"""),61.73)</f>
        <v>61.73</v>
      </c>
      <c r="D205" s="1">
        <f ca="1">IFERROR(__xludf.DUMMYFUNCTION("""COMPUTED_VALUE"""),60.6)</f>
        <v>60.6</v>
      </c>
      <c r="E205" s="1">
        <f ca="1">IFERROR(__xludf.DUMMYFUNCTION("""COMPUTED_VALUE"""),61.25)</f>
        <v>61.25</v>
      </c>
      <c r="F205" s="1">
        <f ca="1">IFERROR(__xludf.DUMMYFUNCTION("""COMPUTED_VALUE"""),0)</f>
        <v>0</v>
      </c>
    </row>
    <row r="206" spans="1:6" ht="15.75" customHeight="1">
      <c r="A206" s="10">
        <f ca="1">IFERROR(__xludf.DUMMYFUNCTION("""COMPUTED_VALUE"""),43969.6666666666)</f>
        <v>43969.666666666599</v>
      </c>
      <c r="B206" s="1">
        <f ca="1">IFERROR(__xludf.DUMMYFUNCTION("""COMPUTED_VALUE"""),64.65)</f>
        <v>64.650000000000006</v>
      </c>
      <c r="C206" s="1">
        <f ca="1">IFERROR(__xludf.DUMMYFUNCTION("""COMPUTED_VALUE"""),67.97)</f>
        <v>67.97</v>
      </c>
      <c r="D206" s="1">
        <f ca="1">IFERROR(__xludf.DUMMYFUNCTION("""COMPUTED_VALUE"""),64.65)</f>
        <v>64.650000000000006</v>
      </c>
      <c r="E206" s="1">
        <f ca="1">IFERROR(__xludf.DUMMYFUNCTION("""COMPUTED_VALUE"""),67.57)</f>
        <v>67.569999999999993</v>
      </c>
      <c r="F206" s="1">
        <f ca="1">IFERROR(__xludf.DUMMYFUNCTION("""COMPUTED_VALUE"""),0)</f>
        <v>0</v>
      </c>
    </row>
    <row r="207" spans="1:6" ht="15.75" customHeight="1">
      <c r="A207" s="10">
        <f ca="1">IFERROR(__xludf.DUMMYFUNCTION("""COMPUTED_VALUE"""),43970.6666666666)</f>
        <v>43970.666666666599</v>
      </c>
      <c r="B207" s="1">
        <f ca="1">IFERROR(__xludf.DUMMYFUNCTION("""COMPUTED_VALUE"""),66.92)</f>
        <v>66.92</v>
      </c>
      <c r="C207" s="1">
        <f ca="1">IFERROR(__xludf.DUMMYFUNCTION("""COMPUTED_VALUE"""),67.11)</f>
        <v>67.11</v>
      </c>
      <c r="D207" s="1">
        <f ca="1">IFERROR(__xludf.DUMMYFUNCTION("""COMPUTED_VALUE"""),64.2)</f>
        <v>64.2</v>
      </c>
      <c r="E207" s="1">
        <f ca="1">IFERROR(__xludf.DUMMYFUNCTION("""COMPUTED_VALUE"""),64.22)</f>
        <v>64.22</v>
      </c>
      <c r="F207" s="1">
        <f ca="1">IFERROR(__xludf.DUMMYFUNCTION("""COMPUTED_VALUE"""),0)</f>
        <v>0</v>
      </c>
    </row>
    <row r="208" spans="1:6" ht="15.75" customHeight="1">
      <c r="A208" s="10">
        <f ca="1">IFERROR(__xludf.DUMMYFUNCTION("""COMPUTED_VALUE"""),43971.6666666666)</f>
        <v>43971.666666666599</v>
      </c>
      <c r="B208" s="1">
        <f ca="1">IFERROR(__xludf.DUMMYFUNCTION("""COMPUTED_VALUE"""),65.76)</f>
        <v>65.760000000000005</v>
      </c>
      <c r="C208" s="1">
        <f ca="1">IFERROR(__xludf.DUMMYFUNCTION("""COMPUTED_VALUE"""),68.12)</f>
        <v>68.12</v>
      </c>
      <c r="D208" s="1">
        <f ca="1">IFERROR(__xludf.DUMMYFUNCTION("""COMPUTED_VALUE"""),65.76)</f>
        <v>65.760000000000005</v>
      </c>
      <c r="E208" s="1">
        <f ca="1">IFERROR(__xludf.DUMMYFUNCTION("""COMPUTED_VALUE"""),68.01)</f>
        <v>68.010000000000005</v>
      </c>
      <c r="F208" s="1">
        <f ca="1">IFERROR(__xludf.DUMMYFUNCTION("""COMPUTED_VALUE"""),0)</f>
        <v>0</v>
      </c>
    </row>
    <row r="209" spans="1:6" ht="15.75" customHeight="1">
      <c r="A209" s="10">
        <f ca="1">IFERROR(__xludf.DUMMYFUNCTION("""COMPUTED_VALUE"""),43972.6666666666)</f>
        <v>43972.666666666599</v>
      </c>
      <c r="B209" s="1">
        <f ca="1">IFERROR(__xludf.DUMMYFUNCTION("""COMPUTED_VALUE"""),67.73)</f>
        <v>67.73</v>
      </c>
      <c r="C209" s="1">
        <f ca="1">IFERROR(__xludf.DUMMYFUNCTION("""COMPUTED_VALUE"""),68.83)</f>
        <v>68.83</v>
      </c>
      <c r="D209" s="1">
        <f ca="1">IFERROR(__xludf.DUMMYFUNCTION("""COMPUTED_VALUE"""),67.68)</f>
        <v>67.680000000000007</v>
      </c>
      <c r="E209" s="1">
        <f ca="1">IFERROR(__xludf.DUMMYFUNCTION("""COMPUTED_VALUE"""),67.91)</f>
        <v>67.91</v>
      </c>
      <c r="F209" s="1">
        <f ca="1">IFERROR(__xludf.DUMMYFUNCTION("""COMPUTED_VALUE"""),0)</f>
        <v>0</v>
      </c>
    </row>
    <row r="210" spans="1:6" ht="15.75" customHeight="1">
      <c r="A210" s="10">
        <f ca="1">IFERROR(__xludf.DUMMYFUNCTION("""COMPUTED_VALUE"""),43973.6666666666)</f>
        <v>43973.666666666599</v>
      </c>
      <c r="B210" s="1">
        <f ca="1">IFERROR(__xludf.DUMMYFUNCTION("""COMPUTED_VALUE"""),68.24)</f>
        <v>68.239999999999995</v>
      </c>
      <c r="C210" s="1">
        <f ca="1">IFERROR(__xludf.DUMMYFUNCTION("""COMPUTED_VALUE"""),68.54)</f>
        <v>68.540000000000006</v>
      </c>
      <c r="D210" s="1">
        <f ca="1">IFERROR(__xludf.DUMMYFUNCTION("""COMPUTED_VALUE"""),66.47)</f>
        <v>66.47</v>
      </c>
      <c r="E210" s="1">
        <f ca="1">IFERROR(__xludf.DUMMYFUNCTION("""COMPUTED_VALUE"""),67.04)</f>
        <v>67.040000000000006</v>
      </c>
      <c r="F210" s="1">
        <f ca="1">IFERROR(__xludf.DUMMYFUNCTION("""COMPUTED_VALUE"""),0)</f>
        <v>0</v>
      </c>
    </row>
    <row r="211" spans="1:6" ht="15.75" customHeight="1">
      <c r="A211" s="10">
        <f ca="1">IFERROR(__xludf.DUMMYFUNCTION("""COMPUTED_VALUE"""),43977.6666666666)</f>
        <v>43977.666666666599</v>
      </c>
      <c r="B211" s="1">
        <f ca="1">IFERROR(__xludf.DUMMYFUNCTION("""COMPUTED_VALUE"""),69.99)</f>
        <v>69.989999999999995</v>
      </c>
      <c r="C211" s="1">
        <f ca="1">IFERROR(__xludf.DUMMYFUNCTION("""COMPUTED_VALUE"""),72.76)</f>
        <v>72.760000000000005</v>
      </c>
      <c r="D211" s="1">
        <f ca="1">IFERROR(__xludf.DUMMYFUNCTION("""COMPUTED_VALUE"""),69.99)</f>
        <v>69.989999999999995</v>
      </c>
      <c r="E211" s="1">
        <f ca="1">IFERROR(__xludf.DUMMYFUNCTION("""COMPUTED_VALUE"""),72.08)</f>
        <v>72.08</v>
      </c>
      <c r="F211" s="1">
        <f ca="1">IFERROR(__xludf.DUMMYFUNCTION("""COMPUTED_VALUE"""),0)</f>
        <v>0</v>
      </c>
    </row>
    <row r="212" spans="1:6" ht="15.75" customHeight="1">
      <c r="A212" s="10">
        <f ca="1">IFERROR(__xludf.DUMMYFUNCTION("""COMPUTED_VALUE"""),43978.6666666666)</f>
        <v>43978.666666666599</v>
      </c>
      <c r="B212" s="1">
        <f ca="1">IFERROR(__xludf.DUMMYFUNCTION("""COMPUTED_VALUE"""),75.16)</f>
        <v>75.16</v>
      </c>
      <c r="C212" s="1">
        <f ca="1">IFERROR(__xludf.DUMMYFUNCTION("""COMPUTED_VALUE"""),77.42)</f>
        <v>77.42</v>
      </c>
      <c r="D212" s="1">
        <f ca="1">IFERROR(__xludf.DUMMYFUNCTION("""COMPUTED_VALUE"""),73.62)</f>
        <v>73.62</v>
      </c>
      <c r="E212" s="1">
        <f ca="1">IFERROR(__xludf.DUMMYFUNCTION("""COMPUTED_VALUE"""),77.2)</f>
        <v>77.2</v>
      </c>
      <c r="F212" s="1">
        <f ca="1">IFERROR(__xludf.DUMMYFUNCTION("""COMPUTED_VALUE"""),0)</f>
        <v>0</v>
      </c>
    </row>
    <row r="213" spans="1:6" ht="15.75" customHeight="1">
      <c r="A213" s="10">
        <f ca="1">IFERROR(__xludf.DUMMYFUNCTION("""COMPUTED_VALUE"""),43979.6666666666)</f>
        <v>43979.666666666599</v>
      </c>
      <c r="B213" s="1">
        <f ca="1">IFERROR(__xludf.DUMMYFUNCTION("""COMPUTED_VALUE"""),78.34)</f>
        <v>78.34</v>
      </c>
      <c r="C213" s="1">
        <f ca="1">IFERROR(__xludf.DUMMYFUNCTION("""COMPUTED_VALUE"""),78.34)</f>
        <v>78.34</v>
      </c>
      <c r="D213" s="1">
        <f ca="1">IFERROR(__xludf.DUMMYFUNCTION("""COMPUTED_VALUE"""),73.95)</f>
        <v>73.95</v>
      </c>
      <c r="E213" s="1">
        <f ca="1">IFERROR(__xludf.DUMMYFUNCTION("""COMPUTED_VALUE"""),74.29)</f>
        <v>74.290000000000006</v>
      </c>
      <c r="F213" s="1">
        <f ca="1">IFERROR(__xludf.DUMMYFUNCTION("""COMPUTED_VALUE"""),0)</f>
        <v>0</v>
      </c>
    </row>
    <row r="214" spans="1:6" ht="15.75" customHeight="1">
      <c r="A214" s="10">
        <f ca="1">IFERROR(__xludf.DUMMYFUNCTION("""COMPUTED_VALUE"""),43980.6666666666)</f>
        <v>43980.666666666599</v>
      </c>
      <c r="B214" s="1">
        <f ca="1">IFERROR(__xludf.DUMMYFUNCTION("""COMPUTED_VALUE"""),72.74)</f>
        <v>72.739999999999995</v>
      </c>
      <c r="C214" s="1">
        <f ca="1">IFERROR(__xludf.DUMMYFUNCTION("""COMPUTED_VALUE"""),73.32)</f>
        <v>73.319999999999993</v>
      </c>
      <c r="D214" s="1">
        <f ca="1">IFERROR(__xludf.DUMMYFUNCTION("""COMPUTED_VALUE"""),71.43)</f>
        <v>71.430000000000007</v>
      </c>
      <c r="E214" s="1">
        <f ca="1">IFERROR(__xludf.DUMMYFUNCTION("""COMPUTED_VALUE"""),72.28)</f>
        <v>72.28</v>
      </c>
      <c r="F214" s="1">
        <f ca="1">IFERROR(__xludf.DUMMYFUNCTION("""COMPUTED_VALUE"""),0)</f>
        <v>0</v>
      </c>
    </row>
    <row r="215" spans="1:6" ht="15.75" customHeight="1">
      <c r="A215" s="10">
        <f ca="1">IFERROR(__xludf.DUMMYFUNCTION("""COMPUTED_VALUE"""),43983.6666666666)</f>
        <v>43983.666666666599</v>
      </c>
      <c r="B215" s="1">
        <f ca="1">IFERROR(__xludf.DUMMYFUNCTION("""COMPUTED_VALUE"""),72.82)</f>
        <v>72.819999999999993</v>
      </c>
      <c r="C215" s="1">
        <f ca="1">IFERROR(__xludf.DUMMYFUNCTION("""COMPUTED_VALUE"""),73.93)</f>
        <v>73.930000000000007</v>
      </c>
      <c r="D215" s="1">
        <f ca="1">IFERROR(__xludf.DUMMYFUNCTION("""COMPUTED_VALUE"""),72.17)</f>
        <v>72.17</v>
      </c>
      <c r="E215" s="1">
        <f ca="1">IFERROR(__xludf.DUMMYFUNCTION("""COMPUTED_VALUE"""),72.68)</f>
        <v>72.680000000000007</v>
      </c>
      <c r="F215" s="1">
        <f ca="1">IFERROR(__xludf.DUMMYFUNCTION("""COMPUTED_VALUE"""),0)</f>
        <v>0</v>
      </c>
    </row>
    <row r="216" spans="1:6" ht="15.75" customHeight="1">
      <c r="A216" s="10">
        <f ca="1">IFERROR(__xludf.DUMMYFUNCTION("""COMPUTED_VALUE"""),43984.6666666666)</f>
        <v>43984.666666666599</v>
      </c>
      <c r="B216" s="1">
        <f ca="1">IFERROR(__xludf.DUMMYFUNCTION("""COMPUTED_VALUE"""),73.81)</f>
        <v>73.81</v>
      </c>
      <c r="C216" s="1">
        <f ca="1">IFERROR(__xludf.DUMMYFUNCTION("""COMPUTED_VALUE"""),74.25)</f>
        <v>74.25</v>
      </c>
      <c r="D216" s="1">
        <f ca="1">IFERROR(__xludf.DUMMYFUNCTION("""COMPUTED_VALUE"""),71.7)</f>
        <v>71.7</v>
      </c>
      <c r="E216" s="1">
        <f ca="1">IFERROR(__xludf.DUMMYFUNCTION("""COMPUTED_VALUE"""),72.3)</f>
        <v>72.3</v>
      </c>
      <c r="F216" s="1">
        <f ca="1">IFERROR(__xludf.DUMMYFUNCTION("""COMPUTED_VALUE"""),0)</f>
        <v>0</v>
      </c>
    </row>
    <row r="217" spans="1:6" ht="15.75" customHeight="1">
      <c r="A217" s="10">
        <f ca="1">IFERROR(__xludf.DUMMYFUNCTION("""COMPUTED_VALUE"""),43985.6666666666)</f>
        <v>43985.666666666599</v>
      </c>
      <c r="B217" s="1">
        <f ca="1">IFERROR(__xludf.DUMMYFUNCTION("""COMPUTED_VALUE"""),74.46)</f>
        <v>74.459999999999994</v>
      </c>
      <c r="C217" s="1">
        <f ca="1">IFERROR(__xludf.DUMMYFUNCTION("""COMPUTED_VALUE"""),77.18)</f>
        <v>77.180000000000007</v>
      </c>
      <c r="D217" s="1">
        <f ca="1">IFERROR(__xludf.DUMMYFUNCTION("""COMPUTED_VALUE"""),74.45)</f>
        <v>74.45</v>
      </c>
      <c r="E217" s="1">
        <f ca="1">IFERROR(__xludf.DUMMYFUNCTION("""COMPUTED_VALUE"""),76.21)</f>
        <v>76.209999999999994</v>
      </c>
      <c r="F217" s="1">
        <f ca="1">IFERROR(__xludf.DUMMYFUNCTION("""COMPUTED_VALUE"""),0)</f>
        <v>0</v>
      </c>
    </row>
    <row r="218" spans="1:6" ht="15.75" customHeight="1">
      <c r="A218" s="10">
        <f ca="1">IFERROR(__xludf.DUMMYFUNCTION("""COMPUTED_VALUE"""),43986.6666666666)</f>
        <v>43986.666666666599</v>
      </c>
      <c r="B218" s="1">
        <f ca="1">IFERROR(__xludf.DUMMYFUNCTION("""COMPUTED_VALUE"""),75.96)</f>
        <v>75.959999999999994</v>
      </c>
      <c r="C218" s="1">
        <f ca="1">IFERROR(__xludf.DUMMYFUNCTION("""COMPUTED_VALUE"""),78.15)</f>
        <v>78.150000000000006</v>
      </c>
      <c r="D218" s="1">
        <f ca="1">IFERROR(__xludf.DUMMYFUNCTION("""COMPUTED_VALUE"""),74.94)</f>
        <v>74.94</v>
      </c>
      <c r="E218" s="1">
        <f ca="1">IFERROR(__xludf.DUMMYFUNCTION("""COMPUTED_VALUE"""),78.15)</f>
        <v>78.150000000000006</v>
      </c>
      <c r="F218" s="1">
        <f ca="1">IFERROR(__xludf.DUMMYFUNCTION("""COMPUTED_VALUE"""),0)</f>
        <v>0</v>
      </c>
    </row>
    <row r="219" spans="1:6" ht="15.75" customHeight="1">
      <c r="A219" s="10">
        <f ca="1">IFERROR(__xludf.DUMMYFUNCTION("""COMPUTED_VALUE"""),43987.6666666666)</f>
        <v>43987.666666666599</v>
      </c>
      <c r="B219" s="1">
        <f ca="1">IFERROR(__xludf.DUMMYFUNCTION("""COMPUTED_VALUE"""),83.82)</f>
        <v>83.82</v>
      </c>
      <c r="C219" s="1">
        <f ca="1">IFERROR(__xludf.DUMMYFUNCTION("""COMPUTED_VALUE"""),84.92)</f>
        <v>84.92</v>
      </c>
      <c r="D219" s="1">
        <f ca="1">IFERROR(__xludf.DUMMYFUNCTION("""COMPUTED_VALUE"""),82.1)</f>
        <v>82.1</v>
      </c>
      <c r="E219" s="1">
        <f ca="1">IFERROR(__xludf.DUMMYFUNCTION("""COMPUTED_VALUE"""),83.25)</f>
        <v>83.25</v>
      </c>
      <c r="F219" s="1">
        <f ca="1">IFERROR(__xludf.DUMMYFUNCTION("""COMPUTED_VALUE"""),0)</f>
        <v>0</v>
      </c>
    </row>
    <row r="220" spans="1:6" ht="15.75" customHeight="1">
      <c r="A220" s="10">
        <f ca="1">IFERROR(__xludf.DUMMYFUNCTION("""COMPUTED_VALUE"""),43990.6666666666)</f>
        <v>43990.666666666599</v>
      </c>
      <c r="B220" s="1">
        <f ca="1">IFERROR(__xludf.DUMMYFUNCTION("""COMPUTED_VALUE"""),85.65)</f>
        <v>85.65</v>
      </c>
      <c r="C220" s="1">
        <f ca="1">IFERROR(__xludf.DUMMYFUNCTION("""COMPUTED_VALUE"""),86.29)</f>
        <v>86.29</v>
      </c>
      <c r="D220" s="1">
        <f ca="1">IFERROR(__xludf.DUMMYFUNCTION("""COMPUTED_VALUE"""),84.06)</f>
        <v>84.06</v>
      </c>
      <c r="E220" s="1">
        <f ca="1">IFERROR(__xludf.DUMMYFUNCTION("""COMPUTED_VALUE"""),85.6)</f>
        <v>85.6</v>
      </c>
      <c r="F220" s="1">
        <f ca="1">IFERROR(__xludf.DUMMYFUNCTION("""COMPUTED_VALUE"""),0)</f>
        <v>0</v>
      </c>
    </row>
    <row r="221" spans="1:6" ht="15.75" customHeight="1">
      <c r="A221" s="10">
        <f ca="1">IFERROR(__xludf.DUMMYFUNCTION("""COMPUTED_VALUE"""),43991.6666666666)</f>
        <v>43991.666666666599</v>
      </c>
      <c r="B221" s="1">
        <f ca="1">IFERROR(__xludf.DUMMYFUNCTION("""COMPUTED_VALUE"""),82.78)</f>
        <v>82.78</v>
      </c>
      <c r="C221" s="1">
        <f ca="1">IFERROR(__xludf.DUMMYFUNCTION("""COMPUTED_VALUE"""),85.29)</f>
        <v>85.29</v>
      </c>
      <c r="D221" s="1">
        <f ca="1">IFERROR(__xludf.DUMMYFUNCTION("""COMPUTED_VALUE"""),82.02)</f>
        <v>82.02</v>
      </c>
      <c r="E221" s="1">
        <f ca="1">IFERROR(__xludf.DUMMYFUNCTION("""COMPUTED_VALUE"""),83.81)</f>
        <v>83.81</v>
      </c>
      <c r="F221" s="1">
        <f ca="1">IFERROR(__xludf.DUMMYFUNCTION("""COMPUTED_VALUE"""),0)</f>
        <v>0</v>
      </c>
    </row>
    <row r="222" spans="1:6" ht="15.75" customHeight="1">
      <c r="A222" s="10">
        <f ca="1">IFERROR(__xludf.DUMMYFUNCTION("""COMPUTED_VALUE"""),43992.6666666666)</f>
        <v>43992.666666666599</v>
      </c>
      <c r="B222" s="1">
        <f ca="1">IFERROR(__xludf.DUMMYFUNCTION("""COMPUTED_VALUE"""),83.22)</f>
        <v>83.22</v>
      </c>
      <c r="C222" s="1">
        <f ca="1">IFERROR(__xludf.DUMMYFUNCTION("""COMPUTED_VALUE"""),83.32)</f>
        <v>83.32</v>
      </c>
      <c r="D222" s="1">
        <f ca="1">IFERROR(__xludf.DUMMYFUNCTION("""COMPUTED_VALUE"""),78.08)</f>
        <v>78.08</v>
      </c>
      <c r="E222" s="1">
        <f ca="1">IFERROR(__xludf.DUMMYFUNCTION("""COMPUTED_VALUE"""),78.22)</f>
        <v>78.22</v>
      </c>
      <c r="F222" s="1">
        <f ca="1">IFERROR(__xludf.DUMMYFUNCTION("""COMPUTED_VALUE"""),0)</f>
        <v>0</v>
      </c>
    </row>
    <row r="223" spans="1:6" ht="15.75" customHeight="1">
      <c r="A223" s="10">
        <f ca="1">IFERROR(__xludf.DUMMYFUNCTION("""COMPUTED_VALUE"""),43993.6666666666)</f>
        <v>43993.666666666599</v>
      </c>
      <c r="B223" s="1">
        <f ca="1">IFERROR(__xludf.DUMMYFUNCTION("""COMPUTED_VALUE"""),73.13)</f>
        <v>73.13</v>
      </c>
      <c r="C223" s="1">
        <f ca="1">IFERROR(__xludf.DUMMYFUNCTION("""COMPUTED_VALUE"""),74.11)</f>
        <v>74.11</v>
      </c>
      <c r="D223" s="1">
        <f ca="1">IFERROR(__xludf.DUMMYFUNCTION("""COMPUTED_VALUE"""),70.69)</f>
        <v>70.69</v>
      </c>
      <c r="E223" s="1">
        <f ca="1">IFERROR(__xludf.DUMMYFUNCTION("""COMPUTED_VALUE"""),70.83)</f>
        <v>70.83</v>
      </c>
      <c r="F223" s="1">
        <f ca="1">IFERROR(__xludf.DUMMYFUNCTION("""COMPUTED_VALUE"""),0)</f>
        <v>0</v>
      </c>
    </row>
    <row r="224" spans="1:6" ht="15.75" customHeight="1">
      <c r="A224" s="10">
        <f ca="1">IFERROR(__xludf.DUMMYFUNCTION("""COMPUTED_VALUE"""),43994.6666666666)</f>
        <v>43994.666666666599</v>
      </c>
      <c r="B224" s="1">
        <f ca="1">IFERROR(__xludf.DUMMYFUNCTION("""COMPUTED_VALUE"""),74.55)</f>
        <v>74.55</v>
      </c>
      <c r="C224" s="1">
        <f ca="1">IFERROR(__xludf.DUMMYFUNCTION("""COMPUTED_VALUE"""),74.55)</f>
        <v>74.55</v>
      </c>
      <c r="D224" s="1">
        <f ca="1">IFERROR(__xludf.DUMMYFUNCTION("""COMPUTED_VALUE"""),70.49)</f>
        <v>70.489999999999995</v>
      </c>
      <c r="E224" s="1">
        <f ca="1">IFERROR(__xludf.DUMMYFUNCTION("""COMPUTED_VALUE"""),73.13)</f>
        <v>73.13</v>
      </c>
      <c r="F224" s="1">
        <f ca="1">IFERROR(__xludf.DUMMYFUNCTION("""COMPUTED_VALUE"""),0)</f>
        <v>0</v>
      </c>
    </row>
    <row r="225" spans="1:6" ht="15.75" customHeight="1">
      <c r="A225" s="10">
        <f ca="1">IFERROR(__xludf.DUMMYFUNCTION("""COMPUTED_VALUE"""),43997.6666666666)</f>
        <v>43997.666666666599</v>
      </c>
      <c r="B225" s="1">
        <f ca="1">IFERROR(__xludf.DUMMYFUNCTION("""COMPUTED_VALUE"""),69.71)</f>
        <v>69.709999999999994</v>
      </c>
      <c r="C225" s="1">
        <f ca="1">IFERROR(__xludf.DUMMYFUNCTION("""COMPUTED_VALUE"""),74.46)</f>
        <v>74.459999999999994</v>
      </c>
      <c r="D225" s="1">
        <f ca="1">IFERROR(__xludf.DUMMYFUNCTION("""COMPUTED_VALUE"""),69.5)</f>
        <v>69.5</v>
      </c>
      <c r="E225" s="1">
        <f ca="1">IFERROR(__xludf.DUMMYFUNCTION("""COMPUTED_VALUE"""),73.68)</f>
        <v>73.680000000000007</v>
      </c>
      <c r="F225" s="1">
        <f ca="1">IFERROR(__xludf.DUMMYFUNCTION("""COMPUTED_VALUE"""),0)</f>
        <v>0</v>
      </c>
    </row>
    <row r="226" spans="1:6" ht="15.75" customHeight="1">
      <c r="A226" s="10">
        <f ca="1">IFERROR(__xludf.DUMMYFUNCTION("""COMPUTED_VALUE"""),43998.6666666666)</f>
        <v>43998.666666666599</v>
      </c>
      <c r="B226" s="1">
        <f ca="1">IFERROR(__xludf.DUMMYFUNCTION("""COMPUTED_VALUE"""),77.4)</f>
        <v>77.400000000000006</v>
      </c>
      <c r="C226" s="1">
        <f ca="1">IFERROR(__xludf.DUMMYFUNCTION("""COMPUTED_VALUE"""),78.02)</f>
        <v>78.02</v>
      </c>
      <c r="D226" s="1">
        <f ca="1">IFERROR(__xludf.DUMMYFUNCTION("""COMPUTED_VALUE"""),74.89)</f>
        <v>74.89</v>
      </c>
      <c r="E226" s="1">
        <f ca="1">IFERROR(__xludf.DUMMYFUNCTION("""COMPUTED_VALUE"""),76.88)</f>
        <v>76.88</v>
      </c>
      <c r="F226" s="1">
        <f ca="1">IFERROR(__xludf.DUMMYFUNCTION("""COMPUTED_VALUE"""),0)</f>
        <v>0</v>
      </c>
    </row>
    <row r="227" spans="1:6" ht="15.75" customHeight="1">
      <c r="A227" s="10">
        <f ca="1">IFERROR(__xludf.DUMMYFUNCTION("""COMPUTED_VALUE"""),43999.6666666666)</f>
        <v>43999.666666666599</v>
      </c>
      <c r="B227" s="1">
        <f ca="1">IFERROR(__xludf.DUMMYFUNCTION("""COMPUTED_VALUE"""),76.98)</f>
        <v>76.98</v>
      </c>
      <c r="C227" s="1">
        <f ca="1">IFERROR(__xludf.DUMMYFUNCTION("""COMPUTED_VALUE"""),77.02)</f>
        <v>77.02</v>
      </c>
      <c r="D227" s="1">
        <f ca="1">IFERROR(__xludf.DUMMYFUNCTION("""COMPUTED_VALUE"""),73.86)</f>
        <v>73.86</v>
      </c>
      <c r="E227" s="1">
        <f ca="1">IFERROR(__xludf.DUMMYFUNCTION("""COMPUTED_VALUE"""),73.98)</f>
        <v>73.98</v>
      </c>
      <c r="F227" s="1">
        <f ca="1">IFERROR(__xludf.DUMMYFUNCTION("""COMPUTED_VALUE"""),0)</f>
        <v>0</v>
      </c>
    </row>
    <row r="228" spans="1:6" ht="15.75" customHeight="1">
      <c r="A228" s="10">
        <f ca="1">IFERROR(__xludf.DUMMYFUNCTION("""COMPUTED_VALUE"""),44000.6666666666)</f>
        <v>44000.666666666599</v>
      </c>
      <c r="B228" s="1">
        <f ca="1">IFERROR(__xludf.DUMMYFUNCTION("""COMPUTED_VALUE"""),72.87)</f>
        <v>72.87</v>
      </c>
      <c r="C228" s="1">
        <f ca="1">IFERROR(__xludf.DUMMYFUNCTION("""COMPUTED_VALUE"""),75.72)</f>
        <v>75.72</v>
      </c>
      <c r="D228" s="1">
        <f ca="1">IFERROR(__xludf.DUMMYFUNCTION("""COMPUTED_VALUE"""),72.84)</f>
        <v>72.84</v>
      </c>
      <c r="E228" s="1">
        <f ca="1">IFERROR(__xludf.DUMMYFUNCTION("""COMPUTED_VALUE"""),74.46)</f>
        <v>74.459999999999994</v>
      </c>
      <c r="F228" s="1">
        <f ca="1">IFERROR(__xludf.DUMMYFUNCTION("""COMPUTED_VALUE"""),0)</f>
        <v>0</v>
      </c>
    </row>
    <row r="229" spans="1:6" ht="15.75" customHeight="1">
      <c r="A229" s="10">
        <f ca="1">IFERROR(__xludf.DUMMYFUNCTION("""COMPUTED_VALUE"""),44001.6666666666)</f>
        <v>44001.666666666599</v>
      </c>
      <c r="B229" s="1">
        <f ca="1">IFERROR(__xludf.DUMMYFUNCTION("""COMPUTED_VALUE"""),75.52)</f>
        <v>75.52</v>
      </c>
      <c r="C229" s="1">
        <f ca="1">IFERROR(__xludf.DUMMYFUNCTION("""COMPUTED_VALUE"""),75.53)</f>
        <v>75.53</v>
      </c>
      <c r="D229" s="1">
        <f ca="1">IFERROR(__xludf.DUMMYFUNCTION("""COMPUTED_VALUE"""),71.98)</f>
        <v>71.98</v>
      </c>
      <c r="E229" s="1">
        <f ca="1">IFERROR(__xludf.DUMMYFUNCTION("""COMPUTED_VALUE"""),73.8)</f>
        <v>73.8</v>
      </c>
      <c r="F229" s="1">
        <f ca="1">IFERROR(__xludf.DUMMYFUNCTION("""COMPUTED_VALUE"""),0)</f>
        <v>0</v>
      </c>
    </row>
    <row r="230" spans="1:6" ht="15.75" customHeight="1">
      <c r="A230" s="10">
        <f ca="1">IFERROR(__xludf.DUMMYFUNCTION("""COMPUTED_VALUE"""),44004.6666666666)</f>
        <v>44004.666666666599</v>
      </c>
      <c r="B230" s="1">
        <f ca="1">IFERROR(__xludf.DUMMYFUNCTION("""COMPUTED_VALUE"""),72.93)</f>
        <v>72.930000000000007</v>
      </c>
      <c r="C230" s="1">
        <f ca="1">IFERROR(__xludf.DUMMYFUNCTION("""COMPUTED_VALUE"""),74.17)</f>
        <v>74.17</v>
      </c>
      <c r="D230" s="1">
        <f ca="1">IFERROR(__xludf.DUMMYFUNCTION("""COMPUTED_VALUE"""),72.16)</f>
        <v>72.16</v>
      </c>
      <c r="E230" s="1">
        <f ca="1">IFERROR(__xludf.DUMMYFUNCTION("""COMPUTED_VALUE"""),73.5)</f>
        <v>73.5</v>
      </c>
      <c r="F230" s="1">
        <f ca="1">IFERROR(__xludf.DUMMYFUNCTION("""COMPUTED_VALUE"""),0)</f>
        <v>0</v>
      </c>
    </row>
    <row r="231" spans="1:6" ht="15.75" customHeight="1">
      <c r="A231" s="10">
        <f ca="1">IFERROR(__xludf.DUMMYFUNCTION("""COMPUTED_VALUE"""),44005.6666666666)</f>
        <v>44005.666666666599</v>
      </c>
      <c r="B231" s="1">
        <f ca="1">IFERROR(__xludf.DUMMYFUNCTION("""COMPUTED_VALUE"""),75)</f>
        <v>75</v>
      </c>
      <c r="C231" s="1">
        <f ca="1">IFERROR(__xludf.DUMMYFUNCTION("""COMPUTED_VALUE"""),75.48)</f>
        <v>75.48</v>
      </c>
      <c r="D231" s="1">
        <f ca="1">IFERROR(__xludf.DUMMYFUNCTION("""COMPUTED_VALUE"""),72.35)</f>
        <v>72.349999999999994</v>
      </c>
      <c r="E231" s="1">
        <f ca="1">IFERROR(__xludf.DUMMYFUNCTION("""COMPUTED_VALUE"""),72.36)</f>
        <v>72.36</v>
      </c>
      <c r="F231" s="1">
        <f ca="1">IFERROR(__xludf.DUMMYFUNCTION("""COMPUTED_VALUE"""),0)</f>
        <v>0</v>
      </c>
    </row>
    <row r="232" spans="1:6" ht="15.75" customHeight="1">
      <c r="A232" s="10">
        <f ca="1">IFERROR(__xludf.DUMMYFUNCTION("""COMPUTED_VALUE"""),44006.6666666666)</f>
        <v>44006.666666666599</v>
      </c>
      <c r="B232" s="1">
        <f ca="1">IFERROR(__xludf.DUMMYFUNCTION("""COMPUTED_VALUE"""),71.11)</f>
        <v>71.11</v>
      </c>
      <c r="C232" s="1">
        <f ca="1">IFERROR(__xludf.DUMMYFUNCTION("""COMPUTED_VALUE"""),71.26)</f>
        <v>71.260000000000005</v>
      </c>
      <c r="D232" s="1">
        <f ca="1">IFERROR(__xludf.DUMMYFUNCTION("""COMPUTED_VALUE"""),68.36)</f>
        <v>68.36</v>
      </c>
      <c r="E232" s="1">
        <f ca="1">IFERROR(__xludf.DUMMYFUNCTION("""COMPUTED_VALUE"""),68.63)</f>
        <v>68.63</v>
      </c>
      <c r="F232" s="1">
        <f ca="1">IFERROR(__xludf.DUMMYFUNCTION("""COMPUTED_VALUE"""),0)</f>
        <v>0</v>
      </c>
    </row>
    <row r="233" spans="1:6" ht="15.75" customHeight="1">
      <c r="A233" s="10">
        <f ca="1">IFERROR(__xludf.DUMMYFUNCTION("""COMPUTED_VALUE"""),44007.6666666666)</f>
        <v>44007.666666666599</v>
      </c>
      <c r="B233" s="1">
        <f ca="1">IFERROR(__xludf.DUMMYFUNCTION("""COMPUTED_VALUE"""),68.03)</f>
        <v>68.03</v>
      </c>
      <c r="C233" s="1">
        <f ca="1">IFERROR(__xludf.DUMMYFUNCTION("""COMPUTED_VALUE"""),71.13)</f>
        <v>71.13</v>
      </c>
      <c r="D233" s="1">
        <f ca="1">IFERROR(__xludf.DUMMYFUNCTION("""COMPUTED_VALUE"""),67.86)</f>
        <v>67.86</v>
      </c>
      <c r="E233" s="1">
        <f ca="1">IFERROR(__xludf.DUMMYFUNCTION("""COMPUTED_VALUE"""),71.1)</f>
        <v>71.099999999999994</v>
      </c>
      <c r="F233" s="1">
        <f ca="1">IFERROR(__xludf.DUMMYFUNCTION("""COMPUTED_VALUE"""),0)</f>
        <v>0</v>
      </c>
    </row>
    <row r="234" spans="1:6" ht="15.75" customHeight="1">
      <c r="A234" s="10">
        <f ca="1">IFERROR(__xludf.DUMMYFUNCTION("""COMPUTED_VALUE"""),44008.6666666666)</f>
        <v>44008.666666666599</v>
      </c>
      <c r="B234" s="1">
        <f ca="1">IFERROR(__xludf.DUMMYFUNCTION("""COMPUTED_VALUE"""),69.51)</f>
        <v>69.510000000000005</v>
      </c>
      <c r="C234" s="1">
        <f ca="1">IFERROR(__xludf.DUMMYFUNCTION("""COMPUTED_VALUE"""),69.52)</f>
        <v>69.52</v>
      </c>
      <c r="D234" s="1">
        <f ca="1">IFERROR(__xludf.DUMMYFUNCTION("""COMPUTED_VALUE"""),66.85)</f>
        <v>66.849999999999994</v>
      </c>
      <c r="E234" s="1">
        <f ca="1">IFERROR(__xludf.DUMMYFUNCTION("""COMPUTED_VALUE"""),67.07)</f>
        <v>67.069999999999993</v>
      </c>
      <c r="F234" s="1">
        <f ca="1">IFERROR(__xludf.DUMMYFUNCTION("""COMPUTED_VALUE"""),0)</f>
        <v>0</v>
      </c>
    </row>
    <row r="235" spans="1:6" ht="15.75" customHeight="1">
      <c r="A235" s="10">
        <f ca="1">IFERROR(__xludf.DUMMYFUNCTION("""COMPUTED_VALUE"""),44011.6666666666)</f>
        <v>44011.666666666599</v>
      </c>
      <c r="B235" s="1">
        <f ca="1">IFERROR(__xludf.DUMMYFUNCTION("""COMPUTED_VALUE"""),68.28)</f>
        <v>68.28</v>
      </c>
      <c r="C235" s="1">
        <f ca="1">IFERROR(__xludf.DUMMYFUNCTION("""COMPUTED_VALUE"""),71.1)</f>
        <v>71.099999999999994</v>
      </c>
      <c r="D235" s="1">
        <f ca="1">IFERROR(__xludf.DUMMYFUNCTION("""COMPUTED_VALUE"""),68.06)</f>
        <v>68.06</v>
      </c>
      <c r="E235" s="1">
        <f ca="1">IFERROR(__xludf.DUMMYFUNCTION("""COMPUTED_VALUE"""),70.41)</f>
        <v>70.41</v>
      </c>
      <c r="F235" s="1">
        <f ca="1">IFERROR(__xludf.DUMMYFUNCTION("""COMPUTED_VALUE"""),0)</f>
        <v>0</v>
      </c>
    </row>
    <row r="236" spans="1:6" ht="15.75" customHeight="1">
      <c r="A236" s="10">
        <f ca="1">IFERROR(__xludf.DUMMYFUNCTION("""COMPUTED_VALUE"""),44012.6666666666)</f>
        <v>44012.666666666599</v>
      </c>
      <c r="B236" s="1">
        <f ca="1">IFERROR(__xludf.DUMMYFUNCTION("""COMPUTED_VALUE"""),69.7)</f>
        <v>69.7</v>
      </c>
      <c r="C236" s="1">
        <f ca="1">IFERROR(__xludf.DUMMYFUNCTION("""COMPUTED_VALUE"""),72.48)</f>
        <v>72.48</v>
      </c>
      <c r="D236" s="1">
        <f ca="1">IFERROR(__xludf.DUMMYFUNCTION("""COMPUTED_VALUE"""),69.68)</f>
        <v>69.680000000000007</v>
      </c>
      <c r="E236" s="1">
        <f ca="1">IFERROR(__xludf.DUMMYFUNCTION("""COMPUTED_VALUE"""),72.16)</f>
        <v>72.16</v>
      </c>
      <c r="F236" s="1">
        <f ca="1">IFERROR(__xludf.DUMMYFUNCTION("""COMPUTED_VALUE"""),0)</f>
        <v>0</v>
      </c>
    </row>
    <row r="237" spans="1:6" ht="15.75" customHeight="1">
      <c r="A237" s="10">
        <f ca="1">IFERROR(__xludf.DUMMYFUNCTION("""COMPUTED_VALUE"""),44013.6666666666)</f>
        <v>44013.666666666599</v>
      </c>
      <c r="B237" s="1">
        <f ca="1">IFERROR(__xludf.DUMMYFUNCTION("""COMPUTED_VALUE"""),72.35)</f>
        <v>72.349999999999994</v>
      </c>
      <c r="C237" s="1">
        <f ca="1">IFERROR(__xludf.DUMMYFUNCTION("""COMPUTED_VALUE"""),72.37)</f>
        <v>72.37</v>
      </c>
      <c r="D237" s="1">
        <f ca="1">IFERROR(__xludf.DUMMYFUNCTION("""COMPUTED_VALUE"""),68.97)</f>
        <v>68.97</v>
      </c>
      <c r="E237" s="1">
        <f ca="1">IFERROR(__xludf.DUMMYFUNCTION("""COMPUTED_VALUE"""),69.1)</f>
        <v>69.099999999999994</v>
      </c>
      <c r="F237" s="1">
        <f ca="1">IFERROR(__xludf.DUMMYFUNCTION("""COMPUTED_VALUE"""),0)</f>
        <v>0</v>
      </c>
    </row>
    <row r="238" spans="1:6" ht="15.75" customHeight="1">
      <c r="A238" s="10">
        <f ca="1">IFERROR(__xludf.DUMMYFUNCTION("""COMPUTED_VALUE"""),44014.6666666666)</f>
        <v>44014.666666666599</v>
      </c>
      <c r="B238" s="1">
        <f ca="1">IFERROR(__xludf.DUMMYFUNCTION("""COMPUTED_VALUE"""),71.37)</f>
        <v>71.37</v>
      </c>
      <c r="C238" s="1">
        <f ca="1">IFERROR(__xludf.DUMMYFUNCTION("""COMPUTED_VALUE"""),72.07)</f>
        <v>72.069999999999993</v>
      </c>
      <c r="D238" s="1">
        <f ca="1">IFERROR(__xludf.DUMMYFUNCTION("""COMPUTED_VALUE"""),68.63)</f>
        <v>68.63</v>
      </c>
      <c r="E238" s="1">
        <f ca="1">IFERROR(__xludf.DUMMYFUNCTION("""COMPUTED_VALUE"""),68.84)</f>
        <v>68.84</v>
      </c>
      <c r="F238" s="1">
        <f ca="1">IFERROR(__xludf.DUMMYFUNCTION("""COMPUTED_VALUE"""),0)</f>
        <v>0</v>
      </c>
    </row>
    <row r="239" spans="1:6" ht="15.75" customHeight="1">
      <c r="A239" s="10">
        <f ca="1">IFERROR(__xludf.DUMMYFUNCTION("""COMPUTED_VALUE"""),44018.6666666666)</f>
        <v>44018.666666666599</v>
      </c>
      <c r="B239" s="1">
        <f ca="1">IFERROR(__xludf.DUMMYFUNCTION("""COMPUTED_VALUE"""),70.81)</f>
        <v>70.81</v>
      </c>
      <c r="C239" s="1">
        <f ca="1">IFERROR(__xludf.DUMMYFUNCTION("""COMPUTED_VALUE"""),71.8)</f>
        <v>71.8</v>
      </c>
      <c r="D239" s="1">
        <f ca="1">IFERROR(__xludf.DUMMYFUNCTION("""COMPUTED_VALUE"""),68.73)</f>
        <v>68.73</v>
      </c>
      <c r="E239" s="1">
        <f ca="1">IFERROR(__xludf.DUMMYFUNCTION("""COMPUTED_VALUE"""),69.37)</f>
        <v>69.37</v>
      </c>
      <c r="F239" s="1">
        <f ca="1">IFERROR(__xludf.DUMMYFUNCTION("""COMPUTED_VALUE"""),0)</f>
        <v>0</v>
      </c>
    </row>
    <row r="240" spans="1:6" ht="15.75" customHeight="1">
      <c r="A240" s="10">
        <f ca="1">IFERROR(__xludf.DUMMYFUNCTION("""COMPUTED_VALUE"""),44019.6666666666)</f>
        <v>44019.666666666599</v>
      </c>
      <c r="B240" s="1">
        <f ca="1">IFERROR(__xludf.DUMMYFUNCTION("""COMPUTED_VALUE"""),68.35)</f>
        <v>68.349999999999994</v>
      </c>
      <c r="C240" s="1">
        <f ca="1">IFERROR(__xludf.DUMMYFUNCTION("""COMPUTED_VALUE"""),68.35)</f>
        <v>68.349999999999994</v>
      </c>
      <c r="D240" s="1">
        <f ca="1">IFERROR(__xludf.DUMMYFUNCTION("""COMPUTED_VALUE"""),66.72)</f>
        <v>66.72</v>
      </c>
      <c r="E240" s="1">
        <f ca="1">IFERROR(__xludf.DUMMYFUNCTION("""COMPUTED_VALUE"""),66.92)</f>
        <v>66.92</v>
      </c>
      <c r="F240" s="1">
        <f ca="1">IFERROR(__xludf.DUMMYFUNCTION("""COMPUTED_VALUE"""),0)</f>
        <v>0</v>
      </c>
    </row>
    <row r="241" spans="1:6" ht="15.75" customHeight="1">
      <c r="A241" s="10">
        <f ca="1">IFERROR(__xludf.DUMMYFUNCTION("""COMPUTED_VALUE"""),44020.6666666666)</f>
        <v>44020.666666666599</v>
      </c>
      <c r="B241" s="1">
        <f ca="1">IFERROR(__xludf.DUMMYFUNCTION("""COMPUTED_VALUE"""),66.72)</f>
        <v>66.72</v>
      </c>
      <c r="C241" s="1">
        <f ca="1">IFERROR(__xludf.DUMMYFUNCTION("""COMPUTED_VALUE"""),67.84)</f>
        <v>67.84</v>
      </c>
      <c r="D241" s="1">
        <f ca="1">IFERROR(__xludf.DUMMYFUNCTION("""COMPUTED_VALUE"""),65.41)</f>
        <v>65.41</v>
      </c>
      <c r="E241" s="1">
        <f ca="1">IFERROR(__xludf.DUMMYFUNCTION("""COMPUTED_VALUE"""),66.76)</f>
        <v>66.760000000000005</v>
      </c>
      <c r="F241" s="1">
        <f ca="1">IFERROR(__xludf.DUMMYFUNCTION("""COMPUTED_VALUE"""),0)</f>
        <v>0</v>
      </c>
    </row>
    <row r="242" spans="1:6" ht="15.75" customHeight="1">
      <c r="A242" s="10">
        <f ca="1">IFERROR(__xludf.DUMMYFUNCTION("""COMPUTED_VALUE"""),44021.6666666666)</f>
        <v>44021.666666666599</v>
      </c>
      <c r="B242" s="1">
        <f ca="1">IFERROR(__xludf.DUMMYFUNCTION("""COMPUTED_VALUE"""),66.25)</f>
        <v>66.25</v>
      </c>
      <c r="C242" s="1">
        <f ca="1">IFERROR(__xludf.DUMMYFUNCTION("""COMPUTED_VALUE"""),66.31)</f>
        <v>66.31</v>
      </c>
      <c r="D242" s="1">
        <f ca="1">IFERROR(__xludf.DUMMYFUNCTION("""COMPUTED_VALUE"""),63.63)</f>
        <v>63.63</v>
      </c>
      <c r="E242" s="1">
        <f ca="1">IFERROR(__xludf.DUMMYFUNCTION("""COMPUTED_VALUE"""),63.95)</f>
        <v>63.95</v>
      </c>
      <c r="F242" s="1">
        <f ca="1">IFERROR(__xludf.DUMMYFUNCTION("""COMPUTED_VALUE"""),0)</f>
        <v>0</v>
      </c>
    </row>
    <row r="243" spans="1:6" ht="15.75" customHeight="1">
      <c r="A243" s="10">
        <f ca="1">IFERROR(__xludf.DUMMYFUNCTION("""COMPUTED_VALUE"""),44022.6666666666)</f>
        <v>44022.666666666599</v>
      </c>
      <c r="B243" s="1">
        <f ca="1">IFERROR(__xludf.DUMMYFUNCTION("""COMPUTED_VALUE"""),64.06)</f>
        <v>64.06</v>
      </c>
      <c r="C243" s="1">
        <f ca="1">IFERROR(__xludf.DUMMYFUNCTION("""COMPUTED_VALUE"""),66.97)</f>
        <v>66.97</v>
      </c>
      <c r="D243" s="1">
        <f ca="1">IFERROR(__xludf.DUMMYFUNCTION("""COMPUTED_VALUE"""),64.06)</f>
        <v>64.06</v>
      </c>
      <c r="E243" s="1">
        <f ca="1">IFERROR(__xludf.DUMMYFUNCTION("""COMPUTED_VALUE"""),66.95)</f>
        <v>66.95</v>
      </c>
      <c r="F243" s="1">
        <f ca="1">IFERROR(__xludf.DUMMYFUNCTION("""COMPUTED_VALUE"""),0)</f>
        <v>0</v>
      </c>
    </row>
    <row r="244" spans="1:6" ht="15.75" customHeight="1">
      <c r="A244" s="10">
        <f ca="1">IFERROR(__xludf.DUMMYFUNCTION("""COMPUTED_VALUE"""),44025.6666666666)</f>
        <v>44025.666666666599</v>
      </c>
      <c r="B244" s="1">
        <f ca="1">IFERROR(__xludf.DUMMYFUNCTION("""COMPUTED_VALUE"""),67.94)</f>
        <v>67.94</v>
      </c>
      <c r="C244" s="1">
        <f ca="1">IFERROR(__xludf.DUMMYFUNCTION("""COMPUTED_VALUE"""),69.19)</f>
        <v>69.19</v>
      </c>
      <c r="D244" s="1">
        <f ca="1">IFERROR(__xludf.DUMMYFUNCTION("""COMPUTED_VALUE"""),66.1)</f>
        <v>66.099999999999994</v>
      </c>
      <c r="E244" s="1">
        <f ca="1">IFERROR(__xludf.DUMMYFUNCTION("""COMPUTED_VALUE"""),67.86)</f>
        <v>67.86</v>
      </c>
      <c r="F244" s="1">
        <f ca="1">IFERROR(__xludf.DUMMYFUNCTION("""COMPUTED_VALUE"""),0)</f>
        <v>0</v>
      </c>
    </row>
    <row r="245" spans="1:6" ht="15.75" customHeight="1">
      <c r="A245" s="10">
        <f ca="1">IFERROR(__xludf.DUMMYFUNCTION("""COMPUTED_VALUE"""),44026.6666666666)</f>
        <v>44026.666666666599</v>
      </c>
      <c r="B245" s="1">
        <f ca="1">IFERROR(__xludf.DUMMYFUNCTION("""COMPUTED_VALUE"""),67.51)</f>
        <v>67.510000000000005</v>
      </c>
      <c r="C245" s="1">
        <f ca="1">IFERROR(__xludf.DUMMYFUNCTION("""COMPUTED_VALUE"""),67.81)</f>
        <v>67.81</v>
      </c>
      <c r="D245" s="1">
        <f ca="1">IFERROR(__xludf.DUMMYFUNCTION("""COMPUTED_VALUE"""),65.62)</f>
        <v>65.62</v>
      </c>
      <c r="E245" s="1">
        <f ca="1">IFERROR(__xludf.DUMMYFUNCTION("""COMPUTED_VALUE"""),66.57)</f>
        <v>66.569999999999993</v>
      </c>
      <c r="F245" s="1">
        <f ca="1">IFERROR(__xludf.DUMMYFUNCTION("""COMPUTED_VALUE"""),0)</f>
        <v>0</v>
      </c>
    </row>
    <row r="246" spans="1:6" ht="15.75" customHeight="1">
      <c r="A246" s="10">
        <f ca="1">IFERROR(__xludf.DUMMYFUNCTION("""COMPUTED_VALUE"""),44027.6666666666)</f>
        <v>44027.666666666599</v>
      </c>
      <c r="B246" s="1">
        <f ca="1">IFERROR(__xludf.DUMMYFUNCTION("""COMPUTED_VALUE"""),68.67)</f>
        <v>68.67</v>
      </c>
      <c r="C246" s="1">
        <f ca="1">IFERROR(__xludf.DUMMYFUNCTION("""COMPUTED_VALUE"""),70.93)</f>
        <v>70.930000000000007</v>
      </c>
      <c r="D246" s="1">
        <f ca="1">IFERROR(__xludf.DUMMYFUNCTION("""COMPUTED_VALUE"""),68.51)</f>
        <v>68.510000000000005</v>
      </c>
      <c r="E246" s="1">
        <f ca="1">IFERROR(__xludf.DUMMYFUNCTION("""COMPUTED_VALUE"""),70.56)</f>
        <v>70.56</v>
      </c>
      <c r="F246" s="1">
        <f ca="1">IFERROR(__xludf.DUMMYFUNCTION("""COMPUTED_VALUE"""),0)</f>
        <v>0</v>
      </c>
    </row>
    <row r="247" spans="1:6" ht="15.75" customHeight="1">
      <c r="A247" s="10">
        <f ca="1">IFERROR(__xludf.DUMMYFUNCTION("""COMPUTED_VALUE"""),44028.6666666666)</f>
        <v>44028.666666666599</v>
      </c>
      <c r="B247" s="1">
        <f ca="1">IFERROR(__xludf.DUMMYFUNCTION("""COMPUTED_VALUE"""),69.68)</f>
        <v>69.680000000000007</v>
      </c>
      <c r="C247" s="1">
        <f ca="1">IFERROR(__xludf.DUMMYFUNCTION("""COMPUTED_VALUE"""),71.64)</f>
        <v>71.64</v>
      </c>
      <c r="D247" s="1">
        <f ca="1">IFERROR(__xludf.DUMMYFUNCTION("""COMPUTED_VALUE"""),69.2)</f>
        <v>69.2</v>
      </c>
      <c r="E247" s="1">
        <f ca="1">IFERROR(__xludf.DUMMYFUNCTION("""COMPUTED_VALUE"""),70.31)</f>
        <v>70.31</v>
      </c>
      <c r="F247" s="1">
        <f ca="1">IFERROR(__xludf.DUMMYFUNCTION("""COMPUTED_VALUE"""),0)</f>
        <v>0</v>
      </c>
    </row>
    <row r="248" spans="1:6" ht="15.75" customHeight="1">
      <c r="A248" s="10">
        <f ca="1">IFERROR(__xludf.DUMMYFUNCTION("""COMPUTED_VALUE"""),44029.6666666666)</f>
        <v>44029.666666666599</v>
      </c>
      <c r="B248" s="1">
        <f ca="1">IFERROR(__xludf.DUMMYFUNCTION("""COMPUTED_VALUE"""),70.11)</f>
        <v>70.11</v>
      </c>
      <c r="C248" s="1">
        <f ca="1">IFERROR(__xludf.DUMMYFUNCTION("""COMPUTED_VALUE"""),70.56)</f>
        <v>70.56</v>
      </c>
      <c r="D248" s="1">
        <f ca="1">IFERROR(__xludf.DUMMYFUNCTION("""COMPUTED_VALUE"""),68.27)</f>
        <v>68.27</v>
      </c>
      <c r="E248" s="1">
        <f ca="1">IFERROR(__xludf.DUMMYFUNCTION("""COMPUTED_VALUE"""),68.35)</f>
        <v>68.349999999999994</v>
      </c>
      <c r="F248" s="1">
        <f ca="1">IFERROR(__xludf.DUMMYFUNCTION("""COMPUTED_VALUE"""),0)</f>
        <v>0</v>
      </c>
    </row>
    <row r="249" spans="1:6" ht="15.75" customHeight="1">
      <c r="A249" s="10">
        <f ca="1">IFERROR(__xludf.DUMMYFUNCTION("""COMPUTED_VALUE"""),44032.6666666666)</f>
        <v>44032.666666666599</v>
      </c>
      <c r="B249" s="1">
        <f ca="1">IFERROR(__xludf.DUMMYFUNCTION("""COMPUTED_VALUE"""),67.8)</f>
        <v>67.8</v>
      </c>
      <c r="C249" s="1">
        <f ca="1">IFERROR(__xludf.DUMMYFUNCTION("""COMPUTED_VALUE"""),68.19)</f>
        <v>68.19</v>
      </c>
      <c r="D249" s="1">
        <f ca="1">IFERROR(__xludf.DUMMYFUNCTION("""COMPUTED_VALUE"""),66.84)</f>
        <v>66.84</v>
      </c>
      <c r="E249" s="1">
        <f ca="1">IFERROR(__xludf.DUMMYFUNCTION("""COMPUTED_VALUE"""),67.06)</f>
        <v>67.06</v>
      </c>
      <c r="F249" s="1">
        <f ca="1">IFERROR(__xludf.DUMMYFUNCTION("""COMPUTED_VALUE"""),0)</f>
        <v>0</v>
      </c>
    </row>
    <row r="250" spans="1:6" ht="15.75" customHeight="1">
      <c r="A250" s="10">
        <f ca="1">IFERROR(__xludf.DUMMYFUNCTION("""COMPUTED_VALUE"""),44033.6666666666)</f>
        <v>44033.666666666599</v>
      </c>
      <c r="B250" s="1">
        <f ca="1">IFERROR(__xludf.DUMMYFUNCTION("""COMPUTED_VALUE"""),68.15)</f>
        <v>68.150000000000006</v>
      </c>
      <c r="C250" s="1">
        <f ca="1">IFERROR(__xludf.DUMMYFUNCTION("""COMPUTED_VALUE"""),71.36)</f>
        <v>71.36</v>
      </c>
      <c r="D250" s="1">
        <f ca="1">IFERROR(__xludf.DUMMYFUNCTION("""COMPUTED_VALUE"""),68.15)</f>
        <v>68.150000000000006</v>
      </c>
      <c r="E250" s="1">
        <f ca="1">IFERROR(__xludf.DUMMYFUNCTION("""COMPUTED_VALUE"""),71.34)</f>
        <v>71.34</v>
      </c>
      <c r="F250" s="1">
        <f ca="1">IFERROR(__xludf.DUMMYFUNCTION("""COMPUTED_VALUE"""),0)</f>
        <v>0</v>
      </c>
    </row>
    <row r="251" spans="1:6" ht="15.75" customHeight="1">
      <c r="A251" s="10">
        <f ca="1">IFERROR(__xludf.DUMMYFUNCTION("""COMPUTED_VALUE"""),44034.6666666666)</f>
        <v>44034.666666666599</v>
      </c>
      <c r="B251" s="1">
        <f ca="1">IFERROR(__xludf.DUMMYFUNCTION("""COMPUTED_VALUE"""),70.42)</f>
        <v>70.42</v>
      </c>
      <c r="C251" s="1">
        <f ca="1">IFERROR(__xludf.DUMMYFUNCTION("""COMPUTED_VALUE"""),71.01)</f>
        <v>71.010000000000005</v>
      </c>
      <c r="D251" s="1">
        <f ca="1">IFERROR(__xludf.DUMMYFUNCTION("""COMPUTED_VALUE"""),69.53)</f>
        <v>69.53</v>
      </c>
      <c r="E251" s="1">
        <f ca="1">IFERROR(__xludf.DUMMYFUNCTION("""COMPUTED_VALUE"""),70.37)</f>
        <v>70.37</v>
      </c>
      <c r="F251" s="1">
        <f ca="1">IFERROR(__xludf.DUMMYFUNCTION("""COMPUTED_VALUE"""),0)</f>
        <v>0</v>
      </c>
    </row>
    <row r="252" spans="1:6" ht="15.75" customHeight="1">
      <c r="A252" s="10">
        <f ca="1">IFERROR(__xludf.DUMMYFUNCTION("""COMPUTED_VALUE"""),44035.6666666666)</f>
        <v>44035.666666666599</v>
      </c>
      <c r="B252" s="1">
        <f ca="1">IFERROR(__xludf.DUMMYFUNCTION("""COMPUTED_VALUE"""),70.21)</f>
        <v>70.209999999999994</v>
      </c>
      <c r="C252" s="1">
        <f ca="1">IFERROR(__xludf.DUMMYFUNCTION("""COMPUTED_VALUE"""),72.67)</f>
        <v>72.67</v>
      </c>
      <c r="D252" s="1">
        <f ca="1">IFERROR(__xludf.DUMMYFUNCTION("""COMPUTED_VALUE"""),70.21)</f>
        <v>70.209999999999994</v>
      </c>
      <c r="E252" s="1">
        <f ca="1">IFERROR(__xludf.DUMMYFUNCTION("""COMPUTED_VALUE"""),72.18)</f>
        <v>72.180000000000007</v>
      </c>
      <c r="F252" s="1">
        <f ca="1">IFERROR(__xludf.DUMMYFUNCTION("""COMPUTED_VALUE"""),0)</f>
        <v>0</v>
      </c>
    </row>
    <row r="253" spans="1:6" ht="15.75" customHeight="1">
      <c r="A253" s="10">
        <f ca="1">IFERROR(__xludf.DUMMYFUNCTION("""COMPUTED_VALUE"""),44036.6666666666)</f>
        <v>44036.666666666599</v>
      </c>
      <c r="B253" s="1">
        <f ca="1">IFERROR(__xludf.DUMMYFUNCTION("""COMPUTED_VALUE"""),72.39)</f>
        <v>72.39</v>
      </c>
      <c r="C253" s="1">
        <f ca="1">IFERROR(__xludf.DUMMYFUNCTION("""COMPUTED_VALUE"""),73.22)</f>
        <v>73.22</v>
      </c>
      <c r="D253" s="1">
        <f ca="1">IFERROR(__xludf.DUMMYFUNCTION("""COMPUTED_VALUE"""),71.59)</f>
        <v>71.59</v>
      </c>
      <c r="E253" s="1">
        <f ca="1">IFERROR(__xludf.DUMMYFUNCTION("""COMPUTED_VALUE"""),71.66)</f>
        <v>71.66</v>
      </c>
      <c r="F253" s="1">
        <f ca="1">IFERROR(__xludf.DUMMYFUNCTION("""COMPUTED_VALUE"""),0)</f>
        <v>0</v>
      </c>
    </row>
    <row r="254" spans="1:6" ht="15.75" customHeight="1">
      <c r="A254" s="10">
        <f ca="1">IFERROR(__xludf.DUMMYFUNCTION("""COMPUTED_VALUE"""),44039.6666666666)</f>
        <v>44039.666666666599</v>
      </c>
      <c r="B254" s="1">
        <f ca="1">IFERROR(__xludf.DUMMYFUNCTION("""COMPUTED_VALUE"""),71.11)</f>
        <v>71.11</v>
      </c>
      <c r="C254" s="1">
        <f ca="1">IFERROR(__xludf.DUMMYFUNCTION("""COMPUTED_VALUE"""),71.11)</f>
        <v>71.11</v>
      </c>
      <c r="D254" s="1">
        <f ca="1">IFERROR(__xludf.DUMMYFUNCTION("""COMPUTED_VALUE"""),69.36)</f>
        <v>69.36</v>
      </c>
      <c r="E254" s="1">
        <f ca="1">IFERROR(__xludf.DUMMYFUNCTION("""COMPUTED_VALUE"""),69.73)</f>
        <v>69.73</v>
      </c>
      <c r="F254" s="1">
        <f ca="1">IFERROR(__xludf.DUMMYFUNCTION("""COMPUTED_VALUE"""),0)</f>
        <v>0</v>
      </c>
    </row>
    <row r="255" spans="1:6" ht="15.75" customHeight="1">
      <c r="A255" s="10">
        <f ca="1">IFERROR(__xludf.DUMMYFUNCTION("""COMPUTED_VALUE"""),44040.6666666666)</f>
        <v>44040.666666666599</v>
      </c>
      <c r="B255" s="1">
        <f ca="1">IFERROR(__xludf.DUMMYFUNCTION("""COMPUTED_VALUE"""),69.46)</f>
        <v>69.459999999999994</v>
      </c>
      <c r="C255" s="1">
        <f ca="1">IFERROR(__xludf.DUMMYFUNCTION("""COMPUTED_VALUE"""),70.15)</f>
        <v>70.150000000000006</v>
      </c>
      <c r="D255" s="1">
        <f ca="1">IFERROR(__xludf.DUMMYFUNCTION("""COMPUTED_VALUE"""),69.24)</f>
        <v>69.239999999999995</v>
      </c>
      <c r="E255" s="1">
        <f ca="1">IFERROR(__xludf.DUMMYFUNCTION("""COMPUTED_VALUE"""),69.38)</f>
        <v>69.38</v>
      </c>
      <c r="F255" s="1">
        <f ca="1">IFERROR(__xludf.DUMMYFUNCTION("""COMPUTED_VALUE"""),0)</f>
        <v>0</v>
      </c>
    </row>
    <row r="256" spans="1:6" ht="15.75" customHeight="1">
      <c r="A256" s="10">
        <f ca="1">IFERROR(__xludf.DUMMYFUNCTION("""COMPUTED_VALUE"""),44041.6666666666)</f>
        <v>44041.666666666599</v>
      </c>
      <c r="B256" s="1">
        <f ca="1">IFERROR(__xludf.DUMMYFUNCTION("""COMPUTED_VALUE"""),69.37)</f>
        <v>69.37</v>
      </c>
      <c r="C256" s="1">
        <f ca="1">IFERROR(__xludf.DUMMYFUNCTION("""COMPUTED_VALUE"""),71.99)</f>
        <v>71.989999999999995</v>
      </c>
      <c r="D256" s="1">
        <f ca="1">IFERROR(__xludf.DUMMYFUNCTION("""COMPUTED_VALUE"""),69.15)</f>
        <v>69.150000000000006</v>
      </c>
      <c r="E256" s="1">
        <f ca="1">IFERROR(__xludf.DUMMYFUNCTION("""COMPUTED_VALUE"""),71.89)</f>
        <v>71.89</v>
      </c>
      <c r="F256" s="1">
        <f ca="1">IFERROR(__xludf.DUMMYFUNCTION("""COMPUTED_VALUE"""),0)</f>
        <v>0</v>
      </c>
    </row>
    <row r="257" spans="1:6" ht="15.75" customHeight="1">
      <c r="A257" s="10">
        <f ca="1">IFERROR(__xludf.DUMMYFUNCTION("""COMPUTED_VALUE"""),44042.6666666666)</f>
        <v>44042.666666666599</v>
      </c>
      <c r="B257" s="1">
        <f ca="1">IFERROR(__xludf.DUMMYFUNCTION("""COMPUTED_VALUE"""),70.18)</f>
        <v>70.180000000000007</v>
      </c>
      <c r="C257" s="1">
        <f ca="1">IFERROR(__xludf.DUMMYFUNCTION("""COMPUTED_VALUE"""),70.46)</f>
        <v>70.459999999999994</v>
      </c>
      <c r="D257" s="1">
        <f ca="1">IFERROR(__xludf.DUMMYFUNCTION("""COMPUTED_VALUE"""),68.67)</f>
        <v>68.67</v>
      </c>
      <c r="E257" s="1">
        <f ca="1">IFERROR(__xludf.DUMMYFUNCTION("""COMPUTED_VALUE"""),70.39)</f>
        <v>70.39</v>
      </c>
      <c r="F257" s="1">
        <f ca="1">IFERROR(__xludf.DUMMYFUNCTION("""COMPUTED_VALUE"""),0)</f>
        <v>0</v>
      </c>
    </row>
    <row r="258" spans="1:6" ht="15.75" customHeight="1">
      <c r="A258" s="10">
        <f ca="1">IFERROR(__xludf.DUMMYFUNCTION("""COMPUTED_VALUE"""),44043.6666666666)</f>
        <v>44043.666666666599</v>
      </c>
      <c r="B258" s="1">
        <f ca="1">IFERROR(__xludf.DUMMYFUNCTION("""COMPUTED_VALUE"""),69.94)</f>
        <v>69.94</v>
      </c>
      <c r="C258" s="1">
        <f ca="1">IFERROR(__xludf.DUMMYFUNCTION("""COMPUTED_VALUE"""),70.07)</f>
        <v>70.069999999999993</v>
      </c>
      <c r="D258" s="1">
        <f ca="1">IFERROR(__xludf.DUMMYFUNCTION("""COMPUTED_VALUE"""),68.24)</f>
        <v>68.239999999999995</v>
      </c>
      <c r="E258" s="1">
        <f ca="1">IFERROR(__xludf.DUMMYFUNCTION("""COMPUTED_VALUE"""),69.54)</f>
        <v>69.540000000000006</v>
      </c>
      <c r="F258" s="1">
        <f ca="1">IFERROR(__xludf.DUMMYFUNCTION("""COMPUTED_VALUE"""),0)</f>
        <v>0</v>
      </c>
    </row>
    <row r="259" spans="1:6" ht="15.75" customHeight="1">
      <c r="A259" s="10">
        <f ca="1">IFERROR(__xludf.DUMMYFUNCTION("""COMPUTED_VALUE"""),44046.6666666666)</f>
        <v>44046.666666666599</v>
      </c>
      <c r="B259" s="1">
        <f ca="1">IFERROR(__xludf.DUMMYFUNCTION("""COMPUTED_VALUE"""),69.79)</f>
        <v>69.790000000000006</v>
      </c>
      <c r="C259" s="1">
        <f ca="1">IFERROR(__xludf.DUMMYFUNCTION("""COMPUTED_VALUE"""),70.13)</f>
        <v>70.13</v>
      </c>
      <c r="D259" s="1">
        <f ca="1">IFERROR(__xludf.DUMMYFUNCTION("""COMPUTED_VALUE"""),68.77)</f>
        <v>68.77</v>
      </c>
      <c r="E259" s="1">
        <f ca="1">IFERROR(__xludf.DUMMYFUNCTION("""COMPUTED_VALUE"""),69.44)</f>
        <v>69.44</v>
      </c>
      <c r="F259" s="1">
        <f ca="1">IFERROR(__xludf.DUMMYFUNCTION("""COMPUTED_VALUE"""),0)</f>
        <v>0</v>
      </c>
    </row>
    <row r="260" spans="1:6" ht="15.75" customHeight="1">
      <c r="A260" s="10">
        <f ca="1">IFERROR(__xludf.DUMMYFUNCTION("""COMPUTED_VALUE"""),44047.6666666666)</f>
        <v>44047.666666666599</v>
      </c>
      <c r="B260" s="1">
        <f ca="1">IFERROR(__xludf.DUMMYFUNCTION("""COMPUTED_VALUE"""),69.19)</f>
        <v>69.19</v>
      </c>
      <c r="C260" s="1">
        <f ca="1">IFERROR(__xludf.DUMMYFUNCTION("""COMPUTED_VALUE"""),69.29)</f>
        <v>69.290000000000006</v>
      </c>
      <c r="D260" s="1">
        <f ca="1">IFERROR(__xludf.DUMMYFUNCTION("""COMPUTED_VALUE"""),68.41)</f>
        <v>68.41</v>
      </c>
      <c r="E260" s="1">
        <f ca="1">IFERROR(__xludf.DUMMYFUNCTION("""COMPUTED_VALUE"""),69.07)</f>
        <v>69.069999999999993</v>
      </c>
      <c r="F260" s="1">
        <f ca="1">IFERROR(__xludf.DUMMYFUNCTION("""COMPUTED_VALUE"""),0)</f>
        <v>0</v>
      </c>
    </row>
    <row r="261" spans="1:6" ht="15.75" customHeight="1">
      <c r="A261" s="10">
        <f ca="1">IFERROR(__xludf.DUMMYFUNCTION("""COMPUTED_VALUE"""),44048.6666666666)</f>
        <v>44048.666666666599</v>
      </c>
      <c r="B261" s="1">
        <f ca="1">IFERROR(__xludf.DUMMYFUNCTION("""COMPUTED_VALUE"""),69.9)</f>
        <v>69.900000000000006</v>
      </c>
      <c r="C261" s="1">
        <f ca="1">IFERROR(__xludf.DUMMYFUNCTION("""COMPUTED_VALUE"""),71.04)</f>
        <v>71.040000000000006</v>
      </c>
      <c r="D261" s="1">
        <f ca="1">IFERROR(__xludf.DUMMYFUNCTION("""COMPUTED_VALUE"""),69.47)</f>
        <v>69.47</v>
      </c>
      <c r="E261" s="1">
        <f ca="1">IFERROR(__xludf.DUMMYFUNCTION("""COMPUTED_VALUE"""),70.93)</f>
        <v>70.930000000000007</v>
      </c>
      <c r="F261" s="1">
        <f ca="1">IFERROR(__xludf.DUMMYFUNCTION("""COMPUTED_VALUE"""),0)</f>
        <v>0</v>
      </c>
    </row>
    <row r="262" spans="1:6" ht="15.75" customHeight="1">
      <c r="A262" s="10">
        <f ca="1">IFERROR(__xludf.DUMMYFUNCTION("""COMPUTED_VALUE"""),44049.6666666666)</f>
        <v>44049.666666666599</v>
      </c>
      <c r="B262" s="1">
        <f ca="1">IFERROR(__xludf.DUMMYFUNCTION("""COMPUTED_VALUE"""),70.38)</f>
        <v>70.38</v>
      </c>
      <c r="C262" s="1">
        <f ca="1">IFERROR(__xludf.DUMMYFUNCTION("""COMPUTED_VALUE"""),71.12)</f>
        <v>71.12</v>
      </c>
      <c r="D262" s="1">
        <f ca="1">IFERROR(__xludf.DUMMYFUNCTION("""COMPUTED_VALUE"""),70.03)</f>
        <v>70.03</v>
      </c>
      <c r="E262" s="1">
        <f ca="1">IFERROR(__xludf.DUMMYFUNCTION("""COMPUTED_VALUE"""),70.33)</f>
        <v>70.33</v>
      </c>
      <c r="F262" s="1">
        <f ca="1">IFERROR(__xludf.DUMMYFUNCTION("""COMPUTED_VALUE"""),0)</f>
        <v>0</v>
      </c>
    </row>
    <row r="263" spans="1:6" ht="15.75" customHeight="1">
      <c r="A263" s="10">
        <f ca="1">IFERROR(__xludf.DUMMYFUNCTION("""COMPUTED_VALUE"""),44050.6666666666)</f>
        <v>44050.666666666599</v>
      </c>
      <c r="B263" s="1">
        <f ca="1">IFERROR(__xludf.DUMMYFUNCTION("""COMPUTED_VALUE"""),69.79)</f>
        <v>69.790000000000006</v>
      </c>
      <c r="C263" s="1">
        <f ca="1">IFERROR(__xludf.DUMMYFUNCTION("""COMPUTED_VALUE"""),73.6)</f>
        <v>73.599999999999994</v>
      </c>
      <c r="D263" s="1">
        <f ca="1">IFERROR(__xludf.DUMMYFUNCTION("""COMPUTED_VALUE"""),69.5)</f>
        <v>69.5</v>
      </c>
      <c r="E263" s="1">
        <f ca="1">IFERROR(__xludf.DUMMYFUNCTION("""COMPUTED_VALUE"""),73.57)</f>
        <v>73.569999999999993</v>
      </c>
      <c r="F263" s="1">
        <f ca="1">IFERROR(__xludf.DUMMYFUNCTION("""COMPUTED_VALUE"""),0)</f>
        <v>0</v>
      </c>
    </row>
    <row r="264" spans="1:6" ht="15.75" customHeight="1">
      <c r="A264" s="10">
        <f ca="1">IFERROR(__xludf.DUMMYFUNCTION("""COMPUTED_VALUE"""),44053.6666666666)</f>
        <v>44053.666666666599</v>
      </c>
      <c r="B264" s="1">
        <f ca="1">IFERROR(__xludf.DUMMYFUNCTION("""COMPUTED_VALUE"""),73.87)</f>
        <v>73.87</v>
      </c>
      <c r="C264" s="1">
        <f ca="1">IFERROR(__xludf.DUMMYFUNCTION("""COMPUTED_VALUE"""),76.29)</f>
        <v>76.290000000000006</v>
      </c>
      <c r="D264" s="1">
        <f ca="1">IFERROR(__xludf.DUMMYFUNCTION("""COMPUTED_VALUE"""),73.84)</f>
        <v>73.84</v>
      </c>
      <c r="E264" s="1">
        <f ca="1">IFERROR(__xludf.DUMMYFUNCTION("""COMPUTED_VALUE"""),74.94)</f>
        <v>74.94</v>
      </c>
      <c r="F264" s="1">
        <f ca="1">IFERROR(__xludf.DUMMYFUNCTION("""COMPUTED_VALUE"""),0)</f>
        <v>0</v>
      </c>
    </row>
    <row r="265" spans="1:6" ht="15.75" customHeight="1">
      <c r="A265" s="10">
        <f ca="1">IFERROR(__xludf.DUMMYFUNCTION("""COMPUTED_VALUE"""),44054.6666666666)</f>
        <v>44054.666666666599</v>
      </c>
      <c r="B265" s="1">
        <f ca="1">IFERROR(__xludf.DUMMYFUNCTION("""COMPUTED_VALUE"""),76.74)</f>
        <v>76.739999999999995</v>
      </c>
      <c r="C265" s="1">
        <f ca="1">IFERROR(__xludf.DUMMYFUNCTION("""COMPUTED_VALUE"""),77.92)</f>
        <v>77.92</v>
      </c>
      <c r="D265" s="1">
        <f ca="1">IFERROR(__xludf.DUMMYFUNCTION("""COMPUTED_VALUE"""),75.81)</f>
        <v>75.81</v>
      </c>
      <c r="E265" s="1">
        <f ca="1">IFERROR(__xludf.DUMMYFUNCTION("""COMPUTED_VALUE"""),76.18)</f>
        <v>76.180000000000007</v>
      </c>
      <c r="F265" s="1">
        <f ca="1">IFERROR(__xludf.DUMMYFUNCTION("""COMPUTED_VALUE"""),0)</f>
        <v>0</v>
      </c>
    </row>
    <row r="266" spans="1:6" ht="15.75" customHeight="1">
      <c r="A266" s="10">
        <f ca="1">IFERROR(__xludf.DUMMYFUNCTION("""COMPUTED_VALUE"""),44055.6666666666)</f>
        <v>44055.666666666599</v>
      </c>
      <c r="B266" s="1">
        <f ca="1">IFERROR(__xludf.DUMMYFUNCTION("""COMPUTED_VALUE"""),77.85)</f>
        <v>77.849999999999994</v>
      </c>
      <c r="C266" s="1">
        <f ca="1">IFERROR(__xludf.DUMMYFUNCTION("""COMPUTED_VALUE"""),77.85)</f>
        <v>77.849999999999994</v>
      </c>
      <c r="D266" s="1">
        <f ca="1">IFERROR(__xludf.DUMMYFUNCTION("""COMPUTED_VALUE"""),74.41)</f>
        <v>74.41</v>
      </c>
      <c r="E266" s="1">
        <f ca="1">IFERROR(__xludf.DUMMYFUNCTION("""COMPUTED_VALUE"""),75.56)</f>
        <v>75.56</v>
      </c>
      <c r="F266" s="1">
        <f ca="1">IFERROR(__xludf.DUMMYFUNCTION("""COMPUTED_VALUE"""),0)</f>
        <v>0</v>
      </c>
    </row>
    <row r="267" spans="1:6" ht="15.75" customHeight="1">
      <c r="A267" s="10">
        <f ca="1">IFERROR(__xludf.DUMMYFUNCTION("""COMPUTED_VALUE"""),44056.6666666666)</f>
        <v>44056.666666666599</v>
      </c>
      <c r="B267" s="1">
        <f ca="1">IFERROR(__xludf.DUMMYFUNCTION("""COMPUTED_VALUE"""),74.69)</f>
        <v>74.69</v>
      </c>
      <c r="C267" s="1">
        <f ca="1">IFERROR(__xludf.DUMMYFUNCTION("""COMPUTED_VALUE"""),75.19)</f>
        <v>75.19</v>
      </c>
      <c r="D267" s="1">
        <f ca="1">IFERROR(__xludf.DUMMYFUNCTION("""COMPUTED_VALUE"""),74.12)</f>
        <v>74.12</v>
      </c>
      <c r="E267" s="1">
        <f ca="1">IFERROR(__xludf.DUMMYFUNCTION("""COMPUTED_VALUE"""),74.24)</f>
        <v>74.239999999999995</v>
      </c>
      <c r="F267" s="1">
        <f ca="1">IFERROR(__xludf.DUMMYFUNCTION("""COMPUTED_VALUE"""),0)</f>
        <v>0</v>
      </c>
    </row>
    <row r="268" spans="1:6" ht="15.75" customHeight="1">
      <c r="A268" s="10">
        <f ca="1">IFERROR(__xludf.DUMMYFUNCTION("""COMPUTED_VALUE"""),44057.6666666666)</f>
        <v>44057.666666666599</v>
      </c>
      <c r="B268" s="1">
        <f ca="1">IFERROR(__xludf.DUMMYFUNCTION("""COMPUTED_VALUE"""),73.58)</f>
        <v>73.58</v>
      </c>
      <c r="C268" s="1">
        <f ca="1">IFERROR(__xludf.DUMMYFUNCTION("""COMPUTED_VALUE"""),75.7)</f>
        <v>75.7</v>
      </c>
      <c r="D268" s="1">
        <f ca="1">IFERROR(__xludf.DUMMYFUNCTION("""COMPUTED_VALUE"""),73.3)</f>
        <v>73.3</v>
      </c>
      <c r="E268" s="1">
        <f ca="1">IFERROR(__xludf.DUMMYFUNCTION("""COMPUTED_VALUE"""),75.1)</f>
        <v>75.099999999999994</v>
      </c>
      <c r="F268" s="1">
        <f ca="1">IFERROR(__xludf.DUMMYFUNCTION("""COMPUTED_VALUE"""),0)</f>
        <v>0</v>
      </c>
    </row>
    <row r="269" spans="1:6" ht="15.75" customHeight="1"/>
    <row r="270" spans="1:6" ht="15.75" customHeight="1"/>
    <row r="271" spans="1:6" ht="15.75" customHeight="1"/>
    <row r="272" spans="1: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custom" allowBlank="1" showDropDown="1" showErrorMessage="1" sqref="C2:D2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6" ht="15.75" customHeight="1">
      <c r="A1" s="1" t="s">
        <v>0</v>
      </c>
      <c r="C1" s="1" t="s">
        <v>1</v>
      </c>
      <c r="D1" s="1" t="s">
        <v>2</v>
      </c>
    </row>
    <row r="2" spans="1:6" ht="15.75" customHeight="1">
      <c r="A2" s="1" t="s">
        <v>168</v>
      </c>
      <c r="C2" s="2">
        <v>43831</v>
      </c>
      <c r="D2" s="2">
        <v>44059</v>
      </c>
    </row>
    <row r="3" spans="1:6" ht="15.75" customHeight="1"/>
    <row r="4" spans="1:6" ht="15.75" customHeight="1"/>
    <row r="5" spans="1:6" ht="15.75" customHeight="1">
      <c r="A5" s="1" t="str">
        <f ca="1">IFERROR(__xludf.DUMMYFUNCTION("GOOGLEFINANCE(A2,""all"",C2, D2, ""DAILY"")"),"Date")</f>
        <v>Date</v>
      </c>
      <c r="B5" s="1" t="str">
        <f ca="1">IFERROR(__xludf.DUMMYFUNCTION("""COMPUTED_VALUE"""),"Open")</f>
        <v>Open</v>
      </c>
      <c r="C5" s="1" t="str">
        <f ca="1">IFERROR(__xludf.DUMMYFUNCTION("""COMPUTED_VALUE"""),"High")</f>
        <v>High</v>
      </c>
      <c r="D5" s="1" t="str">
        <f ca="1">IFERROR(__xludf.DUMMYFUNCTION("""COMPUTED_VALUE"""),"Low")</f>
        <v>Low</v>
      </c>
      <c r="E5" s="1" t="str">
        <f ca="1">IFERROR(__xludf.DUMMYFUNCTION("""COMPUTED_VALUE"""),"Close")</f>
        <v>Close</v>
      </c>
      <c r="F5" s="1" t="str">
        <f ca="1">IFERROR(__xludf.DUMMYFUNCTION("""COMPUTED_VALUE"""),"Volume")</f>
        <v>Volume</v>
      </c>
    </row>
    <row r="6" spans="1:6" ht="15.75" customHeight="1">
      <c r="A6" s="10">
        <f ca="1">IFERROR(__xludf.DUMMYFUNCTION("""COMPUTED_VALUE"""),43832.6666666666)</f>
        <v>43832.666666666599</v>
      </c>
      <c r="B6" s="1">
        <f ca="1">IFERROR(__xludf.DUMMYFUNCTION("""COMPUTED_VALUE"""),13.78)</f>
        <v>13.78</v>
      </c>
      <c r="C6" s="1">
        <f ca="1">IFERROR(__xludf.DUMMYFUNCTION("""COMPUTED_VALUE"""),13.78)</f>
        <v>13.78</v>
      </c>
      <c r="D6" s="1">
        <f ca="1">IFERROR(__xludf.DUMMYFUNCTION("""COMPUTED_VALUE"""),13.73)</f>
        <v>13.73</v>
      </c>
      <c r="E6" s="1">
        <f ca="1">IFERROR(__xludf.DUMMYFUNCTION("""COMPUTED_VALUE"""),13.75)</f>
        <v>13.75</v>
      </c>
      <c r="F6" s="1">
        <f ca="1">IFERROR(__xludf.DUMMYFUNCTION("""COMPUTED_VALUE"""),2235)</f>
        <v>2235</v>
      </c>
    </row>
    <row r="7" spans="1:6" ht="15.75" customHeight="1">
      <c r="A7" s="10">
        <f ca="1">IFERROR(__xludf.DUMMYFUNCTION("""COMPUTED_VALUE"""),43833.6666666666)</f>
        <v>43833.666666666599</v>
      </c>
      <c r="B7" s="1">
        <f ca="1">IFERROR(__xludf.DUMMYFUNCTION("""COMPUTED_VALUE"""),13.75)</f>
        <v>13.75</v>
      </c>
      <c r="C7" s="1">
        <f ca="1">IFERROR(__xludf.DUMMYFUNCTION("""COMPUTED_VALUE"""),13.8)</f>
        <v>13.8</v>
      </c>
      <c r="D7" s="1">
        <f ca="1">IFERROR(__xludf.DUMMYFUNCTION("""COMPUTED_VALUE"""),13.74)</f>
        <v>13.74</v>
      </c>
      <c r="E7" s="1">
        <f ca="1">IFERROR(__xludf.DUMMYFUNCTION("""COMPUTED_VALUE"""),13.75)</f>
        <v>13.75</v>
      </c>
      <c r="F7" s="1">
        <f ca="1">IFERROR(__xludf.DUMMYFUNCTION("""COMPUTED_VALUE"""),14354)</f>
        <v>14354</v>
      </c>
    </row>
    <row r="8" spans="1:6" ht="15.75" customHeight="1">
      <c r="A8" s="10">
        <f ca="1">IFERROR(__xludf.DUMMYFUNCTION("""COMPUTED_VALUE"""),43836.6666666666)</f>
        <v>43836.666666666599</v>
      </c>
      <c r="B8" s="1">
        <f ca="1">IFERROR(__xludf.DUMMYFUNCTION("""COMPUTED_VALUE"""),13.76)</f>
        <v>13.76</v>
      </c>
      <c r="C8" s="1">
        <f ca="1">IFERROR(__xludf.DUMMYFUNCTION("""COMPUTED_VALUE"""),13.81)</f>
        <v>13.81</v>
      </c>
      <c r="D8" s="1">
        <f ca="1">IFERROR(__xludf.DUMMYFUNCTION("""COMPUTED_VALUE"""),13.75)</f>
        <v>13.75</v>
      </c>
      <c r="E8" s="1">
        <f ca="1">IFERROR(__xludf.DUMMYFUNCTION("""COMPUTED_VALUE"""),13.75)</f>
        <v>13.75</v>
      </c>
      <c r="F8" s="1">
        <f ca="1">IFERROR(__xludf.DUMMYFUNCTION("""COMPUTED_VALUE"""),7135)</f>
        <v>7135</v>
      </c>
    </row>
    <row r="9" spans="1:6" ht="15.75" customHeight="1">
      <c r="A9" s="10">
        <f ca="1">IFERROR(__xludf.DUMMYFUNCTION("""COMPUTED_VALUE"""),43837.6666666666)</f>
        <v>43837.666666666599</v>
      </c>
      <c r="B9" s="1">
        <f ca="1">IFERROR(__xludf.DUMMYFUNCTION("""COMPUTED_VALUE"""),13.77)</f>
        <v>13.77</v>
      </c>
      <c r="C9" s="1">
        <f ca="1">IFERROR(__xludf.DUMMYFUNCTION("""COMPUTED_VALUE"""),13.85)</f>
        <v>13.85</v>
      </c>
      <c r="D9" s="1">
        <f ca="1">IFERROR(__xludf.DUMMYFUNCTION("""COMPUTED_VALUE"""),13.77)</f>
        <v>13.77</v>
      </c>
      <c r="E9" s="1">
        <f ca="1">IFERROR(__xludf.DUMMYFUNCTION("""COMPUTED_VALUE"""),13.85)</f>
        <v>13.85</v>
      </c>
      <c r="F9" s="1">
        <f ca="1">IFERROR(__xludf.DUMMYFUNCTION("""COMPUTED_VALUE"""),8817)</f>
        <v>8817</v>
      </c>
    </row>
    <row r="10" spans="1:6" ht="15.75" customHeight="1">
      <c r="A10" s="10">
        <f ca="1">IFERROR(__xludf.DUMMYFUNCTION("""COMPUTED_VALUE"""),43838.6666666666)</f>
        <v>43838.666666666599</v>
      </c>
      <c r="B10" s="1">
        <f ca="1">IFERROR(__xludf.DUMMYFUNCTION("""COMPUTED_VALUE"""),13.85)</f>
        <v>13.85</v>
      </c>
      <c r="C10" s="1">
        <f ca="1">IFERROR(__xludf.DUMMYFUNCTION("""COMPUTED_VALUE"""),13.91)</f>
        <v>13.91</v>
      </c>
      <c r="D10" s="1">
        <f ca="1">IFERROR(__xludf.DUMMYFUNCTION("""COMPUTED_VALUE"""),13.8)</f>
        <v>13.8</v>
      </c>
      <c r="E10" s="1">
        <f ca="1">IFERROR(__xludf.DUMMYFUNCTION("""COMPUTED_VALUE"""),13.8)</f>
        <v>13.8</v>
      </c>
      <c r="F10" s="1">
        <f ca="1">IFERROR(__xludf.DUMMYFUNCTION("""COMPUTED_VALUE"""),5279)</f>
        <v>5279</v>
      </c>
    </row>
    <row r="11" spans="1:6" ht="15.75" customHeight="1">
      <c r="A11" s="10">
        <f ca="1">IFERROR(__xludf.DUMMYFUNCTION("""COMPUTED_VALUE"""),43839.6666666666)</f>
        <v>43839.666666666599</v>
      </c>
      <c r="B11" s="1">
        <f ca="1">IFERROR(__xludf.DUMMYFUNCTION("""COMPUTED_VALUE"""),13.83)</f>
        <v>13.83</v>
      </c>
      <c r="C11" s="1">
        <f ca="1">IFERROR(__xludf.DUMMYFUNCTION("""COMPUTED_VALUE"""),13.83)</f>
        <v>13.83</v>
      </c>
      <c r="D11" s="1">
        <f ca="1">IFERROR(__xludf.DUMMYFUNCTION("""COMPUTED_VALUE"""),13.8)</f>
        <v>13.8</v>
      </c>
      <c r="E11" s="1">
        <f ca="1">IFERROR(__xludf.DUMMYFUNCTION("""COMPUTED_VALUE"""),13.8)</f>
        <v>13.8</v>
      </c>
      <c r="F11" s="1">
        <f ca="1">IFERROR(__xludf.DUMMYFUNCTION("""COMPUTED_VALUE"""),4578)</f>
        <v>4578</v>
      </c>
    </row>
    <row r="12" spans="1:6" ht="15.75" customHeight="1">
      <c r="A12" s="10">
        <f ca="1">IFERROR(__xludf.DUMMYFUNCTION("""COMPUTED_VALUE"""),43840.6666666666)</f>
        <v>43840.666666666599</v>
      </c>
      <c r="B12" s="1">
        <f ca="1">IFERROR(__xludf.DUMMYFUNCTION("""COMPUTED_VALUE"""),13.88)</f>
        <v>13.88</v>
      </c>
      <c r="C12" s="1">
        <f ca="1">IFERROR(__xludf.DUMMYFUNCTION("""COMPUTED_VALUE"""),13.88)</f>
        <v>13.88</v>
      </c>
      <c r="D12" s="1">
        <f ca="1">IFERROR(__xludf.DUMMYFUNCTION("""COMPUTED_VALUE"""),13.72)</f>
        <v>13.72</v>
      </c>
      <c r="E12" s="1">
        <f ca="1">IFERROR(__xludf.DUMMYFUNCTION("""COMPUTED_VALUE"""),13.72)</f>
        <v>13.72</v>
      </c>
      <c r="F12" s="1">
        <f ca="1">IFERROR(__xludf.DUMMYFUNCTION("""COMPUTED_VALUE"""),3820)</f>
        <v>3820</v>
      </c>
    </row>
    <row r="13" spans="1:6" ht="15.75" customHeight="1">
      <c r="A13" s="10">
        <f ca="1">IFERROR(__xludf.DUMMYFUNCTION("""COMPUTED_VALUE"""),43843.6666666666)</f>
        <v>43843.666666666599</v>
      </c>
      <c r="B13" s="1">
        <f ca="1">IFERROR(__xludf.DUMMYFUNCTION("""COMPUTED_VALUE"""),13.82)</f>
        <v>13.82</v>
      </c>
      <c r="C13" s="1">
        <f ca="1">IFERROR(__xludf.DUMMYFUNCTION("""COMPUTED_VALUE"""),13.82)</f>
        <v>13.82</v>
      </c>
      <c r="D13" s="1">
        <f ca="1">IFERROR(__xludf.DUMMYFUNCTION("""COMPUTED_VALUE"""),13.77)</f>
        <v>13.77</v>
      </c>
      <c r="E13" s="1">
        <f ca="1">IFERROR(__xludf.DUMMYFUNCTION("""COMPUTED_VALUE"""),13.82)</f>
        <v>13.82</v>
      </c>
      <c r="F13" s="1">
        <f ca="1">IFERROR(__xludf.DUMMYFUNCTION("""COMPUTED_VALUE"""),7735)</f>
        <v>7735</v>
      </c>
    </row>
    <row r="14" spans="1:6" ht="15.75" customHeight="1">
      <c r="A14" s="10">
        <f ca="1">IFERROR(__xludf.DUMMYFUNCTION("""COMPUTED_VALUE"""),43844.6666666666)</f>
        <v>43844.666666666599</v>
      </c>
      <c r="B14" s="1">
        <f ca="1">IFERROR(__xludf.DUMMYFUNCTION("""COMPUTED_VALUE"""),13.78)</f>
        <v>13.78</v>
      </c>
      <c r="C14" s="1">
        <f ca="1">IFERROR(__xludf.DUMMYFUNCTION("""COMPUTED_VALUE"""),13.83)</f>
        <v>13.83</v>
      </c>
      <c r="D14" s="1">
        <f ca="1">IFERROR(__xludf.DUMMYFUNCTION("""COMPUTED_VALUE"""),13.78)</f>
        <v>13.78</v>
      </c>
      <c r="E14" s="1">
        <f ca="1">IFERROR(__xludf.DUMMYFUNCTION("""COMPUTED_VALUE"""),13.83)</f>
        <v>13.83</v>
      </c>
      <c r="F14" s="1">
        <f ca="1">IFERROR(__xludf.DUMMYFUNCTION("""COMPUTED_VALUE"""),1843)</f>
        <v>1843</v>
      </c>
    </row>
    <row r="15" spans="1:6" ht="15.75" customHeight="1">
      <c r="A15" s="10">
        <f ca="1">IFERROR(__xludf.DUMMYFUNCTION("""COMPUTED_VALUE"""),43845.6666666666)</f>
        <v>43845.666666666599</v>
      </c>
      <c r="B15" s="1">
        <f ca="1">IFERROR(__xludf.DUMMYFUNCTION("""COMPUTED_VALUE"""),13.82)</f>
        <v>13.82</v>
      </c>
      <c r="C15" s="1">
        <f ca="1">IFERROR(__xludf.DUMMYFUNCTION("""COMPUTED_VALUE"""),13.83)</f>
        <v>13.83</v>
      </c>
      <c r="D15" s="1">
        <f ca="1">IFERROR(__xludf.DUMMYFUNCTION("""COMPUTED_VALUE"""),13.79)</f>
        <v>13.79</v>
      </c>
      <c r="E15" s="1">
        <f ca="1">IFERROR(__xludf.DUMMYFUNCTION("""COMPUTED_VALUE"""),13.81)</f>
        <v>13.81</v>
      </c>
      <c r="F15" s="1">
        <f ca="1">IFERROR(__xludf.DUMMYFUNCTION("""COMPUTED_VALUE"""),4432)</f>
        <v>4432</v>
      </c>
    </row>
    <row r="16" spans="1:6" ht="15.75" customHeight="1">
      <c r="A16" s="10">
        <f ca="1">IFERROR(__xludf.DUMMYFUNCTION("""COMPUTED_VALUE"""),43846.6666666666)</f>
        <v>43846.666666666599</v>
      </c>
      <c r="B16" s="1">
        <f ca="1">IFERROR(__xludf.DUMMYFUNCTION("""COMPUTED_VALUE"""),13.83)</f>
        <v>13.83</v>
      </c>
      <c r="C16" s="1">
        <f ca="1">IFERROR(__xludf.DUMMYFUNCTION("""COMPUTED_VALUE"""),13.84)</f>
        <v>13.84</v>
      </c>
      <c r="D16" s="1">
        <f ca="1">IFERROR(__xludf.DUMMYFUNCTION("""COMPUTED_VALUE"""),13.79)</f>
        <v>13.79</v>
      </c>
      <c r="E16" s="1">
        <f ca="1">IFERROR(__xludf.DUMMYFUNCTION("""COMPUTED_VALUE"""),13.84)</f>
        <v>13.84</v>
      </c>
      <c r="F16" s="1">
        <f ca="1">IFERROR(__xludf.DUMMYFUNCTION("""COMPUTED_VALUE"""),10254)</f>
        <v>10254</v>
      </c>
    </row>
    <row r="17" spans="1:6" ht="15.75" customHeight="1">
      <c r="A17" s="10">
        <f ca="1">IFERROR(__xludf.DUMMYFUNCTION("""COMPUTED_VALUE"""),43847.6666666666)</f>
        <v>43847.666666666599</v>
      </c>
      <c r="B17" s="1">
        <f ca="1">IFERROR(__xludf.DUMMYFUNCTION("""COMPUTED_VALUE"""),13.8)</f>
        <v>13.8</v>
      </c>
      <c r="C17" s="1">
        <f ca="1">IFERROR(__xludf.DUMMYFUNCTION("""COMPUTED_VALUE"""),13.8)</f>
        <v>13.8</v>
      </c>
      <c r="D17" s="1">
        <f ca="1">IFERROR(__xludf.DUMMYFUNCTION("""COMPUTED_VALUE"""),13.78)</f>
        <v>13.78</v>
      </c>
      <c r="E17" s="1">
        <f ca="1">IFERROR(__xludf.DUMMYFUNCTION("""COMPUTED_VALUE"""),13.8)</f>
        <v>13.8</v>
      </c>
      <c r="F17" s="1">
        <f ca="1">IFERROR(__xludf.DUMMYFUNCTION("""COMPUTED_VALUE"""),2558)</f>
        <v>2558</v>
      </c>
    </row>
    <row r="18" spans="1:6" ht="15.75" customHeight="1">
      <c r="A18" s="10">
        <f ca="1">IFERROR(__xludf.DUMMYFUNCTION("""COMPUTED_VALUE"""),43851.6666666666)</f>
        <v>43851.666666666599</v>
      </c>
      <c r="B18" s="1">
        <f ca="1">IFERROR(__xludf.DUMMYFUNCTION("""COMPUTED_VALUE"""),13.81)</f>
        <v>13.81</v>
      </c>
      <c r="C18" s="1">
        <f ca="1">IFERROR(__xludf.DUMMYFUNCTION("""COMPUTED_VALUE"""),13.86)</f>
        <v>13.86</v>
      </c>
      <c r="D18" s="1">
        <f ca="1">IFERROR(__xludf.DUMMYFUNCTION("""COMPUTED_VALUE"""),13.81)</f>
        <v>13.81</v>
      </c>
      <c r="E18" s="1">
        <f ca="1">IFERROR(__xludf.DUMMYFUNCTION("""COMPUTED_VALUE"""),13.86)</f>
        <v>13.86</v>
      </c>
      <c r="F18" s="1">
        <f ca="1">IFERROR(__xludf.DUMMYFUNCTION("""COMPUTED_VALUE"""),7413)</f>
        <v>7413</v>
      </c>
    </row>
    <row r="19" spans="1:6" ht="15.75" customHeight="1">
      <c r="A19" s="10">
        <f ca="1">IFERROR(__xludf.DUMMYFUNCTION("""COMPUTED_VALUE"""),43852.6666666666)</f>
        <v>43852.666666666599</v>
      </c>
      <c r="B19" s="1">
        <f ca="1">IFERROR(__xludf.DUMMYFUNCTION("""COMPUTED_VALUE"""),13.87)</f>
        <v>13.87</v>
      </c>
      <c r="C19" s="1">
        <f ca="1">IFERROR(__xludf.DUMMYFUNCTION("""COMPUTED_VALUE"""),13.88)</f>
        <v>13.88</v>
      </c>
      <c r="D19" s="1">
        <f ca="1">IFERROR(__xludf.DUMMYFUNCTION("""COMPUTED_VALUE"""),13.86)</f>
        <v>13.86</v>
      </c>
      <c r="E19" s="1">
        <f ca="1">IFERROR(__xludf.DUMMYFUNCTION("""COMPUTED_VALUE"""),13.87)</f>
        <v>13.87</v>
      </c>
      <c r="F19" s="1">
        <f ca="1">IFERROR(__xludf.DUMMYFUNCTION("""COMPUTED_VALUE"""),3232)</f>
        <v>3232</v>
      </c>
    </row>
    <row r="20" spans="1:6" ht="15.75" customHeight="1">
      <c r="A20" s="10">
        <f ca="1">IFERROR(__xludf.DUMMYFUNCTION("""COMPUTED_VALUE"""),43853.6666666666)</f>
        <v>43853.666666666599</v>
      </c>
      <c r="B20" s="1">
        <f ca="1">IFERROR(__xludf.DUMMYFUNCTION("""COMPUTED_VALUE"""),13.84)</f>
        <v>13.84</v>
      </c>
      <c r="C20" s="1">
        <f ca="1">IFERROR(__xludf.DUMMYFUNCTION("""COMPUTED_VALUE"""),13.93)</f>
        <v>13.93</v>
      </c>
      <c r="D20" s="1">
        <f ca="1">IFERROR(__xludf.DUMMYFUNCTION("""COMPUTED_VALUE"""),13.84)</f>
        <v>13.84</v>
      </c>
      <c r="E20" s="1">
        <f ca="1">IFERROR(__xludf.DUMMYFUNCTION("""COMPUTED_VALUE"""),13.89)</f>
        <v>13.89</v>
      </c>
      <c r="F20" s="1">
        <f ca="1">IFERROR(__xludf.DUMMYFUNCTION("""COMPUTED_VALUE"""),21469)</f>
        <v>21469</v>
      </c>
    </row>
    <row r="21" spans="1:6" ht="15.75" customHeight="1">
      <c r="A21" s="10">
        <f ca="1">IFERROR(__xludf.DUMMYFUNCTION("""COMPUTED_VALUE"""),43854.6666666666)</f>
        <v>43854.666666666599</v>
      </c>
      <c r="B21" s="1">
        <f ca="1">IFERROR(__xludf.DUMMYFUNCTION("""COMPUTED_VALUE"""),13.96)</f>
        <v>13.96</v>
      </c>
      <c r="C21" s="1">
        <f ca="1">IFERROR(__xludf.DUMMYFUNCTION("""COMPUTED_VALUE"""),13.99)</f>
        <v>13.99</v>
      </c>
      <c r="D21" s="1">
        <f ca="1">IFERROR(__xludf.DUMMYFUNCTION("""COMPUTED_VALUE"""),13.93)</f>
        <v>13.93</v>
      </c>
      <c r="E21" s="1">
        <f ca="1">IFERROR(__xludf.DUMMYFUNCTION("""COMPUTED_VALUE"""),13.96)</f>
        <v>13.96</v>
      </c>
      <c r="F21" s="1">
        <f ca="1">IFERROR(__xludf.DUMMYFUNCTION("""COMPUTED_VALUE"""),3449)</f>
        <v>3449</v>
      </c>
    </row>
    <row r="22" spans="1:6" ht="15.75" customHeight="1">
      <c r="A22" s="10">
        <f ca="1">IFERROR(__xludf.DUMMYFUNCTION("""COMPUTED_VALUE"""),43857.6666666666)</f>
        <v>43857.666666666599</v>
      </c>
      <c r="B22" s="1">
        <f ca="1">IFERROR(__xludf.DUMMYFUNCTION("""COMPUTED_VALUE"""),13.96)</f>
        <v>13.96</v>
      </c>
      <c r="C22" s="1">
        <f ca="1">IFERROR(__xludf.DUMMYFUNCTION("""COMPUTED_VALUE"""),14.05)</f>
        <v>14.05</v>
      </c>
      <c r="D22" s="1">
        <f ca="1">IFERROR(__xludf.DUMMYFUNCTION("""COMPUTED_VALUE"""),13.96)</f>
        <v>13.96</v>
      </c>
      <c r="E22" s="1">
        <f ca="1">IFERROR(__xludf.DUMMYFUNCTION("""COMPUTED_VALUE"""),14.05)</f>
        <v>14.05</v>
      </c>
      <c r="F22" s="1">
        <f ca="1">IFERROR(__xludf.DUMMYFUNCTION("""COMPUTED_VALUE"""),2228)</f>
        <v>2228</v>
      </c>
    </row>
    <row r="23" spans="1:6" ht="15.75" customHeight="1">
      <c r="A23" s="10">
        <f ca="1">IFERROR(__xludf.DUMMYFUNCTION("""COMPUTED_VALUE"""),43858.6666666666)</f>
        <v>43858.666666666599</v>
      </c>
      <c r="B23" s="1">
        <f ca="1">IFERROR(__xludf.DUMMYFUNCTION("""COMPUTED_VALUE"""),14.02)</f>
        <v>14.02</v>
      </c>
      <c r="C23" s="1">
        <f ca="1">IFERROR(__xludf.DUMMYFUNCTION("""COMPUTED_VALUE"""),14.05)</f>
        <v>14.05</v>
      </c>
      <c r="D23" s="1">
        <f ca="1">IFERROR(__xludf.DUMMYFUNCTION("""COMPUTED_VALUE"""),14.02)</f>
        <v>14.02</v>
      </c>
      <c r="E23" s="1">
        <f ca="1">IFERROR(__xludf.DUMMYFUNCTION("""COMPUTED_VALUE"""),14.05)</f>
        <v>14.05</v>
      </c>
      <c r="F23" s="1">
        <f ca="1">IFERROR(__xludf.DUMMYFUNCTION("""COMPUTED_VALUE"""),6846)</f>
        <v>6846</v>
      </c>
    </row>
    <row r="24" spans="1:6" ht="15.75" customHeight="1">
      <c r="A24" s="10">
        <f ca="1">IFERROR(__xludf.DUMMYFUNCTION("""COMPUTED_VALUE"""),43859.6666666666)</f>
        <v>43859.666666666599</v>
      </c>
      <c r="B24" s="1">
        <f ca="1">IFERROR(__xludf.DUMMYFUNCTION("""COMPUTED_VALUE"""),14.04)</f>
        <v>14.04</v>
      </c>
      <c r="C24" s="1">
        <f ca="1">IFERROR(__xludf.DUMMYFUNCTION("""COMPUTED_VALUE"""),14.06)</f>
        <v>14.06</v>
      </c>
      <c r="D24" s="1">
        <f ca="1">IFERROR(__xludf.DUMMYFUNCTION("""COMPUTED_VALUE"""),14.04)</f>
        <v>14.04</v>
      </c>
      <c r="E24" s="1">
        <f ca="1">IFERROR(__xludf.DUMMYFUNCTION("""COMPUTED_VALUE"""),14.06)</f>
        <v>14.06</v>
      </c>
      <c r="F24" s="1">
        <f ca="1">IFERROR(__xludf.DUMMYFUNCTION("""COMPUTED_VALUE"""),677)</f>
        <v>677</v>
      </c>
    </row>
    <row r="25" spans="1:6" ht="15.75" customHeight="1">
      <c r="A25" s="10">
        <f ca="1">IFERROR(__xludf.DUMMYFUNCTION("""COMPUTED_VALUE"""),43860.6666666666)</f>
        <v>43860.666666666599</v>
      </c>
      <c r="B25" s="1">
        <f ca="1">IFERROR(__xludf.DUMMYFUNCTION("""COMPUTED_VALUE"""),14.07)</f>
        <v>14.07</v>
      </c>
      <c r="C25" s="1">
        <f ca="1">IFERROR(__xludf.DUMMYFUNCTION("""COMPUTED_VALUE"""),14.12)</f>
        <v>14.12</v>
      </c>
      <c r="D25" s="1">
        <f ca="1">IFERROR(__xludf.DUMMYFUNCTION("""COMPUTED_VALUE"""),14.07)</f>
        <v>14.07</v>
      </c>
      <c r="E25" s="1">
        <f ca="1">IFERROR(__xludf.DUMMYFUNCTION("""COMPUTED_VALUE"""),14.12)</f>
        <v>14.12</v>
      </c>
      <c r="F25" s="1">
        <f ca="1">IFERROR(__xludf.DUMMYFUNCTION("""COMPUTED_VALUE"""),3602)</f>
        <v>3602</v>
      </c>
    </row>
    <row r="26" spans="1:6" ht="15.75" customHeight="1">
      <c r="A26" s="10">
        <f ca="1">IFERROR(__xludf.DUMMYFUNCTION("""COMPUTED_VALUE"""),43861.6666666666)</f>
        <v>43861.666666666599</v>
      </c>
      <c r="B26" s="1">
        <f ca="1">IFERROR(__xludf.DUMMYFUNCTION("""COMPUTED_VALUE"""),14.13)</f>
        <v>14.13</v>
      </c>
      <c r="C26" s="1">
        <f ca="1">IFERROR(__xludf.DUMMYFUNCTION("""COMPUTED_VALUE"""),14.17)</f>
        <v>14.17</v>
      </c>
      <c r="D26" s="1">
        <f ca="1">IFERROR(__xludf.DUMMYFUNCTION("""COMPUTED_VALUE"""),14.13)</f>
        <v>14.13</v>
      </c>
      <c r="E26" s="1">
        <f ca="1">IFERROR(__xludf.DUMMYFUNCTION("""COMPUTED_VALUE"""),14.16)</f>
        <v>14.16</v>
      </c>
      <c r="F26" s="1">
        <f ca="1">IFERROR(__xludf.DUMMYFUNCTION("""COMPUTED_VALUE"""),4357)</f>
        <v>4357</v>
      </c>
    </row>
    <row r="27" spans="1:6" ht="15.75" customHeight="1">
      <c r="A27" s="10">
        <f ca="1">IFERROR(__xludf.DUMMYFUNCTION("""COMPUTED_VALUE"""),43864.6666666666)</f>
        <v>43864.666666666599</v>
      </c>
      <c r="B27" s="1">
        <f ca="1">IFERROR(__xludf.DUMMYFUNCTION("""COMPUTED_VALUE"""),14.14)</f>
        <v>14.14</v>
      </c>
      <c r="C27" s="1">
        <f ca="1">IFERROR(__xludf.DUMMYFUNCTION("""COMPUTED_VALUE"""),14.14)</f>
        <v>14.14</v>
      </c>
      <c r="D27" s="1">
        <f ca="1">IFERROR(__xludf.DUMMYFUNCTION("""COMPUTED_VALUE"""),14.09)</f>
        <v>14.09</v>
      </c>
      <c r="E27" s="1">
        <f ca="1">IFERROR(__xludf.DUMMYFUNCTION("""COMPUTED_VALUE"""),14.09)</f>
        <v>14.09</v>
      </c>
      <c r="F27" s="1">
        <f ca="1">IFERROR(__xludf.DUMMYFUNCTION("""COMPUTED_VALUE"""),3422)</f>
        <v>3422</v>
      </c>
    </row>
    <row r="28" spans="1:6" ht="15.75" customHeight="1">
      <c r="A28" s="10">
        <f ca="1">IFERROR(__xludf.DUMMYFUNCTION("""COMPUTED_VALUE"""),43865.6666666666)</f>
        <v>43865.666666666599</v>
      </c>
      <c r="B28" s="1">
        <f ca="1">IFERROR(__xludf.DUMMYFUNCTION("""COMPUTED_VALUE"""),14.09)</f>
        <v>14.09</v>
      </c>
      <c r="C28" s="1">
        <f ca="1">IFERROR(__xludf.DUMMYFUNCTION("""COMPUTED_VALUE"""),14.09)</f>
        <v>14.09</v>
      </c>
      <c r="D28" s="1">
        <f ca="1">IFERROR(__xludf.DUMMYFUNCTION("""COMPUTED_VALUE"""),14)</f>
        <v>14</v>
      </c>
      <c r="E28" s="1">
        <f ca="1">IFERROR(__xludf.DUMMYFUNCTION("""COMPUTED_VALUE"""),14.02)</f>
        <v>14.02</v>
      </c>
      <c r="F28" s="1">
        <f ca="1">IFERROR(__xludf.DUMMYFUNCTION("""COMPUTED_VALUE"""),10481)</f>
        <v>10481</v>
      </c>
    </row>
    <row r="29" spans="1:6" ht="15.75" customHeight="1">
      <c r="A29" s="10">
        <f ca="1">IFERROR(__xludf.DUMMYFUNCTION("""COMPUTED_VALUE"""),43866.6666666666)</f>
        <v>43866.666666666599</v>
      </c>
      <c r="B29" s="1">
        <f ca="1">IFERROR(__xludf.DUMMYFUNCTION("""COMPUTED_VALUE"""),14.04)</f>
        <v>14.04</v>
      </c>
      <c r="C29" s="1">
        <f ca="1">IFERROR(__xludf.DUMMYFUNCTION("""COMPUTED_VALUE"""),14.15)</f>
        <v>14.15</v>
      </c>
      <c r="D29" s="1">
        <f ca="1">IFERROR(__xludf.DUMMYFUNCTION("""COMPUTED_VALUE"""),14.04)</f>
        <v>14.04</v>
      </c>
      <c r="E29" s="1">
        <f ca="1">IFERROR(__xludf.DUMMYFUNCTION("""COMPUTED_VALUE"""),14.07)</f>
        <v>14.07</v>
      </c>
      <c r="F29" s="1">
        <f ca="1">IFERROR(__xludf.DUMMYFUNCTION("""COMPUTED_VALUE"""),21524)</f>
        <v>21524</v>
      </c>
    </row>
    <row r="30" spans="1:6" ht="15.75" customHeight="1">
      <c r="A30" s="10">
        <f ca="1">IFERROR(__xludf.DUMMYFUNCTION("""COMPUTED_VALUE"""),43867.6666666666)</f>
        <v>43867.666666666599</v>
      </c>
      <c r="B30" s="1">
        <f ca="1">IFERROR(__xludf.DUMMYFUNCTION("""COMPUTED_VALUE"""),14.09)</f>
        <v>14.09</v>
      </c>
      <c r="C30" s="1">
        <f ca="1">IFERROR(__xludf.DUMMYFUNCTION("""COMPUTED_VALUE"""),14.11)</f>
        <v>14.11</v>
      </c>
      <c r="D30" s="1">
        <f ca="1">IFERROR(__xludf.DUMMYFUNCTION("""COMPUTED_VALUE"""),14)</f>
        <v>14</v>
      </c>
      <c r="E30" s="1">
        <f ca="1">IFERROR(__xludf.DUMMYFUNCTION("""COMPUTED_VALUE"""),14.08)</f>
        <v>14.08</v>
      </c>
      <c r="F30" s="1">
        <f ca="1">IFERROR(__xludf.DUMMYFUNCTION("""COMPUTED_VALUE"""),6340)</f>
        <v>6340</v>
      </c>
    </row>
    <row r="31" spans="1:6" ht="15.75" customHeight="1">
      <c r="A31" s="10">
        <f ca="1">IFERROR(__xludf.DUMMYFUNCTION("""COMPUTED_VALUE"""),43868.6666666666)</f>
        <v>43868.666666666599</v>
      </c>
      <c r="B31" s="1">
        <f ca="1">IFERROR(__xludf.DUMMYFUNCTION("""COMPUTED_VALUE"""),14.1)</f>
        <v>14.1</v>
      </c>
      <c r="C31" s="1">
        <f ca="1">IFERROR(__xludf.DUMMYFUNCTION("""COMPUTED_VALUE"""),14.19)</f>
        <v>14.19</v>
      </c>
      <c r="D31" s="1">
        <f ca="1">IFERROR(__xludf.DUMMYFUNCTION("""COMPUTED_VALUE"""),14.1)</f>
        <v>14.1</v>
      </c>
      <c r="E31" s="1">
        <f ca="1">IFERROR(__xludf.DUMMYFUNCTION("""COMPUTED_VALUE"""),14.1)</f>
        <v>14.1</v>
      </c>
      <c r="F31" s="1">
        <f ca="1">IFERROR(__xludf.DUMMYFUNCTION("""COMPUTED_VALUE"""),1596)</f>
        <v>1596</v>
      </c>
    </row>
    <row r="32" spans="1:6" ht="15.75" customHeight="1">
      <c r="A32" s="10">
        <f ca="1">IFERROR(__xludf.DUMMYFUNCTION("""COMPUTED_VALUE"""),43871.6666666666)</f>
        <v>43871.666666666599</v>
      </c>
      <c r="B32" s="1">
        <f ca="1">IFERROR(__xludf.DUMMYFUNCTION("""COMPUTED_VALUE"""),14.12)</f>
        <v>14.12</v>
      </c>
      <c r="C32" s="1">
        <f ca="1">IFERROR(__xludf.DUMMYFUNCTION("""COMPUTED_VALUE"""),14.12)</f>
        <v>14.12</v>
      </c>
      <c r="D32" s="1">
        <f ca="1">IFERROR(__xludf.DUMMYFUNCTION("""COMPUTED_VALUE"""),14.07)</f>
        <v>14.07</v>
      </c>
      <c r="E32" s="1">
        <f ca="1">IFERROR(__xludf.DUMMYFUNCTION("""COMPUTED_VALUE"""),14.09)</f>
        <v>14.09</v>
      </c>
      <c r="F32" s="1">
        <f ca="1">IFERROR(__xludf.DUMMYFUNCTION("""COMPUTED_VALUE"""),13369)</f>
        <v>13369</v>
      </c>
    </row>
    <row r="33" spans="1:6" ht="15.75" customHeight="1">
      <c r="A33" s="10">
        <f ca="1">IFERROR(__xludf.DUMMYFUNCTION("""COMPUTED_VALUE"""),43872.6666666666)</f>
        <v>43872.666666666599</v>
      </c>
      <c r="B33" s="1">
        <f ca="1">IFERROR(__xludf.DUMMYFUNCTION("""COMPUTED_VALUE"""),14.12)</f>
        <v>14.12</v>
      </c>
      <c r="C33" s="1">
        <f ca="1">IFERROR(__xludf.DUMMYFUNCTION("""COMPUTED_VALUE"""),14.12)</f>
        <v>14.12</v>
      </c>
      <c r="D33" s="1">
        <f ca="1">IFERROR(__xludf.DUMMYFUNCTION("""COMPUTED_VALUE"""),14.06)</f>
        <v>14.06</v>
      </c>
      <c r="E33" s="1">
        <f ca="1">IFERROR(__xludf.DUMMYFUNCTION("""COMPUTED_VALUE"""),14.06)</f>
        <v>14.06</v>
      </c>
      <c r="F33" s="1">
        <f ca="1">IFERROR(__xludf.DUMMYFUNCTION("""COMPUTED_VALUE"""),4460)</f>
        <v>4460</v>
      </c>
    </row>
    <row r="34" spans="1:6" ht="15.75" customHeight="1">
      <c r="A34" s="10">
        <f ca="1">IFERROR(__xludf.DUMMYFUNCTION("""COMPUTED_VALUE"""),43873.6666666666)</f>
        <v>43873.666666666599</v>
      </c>
      <c r="B34" s="1">
        <f ca="1">IFERROR(__xludf.DUMMYFUNCTION("""COMPUTED_VALUE"""),14.12)</f>
        <v>14.12</v>
      </c>
      <c r="C34" s="1">
        <f ca="1">IFERROR(__xludf.DUMMYFUNCTION("""COMPUTED_VALUE"""),14.12)</f>
        <v>14.12</v>
      </c>
      <c r="D34" s="1">
        <f ca="1">IFERROR(__xludf.DUMMYFUNCTION("""COMPUTED_VALUE"""),14.01)</f>
        <v>14.01</v>
      </c>
      <c r="E34" s="1">
        <f ca="1">IFERROR(__xludf.DUMMYFUNCTION("""COMPUTED_VALUE"""),14.01)</f>
        <v>14.01</v>
      </c>
      <c r="F34" s="1">
        <f ca="1">IFERROR(__xludf.DUMMYFUNCTION("""COMPUTED_VALUE"""),8643)</f>
        <v>8643</v>
      </c>
    </row>
    <row r="35" spans="1:6" ht="15.75" customHeight="1">
      <c r="A35" s="10">
        <f ca="1">IFERROR(__xludf.DUMMYFUNCTION("""COMPUTED_VALUE"""),43874.6666666666)</f>
        <v>43874.666666666599</v>
      </c>
      <c r="B35" s="1">
        <f ca="1">IFERROR(__xludf.DUMMYFUNCTION("""COMPUTED_VALUE"""),14.12)</f>
        <v>14.12</v>
      </c>
      <c r="C35" s="1">
        <f ca="1">IFERROR(__xludf.DUMMYFUNCTION("""COMPUTED_VALUE"""),14.12)</f>
        <v>14.12</v>
      </c>
      <c r="D35" s="1">
        <f ca="1">IFERROR(__xludf.DUMMYFUNCTION("""COMPUTED_VALUE"""),13.92)</f>
        <v>13.92</v>
      </c>
      <c r="E35" s="1">
        <f ca="1">IFERROR(__xludf.DUMMYFUNCTION("""COMPUTED_VALUE"""),13.92)</f>
        <v>13.92</v>
      </c>
      <c r="F35" s="1">
        <f ca="1">IFERROR(__xludf.DUMMYFUNCTION("""COMPUTED_VALUE"""),28224)</f>
        <v>28224</v>
      </c>
    </row>
    <row r="36" spans="1:6" ht="15.75" customHeight="1">
      <c r="A36" s="10">
        <f ca="1">IFERROR(__xludf.DUMMYFUNCTION("""COMPUTED_VALUE"""),43875.6666666666)</f>
        <v>43875.666666666599</v>
      </c>
      <c r="B36" s="1">
        <f ca="1">IFERROR(__xludf.DUMMYFUNCTION("""COMPUTED_VALUE"""),14.04)</f>
        <v>14.04</v>
      </c>
      <c r="C36" s="1">
        <f ca="1">IFERROR(__xludf.DUMMYFUNCTION("""COMPUTED_VALUE"""),14.04)</f>
        <v>14.04</v>
      </c>
      <c r="D36" s="1">
        <f ca="1">IFERROR(__xludf.DUMMYFUNCTION("""COMPUTED_VALUE"""),13.87)</f>
        <v>13.87</v>
      </c>
      <c r="E36" s="1">
        <f ca="1">IFERROR(__xludf.DUMMYFUNCTION("""COMPUTED_VALUE"""),13.9)</f>
        <v>13.9</v>
      </c>
      <c r="F36" s="1">
        <f ca="1">IFERROR(__xludf.DUMMYFUNCTION("""COMPUTED_VALUE"""),15239)</f>
        <v>15239</v>
      </c>
    </row>
    <row r="37" spans="1:6" ht="15.75" customHeight="1">
      <c r="A37" s="10">
        <f ca="1">IFERROR(__xludf.DUMMYFUNCTION("""COMPUTED_VALUE"""),43879.6666666666)</f>
        <v>43879.666666666599</v>
      </c>
      <c r="B37" s="1">
        <f ca="1">IFERROR(__xludf.DUMMYFUNCTION("""COMPUTED_VALUE"""),13.97)</f>
        <v>13.97</v>
      </c>
      <c r="C37" s="1">
        <f ca="1">IFERROR(__xludf.DUMMYFUNCTION("""COMPUTED_VALUE"""),13.97)</f>
        <v>13.97</v>
      </c>
      <c r="D37" s="1">
        <f ca="1">IFERROR(__xludf.DUMMYFUNCTION("""COMPUTED_VALUE"""),13.94)</f>
        <v>13.94</v>
      </c>
      <c r="E37" s="1">
        <f ca="1">IFERROR(__xludf.DUMMYFUNCTION("""COMPUTED_VALUE"""),13.95)</f>
        <v>13.95</v>
      </c>
      <c r="F37" s="1">
        <f ca="1">IFERROR(__xludf.DUMMYFUNCTION("""COMPUTED_VALUE"""),8109)</f>
        <v>8109</v>
      </c>
    </row>
    <row r="38" spans="1:6" ht="15.75" customHeight="1">
      <c r="A38" s="10">
        <f ca="1">IFERROR(__xludf.DUMMYFUNCTION("""COMPUTED_VALUE"""),43880.6666666666)</f>
        <v>43880.666666666599</v>
      </c>
      <c r="B38" s="1">
        <f ca="1">IFERROR(__xludf.DUMMYFUNCTION("""COMPUTED_VALUE"""),14.1)</f>
        <v>14.1</v>
      </c>
      <c r="C38" s="1">
        <f ca="1">IFERROR(__xludf.DUMMYFUNCTION("""COMPUTED_VALUE"""),14.1)</f>
        <v>14.1</v>
      </c>
      <c r="D38" s="1">
        <f ca="1">IFERROR(__xludf.DUMMYFUNCTION("""COMPUTED_VALUE"""),13.99)</f>
        <v>13.99</v>
      </c>
      <c r="E38" s="1">
        <f ca="1">IFERROR(__xludf.DUMMYFUNCTION("""COMPUTED_VALUE"""),14.04)</f>
        <v>14.04</v>
      </c>
      <c r="F38" s="1">
        <f ca="1">IFERROR(__xludf.DUMMYFUNCTION("""COMPUTED_VALUE"""),11420)</f>
        <v>11420</v>
      </c>
    </row>
    <row r="39" spans="1:6" ht="15.75" customHeight="1">
      <c r="A39" s="10">
        <f ca="1">IFERROR(__xludf.DUMMYFUNCTION("""COMPUTED_VALUE"""),43881.6666666666)</f>
        <v>43881.666666666599</v>
      </c>
      <c r="B39" s="1">
        <f ca="1">IFERROR(__xludf.DUMMYFUNCTION("""COMPUTED_VALUE"""),14.11)</f>
        <v>14.11</v>
      </c>
      <c r="C39" s="1">
        <f ca="1">IFERROR(__xludf.DUMMYFUNCTION("""COMPUTED_VALUE"""),14.11)</f>
        <v>14.11</v>
      </c>
      <c r="D39" s="1">
        <f ca="1">IFERROR(__xludf.DUMMYFUNCTION("""COMPUTED_VALUE"""),14.01)</f>
        <v>14.01</v>
      </c>
      <c r="E39" s="1">
        <f ca="1">IFERROR(__xludf.DUMMYFUNCTION("""COMPUTED_VALUE"""),14.01)</f>
        <v>14.01</v>
      </c>
      <c r="F39" s="1">
        <f ca="1">IFERROR(__xludf.DUMMYFUNCTION("""COMPUTED_VALUE"""),3316)</f>
        <v>3316</v>
      </c>
    </row>
    <row r="40" spans="1:6" ht="15.75" customHeight="1">
      <c r="A40" s="10">
        <f ca="1">IFERROR(__xludf.DUMMYFUNCTION("""COMPUTED_VALUE"""),43882.6666666666)</f>
        <v>43882.666666666599</v>
      </c>
      <c r="B40" s="1">
        <f ca="1">IFERROR(__xludf.DUMMYFUNCTION("""COMPUTED_VALUE"""),13.99)</f>
        <v>13.99</v>
      </c>
      <c r="C40" s="1">
        <f ca="1">IFERROR(__xludf.DUMMYFUNCTION("""COMPUTED_VALUE"""),14.07)</f>
        <v>14.07</v>
      </c>
      <c r="D40" s="1">
        <f ca="1">IFERROR(__xludf.DUMMYFUNCTION("""COMPUTED_VALUE"""),13.99)</f>
        <v>13.99</v>
      </c>
      <c r="E40" s="1">
        <f ca="1">IFERROR(__xludf.DUMMYFUNCTION("""COMPUTED_VALUE"""),14.01)</f>
        <v>14.01</v>
      </c>
      <c r="F40" s="1">
        <f ca="1">IFERROR(__xludf.DUMMYFUNCTION("""COMPUTED_VALUE"""),19274)</f>
        <v>19274</v>
      </c>
    </row>
    <row r="41" spans="1:6" ht="15.75" customHeight="1">
      <c r="A41" s="10">
        <f ca="1">IFERROR(__xludf.DUMMYFUNCTION("""COMPUTED_VALUE"""),43885.6666666666)</f>
        <v>43885.666666666599</v>
      </c>
      <c r="B41" s="1">
        <f ca="1">IFERROR(__xludf.DUMMYFUNCTION("""COMPUTED_VALUE"""),14.06)</f>
        <v>14.06</v>
      </c>
      <c r="C41" s="1">
        <f ca="1">IFERROR(__xludf.DUMMYFUNCTION("""COMPUTED_VALUE"""),14.14)</f>
        <v>14.14</v>
      </c>
      <c r="D41" s="1">
        <f ca="1">IFERROR(__xludf.DUMMYFUNCTION("""COMPUTED_VALUE"""),14.06)</f>
        <v>14.06</v>
      </c>
      <c r="E41" s="1">
        <f ca="1">IFERROR(__xludf.DUMMYFUNCTION("""COMPUTED_VALUE"""),14.08)</f>
        <v>14.08</v>
      </c>
      <c r="F41" s="1">
        <f ca="1">IFERROR(__xludf.DUMMYFUNCTION("""COMPUTED_VALUE"""),9885)</f>
        <v>9885</v>
      </c>
    </row>
    <row r="42" spans="1:6" ht="15.75" customHeight="1">
      <c r="A42" s="10">
        <f ca="1">IFERROR(__xludf.DUMMYFUNCTION("""COMPUTED_VALUE"""),43886.6666666666)</f>
        <v>43886.666666666599</v>
      </c>
      <c r="B42" s="1">
        <f ca="1">IFERROR(__xludf.DUMMYFUNCTION("""COMPUTED_VALUE"""),14.08)</f>
        <v>14.08</v>
      </c>
      <c r="C42" s="1">
        <f ca="1">IFERROR(__xludf.DUMMYFUNCTION("""COMPUTED_VALUE"""),14.1)</f>
        <v>14.1</v>
      </c>
      <c r="D42" s="1">
        <f ca="1">IFERROR(__xludf.DUMMYFUNCTION("""COMPUTED_VALUE"""),14.04)</f>
        <v>14.04</v>
      </c>
      <c r="E42" s="1">
        <f ca="1">IFERROR(__xludf.DUMMYFUNCTION("""COMPUTED_VALUE"""),14.1)</f>
        <v>14.1</v>
      </c>
      <c r="F42" s="1">
        <f ca="1">IFERROR(__xludf.DUMMYFUNCTION("""COMPUTED_VALUE"""),3036)</f>
        <v>3036</v>
      </c>
    </row>
    <row r="43" spans="1:6" ht="15.75" customHeight="1">
      <c r="A43" s="10">
        <f ca="1">IFERROR(__xludf.DUMMYFUNCTION("""COMPUTED_VALUE"""),43887.6666666666)</f>
        <v>43887.666666666599</v>
      </c>
      <c r="B43" s="1">
        <f ca="1">IFERROR(__xludf.DUMMYFUNCTION("""COMPUTED_VALUE"""),14.1)</f>
        <v>14.1</v>
      </c>
      <c r="C43" s="1">
        <f ca="1">IFERROR(__xludf.DUMMYFUNCTION("""COMPUTED_VALUE"""),14.1)</f>
        <v>14.1</v>
      </c>
      <c r="D43" s="1">
        <f ca="1">IFERROR(__xludf.DUMMYFUNCTION("""COMPUTED_VALUE"""),14)</f>
        <v>14</v>
      </c>
      <c r="E43" s="1">
        <f ca="1">IFERROR(__xludf.DUMMYFUNCTION("""COMPUTED_VALUE"""),14)</f>
        <v>14</v>
      </c>
      <c r="F43" s="1">
        <f ca="1">IFERROR(__xludf.DUMMYFUNCTION("""COMPUTED_VALUE"""),4362)</f>
        <v>4362</v>
      </c>
    </row>
    <row r="44" spans="1:6" ht="15.75" customHeight="1">
      <c r="A44" s="10">
        <f ca="1">IFERROR(__xludf.DUMMYFUNCTION("""COMPUTED_VALUE"""),43888.6666666666)</f>
        <v>43888.666666666599</v>
      </c>
      <c r="B44" s="1">
        <f ca="1">IFERROR(__xludf.DUMMYFUNCTION("""COMPUTED_VALUE"""),13.96)</f>
        <v>13.96</v>
      </c>
      <c r="C44" s="1">
        <f ca="1">IFERROR(__xludf.DUMMYFUNCTION("""COMPUTED_VALUE"""),14.01)</f>
        <v>14.01</v>
      </c>
      <c r="D44" s="1">
        <f ca="1">IFERROR(__xludf.DUMMYFUNCTION("""COMPUTED_VALUE"""),13.94)</f>
        <v>13.94</v>
      </c>
      <c r="E44" s="1">
        <f ca="1">IFERROR(__xludf.DUMMYFUNCTION("""COMPUTED_VALUE"""),13.97)</f>
        <v>13.97</v>
      </c>
      <c r="F44" s="1">
        <f ca="1">IFERROR(__xludf.DUMMYFUNCTION("""COMPUTED_VALUE"""),13412)</f>
        <v>13412</v>
      </c>
    </row>
    <row r="45" spans="1:6" ht="15.75" customHeight="1">
      <c r="A45" s="10">
        <f ca="1">IFERROR(__xludf.DUMMYFUNCTION("""COMPUTED_VALUE"""),43889.6666666666)</f>
        <v>43889.666666666599</v>
      </c>
      <c r="B45" s="1">
        <f ca="1">IFERROR(__xludf.DUMMYFUNCTION("""COMPUTED_VALUE"""),13.95)</f>
        <v>13.95</v>
      </c>
      <c r="C45" s="1">
        <f ca="1">IFERROR(__xludf.DUMMYFUNCTION("""COMPUTED_VALUE"""),13.95)</f>
        <v>13.95</v>
      </c>
      <c r="D45" s="1">
        <f ca="1">IFERROR(__xludf.DUMMYFUNCTION("""COMPUTED_VALUE"""),13.47)</f>
        <v>13.47</v>
      </c>
      <c r="E45" s="1">
        <f ca="1">IFERROR(__xludf.DUMMYFUNCTION("""COMPUTED_VALUE"""),13.66)</f>
        <v>13.66</v>
      </c>
      <c r="F45" s="1">
        <f ca="1">IFERROR(__xludf.DUMMYFUNCTION("""COMPUTED_VALUE"""),35031)</f>
        <v>35031</v>
      </c>
    </row>
    <row r="46" spans="1:6" ht="15.75" customHeight="1">
      <c r="A46" s="10">
        <f ca="1">IFERROR(__xludf.DUMMYFUNCTION("""COMPUTED_VALUE"""),43892.6666666666)</f>
        <v>43892.666666666599</v>
      </c>
      <c r="B46" s="1">
        <f ca="1">IFERROR(__xludf.DUMMYFUNCTION("""COMPUTED_VALUE"""),13.69)</f>
        <v>13.69</v>
      </c>
      <c r="C46" s="1">
        <f ca="1">IFERROR(__xludf.DUMMYFUNCTION("""COMPUTED_VALUE"""),13.84)</f>
        <v>13.84</v>
      </c>
      <c r="D46" s="1">
        <f ca="1">IFERROR(__xludf.DUMMYFUNCTION("""COMPUTED_VALUE"""),13.64)</f>
        <v>13.64</v>
      </c>
      <c r="E46" s="1">
        <f ca="1">IFERROR(__xludf.DUMMYFUNCTION("""COMPUTED_VALUE"""),13.77)</f>
        <v>13.77</v>
      </c>
      <c r="F46" s="1">
        <f ca="1">IFERROR(__xludf.DUMMYFUNCTION("""COMPUTED_VALUE"""),7148)</f>
        <v>7148</v>
      </c>
    </row>
    <row r="47" spans="1:6" ht="15.75" customHeight="1">
      <c r="A47" s="10">
        <f ca="1">IFERROR(__xludf.DUMMYFUNCTION("""COMPUTED_VALUE"""),43893.6666666666)</f>
        <v>43893.666666666599</v>
      </c>
      <c r="B47" s="1">
        <f ca="1">IFERROR(__xludf.DUMMYFUNCTION("""COMPUTED_VALUE"""),13.78)</f>
        <v>13.78</v>
      </c>
      <c r="C47" s="1">
        <f ca="1">IFERROR(__xludf.DUMMYFUNCTION("""COMPUTED_VALUE"""),13.95)</f>
        <v>13.95</v>
      </c>
      <c r="D47" s="1">
        <f ca="1">IFERROR(__xludf.DUMMYFUNCTION("""COMPUTED_VALUE"""),13.78)</f>
        <v>13.78</v>
      </c>
      <c r="E47" s="1">
        <f ca="1">IFERROR(__xludf.DUMMYFUNCTION("""COMPUTED_VALUE"""),13.86)</f>
        <v>13.86</v>
      </c>
      <c r="F47" s="1">
        <f ca="1">IFERROR(__xludf.DUMMYFUNCTION("""COMPUTED_VALUE"""),3298)</f>
        <v>3298</v>
      </c>
    </row>
    <row r="48" spans="1:6" ht="15.75" customHeight="1">
      <c r="A48" s="10">
        <f ca="1">IFERROR(__xludf.DUMMYFUNCTION("""COMPUTED_VALUE"""),43894.6666666666)</f>
        <v>43894.666666666599</v>
      </c>
      <c r="B48" s="1">
        <f ca="1">IFERROR(__xludf.DUMMYFUNCTION("""COMPUTED_VALUE"""),13.79)</f>
        <v>13.79</v>
      </c>
      <c r="C48" s="1">
        <f ca="1">IFERROR(__xludf.DUMMYFUNCTION("""COMPUTED_VALUE"""),13.99)</f>
        <v>13.99</v>
      </c>
      <c r="D48" s="1">
        <f ca="1">IFERROR(__xludf.DUMMYFUNCTION("""COMPUTED_VALUE"""),13.79)</f>
        <v>13.79</v>
      </c>
      <c r="E48" s="1">
        <f ca="1">IFERROR(__xludf.DUMMYFUNCTION("""COMPUTED_VALUE"""),13.94)</f>
        <v>13.94</v>
      </c>
      <c r="F48" s="1">
        <f ca="1">IFERROR(__xludf.DUMMYFUNCTION("""COMPUTED_VALUE"""),14293)</f>
        <v>14293</v>
      </c>
    </row>
    <row r="49" spans="1:6" ht="15.75" customHeight="1">
      <c r="A49" s="10">
        <f ca="1">IFERROR(__xludf.DUMMYFUNCTION("""COMPUTED_VALUE"""),43895.6666666666)</f>
        <v>43895.666666666599</v>
      </c>
      <c r="B49" s="1">
        <f ca="1">IFERROR(__xludf.DUMMYFUNCTION("""COMPUTED_VALUE"""),13.97)</f>
        <v>13.97</v>
      </c>
      <c r="C49" s="1">
        <f ca="1">IFERROR(__xludf.DUMMYFUNCTION("""COMPUTED_VALUE"""),13.99)</f>
        <v>13.99</v>
      </c>
      <c r="D49" s="1">
        <f ca="1">IFERROR(__xludf.DUMMYFUNCTION("""COMPUTED_VALUE"""),13.91)</f>
        <v>13.91</v>
      </c>
      <c r="E49" s="1">
        <f ca="1">IFERROR(__xludf.DUMMYFUNCTION("""COMPUTED_VALUE"""),13.98)</f>
        <v>13.98</v>
      </c>
      <c r="F49" s="1">
        <f ca="1">IFERROR(__xludf.DUMMYFUNCTION("""COMPUTED_VALUE"""),11964)</f>
        <v>11964</v>
      </c>
    </row>
    <row r="50" spans="1:6" ht="15.75" customHeight="1">
      <c r="A50" s="10">
        <f ca="1">IFERROR(__xludf.DUMMYFUNCTION("""COMPUTED_VALUE"""),43896.6666666666)</f>
        <v>43896.666666666599</v>
      </c>
      <c r="B50" s="1">
        <f ca="1">IFERROR(__xludf.DUMMYFUNCTION("""COMPUTED_VALUE"""),13.98)</f>
        <v>13.98</v>
      </c>
      <c r="C50" s="1">
        <f ca="1">IFERROR(__xludf.DUMMYFUNCTION("""COMPUTED_VALUE"""),13.99)</f>
        <v>13.99</v>
      </c>
      <c r="D50" s="1">
        <f ca="1">IFERROR(__xludf.DUMMYFUNCTION("""COMPUTED_VALUE"""),13.92)</f>
        <v>13.92</v>
      </c>
      <c r="E50" s="1">
        <f ca="1">IFERROR(__xludf.DUMMYFUNCTION("""COMPUTED_VALUE"""),13.99)</f>
        <v>13.99</v>
      </c>
      <c r="F50" s="1">
        <f ca="1">IFERROR(__xludf.DUMMYFUNCTION("""COMPUTED_VALUE"""),39524)</f>
        <v>39524</v>
      </c>
    </row>
    <row r="51" spans="1:6" ht="15.75" customHeight="1">
      <c r="A51" s="10">
        <f ca="1">IFERROR(__xludf.DUMMYFUNCTION("""COMPUTED_VALUE"""),43899.6666666666)</f>
        <v>43899.666666666599</v>
      </c>
      <c r="B51" s="1">
        <f ca="1">IFERROR(__xludf.DUMMYFUNCTION("""COMPUTED_VALUE"""),13.89)</f>
        <v>13.89</v>
      </c>
      <c r="C51" s="1">
        <f ca="1">IFERROR(__xludf.DUMMYFUNCTION("""COMPUTED_VALUE"""),13.89)</f>
        <v>13.89</v>
      </c>
      <c r="D51" s="1">
        <f ca="1">IFERROR(__xludf.DUMMYFUNCTION("""COMPUTED_VALUE"""),13.75)</f>
        <v>13.75</v>
      </c>
      <c r="E51" s="1">
        <f ca="1">IFERROR(__xludf.DUMMYFUNCTION("""COMPUTED_VALUE"""),13.79)</f>
        <v>13.79</v>
      </c>
      <c r="F51" s="1">
        <f ca="1">IFERROR(__xludf.DUMMYFUNCTION("""COMPUTED_VALUE"""),8098)</f>
        <v>8098</v>
      </c>
    </row>
    <row r="52" spans="1:6" ht="15.75" customHeight="1">
      <c r="A52" s="10">
        <f ca="1">IFERROR(__xludf.DUMMYFUNCTION("""COMPUTED_VALUE"""),43900.6666666666)</f>
        <v>43900.666666666599</v>
      </c>
      <c r="B52" s="1">
        <f ca="1">IFERROR(__xludf.DUMMYFUNCTION("""COMPUTED_VALUE"""),13.75)</f>
        <v>13.75</v>
      </c>
      <c r="C52" s="1">
        <f ca="1">IFERROR(__xludf.DUMMYFUNCTION("""COMPUTED_VALUE"""),13.82)</f>
        <v>13.82</v>
      </c>
      <c r="D52" s="1">
        <f ca="1">IFERROR(__xludf.DUMMYFUNCTION("""COMPUTED_VALUE"""),13.12)</f>
        <v>13.12</v>
      </c>
      <c r="E52" s="1">
        <f ca="1">IFERROR(__xludf.DUMMYFUNCTION("""COMPUTED_VALUE"""),13.62)</f>
        <v>13.62</v>
      </c>
      <c r="F52" s="1">
        <f ca="1">IFERROR(__xludf.DUMMYFUNCTION("""COMPUTED_VALUE"""),13628)</f>
        <v>13628</v>
      </c>
    </row>
    <row r="53" spans="1:6" ht="15.75" customHeight="1">
      <c r="A53" s="10">
        <f ca="1">IFERROR(__xludf.DUMMYFUNCTION("""COMPUTED_VALUE"""),43901.6666666666)</f>
        <v>43901.666666666599</v>
      </c>
      <c r="B53" s="1">
        <f ca="1">IFERROR(__xludf.DUMMYFUNCTION("""COMPUTED_VALUE"""),13.73)</f>
        <v>13.73</v>
      </c>
      <c r="C53" s="1">
        <f ca="1">IFERROR(__xludf.DUMMYFUNCTION("""COMPUTED_VALUE"""),13.73)</f>
        <v>13.73</v>
      </c>
      <c r="D53" s="1">
        <f ca="1">IFERROR(__xludf.DUMMYFUNCTION("""COMPUTED_VALUE"""),13.03)</f>
        <v>13.03</v>
      </c>
      <c r="E53" s="1">
        <f ca="1">IFERROR(__xludf.DUMMYFUNCTION("""COMPUTED_VALUE"""),13.25)</f>
        <v>13.25</v>
      </c>
      <c r="F53" s="1">
        <f ca="1">IFERROR(__xludf.DUMMYFUNCTION("""COMPUTED_VALUE"""),23212)</f>
        <v>23212</v>
      </c>
    </row>
    <row r="54" spans="1:6" ht="15.75" customHeight="1">
      <c r="A54" s="10">
        <f ca="1">IFERROR(__xludf.DUMMYFUNCTION("""COMPUTED_VALUE"""),43902.6666666666)</f>
        <v>43902.666666666599</v>
      </c>
      <c r="B54" s="1">
        <f ca="1">IFERROR(__xludf.DUMMYFUNCTION("""COMPUTED_VALUE"""),13.16)</f>
        <v>13.16</v>
      </c>
      <c r="C54" s="1">
        <f ca="1">IFERROR(__xludf.DUMMYFUNCTION("""COMPUTED_VALUE"""),13.16)</f>
        <v>13.16</v>
      </c>
      <c r="D54" s="1">
        <f ca="1">IFERROR(__xludf.DUMMYFUNCTION("""COMPUTED_VALUE"""),12.11)</f>
        <v>12.11</v>
      </c>
      <c r="E54" s="1">
        <f ca="1">IFERROR(__xludf.DUMMYFUNCTION("""COMPUTED_VALUE"""),12.4)</f>
        <v>12.4</v>
      </c>
      <c r="F54" s="1">
        <f ca="1">IFERROR(__xludf.DUMMYFUNCTION("""COMPUTED_VALUE"""),22346)</f>
        <v>22346</v>
      </c>
    </row>
    <row r="55" spans="1:6" ht="15.75" customHeight="1">
      <c r="A55" s="10">
        <f ca="1">IFERROR(__xludf.DUMMYFUNCTION("""COMPUTED_VALUE"""),43903.6666666666)</f>
        <v>43903.666666666599</v>
      </c>
      <c r="B55" s="1">
        <f ca="1">IFERROR(__xludf.DUMMYFUNCTION("""COMPUTED_VALUE"""),12.47)</f>
        <v>12.47</v>
      </c>
      <c r="C55" s="1">
        <f ca="1">IFERROR(__xludf.DUMMYFUNCTION("""COMPUTED_VALUE"""),12.64)</f>
        <v>12.64</v>
      </c>
      <c r="D55" s="1">
        <f ca="1">IFERROR(__xludf.DUMMYFUNCTION("""COMPUTED_VALUE"""),12.43)</f>
        <v>12.43</v>
      </c>
      <c r="E55" s="1">
        <f ca="1">IFERROR(__xludf.DUMMYFUNCTION("""COMPUTED_VALUE"""),12.53)</f>
        <v>12.53</v>
      </c>
      <c r="F55" s="1">
        <f ca="1">IFERROR(__xludf.DUMMYFUNCTION("""COMPUTED_VALUE"""),15721)</f>
        <v>15721</v>
      </c>
    </row>
    <row r="56" spans="1:6" ht="15.75" customHeight="1">
      <c r="A56" s="10">
        <f ca="1">IFERROR(__xludf.DUMMYFUNCTION("""COMPUTED_VALUE"""),43906.6666666666)</f>
        <v>43906.666666666599</v>
      </c>
      <c r="B56" s="1">
        <f ca="1">IFERROR(__xludf.DUMMYFUNCTION("""COMPUTED_VALUE"""),12.25)</f>
        <v>12.25</v>
      </c>
      <c r="C56" s="1">
        <f ca="1">IFERROR(__xludf.DUMMYFUNCTION("""COMPUTED_VALUE"""),12.25)</f>
        <v>12.25</v>
      </c>
      <c r="D56" s="1">
        <f ca="1">IFERROR(__xludf.DUMMYFUNCTION("""COMPUTED_VALUE"""),12.01)</f>
        <v>12.01</v>
      </c>
      <c r="E56" s="1">
        <f ca="1">IFERROR(__xludf.DUMMYFUNCTION("""COMPUTED_VALUE"""),12.25)</f>
        <v>12.25</v>
      </c>
      <c r="F56" s="1">
        <f ca="1">IFERROR(__xludf.DUMMYFUNCTION("""COMPUTED_VALUE"""),21609)</f>
        <v>21609</v>
      </c>
    </row>
    <row r="57" spans="1:6" ht="15.75" customHeight="1">
      <c r="A57" s="10">
        <f ca="1">IFERROR(__xludf.DUMMYFUNCTION("""COMPUTED_VALUE"""),43907.6666666666)</f>
        <v>43907.666666666599</v>
      </c>
      <c r="B57" s="1">
        <f ca="1">IFERROR(__xludf.DUMMYFUNCTION("""COMPUTED_VALUE"""),12.29)</f>
        <v>12.29</v>
      </c>
      <c r="C57" s="1">
        <f ca="1">IFERROR(__xludf.DUMMYFUNCTION("""COMPUTED_VALUE"""),12.29)</f>
        <v>12.29</v>
      </c>
      <c r="D57" s="1">
        <f ca="1">IFERROR(__xludf.DUMMYFUNCTION("""COMPUTED_VALUE"""),12.07)</f>
        <v>12.07</v>
      </c>
      <c r="E57" s="1">
        <f ca="1">IFERROR(__xludf.DUMMYFUNCTION("""COMPUTED_VALUE"""),12.22)</f>
        <v>12.22</v>
      </c>
      <c r="F57" s="1">
        <f ca="1">IFERROR(__xludf.DUMMYFUNCTION("""COMPUTED_VALUE"""),193582)</f>
        <v>193582</v>
      </c>
    </row>
    <row r="58" spans="1:6" ht="15.75" customHeight="1">
      <c r="A58" s="10">
        <f ca="1">IFERROR(__xludf.DUMMYFUNCTION("""COMPUTED_VALUE"""),43908.6666666666)</f>
        <v>43908.666666666599</v>
      </c>
      <c r="B58" s="1">
        <f ca="1">IFERROR(__xludf.DUMMYFUNCTION("""COMPUTED_VALUE"""),11.36)</f>
        <v>11.36</v>
      </c>
      <c r="C58" s="1">
        <f ca="1">IFERROR(__xludf.DUMMYFUNCTION("""COMPUTED_VALUE"""),11.6)</f>
        <v>11.6</v>
      </c>
      <c r="D58" s="1">
        <f ca="1">IFERROR(__xludf.DUMMYFUNCTION("""COMPUTED_VALUE"""),10.85)</f>
        <v>10.85</v>
      </c>
      <c r="E58" s="1">
        <f ca="1">IFERROR(__xludf.DUMMYFUNCTION("""COMPUTED_VALUE"""),11.25)</f>
        <v>11.25</v>
      </c>
      <c r="F58" s="1">
        <f ca="1">IFERROR(__xludf.DUMMYFUNCTION("""COMPUTED_VALUE"""),17095)</f>
        <v>17095</v>
      </c>
    </row>
    <row r="59" spans="1:6" ht="15.75" customHeight="1">
      <c r="A59" s="10">
        <f ca="1">IFERROR(__xludf.DUMMYFUNCTION("""COMPUTED_VALUE"""),43909.6666666666)</f>
        <v>43909.666666666599</v>
      </c>
      <c r="B59" s="1">
        <f ca="1">IFERROR(__xludf.DUMMYFUNCTION("""COMPUTED_VALUE"""),10.75)</f>
        <v>10.75</v>
      </c>
      <c r="C59" s="1">
        <f ca="1">IFERROR(__xludf.DUMMYFUNCTION("""COMPUTED_VALUE"""),10.82)</f>
        <v>10.82</v>
      </c>
      <c r="D59" s="1">
        <f ca="1">IFERROR(__xludf.DUMMYFUNCTION("""COMPUTED_VALUE"""),10)</f>
        <v>10</v>
      </c>
      <c r="E59" s="1">
        <f ca="1">IFERROR(__xludf.DUMMYFUNCTION("""COMPUTED_VALUE"""),10.7)</f>
        <v>10.7</v>
      </c>
      <c r="F59" s="1">
        <f ca="1">IFERROR(__xludf.DUMMYFUNCTION("""COMPUTED_VALUE"""),60481)</f>
        <v>60481</v>
      </c>
    </row>
    <row r="60" spans="1:6" ht="15.75" customHeight="1">
      <c r="A60" s="10">
        <f ca="1">IFERROR(__xludf.DUMMYFUNCTION("""COMPUTED_VALUE"""),43910.6666666666)</f>
        <v>43910.666666666599</v>
      </c>
      <c r="B60" s="1">
        <f ca="1">IFERROR(__xludf.DUMMYFUNCTION("""COMPUTED_VALUE"""),11)</f>
        <v>11</v>
      </c>
      <c r="C60" s="1">
        <f ca="1">IFERROR(__xludf.DUMMYFUNCTION("""COMPUTED_VALUE"""),11.46)</f>
        <v>11.46</v>
      </c>
      <c r="D60" s="1">
        <f ca="1">IFERROR(__xludf.DUMMYFUNCTION("""COMPUTED_VALUE"""),10.7)</f>
        <v>10.7</v>
      </c>
      <c r="E60" s="1">
        <f ca="1">IFERROR(__xludf.DUMMYFUNCTION("""COMPUTED_VALUE"""),10.71)</f>
        <v>10.71</v>
      </c>
      <c r="F60" s="1">
        <f ca="1">IFERROR(__xludf.DUMMYFUNCTION("""COMPUTED_VALUE"""),82809)</f>
        <v>82809</v>
      </c>
    </row>
    <row r="61" spans="1:6" ht="15.75" customHeight="1">
      <c r="A61" s="10">
        <f ca="1">IFERROR(__xludf.DUMMYFUNCTION("""COMPUTED_VALUE"""),43913.6666666666)</f>
        <v>43913.666666666599</v>
      </c>
      <c r="B61" s="1">
        <f ca="1">IFERROR(__xludf.DUMMYFUNCTION("""COMPUTED_VALUE"""),10.86)</f>
        <v>10.86</v>
      </c>
      <c r="C61" s="1">
        <f ca="1">IFERROR(__xludf.DUMMYFUNCTION("""COMPUTED_VALUE"""),10.86)</f>
        <v>10.86</v>
      </c>
      <c r="D61" s="1">
        <f ca="1">IFERROR(__xludf.DUMMYFUNCTION("""COMPUTED_VALUE"""),10.4)</f>
        <v>10.4</v>
      </c>
      <c r="E61" s="1">
        <f ca="1">IFERROR(__xludf.DUMMYFUNCTION("""COMPUTED_VALUE"""),10.56)</f>
        <v>10.56</v>
      </c>
      <c r="F61" s="1">
        <f ca="1">IFERROR(__xludf.DUMMYFUNCTION("""COMPUTED_VALUE"""),22685)</f>
        <v>22685</v>
      </c>
    </row>
    <row r="62" spans="1:6" ht="15.75" customHeight="1">
      <c r="A62" s="10">
        <f ca="1">IFERROR(__xludf.DUMMYFUNCTION("""COMPUTED_VALUE"""),43914.6666666666)</f>
        <v>43914.666666666599</v>
      </c>
      <c r="B62" s="1">
        <f ca="1">IFERROR(__xludf.DUMMYFUNCTION("""COMPUTED_VALUE"""),10.65)</f>
        <v>10.65</v>
      </c>
      <c r="C62" s="1">
        <f ca="1">IFERROR(__xludf.DUMMYFUNCTION("""COMPUTED_VALUE"""),11.07)</f>
        <v>11.07</v>
      </c>
      <c r="D62" s="1">
        <f ca="1">IFERROR(__xludf.DUMMYFUNCTION("""COMPUTED_VALUE"""),10.64)</f>
        <v>10.64</v>
      </c>
      <c r="E62" s="1">
        <f ca="1">IFERROR(__xludf.DUMMYFUNCTION("""COMPUTED_VALUE"""),11.04)</f>
        <v>11.04</v>
      </c>
      <c r="F62" s="1">
        <f ca="1">IFERROR(__xludf.DUMMYFUNCTION("""COMPUTED_VALUE"""),39093)</f>
        <v>39093</v>
      </c>
    </row>
    <row r="63" spans="1:6" ht="15.75" customHeight="1">
      <c r="A63" s="10">
        <f ca="1">IFERROR(__xludf.DUMMYFUNCTION("""COMPUTED_VALUE"""),43915.6666666666)</f>
        <v>43915.666666666599</v>
      </c>
      <c r="B63" s="1">
        <f ca="1">IFERROR(__xludf.DUMMYFUNCTION("""COMPUTED_VALUE"""),10.96)</f>
        <v>10.96</v>
      </c>
      <c r="C63" s="1">
        <f ca="1">IFERROR(__xludf.DUMMYFUNCTION("""COMPUTED_VALUE"""),11.89)</f>
        <v>11.89</v>
      </c>
      <c r="D63" s="1">
        <f ca="1">IFERROR(__xludf.DUMMYFUNCTION("""COMPUTED_VALUE"""),10.96)</f>
        <v>10.96</v>
      </c>
      <c r="E63" s="1">
        <f ca="1">IFERROR(__xludf.DUMMYFUNCTION("""COMPUTED_VALUE"""),11.89)</f>
        <v>11.89</v>
      </c>
      <c r="F63" s="1">
        <f ca="1">IFERROR(__xludf.DUMMYFUNCTION("""COMPUTED_VALUE"""),23084)</f>
        <v>23084</v>
      </c>
    </row>
    <row r="64" spans="1:6" ht="15.75" customHeight="1">
      <c r="A64" s="10">
        <f ca="1">IFERROR(__xludf.DUMMYFUNCTION("""COMPUTED_VALUE"""),43916.6666666666)</f>
        <v>43916.666666666599</v>
      </c>
      <c r="B64" s="1">
        <f ca="1">IFERROR(__xludf.DUMMYFUNCTION("""COMPUTED_VALUE"""),12.1)</f>
        <v>12.1</v>
      </c>
      <c r="C64" s="1">
        <f ca="1">IFERROR(__xludf.DUMMYFUNCTION("""COMPUTED_VALUE"""),12.4)</f>
        <v>12.4</v>
      </c>
      <c r="D64" s="1">
        <f ca="1">IFERROR(__xludf.DUMMYFUNCTION("""COMPUTED_VALUE"""),12)</f>
        <v>12</v>
      </c>
      <c r="E64" s="1">
        <f ca="1">IFERROR(__xludf.DUMMYFUNCTION("""COMPUTED_VALUE"""),12.36)</f>
        <v>12.36</v>
      </c>
      <c r="F64" s="1">
        <f ca="1">IFERROR(__xludf.DUMMYFUNCTION("""COMPUTED_VALUE"""),21049)</f>
        <v>21049</v>
      </c>
    </row>
    <row r="65" spans="1:6" ht="15.75" customHeight="1">
      <c r="A65" s="10">
        <f ca="1">IFERROR(__xludf.DUMMYFUNCTION("""COMPUTED_VALUE"""),43917.6666666666)</f>
        <v>43917.666666666599</v>
      </c>
      <c r="B65" s="1">
        <f ca="1">IFERROR(__xludf.DUMMYFUNCTION("""COMPUTED_VALUE"""),12.3)</f>
        <v>12.3</v>
      </c>
      <c r="C65" s="1">
        <f ca="1">IFERROR(__xludf.DUMMYFUNCTION("""COMPUTED_VALUE"""),12.5)</f>
        <v>12.5</v>
      </c>
      <c r="D65" s="1">
        <f ca="1">IFERROR(__xludf.DUMMYFUNCTION("""COMPUTED_VALUE"""),12.16)</f>
        <v>12.16</v>
      </c>
      <c r="E65" s="1">
        <f ca="1">IFERROR(__xludf.DUMMYFUNCTION("""COMPUTED_VALUE"""),12.3)</f>
        <v>12.3</v>
      </c>
      <c r="F65" s="1">
        <f ca="1">IFERROR(__xludf.DUMMYFUNCTION("""COMPUTED_VALUE"""),10623)</f>
        <v>10623</v>
      </c>
    </row>
    <row r="66" spans="1:6" ht="15.75" customHeight="1">
      <c r="A66" s="10">
        <f ca="1">IFERROR(__xludf.DUMMYFUNCTION("""COMPUTED_VALUE"""),43920.6666666666)</f>
        <v>43920.666666666599</v>
      </c>
      <c r="B66" s="1">
        <f ca="1">IFERROR(__xludf.DUMMYFUNCTION("""COMPUTED_VALUE"""),12.47)</f>
        <v>12.47</v>
      </c>
      <c r="C66" s="1">
        <f ca="1">IFERROR(__xludf.DUMMYFUNCTION("""COMPUTED_VALUE"""),12.57)</f>
        <v>12.57</v>
      </c>
      <c r="D66" s="1">
        <f ca="1">IFERROR(__xludf.DUMMYFUNCTION("""COMPUTED_VALUE"""),12.38)</f>
        <v>12.38</v>
      </c>
      <c r="E66" s="1">
        <f ca="1">IFERROR(__xludf.DUMMYFUNCTION("""COMPUTED_VALUE"""),12.57)</f>
        <v>12.57</v>
      </c>
      <c r="F66" s="1">
        <f ca="1">IFERROR(__xludf.DUMMYFUNCTION("""COMPUTED_VALUE"""),7342)</f>
        <v>7342</v>
      </c>
    </row>
    <row r="67" spans="1:6" ht="15.75" customHeight="1">
      <c r="A67" s="10">
        <f ca="1">IFERROR(__xludf.DUMMYFUNCTION("""COMPUTED_VALUE"""),43921.6666666666)</f>
        <v>43921.666666666599</v>
      </c>
      <c r="B67" s="1">
        <f ca="1">IFERROR(__xludf.DUMMYFUNCTION("""COMPUTED_VALUE"""),12.56)</f>
        <v>12.56</v>
      </c>
      <c r="C67" s="1">
        <f ca="1">IFERROR(__xludf.DUMMYFUNCTION("""COMPUTED_VALUE"""),12.58)</f>
        <v>12.58</v>
      </c>
      <c r="D67" s="1">
        <f ca="1">IFERROR(__xludf.DUMMYFUNCTION("""COMPUTED_VALUE"""),12.5)</f>
        <v>12.5</v>
      </c>
      <c r="E67" s="1">
        <f ca="1">IFERROR(__xludf.DUMMYFUNCTION("""COMPUTED_VALUE"""),12.5)</f>
        <v>12.5</v>
      </c>
      <c r="F67" s="1">
        <f ca="1">IFERROR(__xludf.DUMMYFUNCTION("""COMPUTED_VALUE"""),14036)</f>
        <v>14036</v>
      </c>
    </row>
    <row r="68" spans="1:6" ht="15.75" customHeight="1">
      <c r="A68" s="10">
        <f ca="1">IFERROR(__xludf.DUMMYFUNCTION("""COMPUTED_VALUE"""),43922.6666666666)</f>
        <v>43922.666666666599</v>
      </c>
      <c r="B68" s="1">
        <f ca="1">IFERROR(__xludf.DUMMYFUNCTION("""COMPUTED_VALUE"""),12.5)</f>
        <v>12.5</v>
      </c>
      <c r="C68" s="1">
        <f ca="1">IFERROR(__xludf.DUMMYFUNCTION("""COMPUTED_VALUE"""),12.5)</f>
        <v>12.5</v>
      </c>
      <c r="D68" s="1">
        <f ca="1">IFERROR(__xludf.DUMMYFUNCTION("""COMPUTED_VALUE"""),12.06)</f>
        <v>12.06</v>
      </c>
      <c r="E68" s="1">
        <f ca="1">IFERROR(__xludf.DUMMYFUNCTION("""COMPUTED_VALUE"""),12.19)</f>
        <v>12.19</v>
      </c>
      <c r="F68" s="1">
        <f ca="1">IFERROR(__xludf.DUMMYFUNCTION("""COMPUTED_VALUE"""),42814)</f>
        <v>42814</v>
      </c>
    </row>
    <row r="69" spans="1:6" ht="15.75" customHeight="1">
      <c r="A69" s="10">
        <f ca="1">IFERROR(__xludf.DUMMYFUNCTION("""COMPUTED_VALUE"""),43923.6666666666)</f>
        <v>43923.666666666599</v>
      </c>
      <c r="B69" s="1">
        <f ca="1">IFERROR(__xludf.DUMMYFUNCTION("""COMPUTED_VALUE"""),12.17)</f>
        <v>12.17</v>
      </c>
      <c r="C69" s="1">
        <f ca="1">IFERROR(__xludf.DUMMYFUNCTION("""COMPUTED_VALUE"""),12.17)</f>
        <v>12.17</v>
      </c>
      <c r="D69" s="1">
        <f ca="1">IFERROR(__xludf.DUMMYFUNCTION("""COMPUTED_VALUE"""),12.01)</f>
        <v>12.01</v>
      </c>
      <c r="E69" s="1">
        <f ca="1">IFERROR(__xludf.DUMMYFUNCTION("""COMPUTED_VALUE"""),12.01)</f>
        <v>12.01</v>
      </c>
      <c r="F69" s="1">
        <f ca="1">IFERROR(__xludf.DUMMYFUNCTION("""COMPUTED_VALUE"""),15844)</f>
        <v>15844</v>
      </c>
    </row>
    <row r="70" spans="1:6" ht="15.75" customHeight="1">
      <c r="A70" s="10">
        <f ca="1">IFERROR(__xludf.DUMMYFUNCTION("""COMPUTED_VALUE"""),43924.6666666666)</f>
        <v>43924.666666666599</v>
      </c>
      <c r="B70" s="1">
        <f ca="1">IFERROR(__xludf.DUMMYFUNCTION("""COMPUTED_VALUE"""),11.92)</f>
        <v>11.92</v>
      </c>
      <c r="C70" s="1">
        <f ca="1">IFERROR(__xludf.DUMMYFUNCTION("""COMPUTED_VALUE"""),11.97)</f>
        <v>11.97</v>
      </c>
      <c r="D70" s="1">
        <f ca="1">IFERROR(__xludf.DUMMYFUNCTION("""COMPUTED_VALUE"""),11.7)</f>
        <v>11.7</v>
      </c>
      <c r="E70" s="1">
        <f ca="1">IFERROR(__xludf.DUMMYFUNCTION("""COMPUTED_VALUE"""),11.71)</f>
        <v>11.71</v>
      </c>
      <c r="F70" s="1">
        <f ca="1">IFERROR(__xludf.DUMMYFUNCTION("""COMPUTED_VALUE"""),6730)</f>
        <v>6730</v>
      </c>
    </row>
    <row r="71" spans="1:6" ht="15.75" customHeight="1">
      <c r="A71" s="10">
        <f ca="1">IFERROR(__xludf.DUMMYFUNCTION("""COMPUTED_VALUE"""),43927.6666666666)</f>
        <v>43927.666666666599</v>
      </c>
      <c r="B71" s="1">
        <f ca="1">IFERROR(__xludf.DUMMYFUNCTION("""COMPUTED_VALUE"""),11.82)</f>
        <v>11.82</v>
      </c>
      <c r="C71" s="1">
        <f ca="1">IFERROR(__xludf.DUMMYFUNCTION("""COMPUTED_VALUE"""),12.04)</f>
        <v>12.04</v>
      </c>
      <c r="D71" s="1">
        <f ca="1">IFERROR(__xludf.DUMMYFUNCTION("""COMPUTED_VALUE"""),11.82)</f>
        <v>11.82</v>
      </c>
      <c r="E71" s="1">
        <f ca="1">IFERROR(__xludf.DUMMYFUNCTION("""COMPUTED_VALUE"""),11.94)</f>
        <v>11.94</v>
      </c>
      <c r="F71" s="1">
        <f ca="1">IFERROR(__xludf.DUMMYFUNCTION("""COMPUTED_VALUE"""),14580)</f>
        <v>14580</v>
      </c>
    </row>
    <row r="72" spans="1:6" ht="15.75" customHeight="1">
      <c r="A72" s="10">
        <f ca="1">IFERROR(__xludf.DUMMYFUNCTION("""COMPUTED_VALUE"""),43928.6666666666)</f>
        <v>43928.666666666599</v>
      </c>
      <c r="B72" s="1">
        <f ca="1">IFERROR(__xludf.DUMMYFUNCTION("""COMPUTED_VALUE"""),11.99)</f>
        <v>11.99</v>
      </c>
      <c r="C72" s="1">
        <f ca="1">IFERROR(__xludf.DUMMYFUNCTION("""COMPUTED_VALUE"""),12.21)</f>
        <v>12.21</v>
      </c>
      <c r="D72" s="1">
        <f ca="1">IFERROR(__xludf.DUMMYFUNCTION("""COMPUTED_VALUE"""),11.99)</f>
        <v>11.99</v>
      </c>
      <c r="E72" s="1">
        <f ca="1">IFERROR(__xludf.DUMMYFUNCTION("""COMPUTED_VALUE"""),12.21)</f>
        <v>12.21</v>
      </c>
      <c r="F72" s="1">
        <f ca="1">IFERROR(__xludf.DUMMYFUNCTION("""COMPUTED_VALUE"""),21317)</f>
        <v>21317</v>
      </c>
    </row>
    <row r="73" spans="1:6" ht="15.75" customHeight="1">
      <c r="A73" s="10">
        <f ca="1">IFERROR(__xludf.DUMMYFUNCTION("""COMPUTED_VALUE"""),43929.6666666666)</f>
        <v>43929.666666666599</v>
      </c>
      <c r="B73" s="1">
        <f ca="1">IFERROR(__xludf.DUMMYFUNCTION("""COMPUTED_VALUE"""),12.15)</f>
        <v>12.15</v>
      </c>
      <c r="C73" s="1">
        <f ca="1">IFERROR(__xludf.DUMMYFUNCTION("""COMPUTED_VALUE"""),12.47)</f>
        <v>12.47</v>
      </c>
      <c r="D73" s="1">
        <f ca="1">IFERROR(__xludf.DUMMYFUNCTION("""COMPUTED_VALUE"""),12.15)</f>
        <v>12.15</v>
      </c>
      <c r="E73" s="1">
        <f ca="1">IFERROR(__xludf.DUMMYFUNCTION("""COMPUTED_VALUE"""),12.31)</f>
        <v>12.31</v>
      </c>
      <c r="F73" s="1">
        <f ca="1">IFERROR(__xludf.DUMMYFUNCTION("""COMPUTED_VALUE"""),20536)</f>
        <v>20536</v>
      </c>
    </row>
    <row r="74" spans="1:6" ht="15.75" customHeight="1">
      <c r="A74" s="10">
        <f ca="1">IFERROR(__xludf.DUMMYFUNCTION("""COMPUTED_VALUE"""),43930.6666666666)</f>
        <v>43930.666666666599</v>
      </c>
      <c r="B74" s="1">
        <f ca="1">IFERROR(__xludf.DUMMYFUNCTION("""COMPUTED_VALUE"""),12.63)</f>
        <v>12.63</v>
      </c>
      <c r="C74" s="1">
        <f ca="1">IFERROR(__xludf.DUMMYFUNCTION("""COMPUTED_VALUE"""),12.67)</f>
        <v>12.67</v>
      </c>
      <c r="D74" s="1">
        <f ca="1">IFERROR(__xludf.DUMMYFUNCTION("""COMPUTED_VALUE"""),12.48)</f>
        <v>12.48</v>
      </c>
      <c r="E74" s="1">
        <f ca="1">IFERROR(__xludf.DUMMYFUNCTION("""COMPUTED_VALUE"""),12.48)</f>
        <v>12.48</v>
      </c>
      <c r="F74" s="1">
        <f ca="1">IFERROR(__xludf.DUMMYFUNCTION("""COMPUTED_VALUE"""),12068)</f>
        <v>12068</v>
      </c>
    </row>
    <row r="75" spans="1:6" ht="15.75" customHeight="1">
      <c r="A75" s="10">
        <f ca="1">IFERROR(__xludf.DUMMYFUNCTION("""COMPUTED_VALUE"""),43934.6666666666)</f>
        <v>43934.666666666599</v>
      </c>
      <c r="B75" s="1">
        <f ca="1">IFERROR(__xludf.DUMMYFUNCTION("""COMPUTED_VALUE"""),12.55)</f>
        <v>12.55</v>
      </c>
      <c r="C75" s="1">
        <f ca="1">IFERROR(__xludf.DUMMYFUNCTION("""COMPUTED_VALUE"""),12.57)</f>
        <v>12.57</v>
      </c>
      <c r="D75" s="1">
        <f ca="1">IFERROR(__xludf.DUMMYFUNCTION("""COMPUTED_VALUE"""),12.4)</f>
        <v>12.4</v>
      </c>
      <c r="E75" s="1">
        <f ca="1">IFERROR(__xludf.DUMMYFUNCTION("""COMPUTED_VALUE"""),12.41)</f>
        <v>12.41</v>
      </c>
      <c r="F75" s="1">
        <f ca="1">IFERROR(__xludf.DUMMYFUNCTION("""COMPUTED_VALUE"""),20879)</f>
        <v>20879</v>
      </c>
    </row>
    <row r="76" spans="1:6" ht="15.75" customHeight="1">
      <c r="A76" s="10">
        <f ca="1">IFERROR(__xludf.DUMMYFUNCTION("""COMPUTED_VALUE"""),43935.6666666666)</f>
        <v>43935.666666666599</v>
      </c>
      <c r="B76" s="1">
        <f ca="1">IFERROR(__xludf.DUMMYFUNCTION("""COMPUTED_VALUE"""),12.4)</f>
        <v>12.4</v>
      </c>
      <c r="C76" s="1">
        <f ca="1">IFERROR(__xludf.DUMMYFUNCTION("""COMPUTED_VALUE"""),12.57)</f>
        <v>12.57</v>
      </c>
      <c r="D76" s="1">
        <f ca="1">IFERROR(__xludf.DUMMYFUNCTION("""COMPUTED_VALUE"""),12.4)</f>
        <v>12.4</v>
      </c>
      <c r="E76" s="1">
        <f ca="1">IFERROR(__xludf.DUMMYFUNCTION("""COMPUTED_VALUE"""),12.51)</f>
        <v>12.51</v>
      </c>
      <c r="F76" s="1">
        <f ca="1">IFERROR(__xludf.DUMMYFUNCTION("""COMPUTED_VALUE"""),40596)</f>
        <v>40596</v>
      </c>
    </row>
    <row r="77" spans="1:6" ht="15.75" customHeight="1">
      <c r="A77" s="10">
        <f ca="1">IFERROR(__xludf.DUMMYFUNCTION("""COMPUTED_VALUE"""),43936.6666666666)</f>
        <v>43936.666666666599</v>
      </c>
      <c r="B77" s="1">
        <f ca="1">IFERROR(__xludf.DUMMYFUNCTION("""COMPUTED_VALUE"""),12.48)</f>
        <v>12.48</v>
      </c>
      <c r="C77" s="1">
        <f ca="1">IFERROR(__xludf.DUMMYFUNCTION("""COMPUTED_VALUE"""),12.52)</f>
        <v>12.52</v>
      </c>
      <c r="D77" s="1">
        <f ca="1">IFERROR(__xludf.DUMMYFUNCTION("""COMPUTED_VALUE"""),12.45)</f>
        <v>12.45</v>
      </c>
      <c r="E77" s="1">
        <f ca="1">IFERROR(__xludf.DUMMYFUNCTION("""COMPUTED_VALUE"""),12.5)</f>
        <v>12.5</v>
      </c>
      <c r="F77" s="1">
        <f ca="1">IFERROR(__xludf.DUMMYFUNCTION("""COMPUTED_VALUE"""),25233)</f>
        <v>25233</v>
      </c>
    </row>
    <row r="78" spans="1:6" ht="15.75" customHeight="1">
      <c r="A78" s="10">
        <f ca="1">IFERROR(__xludf.DUMMYFUNCTION("""COMPUTED_VALUE"""),43937.6666666666)</f>
        <v>43937.666666666599</v>
      </c>
      <c r="B78" s="1">
        <f ca="1">IFERROR(__xludf.DUMMYFUNCTION("""COMPUTED_VALUE"""),12.45)</f>
        <v>12.45</v>
      </c>
      <c r="C78" s="1">
        <f ca="1">IFERROR(__xludf.DUMMYFUNCTION("""COMPUTED_VALUE"""),12.53)</f>
        <v>12.53</v>
      </c>
      <c r="D78" s="1">
        <f ca="1">IFERROR(__xludf.DUMMYFUNCTION("""COMPUTED_VALUE"""),12.45)</f>
        <v>12.45</v>
      </c>
      <c r="E78" s="1">
        <f ca="1">IFERROR(__xludf.DUMMYFUNCTION("""COMPUTED_VALUE"""),12.48)</f>
        <v>12.48</v>
      </c>
      <c r="F78" s="1">
        <f ca="1">IFERROR(__xludf.DUMMYFUNCTION("""COMPUTED_VALUE"""),6215)</f>
        <v>6215</v>
      </c>
    </row>
    <row r="79" spans="1:6" ht="15.75" customHeight="1">
      <c r="A79" s="10">
        <f ca="1">IFERROR(__xludf.DUMMYFUNCTION("""COMPUTED_VALUE"""),43938.6666666666)</f>
        <v>43938.666666666599</v>
      </c>
      <c r="B79" s="1">
        <f ca="1">IFERROR(__xludf.DUMMYFUNCTION("""COMPUTED_VALUE"""),12.47)</f>
        <v>12.47</v>
      </c>
      <c r="C79" s="1">
        <f ca="1">IFERROR(__xludf.DUMMYFUNCTION("""COMPUTED_VALUE"""),12.49)</f>
        <v>12.49</v>
      </c>
      <c r="D79" s="1">
        <f ca="1">IFERROR(__xludf.DUMMYFUNCTION("""COMPUTED_VALUE"""),12.35)</f>
        <v>12.35</v>
      </c>
      <c r="E79" s="1">
        <f ca="1">IFERROR(__xludf.DUMMYFUNCTION("""COMPUTED_VALUE"""),12.46)</f>
        <v>12.46</v>
      </c>
      <c r="F79" s="1">
        <f ca="1">IFERROR(__xludf.DUMMYFUNCTION("""COMPUTED_VALUE"""),10271)</f>
        <v>10271</v>
      </c>
    </row>
    <row r="80" spans="1:6" ht="15.75" customHeight="1">
      <c r="A80" s="10">
        <f ca="1">IFERROR(__xludf.DUMMYFUNCTION("""COMPUTED_VALUE"""),43941.6666666666)</f>
        <v>43941.666666666599</v>
      </c>
      <c r="B80" s="1">
        <f ca="1">IFERROR(__xludf.DUMMYFUNCTION("""COMPUTED_VALUE"""),12.51)</f>
        <v>12.51</v>
      </c>
      <c r="C80" s="1">
        <f ca="1">IFERROR(__xludf.DUMMYFUNCTION("""COMPUTED_VALUE"""),12.51)</f>
        <v>12.51</v>
      </c>
      <c r="D80" s="1">
        <f ca="1">IFERROR(__xludf.DUMMYFUNCTION("""COMPUTED_VALUE"""),12.35)</f>
        <v>12.35</v>
      </c>
      <c r="E80" s="1">
        <f ca="1">IFERROR(__xludf.DUMMYFUNCTION("""COMPUTED_VALUE"""),12.4)</f>
        <v>12.4</v>
      </c>
      <c r="F80" s="1">
        <f ca="1">IFERROR(__xludf.DUMMYFUNCTION("""COMPUTED_VALUE"""),4561)</f>
        <v>4561</v>
      </c>
    </row>
    <row r="81" spans="1:6" ht="15.75" customHeight="1">
      <c r="A81" s="10">
        <f ca="1">IFERROR(__xludf.DUMMYFUNCTION("""COMPUTED_VALUE"""),43942.6666666666)</f>
        <v>43942.666666666599</v>
      </c>
      <c r="B81" s="1">
        <f ca="1">IFERROR(__xludf.DUMMYFUNCTION("""COMPUTED_VALUE"""),12.43)</f>
        <v>12.43</v>
      </c>
      <c r="C81" s="1">
        <f ca="1">IFERROR(__xludf.DUMMYFUNCTION("""COMPUTED_VALUE"""),12.47)</f>
        <v>12.47</v>
      </c>
      <c r="D81" s="1">
        <f ca="1">IFERROR(__xludf.DUMMYFUNCTION("""COMPUTED_VALUE"""),12.31)</f>
        <v>12.31</v>
      </c>
      <c r="E81" s="1">
        <f ca="1">IFERROR(__xludf.DUMMYFUNCTION("""COMPUTED_VALUE"""),12.31)</f>
        <v>12.31</v>
      </c>
      <c r="F81" s="1">
        <f ca="1">IFERROR(__xludf.DUMMYFUNCTION("""COMPUTED_VALUE"""),2396)</f>
        <v>2396</v>
      </c>
    </row>
    <row r="82" spans="1:6" ht="15.75" customHeight="1">
      <c r="A82" s="10">
        <f ca="1">IFERROR(__xludf.DUMMYFUNCTION("""COMPUTED_VALUE"""),43943.6666666666)</f>
        <v>43943.666666666599</v>
      </c>
      <c r="B82" s="1">
        <f ca="1">IFERROR(__xludf.DUMMYFUNCTION("""COMPUTED_VALUE"""),12.4)</f>
        <v>12.4</v>
      </c>
      <c r="C82" s="1">
        <f ca="1">IFERROR(__xludf.DUMMYFUNCTION("""COMPUTED_VALUE"""),12.4)</f>
        <v>12.4</v>
      </c>
      <c r="D82" s="1">
        <f ca="1">IFERROR(__xludf.DUMMYFUNCTION("""COMPUTED_VALUE"""),12.28)</f>
        <v>12.28</v>
      </c>
      <c r="E82" s="1">
        <f ca="1">IFERROR(__xludf.DUMMYFUNCTION("""COMPUTED_VALUE"""),12.29)</f>
        <v>12.29</v>
      </c>
      <c r="F82" s="1">
        <f ca="1">IFERROR(__xludf.DUMMYFUNCTION("""COMPUTED_VALUE"""),16178)</f>
        <v>16178</v>
      </c>
    </row>
    <row r="83" spans="1:6" ht="15.75" customHeight="1">
      <c r="A83" s="10">
        <f ca="1">IFERROR(__xludf.DUMMYFUNCTION("""COMPUTED_VALUE"""),43944.6666666666)</f>
        <v>43944.666666666599</v>
      </c>
      <c r="B83" s="1">
        <f ca="1">IFERROR(__xludf.DUMMYFUNCTION("""COMPUTED_VALUE"""),12.32)</f>
        <v>12.32</v>
      </c>
      <c r="C83" s="1">
        <f ca="1">IFERROR(__xludf.DUMMYFUNCTION("""COMPUTED_VALUE"""),12.32)</f>
        <v>12.32</v>
      </c>
      <c r="D83" s="1">
        <f ca="1">IFERROR(__xludf.DUMMYFUNCTION("""COMPUTED_VALUE"""),12.12)</f>
        <v>12.12</v>
      </c>
      <c r="E83" s="1">
        <f ca="1">IFERROR(__xludf.DUMMYFUNCTION("""COMPUTED_VALUE"""),12.24)</f>
        <v>12.24</v>
      </c>
      <c r="F83" s="1">
        <f ca="1">IFERROR(__xludf.DUMMYFUNCTION("""COMPUTED_VALUE"""),30061)</f>
        <v>30061</v>
      </c>
    </row>
    <row r="84" spans="1:6" ht="15.75" customHeight="1">
      <c r="A84" s="10">
        <f ca="1">IFERROR(__xludf.DUMMYFUNCTION("""COMPUTED_VALUE"""),43945.6666666666)</f>
        <v>43945.666666666599</v>
      </c>
      <c r="B84" s="1">
        <f ca="1">IFERROR(__xludf.DUMMYFUNCTION("""COMPUTED_VALUE"""),12.28)</f>
        <v>12.28</v>
      </c>
      <c r="C84" s="1">
        <f ca="1">IFERROR(__xludf.DUMMYFUNCTION("""COMPUTED_VALUE"""),12.28)</f>
        <v>12.28</v>
      </c>
      <c r="D84" s="1">
        <f ca="1">IFERROR(__xludf.DUMMYFUNCTION("""COMPUTED_VALUE"""),12.11)</f>
        <v>12.11</v>
      </c>
      <c r="E84" s="1">
        <f ca="1">IFERROR(__xludf.DUMMYFUNCTION("""COMPUTED_VALUE"""),12.19)</f>
        <v>12.19</v>
      </c>
      <c r="F84" s="1">
        <f ca="1">IFERROR(__xludf.DUMMYFUNCTION("""COMPUTED_VALUE"""),13448)</f>
        <v>13448</v>
      </c>
    </row>
    <row r="85" spans="1:6" ht="15.75" customHeight="1">
      <c r="A85" s="10">
        <f ca="1">IFERROR(__xludf.DUMMYFUNCTION("""COMPUTED_VALUE"""),43948.6666666666)</f>
        <v>43948.666666666599</v>
      </c>
      <c r="B85" s="1">
        <f ca="1">IFERROR(__xludf.DUMMYFUNCTION("""COMPUTED_VALUE"""),12.17)</f>
        <v>12.17</v>
      </c>
      <c r="C85" s="1">
        <f ca="1">IFERROR(__xludf.DUMMYFUNCTION("""COMPUTED_VALUE"""),12.17)</f>
        <v>12.17</v>
      </c>
      <c r="D85" s="1">
        <f ca="1">IFERROR(__xludf.DUMMYFUNCTION("""COMPUTED_VALUE"""),11.99)</f>
        <v>11.99</v>
      </c>
      <c r="E85" s="1">
        <f ca="1">IFERROR(__xludf.DUMMYFUNCTION("""COMPUTED_VALUE"""),12)</f>
        <v>12</v>
      </c>
      <c r="F85" s="1">
        <f ca="1">IFERROR(__xludf.DUMMYFUNCTION("""COMPUTED_VALUE"""),12152)</f>
        <v>12152</v>
      </c>
    </row>
    <row r="86" spans="1:6" ht="15.75" customHeight="1">
      <c r="A86" s="10">
        <f ca="1">IFERROR(__xludf.DUMMYFUNCTION("""COMPUTED_VALUE"""),43949.6666666666)</f>
        <v>43949.666666666599</v>
      </c>
      <c r="B86" s="1">
        <f ca="1">IFERROR(__xludf.DUMMYFUNCTION("""COMPUTED_VALUE"""),11.99)</f>
        <v>11.99</v>
      </c>
      <c r="C86" s="1">
        <f ca="1">IFERROR(__xludf.DUMMYFUNCTION("""COMPUTED_VALUE"""),12.05)</f>
        <v>12.05</v>
      </c>
      <c r="D86" s="1">
        <f ca="1">IFERROR(__xludf.DUMMYFUNCTION("""COMPUTED_VALUE"""),11.95)</f>
        <v>11.95</v>
      </c>
      <c r="E86" s="1">
        <f ca="1">IFERROR(__xludf.DUMMYFUNCTION("""COMPUTED_VALUE"""),12.01)</f>
        <v>12.01</v>
      </c>
      <c r="F86" s="1">
        <f ca="1">IFERROR(__xludf.DUMMYFUNCTION("""COMPUTED_VALUE"""),10611)</f>
        <v>10611</v>
      </c>
    </row>
    <row r="87" spans="1:6" ht="15.75" customHeight="1">
      <c r="A87" s="10">
        <f ca="1">IFERROR(__xludf.DUMMYFUNCTION("""COMPUTED_VALUE"""),43950.6666666666)</f>
        <v>43950.666666666599</v>
      </c>
      <c r="B87" s="1">
        <f ca="1">IFERROR(__xludf.DUMMYFUNCTION("""COMPUTED_VALUE"""),12.03)</f>
        <v>12.03</v>
      </c>
      <c r="C87" s="1">
        <f ca="1">IFERROR(__xludf.DUMMYFUNCTION("""COMPUTED_VALUE"""),12.19)</f>
        <v>12.19</v>
      </c>
      <c r="D87" s="1">
        <f ca="1">IFERROR(__xludf.DUMMYFUNCTION("""COMPUTED_VALUE"""),12.03)</f>
        <v>12.03</v>
      </c>
      <c r="E87" s="1">
        <f ca="1">IFERROR(__xludf.DUMMYFUNCTION("""COMPUTED_VALUE"""),12.07)</f>
        <v>12.07</v>
      </c>
      <c r="F87" s="1">
        <f ca="1">IFERROR(__xludf.DUMMYFUNCTION("""COMPUTED_VALUE"""),8877)</f>
        <v>8877</v>
      </c>
    </row>
    <row r="88" spans="1:6" ht="15.75" customHeight="1">
      <c r="A88" s="10">
        <f ca="1">IFERROR(__xludf.DUMMYFUNCTION("""COMPUTED_VALUE"""),43951.6666666666)</f>
        <v>43951.666666666599</v>
      </c>
      <c r="B88" s="1">
        <f ca="1">IFERROR(__xludf.DUMMYFUNCTION("""COMPUTED_VALUE"""),12.09)</f>
        <v>12.09</v>
      </c>
      <c r="C88" s="1">
        <f ca="1">IFERROR(__xludf.DUMMYFUNCTION("""COMPUTED_VALUE"""),12.09)</f>
        <v>12.09</v>
      </c>
      <c r="D88" s="1">
        <f ca="1">IFERROR(__xludf.DUMMYFUNCTION("""COMPUTED_VALUE"""),12.04)</f>
        <v>12.04</v>
      </c>
      <c r="E88" s="1">
        <f ca="1">IFERROR(__xludf.DUMMYFUNCTION("""COMPUTED_VALUE"""),12.06)</f>
        <v>12.06</v>
      </c>
      <c r="F88" s="1">
        <f ca="1">IFERROR(__xludf.DUMMYFUNCTION("""COMPUTED_VALUE"""),5150)</f>
        <v>5150</v>
      </c>
    </row>
    <row r="89" spans="1:6" ht="15.75" customHeight="1">
      <c r="A89" s="10">
        <f ca="1">IFERROR(__xludf.DUMMYFUNCTION("""COMPUTED_VALUE"""),43952.6666666666)</f>
        <v>43952.666666666599</v>
      </c>
      <c r="B89" s="1">
        <f ca="1">IFERROR(__xludf.DUMMYFUNCTION("""COMPUTED_VALUE"""),12.05)</f>
        <v>12.05</v>
      </c>
      <c r="C89" s="1">
        <f ca="1">IFERROR(__xludf.DUMMYFUNCTION("""COMPUTED_VALUE"""),12.13)</f>
        <v>12.13</v>
      </c>
      <c r="D89" s="1">
        <f ca="1">IFERROR(__xludf.DUMMYFUNCTION("""COMPUTED_VALUE"""),12.01)</f>
        <v>12.01</v>
      </c>
      <c r="E89" s="1">
        <f ca="1">IFERROR(__xludf.DUMMYFUNCTION("""COMPUTED_VALUE"""),12.13)</f>
        <v>12.13</v>
      </c>
      <c r="F89" s="1">
        <f ca="1">IFERROR(__xludf.DUMMYFUNCTION("""COMPUTED_VALUE"""),8514)</f>
        <v>8514</v>
      </c>
    </row>
    <row r="90" spans="1:6" ht="15.75" customHeight="1">
      <c r="A90" s="10">
        <f ca="1">IFERROR(__xludf.DUMMYFUNCTION("""COMPUTED_VALUE"""),43955.6666666666)</f>
        <v>43955.666666666599</v>
      </c>
      <c r="B90" s="1">
        <f ca="1">IFERROR(__xludf.DUMMYFUNCTION("""COMPUTED_VALUE"""),12.09)</f>
        <v>12.09</v>
      </c>
      <c r="C90" s="1">
        <f ca="1">IFERROR(__xludf.DUMMYFUNCTION("""COMPUTED_VALUE"""),12.12)</f>
        <v>12.12</v>
      </c>
      <c r="D90" s="1">
        <f ca="1">IFERROR(__xludf.DUMMYFUNCTION("""COMPUTED_VALUE"""),12.06)</f>
        <v>12.06</v>
      </c>
      <c r="E90" s="1">
        <f ca="1">IFERROR(__xludf.DUMMYFUNCTION("""COMPUTED_VALUE"""),12.11)</f>
        <v>12.11</v>
      </c>
      <c r="F90" s="1">
        <f ca="1">IFERROR(__xludf.DUMMYFUNCTION("""COMPUTED_VALUE"""),12525)</f>
        <v>12525</v>
      </c>
    </row>
    <row r="91" spans="1:6" ht="15.75" customHeight="1">
      <c r="A91" s="10">
        <f ca="1">IFERROR(__xludf.DUMMYFUNCTION("""COMPUTED_VALUE"""),43956.6666666666)</f>
        <v>43956.666666666599</v>
      </c>
      <c r="B91" s="1">
        <f ca="1">IFERROR(__xludf.DUMMYFUNCTION("""COMPUTED_VALUE"""),12.14)</f>
        <v>12.14</v>
      </c>
      <c r="C91" s="1">
        <f ca="1">IFERROR(__xludf.DUMMYFUNCTION("""COMPUTED_VALUE"""),12.26)</f>
        <v>12.26</v>
      </c>
      <c r="D91" s="1">
        <f ca="1">IFERROR(__xludf.DUMMYFUNCTION("""COMPUTED_VALUE"""),12.12)</f>
        <v>12.12</v>
      </c>
      <c r="E91" s="1">
        <f ca="1">IFERROR(__xludf.DUMMYFUNCTION("""COMPUTED_VALUE"""),12.23)</f>
        <v>12.23</v>
      </c>
      <c r="F91" s="1">
        <f ca="1">IFERROR(__xludf.DUMMYFUNCTION("""COMPUTED_VALUE"""),30892)</f>
        <v>30892</v>
      </c>
    </row>
    <row r="92" spans="1:6" ht="15.75" customHeight="1">
      <c r="A92" s="10">
        <f ca="1">IFERROR(__xludf.DUMMYFUNCTION("""COMPUTED_VALUE"""),43957.6666666666)</f>
        <v>43957.666666666599</v>
      </c>
      <c r="B92" s="1">
        <f ca="1">IFERROR(__xludf.DUMMYFUNCTION("""COMPUTED_VALUE"""),12.24)</f>
        <v>12.24</v>
      </c>
      <c r="C92" s="1">
        <f ca="1">IFERROR(__xludf.DUMMYFUNCTION("""COMPUTED_VALUE"""),12.27)</f>
        <v>12.27</v>
      </c>
      <c r="D92" s="1">
        <f ca="1">IFERROR(__xludf.DUMMYFUNCTION("""COMPUTED_VALUE"""),12.22)</f>
        <v>12.22</v>
      </c>
      <c r="E92" s="1">
        <f ca="1">IFERROR(__xludf.DUMMYFUNCTION("""COMPUTED_VALUE"""),12.27)</f>
        <v>12.27</v>
      </c>
      <c r="F92" s="1">
        <f ca="1">IFERROR(__xludf.DUMMYFUNCTION("""COMPUTED_VALUE"""),24645)</f>
        <v>24645</v>
      </c>
    </row>
    <row r="93" spans="1:6" ht="15.75" customHeight="1">
      <c r="A93" s="10">
        <f ca="1">IFERROR(__xludf.DUMMYFUNCTION("""COMPUTED_VALUE"""),43958.6666666666)</f>
        <v>43958.666666666599</v>
      </c>
      <c r="B93" s="1">
        <f ca="1">IFERROR(__xludf.DUMMYFUNCTION("""COMPUTED_VALUE"""),12.32)</f>
        <v>12.32</v>
      </c>
      <c r="C93" s="1">
        <f ca="1">IFERROR(__xludf.DUMMYFUNCTION("""COMPUTED_VALUE"""),12.34)</f>
        <v>12.34</v>
      </c>
      <c r="D93" s="1">
        <f ca="1">IFERROR(__xludf.DUMMYFUNCTION("""COMPUTED_VALUE"""),12.29)</f>
        <v>12.29</v>
      </c>
      <c r="E93" s="1">
        <f ca="1">IFERROR(__xludf.DUMMYFUNCTION("""COMPUTED_VALUE"""),12.34)</f>
        <v>12.34</v>
      </c>
      <c r="F93" s="1">
        <f ca="1">IFERROR(__xludf.DUMMYFUNCTION("""COMPUTED_VALUE"""),6489)</f>
        <v>6489</v>
      </c>
    </row>
    <row r="94" spans="1:6" ht="15.75" customHeight="1">
      <c r="A94" s="10">
        <f ca="1">IFERROR(__xludf.DUMMYFUNCTION("""COMPUTED_VALUE"""),43959.6666666666)</f>
        <v>43959.666666666599</v>
      </c>
      <c r="B94" s="1">
        <f ca="1">IFERROR(__xludf.DUMMYFUNCTION("""COMPUTED_VALUE"""),12.32)</f>
        <v>12.32</v>
      </c>
      <c r="C94" s="1">
        <f ca="1">IFERROR(__xludf.DUMMYFUNCTION("""COMPUTED_VALUE"""),12.38)</f>
        <v>12.38</v>
      </c>
      <c r="D94" s="1">
        <f ca="1">IFERROR(__xludf.DUMMYFUNCTION("""COMPUTED_VALUE"""),12.32)</f>
        <v>12.32</v>
      </c>
      <c r="E94" s="1">
        <f ca="1">IFERROR(__xludf.DUMMYFUNCTION("""COMPUTED_VALUE"""),12.37)</f>
        <v>12.37</v>
      </c>
      <c r="F94" s="1">
        <f ca="1">IFERROR(__xludf.DUMMYFUNCTION("""COMPUTED_VALUE"""),10649)</f>
        <v>10649</v>
      </c>
    </row>
    <row r="95" spans="1:6" ht="15.75" customHeight="1">
      <c r="A95" s="10">
        <f ca="1">IFERROR(__xludf.DUMMYFUNCTION("""COMPUTED_VALUE"""),43962.6666666666)</f>
        <v>43962.666666666599</v>
      </c>
      <c r="B95" s="1">
        <f ca="1">IFERROR(__xludf.DUMMYFUNCTION("""COMPUTED_VALUE"""),12.37)</f>
        <v>12.37</v>
      </c>
      <c r="C95" s="1">
        <f ca="1">IFERROR(__xludf.DUMMYFUNCTION("""COMPUTED_VALUE"""),12.42)</f>
        <v>12.42</v>
      </c>
      <c r="D95" s="1">
        <f ca="1">IFERROR(__xludf.DUMMYFUNCTION("""COMPUTED_VALUE"""),12.36)</f>
        <v>12.36</v>
      </c>
      <c r="E95" s="1">
        <f ca="1">IFERROR(__xludf.DUMMYFUNCTION("""COMPUTED_VALUE"""),12.37)</f>
        <v>12.37</v>
      </c>
      <c r="F95" s="1">
        <f ca="1">IFERROR(__xludf.DUMMYFUNCTION("""COMPUTED_VALUE"""),10592)</f>
        <v>10592</v>
      </c>
    </row>
    <row r="96" spans="1:6" ht="15.75" customHeight="1">
      <c r="A96" s="10">
        <f ca="1">IFERROR(__xludf.DUMMYFUNCTION("""COMPUTED_VALUE"""),43963.6666666666)</f>
        <v>43963.666666666599</v>
      </c>
      <c r="B96" s="1">
        <f ca="1">IFERROR(__xludf.DUMMYFUNCTION("""COMPUTED_VALUE"""),12.4)</f>
        <v>12.4</v>
      </c>
      <c r="C96" s="1">
        <f ca="1">IFERROR(__xludf.DUMMYFUNCTION("""COMPUTED_VALUE"""),12.45)</f>
        <v>12.45</v>
      </c>
      <c r="D96" s="1">
        <f ca="1">IFERROR(__xludf.DUMMYFUNCTION("""COMPUTED_VALUE"""),12.38)</f>
        <v>12.38</v>
      </c>
      <c r="E96" s="1">
        <f ca="1">IFERROR(__xludf.DUMMYFUNCTION("""COMPUTED_VALUE"""),12.41)</f>
        <v>12.41</v>
      </c>
      <c r="F96" s="1">
        <f ca="1">IFERROR(__xludf.DUMMYFUNCTION("""COMPUTED_VALUE"""),4277)</f>
        <v>4277</v>
      </c>
    </row>
    <row r="97" spans="1:6" ht="15.75" customHeight="1">
      <c r="A97" s="10">
        <f ca="1">IFERROR(__xludf.DUMMYFUNCTION("""COMPUTED_VALUE"""),43964.6666666666)</f>
        <v>43964.666666666599</v>
      </c>
      <c r="B97" s="1">
        <f ca="1">IFERROR(__xludf.DUMMYFUNCTION("""COMPUTED_VALUE"""),12.43)</f>
        <v>12.43</v>
      </c>
      <c r="C97" s="1">
        <f ca="1">IFERROR(__xludf.DUMMYFUNCTION("""COMPUTED_VALUE"""),12.55)</f>
        <v>12.55</v>
      </c>
      <c r="D97" s="1">
        <f ca="1">IFERROR(__xludf.DUMMYFUNCTION("""COMPUTED_VALUE"""),12.36)</f>
        <v>12.36</v>
      </c>
      <c r="E97" s="1">
        <f ca="1">IFERROR(__xludf.DUMMYFUNCTION("""COMPUTED_VALUE"""),12.49)</f>
        <v>12.49</v>
      </c>
      <c r="F97" s="1">
        <f ca="1">IFERROR(__xludf.DUMMYFUNCTION("""COMPUTED_VALUE"""),35898)</f>
        <v>35898</v>
      </c>
    </row>
    <row r="98" spans="1:6" ht="15.75" customHeight="1">
      <c r="A98" s="10">
        <f ca="1">IFERROR(__xludf.DUMMYFUNCTION("""COMPUTED_VALUE"""),43965.6666666666)</f>
        <v>43965.666666666599</v>
      </c>
      <c r="B98" s="1">
        <f ca="1">IFERROR(__xludf.DUMMYFUNCTION("""COMPUTED_VALUE"""),12.51)</f>
        <v>12.51</v>
      </c>
      <c r="C98" s="1">
        <f ca="1">IFERROR(__xludf.DUMMYFUNCTION("""COMPUTED_VALUE"""),12.51)</f>
        <v>12.51</v>
      </c>
      <c r="D98" s="1">
        <f ca="1">IFERROR(__xludf.DUMMYFUNCTION("""COMPUTED_VALUE"""),12.27)</f>
        <v>12.27</v>
      </c>
      <c r="E98" s="1">
        <f ca="1">IFERROR(__xludf.DUMMYFUNCTION("""COMPUTED_VALUE"""),12.4)</f>
        <v>12.4</v>
      </c>
      <c r="F98" s="1">
        <f ca="1">IFERROR(__xludf.DUMMYFUNCTION("""COMPUTED_VALUE"""),11684)</f>
        <v>11684</v>
      </c>
    </row>
    <row r="99" spans="1:6" ht="15.75" customHeight="1">
      <c r="A99" s="10">
        <f ca="1">IFERROR(__xludf.DUMMYFUNCTION("""COMPUTED_VALUE"""),43966.6666666666)</f>
        <v>43966.666666666599</v>
      </c>
      <c r="B99" s="1">
        <f ca="1">IFERROR(__xludf.DUMMYFUNCTION("""COMPUTED_VALUE"""),12.41)</f>
        <v>12.41</v>
      </c>
      <c r="C99" s="1">
        <f ca="1">IFERROR(__xludf.DUMMYFUNCTION("""COMPUTED_VALUE"""),12.41)</f>
        <v>12.41</v>
      </c>
      <c r="D99" s="1">
        <f ca="1">IFERROR(__xludf.DUMMYFUNCTION("""COMPUTED_VALUE"""),12.35)</f>
        <v>12.35</v>
      </c>
      <c r="E99" s="1">
        <f ca="1">IFERROR(__xludf.DUMMYFUNCTION("""COMPUTED_VALUE"""),12.38)</f>
        <v>12.38</v>
      </c>
      <c r="F99" s="1">
        <f ca="1">IFERROR(__xludf.DUMMYFUNCTION("""COMPUTED_VALUE"""),3645)</f>
        <v>3645</v>
      </c>
    </row>
    <row r="100" spans="1:6" ht="15.75" customHeight="1">
      <c r="A100" s="10">
        <f ca="1">IFERROR(__xludf.DUMMYFUNCTION("""COMPUTED_VALUE"""),43969.6666666666)</f>
        <v>43969.666666666599</v>
      </c>
      <c r="B100" s="1">
        <f ca="1">IFERROR(__xludf.DUMMYFUNCTION("""COMPUTED_VALUE"""),12.34)</f>
        <v>12.34</v>
      </c>
      <c r="C100" s="1">
        <f ca="1">IFERROR(__xludf.DUMMYFUNCTION("""COMPUTED_VALUE"""),12.37)</f>
        <v>12.37</v>
      </c>
      <c r="D100" s="1">
        <f ca="1">IFERROR(__xludf.DUMMYFUNCTION("""COMPUTED_VALUE"""),12.33)</f>
        <v>12.33</v>
      </c>
      <c r="E100" s="1">
        <f ca="1">IFERROR(__xludf.DUMMYFUNCTION("""COMPUTED_VALUE"""),12.37)</f>
        <v>12.37</v>
      </c>
      <c r="F100" s="1">
        <f ca="1">IFERROR(__xludf.DUMMYFUNCTION("""COMPUTED_VALUE"""),8035)</f>
        <v>8035</v>
      </c>
    </row>
    <row r="101" spans="1:6" ht="15.75" customHeight="1">
      <c r="A101" s="10">
        <f ca="1">IFERROR(__xludf.DUMMYFUNCTION("""COMPUTED_VALUE"""),43970.6666666666)</f>
        <v>43970.666666666599</v>
      </c>
      <c r="B101" s="1">
        <f ca="1">IFERROR(__xludf.DUMMYFUNCTION("""COMPUTED_VALUE"""),12.38)</f>
        <v>12.38</v>
      </c>
      <c r="C101" s="1">
        <f ca="1">IFERROR(__xludf.DUMMYFUNCTION("""COMPUTED_VALUE"""),12.49)</f>
        <v>12.49</v>
      </c>
      <c r="D101" s="1">
        <f ca="1">IFERROR(__xludf.DUMMYFUNCTION("""COMPUTED_VALUE"""),12.38)</f>
        <v>12.38</v>
      </c>
      <c r="E101" s="1">
        <f ca="1">IFERROR(__xludf.DUMMYFUNCTION("""COMPUTED_VALUE"""),12.49)</f>
        <v>12.49</v>
      </c>
      <c r="F101" s="1">
        <f ca="1">IFERROR(__xludf.DUMMYFUNCTION("""COMPUTED_VALUE"""),32835)</f>
        <v>32835</v>
      </c>
    </row>
    <row r="102" spans="1:6" ht="15.75" customHeight="1">
      <c r="A102" s="10">
        <f ca="1">IFERROR(__xludf.DUMMYFUNCTION("""COMPUTED_VALUE"""),43971.6666666666)</f>
        <v>43971.666666666599</v>
      </c>
      <c r="B102" s="1">
        <f ca="1">IFERROR(__xludf.DUMMYFUNCTION("""COMPUTED_VALUE"""),12.49)</f>
        <v>12.49</v>
      </c>
      <c r="C102" s="1">
        <f ca="1">IFERROR(__xludf.DUMMYFUNCTION("""COMPUTED_VALUE"""),12.51)</f>
        <v>12.51</v>
      </c>
      <c r="D102" s="1">
        <f ca="1">IFERROR(__xludf.DUMMYFUNCTION("""COMPUTED_VALUE"""),12.47)</f>
        <v>12.47</v>
      </c>
      <c r="E102" s="1">
        <f ca="1">IFERROR(__xludf.DUMMYFUNCTION("""COMPUTED_VALUE"""),12.5)</f>
        <v>12.5</v>
      </c>
      <c r="F102" s="1">
        <f ca="1">IFERROR(__xludf.DUMMYFUNCTION("""COMPUTED_VALUE"""),5781)</f>
        <v>5781</v>
      </c>
    </row>
    <row r="103" spans="1:6" ht="15.75" customHeight="1">
      <c r="A103" s="10">
        <f ca="1">IFERROR(__xludf.DUMMYFUNCTION("""COMPUTED_VALUE"""),43972.6666666666)</f>
        <v>43972.666666666599</v>
      </c>
      <c r="B103" s="1">
        <f ca="1">IFERROR(__xludf.DUMMYFUNCTION("""COMPUTED_VALUE"""),12.51)</f>
        <v>12.51</v>
      </c>
      <c r="C103" s="1">
        <f ca="1">IFERROR(__xludf.DUMMYFUNCTION("""COMPUTED_VALUE"""),12.56)</f>
        <v>12.56</v>
      </c>
      <c r="D103" s="1">
        <f ca="1">IFERROR(__xludf.DUMMYFUNCTION("""COMPUTED_VALUE"""),12.51)</f>
        <v>12.51</v>
      </c>
      <c r="E103" s="1">
        <f ca="1">IFERROR(__xludf.DUMMYFUNCTION("""COMPUTED_VALUE"""),12.54)</f>
        <v>12.54</v>
      </c>
      <c r="F103" s="1">
        <f ca="1">IFERROR(__xludf.DUMMYFUNCTION("""COMPUTED_VALUE"""),28027)</f>
        <v>28027</v>
      </c>
    </row>
    <row r="104" spans="1:6" ht="15.75" customHeight="1">
      <c r="A104" s="10">
        <f ca="1">IFERROR(__xludf.DUMMYFUNCTION("""COMPUTED_VALUE"""),43973.6666666666)</f>
        <v>43973.666666666599</v>
      </c>
      <c r="B104" s="1">
        <f ca="1">IFERROR(__xludf.DUMMYFUNCTION("""COMPUTED_VALUE"""),12.58)</f>
        <v>12.58</v>
      </c>
      <c r="C104" s="1">
        <f ca="1">IFERROR(__xludf.DUMMYFUNCTION("""COMPUTED_VALUE"""),12.64)</f>
        <v>12.64</v>
      </c>
      <c r="D104" s="1">
        <f ca="1">IFERROR(__xludf.DUMMYFUNCTION("""COMPUTED_VALUE"""),12.56)</f>
        <v>12.56</v>
      </c>
      <c r="E104" s="1">
        <f ca="1">IFERROR(__xludf.DUMMYFUNCTION("""COMPUTED_VALUE"""),12.6)</f>
        <v>12.6</v>
      </c>
      <c r="F104" s="1">
        <f ca="1">IFERROR(__xludf.DUMMYFUNCTION("""COMPUTED_VALUE"""),19734)</f>
        <v>19734</v>
      </c>
    </row>
    <row r="105" spans="1:6" ht="15.75" customHeight="1">
      <c r="A105" s="10">
        <f ca="1">IFERROR(__xludf.DUMMYFUNCTION("""COMPUTED_VALUE"""),43977.6666666666)</f>
        <v>43977.666666666599</v>
      </c>
      <c r="B105" s="1">
        <f ca="1">IFERROR(__xludf.DUMMYFUNCTION("""COMPUTED_VALUE"""),12.61)</f>
        <v>12.61</v>
      </c>
      <c r="C105" s="1">
        <f ca="1">IFERROR(__xludf.DUMMYFUNCTION("""COMPUTED_VALUE"""),12.8)</f>
        <v>12.8</v>
      </c>
      <c r="D105" s="1">
        <f ca="1">IFERROR(__xludf.DUMMYFUNCTION("""COMPUTED_VALUE"""),12.61)</f>
        <v>12.61</v>
      </c>
      <c r="E105" s="1">
        <f ca="1">IFERROR(__xludf.DUMMYFUNCTION("""COMPUTED_VALUE"""),12.75)</f>
        <v>12.75</v>
      </c>
      <c r="F105" s="1">
        <f ca="1">IFERROR(__xludf.DUMMYFUNCTION("""COMPUTED_VALUE"""),18139)</f>
        <v>18139</v>
      </c>
    </row>
    <row r="106" spans="1:6" ht="15.75" customHeight="1">
      <c r="A106" s="10">
        <f ca="1">IFERROR(__xludf.DUMMYFUNCTION("""COMPUTED_VALUE"""),43978.6666666666)</f>
        <v>43978.666666666599</v>
      </c>
      <c r="B106" s="1">
        <f ca="1">IFERROR(__xludf.DUMMYFUNCTION("""COMPUTED_VALUE"""),12.79)</f>
        <v>12.79</v>
      </c>
      <c r="C106" s="1">
        <f ca="1">IFERROR(__xludf.DUMMYFUNCTION("""COMPUTED_VALUE"""),12.79)</f>
        <v>12.79</v>
      </c>
      <c r="D106" s="1">
        <f ca="1">IFERROR(__xludf.DUMMYFUNCTION("""COMPUTED_VALUE"""),12.77)</f>
        <v>12.77</v>
      </c>
      <c r="E106" s="1">
        <f ca="1">IFERROR(__xludf.DUMMYFUNCTION("""COMPUTED_VALUE"""),12.78)</f>
        <v>12.78</v>
      </c>
      <c r="F106" s="1">
        <f ca="1">IFERROR(__xludf.DUMMYFUNCTION("""COMPUTED_VALUE"""),2370)</f>
        <v>2370</v>
      </c>
    </row>
    <row r="107" spans="1:6" ht="15.75" customHeight="1">
      <c r="A107" s="10">
        <f ca="1">IFERROR(__xludf.DUMMYFUNCTION("""COMPUTED_VALUE"""),43979.6666666666)</f>
        <v>43979.666666666599</v>
      </c>
      <c r="B107" s="1">
        <f ca="1">IFERROR(__xludf.DUMMYFUNCTION("""COMPUTED_VALUE"""),12.81)</f>
        <v>12.81</v>
      </c>
      <c r="C107" s="1">
        <f ca="1">IFERROR(__xludf.DUMMYFUNCTION("""COMPUTED_VALUE"""),12.89)</f>
        <v>12.89</v>
      </c>
      <c r="D107" s="1">
        <f ca="1">IFERROR(__xludf.DUMMYFUNCTION("""COMPUTED_VALUE"""),12.81)</f>
        <v>12.81</v>
      </c>
      <c r="E107" s="1">
        <f ca="1">IFERROR(__xludf.DUMMYFUNCTION("""COMPUTED_VALUE"""),12.84)</f>
        <v>12.84</v>
      </c>
      <c r="F107" s="1">
        <f ca="1">IFERROR(__xludf.DUMMYFUNCTION("""COMPUTED_VALUE"""),12433)</f>
        <v>12433</v>
      </c>
    </row>
    <row r="108" spans="1:6" ht="15.75" customHeight="1">
      <c r="A108" s="10">
        <f ca="1">IFERROR(__xludf.DUMMYFUNCTION("""COMPUTED_VALUE"""),43980.6666666666)</f>
        <v>43980.666666666599</v>
      </c>
      <c r="B108" s="1">
        <f ca="1">IFERROR(__xludf.DUMMYFUNCTION("""COMPUTED_VALUE"""),12.89)</f>
        <v>12.89</v>
      </c>
      <c r="C108" s="1">
        <f ca="1">IFERROR(__xludf.DUMMYFUNCTION("""COMPUTED_VALUE"""),12.98)</f>
        <v>12.98</v>
      </c>
      <c r="D108" s="1">
        <f ca="1">IFERROR(__xludf.DUMMYFUNCTION("""COMPUTED_VALUE"""),12.88)</f>
        <v>12.88</v>
      </c>
      <c r="E108" s="1">
        <f ca="1">IFERROR(__xludf.DUMMYFUNCTION("""COMPUTED_VALUE"""),12.98)</f>
        <v>12.98</v>
      </c>
      <c r="F108" s="1">
        <f ca="1">IFERROR(__xludf.DUMMYFUNCTION("""COMPUTED_VALUE"""),5140)</f>
        <v>5140</v>
      </c>
    </row>
    <row r="109" spans="1:6" ht="15.75" customHeight="1">
      <c r="A109" s="10">
        <f ca="1">IFERROR(__xludf.DUMMYFUNCTION("""COMPUTED_VALUE"""),43983.6666666666)</f>
        <v>43983.666666666599</v>
      </c>
      <c r="B109" s="1">
        <f ca="1">IFERROR(__xludf.DUMMYFUNCTION("""COMPUTED_VALUE"""),13.05)</f>
        <v>13.05</v>
      </c>
      <c r="C109" s="1">
        <f ca="1">IFERROR(__xludf.DUMMYFUNCTION("""COMPUTED_VALUE"""),13.07)</f>
        <v>13.07</v>
      </c>
      <c r="D109" s="1">
        <f ca="1">IFERROR(__xludf.DUMMYFUNCTION("""COMPUTED_VALUE"""),13.03)</f>
        <v>13.03</v>
      </c>
      <c r="E109" s="1">
        <f ca="1">IFERROR(__xludf.DUMMYFUNCTION("""COMPUTED_VALUE"""),13.07)</f>
        <v>13.07</v>
      </c>
      <c r="F109" s="1">
        <f ca="1">IFERROR(__xludf.DUMMYFUNCTION("""COMPUTED_VALUE"""),12595)</f>
        <v>12595</v>
      </c>
    </row>
    <row r="110" spans="1:6" ht="15.75" customHeight="1">
      <c r="A110" s="10">
        <f ca="1">IFERROR(__xludf.DUMMYFUNCTION("""COMPUTED_VALUE"""),43984.6666666666)</f>
        <v>43984.666666666599</v>
      </c>
      <c r="B110" s="1">
        <f ca="1">IFERROR(__xludf.DUMMYFUNCTION("""COMPUTED_VALUE"""),13.04)</f>
        <v>13.04</v>
      </c>
      <c r="C110" s="1">
        <f ca="1">IFERROR(__xludf.DUMMYFUNCTION("""COMPUTED_VALUE"""),13.12)</f>
        <v>13.12</v>
      </c>
      <c r="D110" s="1">
        <f ca="1">IFERROR(__xludf.DUMMYFUNCTION("""COMPUTED_VALUE"""),13.04)</f>
        <v>13.04</v>
      </c>
      <c r="E110" s="1">
        <f ca="1">IFERROR(__xludf.DUMMYFUNCTION("""COMPUTED_VALUE"""),13.08)</f>
        <v>13.08</v>
      </c>
      <c r="F110" s="1">
        <f ca="1">IFERROR(__xludf.DUMMYFUNCTION("""COMPUTED_VALUE"""),18737)</f>
        <v>18737</v>
      </c>
    </row>
    <row r="111" spans="1:6" ht="15.75" customHeight="1">
      <c r="A111" s="10">
        <f ca="1">IFERROR(__xludf.DUMMYFUNCTION("""COMPUTED_VALUE"""),43985.6666666666)</f>
        <v>43985.666666666599</v>
      </c>
      <c r="B111" s="1">
        <f ca="1">IFERROR(__xludf.DUMMYFUNCTION("""COMPUTED_VALUE"""),13.13)</f>
        <v>13.13</v>
      </c>
      <c r="C111" s="1">
        <f ca="1">IFERROR(__xludf.DUMMYFUNCTION("""COMPUTED_VALUE"""),13.15)</f>
        <v>13.15</v>
      </c>
      <c r="D111" s="1">
        <f ca="1">IFERROR(__xludf.DUMMYFUNCTION("""COMPUTED_VALUE"""),13.08)</f>
        <v>13.08</v>
      </c>
      <c r="E111" s="1">
        <f ca="1">IFERROR(__xludf.DUMMYFUNCTION("""COMPUTED_VALUE"""),13.1)</f>
        <v>13.1</v>
      </c>
      <c r="F111" s="1">
        <f ca="1">IFERROR(__xludf.DUMMYFUNCTION("""COMPUTED_VALUE"""),5409)</f>
        <v>5409</v>
      </c>
    </row>
    <row r="112" spans="1:6" ht="15.75" customHeight="1">
      <c r="A112" s="10">
        <f ca="1">IFERROR(__xludf.DUMMYFUNCTION("""COMPUTED_VALUE"""),43986.6666666666)</f>
        <v>43986.666666666599</v>
      </c>
      <c r="B112" s="1">
        <f ca="1">IFERROR(__xludf.DUMMYFUNCTION("""COMPUTED_VALUE"""),13.11)</f>
        <v>13.11</v>
      </c>
      <c r="C112" s="1">
        <f ca="1">IFERROR(__xludf.DUMMYFUNCTION("""COMPUTED_VALUE"""),13.11)</f>
        <v>13.11</v>
      </c>
      <c r="D112" s="1">
        <f ca="1">IFERROR(__xludf.DUMMYFUNCTION("""COMPUTED_VALUE"""),13.03)</f>
        <v>13.03</v>
      </c>
      <c r="E112" s="1">
        <f ca="1">IFERROR(__xludf.DUMMYFUNCTION("""COMPUTED_VALUE"""),13.09)</f>
        <v>13.09</v>
      </c>
      <c r="F112" s="1">
        <f ca="1">IFERROR(__xludf.DUMMYFUNCTION("""COMPUTED_VALUE"""),7196)</f>
        <v>7196</v>
      </c>
    </row>
    <row r="113" spans="1:6" ht="15.75" customHeight="1">
      <c r="A113" s="10">
        <f ca="1">IFERROR(__xludf.DUMMYFUNCTION("""COMPUTED_VALUE"""),43987.6666666666)</f>
        <v>43987.666666666599</v>
      </c>
      <c r="B113" s="1">
        <f ca="1">IFERROR(__xludf.DUMMYFUNCTION("""COMPUTED_VALUE"""),13.15)</f>
        <v>13.15</v>
      </c>
      <c r="C113" s="1">
        <f ca="1">IFERROR(__xludf.DUMMYFUNCTION("""COMPUTED_VALUE"""),13.15)</f>
        <v>13.15</v>
      </c>
      <c r="D113" s="1">
        <f ca="1">IFERROR(__xludf.DUMMYFUNCTION("""COMPUTED_VALUE"""),12.94)</f>
        <v>12.94</v>
      </c>
      <c r="E113" s="1">
        <f ca="1">IFERROR(__xludf.DUMMYFUNCTION("""COMPUTED_VALUE"""),12.97)</f>
        <v>12.97</v>
      </c>
      <c r="F113" s="1">
        <f ca="1">IFERROR(__xludf.DUMMYFUNCTION("""COMPUTED_VALUE"""),24033)</f>
        <v>24033</v>
      </c>
    </row>
    <row r="114" spans="1:6" ht="15.75" customHeight="1">
      <c r="A114" s="10">
        <f ca="1">IFERROR(__xludf.DUMMYFUNCTION("""COMPUTED_VALUE"""),43990.6666666666)</f>
        <v>43990.666666666599</v>
      </c>
      <c r="B114" s="1">
        <f ca="1">IFERROR(__xludf.DUMMYFUNCTION("""COMPUTED_VALUE"""),13.09)</f>
        <v>13.09</v>
      </c>
      <c r="C114" s="1">
        <f ca="1">IFERROR(__xludf.DUMMYFUNCTION("""COMPUTED_VALUE"""),13.09)</f>
        <v>13.09</v>
      </c>
      <c r="D114" s="1">
        <f ca="1">IFERROR(__xludf.DUMMYFUNCTION("""COMPUTED_VALUE"""),13.02)</f>
        <v>13.02</v>
      </c>
      <c r="E114" s="1">
        <f ca="1">IFERROR(__xludf.DUMMYFUNCTION("""COMPUTED_VALUE"""),13.05)</f>
        <v>13.05</v>
      </c>
      <c r="F114" s="1">
        <f ca="1">IFERROR(__xludf.DUMMYFUNCTION("""COMPUTED_VALUE"""),9098)</f>
        <v>9098</v>
      </c>
    </row>
    <row r="115" spans="1:6" ht="15.75" customHeight="1">
      <c r="A115" s="10">
        <f ca="1">IFERROR(__xludf.DUMMYFUNCTION("""COMPUTED_VALUE"""),43991.6666666666)</f>
        <v>43991.666666666599</v>
      </c>
      <c r="B115" s="1">
        <f ca="1">IFERROR(__xludf.DUMMYFUNCTION("""COMPUTED_VALUE"""),13.01)</f>
        <v>13.01</v>
      </c>
      <c r="C115" s="1">
        <f ca="1">IFERROR(__xludf.DUMMYFUNCTION("""COMPUTED_VALUE"""),13.05)</f>
        <v>13.05</v>
      </c>
      <c r="D115" s="1">
        <f ca="1">IFERROR(__xludf.DUMMYFUNCTION("""COMPUTED_VALUE"""),12.95)</f>
        <v>12.95</v>
      </c>
      <c r="E115" s="1">
        <f ca="1">IFERROR(__xludf.DUMMYFUNCTION("""COMPUTED_VALUE"""),13)</f>
        <v>13</v>
      </c>
      <c r="F115" s="1">
        <f ca="1">IFERROR(__xludf.DUMMYFUNCTION("""COMPUTED_VALUE"""),6761)</f>
        <v>6761</v>
      </c>
    </row>
    <row r="116" spans="1:6" ht="15.75" customHeight="1">
      <c r="A116" s="10">
        <f ca="1">IFERROR(__xludf.DUMMYFUNCTION("""COMPUTED_VALUE"""),43992.6666666666)</f>
        <v>43992.666666666599</v>
      </c>
      <c r="B116" s="1">
        <f ca="1">IFERROR(__xludf.DUMMYFUNCTION("""COMPUTED_VALUE"""),13.01)</f>
        <v>13.01</v>
      </c>
      <c r="C116" s="1">
        <f ca="1">IFERROR(__xludf.DUMMYFUNCTION("""COMPUTED_VALUE"""),13.01)</f>
        <v>13.01</v>
      </c>
      <c r="D116" s="1">
        <f ca="1">IFERROR(__xludf.DUMMYFUNCTION("""COMPUTED_VALUE"""),12.92)</f>
        <v>12.92</v>
      </c>
      <c r="E116" s="1">
        <f ca="1">IFERROR(__xludf.DUMMYFUNCTION("""COMPUTED_VALUE"""),13)</f>
        <v>13</v>
      </c>
      <c r="F116" s="1">
        <f ca="1">IFERROR(__xludf.DUMMYFUNCTION("""COMPUTED_VALUE"""),7889)</f>
        <v>7889</v>
      </c>
    </row>
    <row r="117" spans="1:6" ht="15.75" customHeight="1">
      <c r="A117" s="10">
        <f ca="1">IFERROR(__xludf.DUMMYFUNCTION("""COMPUTED_VALUE"""),43993.6666666666)</f>
        <v>43993.666666666599</v>
      </c>
      <c r="B117" s="1">
        <f ca="1">IFERROR(__xludf.DUMMYFUNCTION("""COMPUTED_VALUE"""),13.02)</f>
        <v>13.02</v>
      </c>
      <c r="C117" s="1">
        <f ca="1">IFERROR(__xludf.DUMMYFUNCTION("""COMPUTED_VALUE"""),13.02)</f>
        <v>13.02</v>
      </c>
      <c r="D117" s="1">
        <f ca="1">IFERROR(__xludf.DUMMYFUNCTION("""COMPUTED_VALUE"""),12.86)</f>
        <v>12.86</v>
      </c>
      <c r="E117" s="1">
        <f ca="1">IFERROR(__xludf.DUMMYFUNCTION("""COMPUTED_VALUE"""),12.86)</f>
        <v>12.86</v>
      </c>
      <c r="F117" s="1">
        <f ca="1">IFERROR(__xludf.DUMMYFUNCTION("""COMPUTED_VALUE"""),8183)</f>
        <v>8183</v>
      </c>
    </row>
    <row r="118" spans="1:6" ht="15.75" customHeight="1">
      <c r="A118" s="10">
        <f ca="1">IFERROR(__xludf.DUMMYFUNCTION("""COMPUTED_VALUE"""),43994.6666666666)</f>
        <v>43994.666666666599</v>
      </c>
      <c r="B118" s="1">
        <f ca="1">IFERROR(__xludf.DUMMYFUNCTION("""COMPUTED_VALUE"""),12.89)</f>
        <v>12.89</v>
      </c>
      <c r="C118" s="1">
        <f ca="1">IFERROR(__xludf.DUMMYFUNCTION("""COMPUTED_VALUE"""),12.89)</f>
        <v>12.89</v>
      </c>
      <c r="D118" s="1">
        <f ca="1">IFERROR(__xludf.DUMMYFUNCTION("""COMPUTED_VALUE"""),12.81)</f>
        <v>12.81</v>
      </c>
      <c r="E118" s="1">
        <f ca="1">IFERROR(__xludf.DUMMYFUNCTION("""COMPUTED_VALUE"""),12.89)</f>
        <v>12.89</v>
      </c>
      <c r="F118" s="1">
        <f ca="1">IFERROR(__xludf.DUMMYFUNCTION("""COMPUTED_VALUE"""),7734)</f>
        <v>7734</v>
      </c>
    </row>
    <row r="119" spans="1:6" ht="15.75" customHeight="1">
      <c r="A119" s="10">
        <f ca="1">IFERROR(__xludf.DUMMYFUNCTION("""COMPUTED_VALUE"""),43997.6666666666)</f>
        <v>43997.666666666599</v>
      </c>
      <c r="B119" s="1">
        <f ca="1">IFERROR(__xludf.DUMMYFUNCTION("""COMPUTED_VALUE"""),12.88)</f>
        <v>12.88</v>
      </c>
      <c r="C119" s="1">
        <f ca="1">IFERROR(__xludf.DUMMYFUNCTION("""COMPUTED_VALUE"""),12.91)</f>
        <v>12.91</v>
      </c>
      <c r="D119" s="1">
        <f ca="1">IFERROR(__xludf.DUMMYFUNCTION("""COMPUTED_VALUE"""),12.83)</f>
        <v>12.83</v>
      </c>
      <c r="E119" s="1">
        <f ca="1">IFERROR(__xludf.DUMMYFUNCTION("""COMPUTED_VALUE"""),12.85)</f>
        <v>12.85</v>
      </c>
      <c r="F119" s="1">
        <f ca="1">IFERROR(__xludf.DUMMYFUNCTION("""COMPUTED_VALUE"""),12037)</f>
        <v>12037</v>
      </c>
    </row>
    <row r="120" spans="1:6" ht="15.75" customHeight="1">
      <c r="A120" s="10">
        <f ca="1">IFERROR(__xludf.DUMMYFUNCTION("""COMPUTED_VALUE"""),43998.6666666666)</f>
        <v>43998.666666666599</v>
      </c>
      <c r="B120" s="1">
        <f ca="1">IFERROR(__xludf.DUMMYFUNCTION("""COMPUTED_VALUE"""),12.86)</f>
        <v>12.86</v>
      </c>
      <c r="C120" s="1">
        <f ca="1">IFERROR(__xludf.DUMMYFUNCTION("""COMPUTED_VALUE"""),12.97)</f>
        <v>12.97</v>
      </c>
      <c r="D120" s="1">
        <f ca="1">IFERROR(__xludf.DUMMYFUNCTION("""COMPUTED_VALUE"""),12.86)</f>
        <v>12.86</v>
      </c>
      <c r="E120" s="1">
        <f ca="1">IFERROR(__xludf.DUMMYFUNCTION("""COMPUTED_VALUE"""),12.93)</f>
        <v>12.93</v>
      </c>
      <c r="F120" s="1">
        <f ca="1">IFERROR(__xludf.DUMMYFUNCTION("""COMPUTED_VALUE"""),12235)</f>
        <v>12235</v>
      </c>
    </row>
    <row r="121" spans="1:6" ht="15.75" customHeight="1">
      <c r="A121" s="10">
        <f ca="1">IFERROR(__xludf.DUMMYFUNCTION("""COMPUTED_VALUE"""),43999.6666666666)</f>
        <v>43999.666666666599</v>
      </c>
      <c r="B121" s="1">
        <f ca="1">IFERROR(__xludf.DUMMYFUNCTION("""COMPUTED_VALUE"""),12.93)</f>
        <v>12.93</v>
      </c>
      <c r="C121" s="1">
        <f ca="1">IFERROR(__xludf.DUMMYFUNCTION("""COMPUTED_VALUE"""),13.05)</f>
        <v>13.05</v>
      </c>
      <c r="D121" s="1">
        <f ca="1">IFERROR(__xludf.DUMMYFUNCTION("""COMPUTED_VALUE"""),12.92)</f>
        <v>12.92</v>
      </c>
      <c r="E121" s="1">
        <f ca="1">IFERROR(__xludf.DUMMYFUNCTION("""COMPUTED_VALUE"""),13.04)</f>
        <v>13.04</v>
      </c>
      <c r="F121" s="1">
        <f ca="1">IFERROR(__xludf.DUMMYFUNCTION("""COMPUTED_VALUE"""),57721)</f>
        <v>57721</v>
      </c>
    </row>
    <row r="122" spans="1:6" ht="15.75" customHeight="1">
      <c r="A122" s="10">
        <f ca="1">IFERROR(__xludf.DUMMYFUNCTION("""COMPUTED_VALUE"""),44000.6666666666)</f>
        <v>44000.666666666599</v>
      </c>
      <c r="B122" s="1">
        <f ca="1">IFERROR(__xludf.DUMMYFUNCTION("""COMPUTED_VALUE"""),13.01)</f>
        <v>13.01</v>
      </c>
      <c r="C122" s="1">
        <f ca="1">IFERROR(__xludf.DUMMYFUNCTION("""COMPUTED_VALUE"""),13.08)</f>
        <v>13.08</v>
      </c>
      <c r="D122" s="1">
        <f ca="1">IFERROR(__xludf.DUMMYFUNCTION("""COMPUTED_VALUE"""),13)</f>
        <v>13</v>
      </c>
      <c r="E122" s="1">
        <f ca="1">IFERROR(__xludf.DUMMYFUNCTION("""COMPUTED_VALUE"""),13.08)</f>
        <v>13.08</v>
      </c>
      <c r="F122" s="1">
        <f ca="1">IFERROR(__xludf.DUMMYFUNCTION("""COMPUTED_VALUE"""),9282)</f>
        <v>9282</v>
      </c>
    </row>
    <row r="123" spans="1:6" ht="15.75" customHeight="1">
      <c r="A123" s="10">
        <f ca="1">IFERROR(__xludf.DUMMYFUNCTION("""COMPUTED_VALUE"""),44001.6666666666)</f>
        <v>44001.666666666599</v>
      </c>
      <c r="B123" s="1">
        <f ca="1">IFERROR(__xludf.DUMMYFUNCTION("""COMPUTED_VALUE"""),13.07)</f>
        <v>13.07</v>
      </c>
      <c r="C123" s="1">
        <f ca="1">IFERROR(__xludf.DUMMYFUNCTION("""COMPUTED_VALUE"""),13.15)</f>
        <v>13.15</v>
      </c>
      <c r="D123" s="1">
        <f ca="1">IFERROR(__xludf.DUMMYFUNCTION("""COMPUTED_VALUE"""),12.99)</f>
        <v>12.99</v>
      </c>
      <c r="E123" s="1">
        <f ca="1">IFERROR(__xludf.DUMMYFUNCTION("""COMPUTED_VALUE"""),12.99)</f>
        <v>12.99</v>
      </c>
      <c r="F123" s="1">
        <f ca="1">IFERROR(__xludf.DUMMYFUNCTION("""COMPUTED_VALUE"""),6210)</f>
        <v>6210</v>
      </c>
    </row>
    <row r="124" spans="1:6" ht="15.75" customHeight="1">
      <c r="A124" s="10">
        <f ca="1">IFERROR(__xludf.DUMMYFUNCTION("""COMPUTED_VALUE"""),44004.6666666666)</f>
        <v>44004.666666666599</v>
      </c>
      <c r="B124" s="1">
        <f ca="1">IFERROR(__xludf.DUMMYFUNCTION("""COMPUTED_VALUE"""),13.1)</f>
        <v>13.1</v>
      </c>
      <c r="C124" s="1">
        <f ca="1">IFERROR(__xludf.DUMMYFUNCTION("""COMPUTED_VALUE"""),13.14)</f>
        <v>13.14</v>
      </c>
      <c r="D124" s="1">
        <f ca="1">IFERROR(__xludf.DUMMYFUNCTION("""COMPUTED_VALUE"""),13.1)</f>
        <v>13.1</v>
      </c>
      <c r="E124" s="1">
        <f ca="1">IFERROR(__xludf.DUMMYFUNCTION("""COMPUTED_VALUE"""),13.14)</f>
        <v>13.14</v>
      </c>
      <c r="F124" s="1">
        <f ca="1">IFERROR(__xludf.DUMMYFUNCTION("""COMPUTED_VALUE"""),1449)</f>
        <v>1449</v>
      </c>
    </row>
    <row r="125" spans="1:6" ht="15.75" customHeight="1">
      <c r="A125" s="10">
        <f ca="1">IFERROR(__xludf.DUMMYFUNCTION("""COMPUTED_VALUE"""),44005.6666666666)</f>
        <v>44005.666666666599</v>
      </c>
      <c r="B125" s="1">
        <f ca="1">IFERROR(__xludf.DUMMYFUNCTION("""COMPUTED_VALUE"""),13.06)</f>
        <v>13.06</v>
      </c>
      <c r="C125" s="1">
        <f ca="1">IFERROR(__xludf.DUMMYFUNCTION("""COMPUTED_VALUE"""),13.27)</f>
        <v>13.27</v>
      </c>
      <c r="D125" s="1">
        <f ca="1">IFERROR(__xludf.DUMMYFUNCTION("""COMPUTED_VALUE"""),13.06)</f>
        <v>13.06</v>
      </c>
      <c r="E125" s="1">
        <f ca="1">IFERROR(__xludf.DUMMYFUNCTION("""COMPUTED_VALUE"""),13.22)</f>
        <v>13.22</v>
      </c>
      <c r="F125" s="1">
        <f ca="1">IFERROR(__xludf.DUMMYFUNCTION("""COMPUTED_VALUE"""),16504)</f>
        <v>16504</v>
      </c>
    </row>
    <row r="126" spans="1:6" ht="15.75" customHeight="1">
      <c r="A126" s="10">
        <f ca="1">IFERROR(__xludf.DUMMYFUNCTION("""COMPUTED_VALUE"""),44006.6666666666)</f>
        <v>44006.666666666599</v>
      </c>
      <c r="B126" s="1">
        <f ca="1">IFERROR(__xludf.DUMMYFUNCTION("""COMPUTED_VALUE"""),13.27)</f>
        <v>13.27</v>
      </c>
      <c r="C126" s="1">
        <f ca="1">IFERROR(__xludf.DUMMYFUNCTION("""COMPUTED_VALUE"""),13.34)</f>
        <v>13.34</v>
      </c>
      <c r="D126" s="1">
        <f ca="1">IFERROR(__xludf.DUMMYFUNCTION("""COMPUTED_VALUE"""),13.21)</f>
        <v>13.21</v>
      </c>
      <c r="E126" s="1">
        <f ca="1">IFERROR(__xludf.DUMMYFUNCTION("""COMPUTED_VALUE"""),13.28)</f>
        <v>13.28</v>
      </c>
      <c r="F126" s="1">
        <f ca="1">IFERROR(__xludf.DUMMYFUNCTION("""COMPUTED_VALUE"""),20501)</f>
        <v>20501</v>
      </c>
    </row>
    <row r="127" spans="1:6" ht="15.75" customHeight="1">
      <c r="A127" s="10">
        <f ca="1">IFERROR(__xludf.DUMMYFUNCTION("""COMPUTED_VALUE"""),44007.6666666666)</f>
        <v>44007.666666666599</v>
      </c>
      <c r="B127" s="1">
        <f ca="1">IFERROR(__xludf.DUMMYFUNCTION("""COMPUTED_VALUE"""),13.31)</f>
        <v>13.31</v>
      </c>
      <c r="C127" s="1">
        <f ca="1">IFERROR(__xludf.DUMMYFUNCTION("""COMPUTED_VALUE"""),13.34)</f>
        <v>13.34</v>
      </c>
      <c r="D127" s="1">
        <f ca="1">IFERROR(__xludf.DUMMYFUNCTION("""COMPUTED_VALUE"""),13.29)</f>
        <v>13.29</v>
      </c>
      <c r="E127" s="1">
        <f ca="1">IFERROR(__xludf.DUMMYFUNCTION("""COMPUTED_VALUE"""),13.3)</f>
        <v>13.3</v>
      </c>
      <c r="F127" s="1">
        <f ca="1">IFERROR(__xludf.DUMMYFUNCTION("""COMPUTED_VALUE"""),2589)</f>
        <v>2589</v>
      </c>
    </row>
    <row r="128" spans="1:6" ht="15.75" customHeight="1">
      <c r="A128" s="10">
        <f ca="1">IFERROR(__xludf.DUMMYFUNCTION("""COMPUTED_VALUE"""),44008.6666666666)</f>
        <v>44008.666666666599</v>
      </c>
      <c r="B128" s="1">
        <f ca="1">IFERROR(__xludf.DUMMYFUNCTION("""COMPUTED_VALUE"""),13.32)</f>
        <v>13.32</v>
      </c>
      <c r="C128" s="1">
        <f ca="1">IFERROR(__xludf.DUMMYFUNCTION("""COMPUTED_VALUE"""),13.32)</f>
        <v>13.32</v>
      </c>
      <c r="D128" s="1">
        <f ca="1">IFERROR(__xludf.DUMMYFUNCTION("""COMPUTED_VALUE"""),13.25)</f>
        <v>13.25</v>
      </c>
      <c r="E128" s="1">
        <f ca="1">IFERROR(__xludf.DUMMYFUNCTION("""COMPUTED_VALUE"""),13.26)</f>
        <v>13.26</v>
      </c>
      <c r="F128" s="1">
        <f ca="1">IFERROR(__xludf.DUMMYFUNCTION("""COMPUTED_VALUE"""),2794)</f>
        <v>2794</v>
      </c>
    </row>
    <row r="129" spans="1:6" ht="15.75" customHeight="1">
      <c r="A129" s="10">
        <f ca="1">IFERROR(__xludf.DUMMYFUNCTION("""COMPUTED_VALUE"""),44011.6666666666)</f>
        <v>44011.666666666599</v>
      </c>
      <c r="B129" s="1">
        <f ca="1">IFERROR(__xludf.DUMMYFUNCTION("""COMPUTED_VALUE"""),13.3)</f>
        <v>13.3</v>
      </c>
      <c r="C129" s="1">
        <f ca="1">IFERROR(__xludf.DUMMYFUNCTION("""COMPUTED_VALUE"""),13.32)</f>
        <v>13.32</v>
      </c>
      <c r="D129" s="1">
        <f ca="1">IFERROR(__xludf.DUMMYFUNCTION("""COMPUTED_VALUE"""),13.22)</f>
        <v>13.22</v>
      </c>
      <c r="E129" s="1">
        <f ca="1">IFERROR(__xludf.DUMMYFUNCTION("""COMPUTED_VALUE"""),13.23)</f>
        <v>13.23</v>
      </c>
      <c r="F129" s="1">
        <f ca="1">IFERROR(__xludf.DUMMYFUNCTION("""COMPUTED_VALUE"""),2527)</f>
        <v>2527</v>
      </c>
    </row>
    <row r="130" spans="1:6" ht="15.75" customHeight="1">
      <c r="A130" s="10">
        <f ca="1">IFERROR(__xludf.DUMMYFUNCTION("""COMPUTED_VALUE"""),44012.6666666666)</f>
        <v>44012.666666666599</v>
      </c>
      <c r="B130" s="1">
        <f ca="1">IFERROR(__xludf.DUMMYFUNCTION("""COMPUTED_VALUE"""),13.26)</f>
        <v>13.26</v>
      </c>
      <c r="C130" s="1">
        <f ca="1">IFERROR(__xludf.DUMMYFUNCTION("""COMPUTED_VALUE"""),13.26)</f>
        <v>13.26</v>
      </c>
      <c r="D130" s="1">
        <f ca="1">IFERROR(__xludf.DUMMYFUNCTION("""COMPUTED_VALUE"""),13.19)</f>
        <v>13.19</v>
      </c>
      <c r="E130" s="1">
        <f ca="1">IFERROR(__xludf.DUMMYFUNCTION("""COMPUTED_VALUE"""),13.2)</f>
        <v>13.2</v>
      </c>
      <c r="F130" s="1">
        <f ca="1">IFERROR(__xludf.DUMMYFUNCTION("""COMPUTED_VALUE"""),4833)</f>
        <v>4833</v>
      </c>
    </row>
    <row r="131" spans="1:6" ht="15.75" customHeight="1">
      <c r="A131" s="10">
        <f ca="1">IFERROR(__xludf.DUMMYFUNCTION("""COMPUTED_VALUE"""),44013.6666666666)</f>
        <v>44013.666666666599</v>
      </c>
      <c r="B131" s="1">
        <f ca="1">IFERROR(__xludf.DUMMYFUNCTION("""COMPUTED_VALUE"""),13.29)</f>
        <v>13.29</v>
      </c>
      <c r="C131" s="1">
        <f ca="1">IFERROR(__xludf.DUMMYFUNCTION("""COMPUTED_VALUE"""),13.29)</f>
        <v>13.29</v>
      </c>
      <c r="D131" s="1">
        <f ca="1">IFERROR(__xludf.DUMMYFUNCTION("""COMPUTED_VALUE"""),13.21)</f>
        <v>13.21</v>
      </c>
      <c r="E131" s="1">
        <f ca="1">IFERROR(__xludf.DUMMYFUNCTION("""COMPUTED_VALUE"""),13.28)</f>
        <v>13.28</v>
      </c>
      <c r="F131" s="1">
        <f ca="1">IFERROR(__xludf.DUMMYFUNCTION("""COMPUTED_VALUE"""),5201)</f>
        <v>5201</v>
      </c>
    </row>
    <row r="132" spans="1:6" ht="15.75" customHeight="1">
      <c r="A132" s="10">
        <f ca="1">IFERROR(__xludf.DUMMYFUNCTION("""COMPUTED_VALUE"""),44014.6666666666)</f>
        <v>44014.666666666599</v>
      </c>
      <c r="B132" s="1">
        <f ca="1">IFERROR(__xludf.DUMMYFUNCTION("""COMPUTED_VALUE"""),13.3)</f>
        <v>13.3</v>
      </c>
      <c r="C132" s="1">
        <f ca="1">IFERROR(__xludf.DUMMYFUNCTION("""COMPUTED_VALUE"""),13.4)</f>
        <v>13.4</v>
      </c>
      <c r="D132" s="1">
        <f ca="1">IFERROR(__xludf.DUMMYFUNCTION("""COMPUTED_VALUE"""),13.3)</f>
        <v>13.3</v>
      </c>
      <c r="E132" s="1">
        <f ca="1">IFERROR(__xludf.DUMMYFUNCTION("""COMPUTED_VALUE"""),13.35)</f>
        <v>13.35</v>
      </c>
      <c r="F132" s="1">
        <f ca="1">IFERROR(__xludf.DUMMYFUNCTION("""COMPUTED_VALUE"""),5258)</f>
        <v>5258</v>
      </c>
    </row>
    <row r="133" spans="1:6" ht="15.75" customHeight="1">
      <c r="A133" s="10">
        <f ca="1">IFERROR(__xludf.DUMMYFUNCTION("""COMPUTED_VALUE"""),44018.6666666666)</f>
        <v>44018.666666666599</v>
      </c>
      <c r="B133" s="1">
        <f ca="1">IFERROR(__xludf.DUMMYFUNCTION("""COMPUTED_VALUE"""),13.31)</f>
        <v>13.31</v>
      </c>
      <c r="C133" s="1">
        <f ca="1">IFERROR(__xludf.DUMMYFUNCTION("""COMPUTED_VALUE"""),13.39)</f>
        <v>13.39</v>
      </c>
      <c r="D133" s="1">
        <f ca="1">IFERROR(__xludf.DUMMYFUNCTION("""COMPUTED_VALUE"""),13.29)</f>
        <v>13.29</v>
      </c>
      <c r="E133" s="1">
        <f ca="1">IFERROR(__xludf.DUMMYFUNCTION("""COMPUTED_VALUE"""),13.39)</f>
        <v>13.39</v>
      </c>
      <c r="F133" s="1">
        <f ca="1">IFERROR(__xludf.DUMMYFUNCTION("""COMPUTED_VALUE"""),5845)</f>
        <v>5845</v>
      </c>
    </row>
    <row r="134" spans="1:6" ht="15.75" customHeight="1">
      <c r="A134" s="10">
        <f ca="1">IFERROR(__xludf.DUMMYFUNCTION("""COMPUTED_VALUE"""),44019.6666666666)</f>
        <v>44019.666666666599</v>
      </c>
      <c r="B134" s="1">
        <f ca="1">IFERROR(__xludf.DUMMYFUNCTION("""COMPUTED_VALUE"""),13.39)</f>
        <v>13.39</v>
      </c>
      <c r="C134" s="1">
        <f ca="1">IFERROR(__xludf.DUMMYFUNCTION("""COMPUTED_VALUE"""),13.41)</f>
        <v>13.41</v>
      </c>
      <c r="D134" s="1">
        <f ca="1">IFERROR(__xludf.DUMMYFUNCTION("""COMPUTED_VALUE"""),13.34)</f>
        <v>13.34</v>
      </c>
      <c r="E134" s="1">
        <f ca="1">IFERROR(__xludf.DUMMYFUNCTION("""COMPUTED_VALUE"""),13.41)</f>
        <v>13.41</v>
      </c>
      <c r="F134" s="1">
        <f ca="1">IFERROR(__xludf.DUMMYFUNCTION("""COMPUTED_VALUE"""),6420)</f>
        <v>6420</v>
      </c>
    </row>
    <row r="135" spans="1:6" ht="15.75" customHeight="1">
      <c r="A135" s="10">
        <f ca="1">IFERROR(__xludf.DUMMYFUNCTION("""COMPUTED_VALUE"""),44020.6666666666)</f>
        <v>44020.666666666599</v>
      </c>
      <c r="B135" s="1">
        <f ca="1">IFERROR(__xludf.DUMMYFUNCTION("""COMPUTED_VALUE"""),13.35)</f>
        <v>13.35</v>
      </c>
      <c r="C135" s="1">
        <f ca="1">IFERROR(__xludf.DUMMYFUNCTION("""COMPUTED_VALUE"""),13.47)</f>
        <v>13.47</v>
      </c>
      <c r="D135" s="1">
        <f ca="1">IFERROR(__xludf.DUMMYFUNCTION("""COMPUTED_VALUE"""),13.35)</f>
        <v>13.35</v>
      </c>
      <c r="E135" s="1">
        <f ca="1">IFERROR(__xludf.DUMMYFUNCTION("""COMPUTED_VALUE"""),13.44)</f>
        <v>13.44</v>
      </c>
      <c r="F135" s="1">
        <f ca="1">IFERROR(__xludf.DUMMYFUNCTION("""COMPUTED_VALUE"""),19272)</f>
        <v>19272</v>
      </c>
    </row>
    <row r="136" spans="1:6" ht="15.75" customHeight="1">
      <c r="A136" s="10">
        <f ca="1">IFERROR(__xludf.DUMMYFUNCTION("""COMPUTED_VALUE"""),44021.6666666666)</f>
        <v>44021.666666666599</v>
      </c>
      <c r="B136" s="1">
        <f ca="1">IFERROR(__xludf.DUMMYFUNCTION("""COMPUTED_VALUE"""),13.44)</f>
        <v>13.44</v>
      </c>
      <c r="C136" s="1">
        <f ca="1">IFERROR(__xludf.DUMMYFUNCTION("""COMPUTED_VALUE"""),13.46)</f>
        <v>13.46</v>
      </c>
      <c r="D136" s="1">
        <f ca="1">IFERROR(__xludf.DUMMYFUNCTION("""COMPUTED_VALUE"""),13.4)</f>
        <v>13.4</v>
      </c>
      <c r="E136" s="1">
        <f ca="1">IFERROR(__xludf.DUMMYFUNCTION("""COMPUTED_VALUE"""),13.46)</f>
        <v>13.46</v>
      </c>
      <c r="F136" s="1">
        <f ca="1">IFERROR(__xludf.DUMMYFUNCTION("""COMPUTED_VALUE"""),818)</f>
        <v>818</v>
      </c>
    </row>
    <row r="137" spans="1:6" ht="15.75" customHeight="1">
      <c r="A137" s="10">
        <f ca="1">IFERROR(__xludf.DUMMYFUNCTION("""COMPUTED_VALUE"""),44022.6666666666)</f>
        <v>44022.666666666599</v>
      </c>
      <c r="B137" s="1">
        <f ca="1">IFERROR(__xludf.DUMMYFUNCTION("""COMPUTED_VALUE"""),13.59)</f>
        <v>13.59</v>
      </c>
      <c r="C137" s="1">
        <f ca="1">IFERROR(__xludf.DUMMYFUNCTION("""COMPUTED_VALUE"""),13.59)</f>
        <v>13.59</v>
      </c>
      <c r="D137" s="1">
        <f ca="1">IFERROR(__xludf.DUMMYFUNCTION("""COMPUTED_VALUE"""),13.48)</f>
        <v>13.48</v>
      </c>
      <c r="E137" s="1">
        <f ca="1">IFERROR(__xludf.DUMMYFUNCTION("""COMPUTED_VALUE"""),13.48)</f>
        <v>13.48</v>
      </c>
      <c r="F137" s="1">
        <f ca="1">IFERROR(__xludf.DUMMYFUNCTION("""COMPUTED_VALUE"""),2172)</f>
        <v>2172</v>
      </c>
    </row>
    <row r="138" spans="1:6" ht="15.75" customHeight="1">
      <c r="A138" s="10">
        <f ca="1">IFERROR(__xludf.DUMMYFUNCTION("""COMPUTED_VALUE"""),44025.6666666666)</f>
        <v>44025.666666666599</v>
      </c>
      <c r="B138" s="1">
        <f ca="1">IFERROR(__xludf.DUMMYFUNCTION("""COMPUTED_VALUE"""),13.55)</f>
        <v>13.55</v>
      </c>
      <c r="C138" s="1">
        <f ca="1">IFERROR(__xludf.DUMMYFUNCTION("""COMPUTED_VALUE"""),13.57)</f>
        <v>13.57</v>
      </c>
      <c r="D138" s="1">
        <f ca="1">IFERROR(__xludf.DUMMYFUNCTION("""COMPUTED_VALUE"""),13.45)</f>
        <v>13.45</v>
      </c>
      <c r="E138" s="1">
        <f ca="1">IFERROR(__xludf.DUMMYFUNCTION("""COMPUTED_VALUE"""),13.45)</f>
        <v>13.45</v>
      </c>
      <c r="F138" s="1">
        <f ca="1">IFERROR(__xludf.DUMMYFUNCTION("""COMPUTED_VALUE"""),7872)</f>
        <v>7872</v>
      </c>
    </row>
    <row r="139" spans="1:6" ht="15.75" customHeight="1">
      <c r="A139" s="10">
        <f ca="1">IFERROR(__xludf.DUMMYFUNCTION("""COMPUTED_VALUE"""),44026.6666666666)</f>
        <v>44026.666666666599</v>
      </c>
      <c r="B139" s="1">
        <f ca="1">IFERROR(__xludf.DUMMYFUNCTION("""COMPUTED_VALUE"""),13.43)</f>
        <v>13.43</v>
      </c>
      <c r="C139" s="1">
        <f ca="1">IFERROR(__xludf.DUMMYFUNCTION("""COMPUTED_VALUE"""),13.43)</f>
        <v>13.43</v>
      </c>
      <c r="D139" s="1">
        <f ca="1">IFERROR(__xludf.DUMMYFUNCTION("""COMPUTED_VALUE"""),13.4)</f>
        <v>13.4</v>
      </c>
      <c r="E139" s="1">
        <f ca="1">IFERROR(__xludf.DUMMYFUNCTION("""COMPUTED_VALUE"""),13.4)</f>
        <v>13.4</v>
      </c>
      <c r="F139" s="1">
        <f ca="1">IFERROR(__xludf.DUMMYFUNCTION("""COMPUTED_VALUE"""),2935)</f>
        <v>2935</v>
      </c>
    </row>
    <row r="140" spans="1:6" ht="15.75" customHeight="1">
      <c r="A140" s="10">
        <f ca="1">IFERROR(__xludf.DUMMYFUNCTION("""COMPUTED_VALUE"""),44027.6666666666)</f>
        <v>44027.666666666599</v>
      </c>
      <c r="B140" s="1">
        <f ca="1">IFERROR(__xludf.DUMMYFUNCTION("""COMPUTED_VALUE"""),13.41)</f>
        <v>13.41</v>
      </c>
      <c r="C140" s="1">
        <f ca="1">IFERROR(__xludf.DUMMYFUNCTION("""COMPUTED_VALUE"""),13.41)</f>
        <v>13.41</v>
      </c>
      <c r="D140" s="1">
        <f ca="1">IFERROR(__xludf.DUMMYFUNCTION("""COMPUTED_VALUE"""),13.4)</f>
        <v>13.4</v>
      </c>
      <c r="E140" s="1">
        <f ca="1">IFERROR(__xludf.DUMMYFUNCTION("""COMPUTED_VALUE"""),13.4)</f>
        <v>13.4</v>
      </c>
      <c r="F140" s="1">
        <f ca="1">IFERROR(__xludf.DUMMYFUNCTION("""COMPUTED_VALUE"""),1403)</f>
        <v>1403</v>
      </c>
    </row>
    <row r="141" spans="1:6" ht="15.75" customHeight="1">
      <c r="A141" s="10">
        <f ca="1">IFERROR(__xludf.DUMMYFUNCTION("""COMPUTED_VALUE"""),44028.6666666666)</f>
        <v>44028.666666666599</v>
      </c>
      <c r="B141" s="1">
        <f ca="1">IFERROR(__xludf.DUMMYFUNCTION("""COMPUTED_VALUE"""),13.38)</f>
        <v>13.38</v>
      </c>
      <c r="C141" s="1">
        <f ca="1">IFERROR(__xludf.DUMMYFUNCTION("""COMPUTED_VALUE"""),13.43)</f>
        <v>13.43</v>
      </c>
      <c r="D141" s="1">
        <f ca="1">IFERROR(__xludf.DUMMYFUNCTION("""COMPUTED_VALUE"""),13.32)</f>
        <v>13.32</v>
      </c>
      <c r="E141" s="1">
        <f ca="1">IFERROR(__xludf.DUMMYFUNCTION("""COMPUTED_VALUE"""),13.32)</f>
        <v>13.32</v>
      </c>
      <c r="F141" s="1">
        <f ca="1">IFERROR(__xludf.DUMMYFUNCTION("""COMPUTED_VALUE"""),6086)</f>
        <v>6086</v>
      </c>
    </row>
    <row r="142" spans="1:6" ht="15.75" customHeight="1">
      <c r="A142" s="10">
        <f ca="1">IFERROR(__xludf.DUMMYFUNCTION("""COMPUTED_VALUE"""),44029.6666666666)</f>
        <v>44029.666666666599</v>
      </c>
      <c r="B142" s="1">
        <f ca="1">IFERROR(__xludf.DUMMYFUNCTION("""COMPUTED_VALUE"""),13.4)</f>
        <v>13.4</v>
      </c>
      <c r="C142" s="1">
        <f ca="1">IFERROR(__xludf.DUMMYFUNCTION("""COMPUTED_VALUE"""),13.4)</f>
        <v>13.4</v>
      </c>
      <c r="D142" s="1">
        <f ca="1">IFERROR(__xludf.DUMMYFUNCTION("""COMPUTED_VALUE"""),13.37)</f>
        <v>13.37</v>
      </c>
      <c r="E142" s="1">
        <f ca="1">IFERROR(__xludf.DUMMYFUNCTION("""COMPUTED_VALUE"""),13.37)</f>
        <v>13.37</v>
      </c>
      <c r="F142" s="1">
        <f ca="1">IFERROR(__xludf.DUMMYFUNCTION("""COMPUTED_VALUE"""),5920)</f>
        <v>5920</v>
      </c>
    </row>
    <row r="143" spans="1:6" ht="15.75" customHeight="1">
      <c r="A143" s="10">
        <f ca="1">IFERROR(__xludf.DUMMYFUNCTION("""COMPUTED_VALUE"""),44032.6666666666)</f>
        <v>44032.666666666599</v>
      </c>
      <c r="B143" s="1">
        <f ca="1">IFERROR(__xludf.DUMMYFUNCTION("""COMPUTED_VALUE"""),13.39)</f>
        <v>13.39</v>
      </c>
      <c r="C143" s="1">
        <f ca="1">IFERROR(__xludf.DUMMYFUNCTION("""COMPUTED_VALUE"""),13.4)</f>
        <v>13.4</v>
      </c>
      <c r="D143" s="1">
        <f ca="1">IFERROR(__xludf.DUMMYFUNCTION("""COMPUTED_VALUE"""),13.35)</f>
        <v>13.35</v>
      </c>
      <c r="E143" s="1">
        <f ca="1">IFERROR(__xludf.DUMMYFUNCTION("""COMPUTED_VALUE"""),13.37)</f>
        <v>13.37</v>
      </c>
      <c r="F143" s="1">
        <f ca="1">IFERROR(__xludf.DUMMYFUNCTION("""COMPUTED_VALUE"""),10404)</f>
        <v>10404</v>
      </c>
    </row>
    <row r="144" spans="1:6" ht="15.75" customHeight="1">
      <c r="A144" s="10">
        <f ca="1">IFERROR(__xludf.DUMMYFUNCTION("""COMPUTED_VALUE"""),44033.6666666666)</f>
        <v>44033.666666666599</v>
      </c>
      <c r="B144" s="1">
        <f ca="1">IFERROR(__xludf.DUMMYFUNCTION("""COMPUTED_VALUE"""),13.39)</f>
        <v>13.39</v>
      </c>
      <c r="C144" s="1">
        <f ca="1">IFERROR(__xludf.DUMMYFUNCTION("""COMPUTED_VALUE"""),13.47)</f>
        <v>13.47</v>
      </c>
      <c r="D144" s="1">
        <f ca="1">IFERROR(__xludf.DUMMYFUNCTION("""COMPUTED_VALUE"""),13.39)</f>
        <v>13.39</v>
      </c>
      <c r="E144" s="1">
        <f ca="1">IFERROR(__xludf.DUMMYFUNCTION("""COMPUTED_VALUE"""),13.47)</f>
        <v>13.47</v>
      </c>
      <c r="F144" s="1">
        <f ca="1">IFERROR(__xludf.DUMMYFUNCTION("""COMPUTED_VALUE"""),4958)</f>
        <v>4958</v>
      </c>
    </row>
    <row r="145" spans="1:6" ht="15.75" customHeight="1">
      <c r="A145" s="10">
        <f ca="1">IFERROR(__xludf.DUMMYFUNCTION("""COMPUTED_VALUE"""),44034.6666666666)</f>
        <v>44034.666666666599</v>
      </c>
      <c r="B145" s="1">
        <f ca="1">IFERROR(__xludf.DUMMYFUNCTION("""COMPUTED_VALUE"""),13.48)</f>
        <v>13.48</v>
      </c>
      <c r="C145" s="1">
        <f ca="1">IFERROR(__xludf.DUMMYFUNCTION("""COMPUTED_VALUE"""),13.51)</f>
        <v>13.51</v>
      </c>
      <c r="D145" s="1">
        <f ca="1">IFERROR(__xludf.DUMMYFUNCTION("""COMPUTED_VALUE"""),13.48)</f>
        <v>13.48</v>
      </c>
      <c r="E145" s="1">
        <f ca="1">IFERROR(__xludf.DUMMYFUNCTION("""COMPUTED_VALUE"""),13.48)</f>
        <v>13.48</v>
      </c>
      <c r="F145" s="1">
        <f ca="1">IFERROR(__xludf.DUMMYFUNCTION("""COMPUTED_VALUE"""),4317)</f>
        <v>4317</v>
      </c>
    </row>
    <row r="146" spans="1:6" ht="15.75" customHeight="1">
      <c r="A146" s="10">
        <f ca="1">IFERROR(__xludf.DUMMYFUNCTION("""COMPUTED_VALUE"""),44035.6666666666)</f>
        <v>44035.666666666599</v>
      </c>
      <c r="B146" s="1">
        <f ca="1">IFERROR(__xludf.DUMMYFUNCTION("""COMPUTED_VALUE"""),13.51)</f>
        <v>13.51</v>
      </c>
      <c r="C146" s="1">
        <f ca="1">IFERROR(__xludf.DUMMYFUNCTION("""COMPUTED_VALUE"""),13.55)</f>
        <v>13.55</v>
      </c>
      <c r="D146" s="1">
        <f ca="1">IFERROR(__xludf.DUMMYFUNCTION("""COMPUTED_VALUE"""),13.51)</f>
        <v>13.51</v>
      </c>
      <c r="E146" s="1">
        <f ca="1">IFERROR(__xludf.DUMMYFUNCTION("""COMPUTED_VALUE"""),13.54)</f>
        <v>13.54</v>
      </c>
      <c r="F146" s="1">
        <f ca="1">IFERROR(__xludf.DUMMYFUNCTION("""COMPUTED_VALUE"""),7433)</f>
        <v>7433</v>
      </c>
    </row>
    <row r="147" spans="1:6" ht="15.75" customHeight="1">
      <c r="A147" s="10">
        <f ca="1">IFERROR(__xludf.DUMMYFUNCTION("""COMPUTED_VALUE"""),44036.6666666666)</f>
        <v>44036.666666666599</v>
      </c>
      <c r="B147" s="1">
        <f ca="1">IFERROR(__xludf.DUMMYFUNCTION("""COMPUTED_VALUE"""),13.48)</f>
        <v>13.48</v>
      </c>
      <c r="C147" s="1">
        <f ca="1">IFERROR(__xludf.DUMMYFUNCTION("""COMPUTED_VALUE"""),13.54)</f>
        <v>13.54</v>
      </c>
      <c r="D147" s="1">
        <f ca="1">IFERROR(__xludf.DUMMYFUNCTION("""COMPUTED_VALUE"""),13.48)</f>
        <v>13.48</v>
      </c>
      <c r="E147" s="1">
        <f ca="1">IFERROR(__xludf.DUMMYFUNCTION("""COMPUTED_VALUE"""),13.54)</f>
        <v>13.54</v>
      </c>
      <c r="F147" s="1">
        <f ca="1">IFERROR(__xludf.DUMMYFUNCTION("""COMPUTED_VALUE"""),4871)</f>
        <v>4871</v>
      </c>
    </row>
    <row r="148" spans="1:6" ht="15.75" customHeight="1">
      <c r="A148" s="10">
        <f ca="1">IFERROR(__xludf.DUMMYFUNCTION("""COMPUTED_VALUE"""),44039.6666666666)</f>
        <v>44039.666666666599</v>
      </c>
      <c r="B148" s="1">
        <f ca="1">IFERROR(__xludf.DUMMYFUNCTION("""COMPUTED_VALUE"""),13.57)</f>
        <v>13.57</v>
      </c>
      <c r="C148" s="1">
        <f ca="1">IFERROR(__xludf.DUMMYFUNCTION("""COMPUTED_VALUE"""),13.57)</f>
        <v>13.57</v>
      </c>
      <c r="D148" s="1">
        <f ca="1">IFERROR(__xludf.DUMMYFUNCTION("""COMPUTED_VALUE"""),13.5)</f>
        <v>13.5</v>
      </c>
      <c r="E148" s="1">
        <f ca="1">IFERROR(__xludf.DUMMYFUNCTION("""COMPUTED_VALUE"""),13.51)</f>
        <v>13.51</v>
      </c>
      <c r="F148" s="1">
        <f ca="1">IFERROR(__xludf.DUMMYFUNCTION("""COMPUTED_VALUE"""),8221)</f>
        <v>8221</v>
      </c>
    </row>
    <row r="149" spans="1:6" ht="15.75" customHeight="1">
      <c r="A149" s="10">
        <f ca="1">IFERROR(__xludf.DUMMYFUNCTION("""COMPUTED_VALUE"""),44040.6666666666)</f>
        <v>44040.666666666599</v>
      </c>
      <c r="B149" s="1">
        <f ca="1">IFERROR(__xludf.DUMMYFUNCTION("""COMPUTED_VALUE"""),13.53)</f>
        <v>13.53</v>
      </c>
      <c r="C149" s="1">
        <f ca="1">IFERROR(__xludf.DUMMYFUNCTION("""COMPUTED_VALUE"""),13.6)</f>
        <v>13.6</v>
      </c>
      <c r="D149" s="1">
        <f ca="1">IFERROR(__xludf.DUMMYFUNCTION("""COMPUTED_VALUE"""),13.52)</f>
        <v>13.52</v>
      </c>
      <c r="E149" s="1">
        <f ca="1">IFERROR(__xludf.DUMMYFUNCTION("""COMPUTED_VALUE"""),13.52)</f>
        <v>13.52</v>
      </c>
      <c r="F149" s="1">
        <f ca="1">IFERROR(__xludf.DUMMYFUNCTION("""COMPUTED_VALUE"""),13187)</f>
        <v>13187</v>
      </c>
    </row>
    <row r="150" spans="1:6" ht="15.75" customHeight="1">
      <c r="A150" s="10">
        <f ca="1">IFERROR(__xludf.DUMMYFUNCTION("""COMPUTED_VALUE"""),44041.6666666666)</f>
        <v>44041.666666666599</v>
      </c>
      <c r="B150" s="1">
        <f ca="1">IFERROR(__xludf.DUMMYFUNCTION("""COMPUTED_VALUE"""),13.5)</f>
        <v>13.5</v>
      </c>
      <c r="C150" s="1">
        <f ca="1">IFERROR(__xludf.DUMMYFUNCTION("""COMPUTED_VALUE"""),13.59)</f>
        <v>13.59</v>
      </c>
      <c r="D150" s="1">
        <f ca="1">IFERROR(__xludf.DUMMYFUNCTION("""COMPUTED_VALUE"""),13.5)</f>
        <v>13.5</v>
      </c>
      <c r="E150" s="1">
        <f ca="1">IFERROR(__xludf.DUMMYFUNCTION("""COMPUTED_VALUE"""),13.53)</f>
        <v>13.53</v>
      </c>
      <c r="F150" s="1">
        <f ca="1">IFERROR(__xludf.DUMMYFUNCTION("""COMPUTED_VALUE"""),9903)</f>
        <v>9903</v>
      </c>
    </row>
    <row r="151" spans="1:6" ht="15.75" customHeight="1">
      <c r="A151" s="10">
        <f ca="1">IFERROR(__xludf.DUMMYFUNCTION("""COMPUTED_VALUE"""),44042.6666666666)</f>
        <v>44042.666666666599</v>
      </c>
      <c r="B151" s="1">
        <f ca="1">IFERROR(__xludf.DUMMYFUNCTION("""COMPUTED_VALUE"""),13.51)</f>
        <v>13.51</v>
      </c>
      <c r="C151" s="1">
        <f ca="1">IFERROR(__xludf.DUMMYFUNCTION("""COMPUTED_VALUE"""),13.63)</f>
        <v>13.63</v>
      </c>
      <c r="D151" s="1">
        <f ca="1">IFERROR(__xludf.DUMMYFUNCTION("""COMPUTED_VALUE"""),13.51)</f>
        <v>13.51</v>
      </c>
      <c r="E151" s="1">
        <f ca="1">IFERROR(__xludf.DUMMYFUNCTION("""COMPUTED_VALUE"""),13.62)</f>
        <v>13.62</v>
      </c>
      <c r="F151" s="1">
        <f ca="1">IFERROR(__xludf.DUMMYFUNCTION("""COMPUTED_VALUE"""),10015)</f>
        <v>10015</v>
      </c>
    </row>
    <row r="152" spans="1:6" ht="15.75" customHeight="1">
      <c r="A152" s="10">
        <f ca="1">IFERROR(__xludf.DUMMYFUNCTION("""COMPUTED_VALUE"""),44043.6666666666)</f>
        <v>44043.666666666599</v>
      </c>
      <c r="B152" s="1">
        <f ca="1">IFERROR(__xludf.DUMMYFUNCTION("""COMPUTED_VALUE"""),13.6)</f>
        <v>13.6</v>
      </c>
      <c r="C152" s="1">
        <f ca="1">IFERROR(__xludf.DUMMYFUNCTION("""COMPUTED_VALUE"""),13.66)</f>
        <v>13.66</v>
      </c>
      <c r="D152" s="1">
        <f ca="1">IFERROR(__xludf.DUMMYFUNCTION("""COMPUTED_VALUE"""),13.6)</f>
        <v>13.6</v>
      </c>
      <c r="E152" s="1">
        <f ca="1">IFERROR(__xludf.DUMMYFUNCTION("""COMPUTED_VALUE"""),13.63)</f>
        <v>13.63</v>
      </c>
      <c r="F152" s="1">
        <f ca="1">IFERROR(__xludf.DUMMYFUNCTION("""COMPUTED_VALUE"""),4184)</f>
        <v>4184</v>
      </c>
    </row>
    <row r="153" spans="1:6" ht="15.75" customHeight="1">
      <c r="A153" s="10">
        <f ca="1">IFERROR(__xludf.DUMMYFUNCTION("""COMPUTED_VALUE"""),44046.6666666666)</f>
        <v>44046.666666666599</v>
      </c>
      <c r="B153" s="1">
        <f ca="1">IFERROR(__xludf.DUMMYFUNCTION("""COMPUTED_VALUE"""),13.66)</f>
        <v>13.66</v>
      </c>
      <c r="C153" s="1">
        <f ca="1">IFERROR(__xludf.DUMMYFUNCTION("""COMPUTED_VALUE"""),13.72)</f>
        <v>13.72</v>
      </c>
      <c r="D153" s="1">
        <f ca="1">IFERROR(__xludf.DUMMYFUNCTION("""COMPUTED_VALUE"""),13.64)</f>
        <v>13.64</v>
      </c>
      <c r="E153" s="1">
        <f ca="1">IFERROR(__xludf.DUMMYFUNCTION("""COMPUTED_VALUE"""),13.65)</f>
        <v>13.65</v>
      </c>
      <c r="F153" s="1">
        <f ca="1">IFERROR(__xludf.DUMMYFUNCTION("""COMPUTED_VALUE"""),13258)</f>
        <v>13258</v>
      </c>
    </row>
    <row r="154" spans="1:6" ht="15.75" customHeight="1">
      <c r="A154" s="10">
        <f ca="1">IFERROR(__xludf.DUMMYFUNCTION("""COMPUTED_VALUE"""),44047.6666666666)</f>
        <v>44047.666666666599</v>
      </c>
      <c r="B154" s="1">
        <f ca="1">IFERROR(__xludf.DUMMYFUNCTION("""COMPUTED_VALUE"""),13.65)</f>
        <v>13.65</v>
      </c>
      <c r="C154" s="1">
        <f ca="1">IFERROR(__xludf.DUMMYFUNCTION("""COMPUTED_VALUE"""),13.68)</f>
        <v>13.68</v>
      </c>
      <c r="D154" s="1">
        <f ca="1">IFERROR(__xludf.DUMMYFUNCTION("""COMPUTED_VALUE"""),13.64)</f>
        <v>13.64</v>
      </c>
      <c r="E154" s="1">
        <f ca="1">IFERROR(__xludf.DUMMYFUNCTION("""COMPUTED_VALUE"""),13.68)</f>
        <v>13.68</v>
      </c>
      <c r="F154" s="1">
        <f ca="1">IFERROR(__xludf.DUMMYFUNCTION("""COMPUTED_VALUE"""),17356)</f>
        <v>17356</v>
      </c>
    </row>
    <row r="155" spans="1:6" ht="15.75" customHeight="1">
      <c r="A155" s="10">
        <f ca="1">IFERROR(__xludf.DUMMYFUNCTION("""COMPUTED_VALUE"""),44048.6666666666)</f>
        <v>44048.666666666599</v>
      </c>
      <c r="B155" s="1">
        <f ca="1">IFERROR(__xludf.DUMMYFUNCTION("""COMPUTED_VALUE"""),13.68)</f>
        <v>13.68</v>
      </c>
      <c r="C155" s="1">
        <f ca="1">IFERROR(__xludf.DUMMYFUNCTION("""COMPUTED_VALUE"""),13.8)</f>
        <v>13.8</v>
      </c>
      <c r="D155" s="1">
        <f ca="1">IFERROR(__xludf.DUMMYFUNCTION("""COMPUTED_VALUE"""),13.68)</f>
        <v>13.68</v>
      </c>
      <c r="E155" s="1">
        <f ca="1">IFERROR(__xludf.DUMMYFUNCTION("""COMPUTED_VALUE"""),13.77)</f>
        <v>13.77</v>
      </c>
      <c r="F155" s="1">
        <f ca="1">IFERROR(__xludf.DUMMYFUNCTION("""COMPUTED_VALUE"""),30713)</f>
        <v>30713</v>
      </c>
    </row>
    <row r="156" spans="1:6" ht="15.75" customHeight="1">
      <c r="A156" s="10">
        <f ca="1">IFERROR(__xludf.DUMMYFUNCTION("""COMPUTED_VALUE"""),44049.6666666666)</f>
        <v>44049.666666666599</v>
      </c>
      <c r="B156" s="1">
        <f ca="1">IFERROR(__xludf.DUMMYFUNCTION("""COMPUTED_VALUE"""),13.77)</f>
        <v>13.77</v>
      </c>
      <c r="C156" s="1">
        <f ca="1">IFERROR(__xludf.DUMMYFUNCTION("""COMPUTED_VALUE"""),13.78)</f>
        <v>13.78</v>
      </c>
      <c r="D156" s="1">
        <f ca="1">IFERROR(__xludf.DUMMYFUNCTION("""COMPUTED_VALUE"""),13.76)</f>
        <v>13.76</v>
      </c>
      <c r="E156" s="1">
        <f ca="1">IFERROR(__xludf.DUMMYFUNCTION("""COMPUTED_VALUE"""),13.78)</f>
        <v>13.78</v>
      </c>
      <c r="F156" s="1">
        <f ca="1">IFERROR(__xludf.DUMMYFUNCTION("""COMPUTED_VALUE"""),3835)</f>
        <v>3835</v>
      </c>
    </row>
    <row r="157" spans="1:6" ht="15.75" customHeight="1">
      <c r="A157" s="10">
        <f ca="1">IFERROR(__xludf.DUMMYFUNCTION("""COMPUTED_VALUE"""),44050.6666666666)</f>
        <v>44050.666666666599</v>
      </c>
      <c r="B157" s="1">
        <f ca="1">IFERROR(__xludf.DUMMYFUNCTION("""COMPUTED_VALUE"""),13.82)</f>
        <v>13.82</v>
      </c>
      <c r="C157" s="1">
        <f ca="1">IFERROR(__xludf.DUMMYFUNCTION("""COMPUTED_VALUE"""),13.89)</f>
        <v>13.89</v>
      </c>
      <c r="D157" s="1">
        <f ca="1">IFERROR(__xludf.DUMMYFUNCTION("""COMPUTED_VALUE"""),13.82)</f>
        <v>13.82</v>
      </c>
      <c r="E157" s="1">
        <f ca="1">IFERROR(__xludf.DUMMYFUNCTION("""COMPUTED_VALUE"""),13.87)</f>
        <v>13.87</v>
      </c>
      <c r="F157" s="1">
        <f ca="1">IFERROR(__xludf.DUMMYFUNCTION("""COMPUTED_VALUE"""),4551)</f>
        <v>4551</v>
      </c>
    </row>
    <row r="158" spans="1:6" ht="15.75" customHeight="1">
      <c r="A158" s="10">
        <f ca="1">IFERROR(__xludf.DUMMYFUNCTION("""COMPUTED_VALUE"""),44053.6666666666)</f>
        <v>44053.666666666599</v>
      </c>
      <c r="B158" s="1">
        <f ca="1">IFERROR(__xludf.DUMMYFUNCTION("""COMPUTED_VALUE"""),13.85)</f>
        <v>13.85</v>
      </c>
      <c r="C158" s="1">
        <f ca="1">IFERROR(__xludf.DUMMYFUNCTION("""COMPUTED_VALUE"""),13.98)</f>
        <v>13.98</v>
      </c>
      <c r="D158" s="1">
        <f ca="1">IFERROR(__xludf.DUMMYFUNCTION("""COMPUTED_VALUE"""),13.81)</f>
        <v>13.81</v>
      </c>
      <c r="E158" s="1">
        <f ca="1">IFERROR(__xludf.DUMMYFUNCTION("""COMPUTED_VALUE"""),13.91)</f>
        <v>13.91</v>
      </c>
      <c r="F158" s="1">
        <f ca="1">IFERROR(__xludf.DUMMYFUNCTION("""COMPUTED_VALUE"""),19206)</f>
        <v>19206</v>
      </c>
    </row>
    <row r="159" spans="1:6" ht="15.75" customHeight="1">
      <c r="A159" s="10">
        <f ca="1">IFERROR(__xludf.DUMMYFUNCTION("""COMPUTED_VALUE"""),44054.6666666666)</f>
        <v>44054.666666666599</v>
      </c>
      <c r="B159" s="1">
        <f ca="1">IFERROR(__xludf.DUMMYFUNCTION("""COMPUTED_VALUE"""),13.81)</f>
        <v>13.81</v>
      </c>
      <c r="C159" s="1">
        <f ca="1">IFERROR(__xludf.DUMMYFUNCTION("""COMPUTED_VALUE"""),13.93)</f>
        <v>13.93</v>
      </c>
      <c r="D159" s="1">
        <f ca="1">IFERROR(__xludf.DUMMYFUNCTION("""COMPUTED_VALUE"""),13.81)</f>
        <v>13.81</v>
      </c>
      <c r="E159" s="1">
        <f ca="1">IFERROR(__xludf.DUMMYFUNCTION("""COMPUTED_VALUE"""),13.83)</f>
        <v>13.83</v>
      </c>
      <c r="F159" s="1">
        <f ca="1">IFERROR(__xludf.DUMMYFUNCTION("""COMPUTED_VALUE"""),29490)</f>
        <v>29490</v>
      </c>
    </row>
    <row r="160" spans="1:6" ht="15.75" customHeight="1">
      <c r="A160" s="10">
        <f ca="1">IFERROR(__xludf.DUMMYFUNCTION("""COMPUTED_VALUE"""),44055.6666666666)</f>
        <v>44055.666666666599</v>
      </c>
      <c r="B160" s="1">
        <f ca="1">IFERROR(__xludf.DUMMYFUNCTION("""COMPUTED_VALUE"""),13.83)</f>
        <v>13.83</v>
      </c>
      <c r="C160" s="1">
        <f ca="1">IFERROR(__xludf.DUMMYFUNCTION("""COMPUTED_VALUE"""),13.97)</f>
        <v>13.97</v>
      </c>
      <c r="D160" s="1">
        <f ca="1">IFERROR(__xludf.DUMMYFUNCTION("""COMPUTED_VALUE"""),13.76)</f>
        <v>13.76</v>
      </c>
      <c r="E160" s="1">
        <f ca="1">IFERROR(__xludf.DUMMYFUNCTION("""COMPUTED_VALUE"""),13.77)</f>
        <v>13.77</v>
      </c>
      <c r="F160" s="1">
        <f ca="1">IFERROR(__xludf.DUMMYFUNCTION("""COMPUTED_VALUE"""),8165)</f>
        <v>8165</v>
      </c>
    </row>
    <row r="161" spans="1:6" ht="15.75" customHeight="1">
      <c r="A161" s="10">
        <f ca="1">IFERROR(__xludf.DUMMYFUNCTION("""COMPUTED_VALUE"""),44056.6666666666)</f>
        <v>44056.666666666599</v>
      </c>
      <c r="B161" s="1">
        <f ca="1">IFERROR(__xludf.DUMMYFUNCTION("""COMPUTED_VALUE"""),13.74)</f>
        <v>13.74</v>
      </c>
      <c r="C161" s="1">
        <f ca="1">IFERROR(__xludf.DUMMYFUNCTION("""COMPUTED_VALUE"""),13.79)</f>
        <v>13.79</v>
      </c>
      <c r="D161" s="1">
        <f ca="1">IFERROR(__xludf.DUMMYFUNCTION("""COMPUTED_VALUE"""),13.72)</f>
        <v>13.72</v>
      </c>
      <c r="E161" s="1">
        <f ca="1">IFERROR(__xludf.DUMMYFUNCTION("""COMPUTED_VALUE"""),13.72)</f>
        <v>13.72</v>
      </c>
      <c r="F161" s="1">
        <f ca="1">IFERROR(__xludf.DUMMYFUNCTION("""COMPUTED_VALUE"""),8967)</f>
        <v>8967</v>
      </c>
    </row>
    <row r="162" spans="1:6" ht="15.75" customHeight="1">
      <c r="A162" s="10">
        <f ca="1">IFERROR(__xludf.DUMMYFUNCTION("""COMPUTED_VALUE"""),44057.6666666666)</f>
        <v>44057.666666666599</v>
      </c>
      <c r="B162" s="1">
        <f ca="1">IFERROR(__xludf.DUMMYFUNCTION("""COMPUTED_VALUE"""),13.74)</f>
        <v>13.74</v>
      </c>
      <c r="C162" s="1">
        <f ca="1">IFERROR(__xludf.DUMMYFUNCTION("""COMPUTED_VALUE"""),13.74)</f>
        <v>13.74</v>
      </c>
      <c r="D162" s="1">
        <f ca="1">IFERROR(__xludf.DUMMYFUNCTION("""COMPUTED_VALUE"""),13.65)</f>
        <v>13.65</v>
      </c>
      <c r="E162" s="1">
        <f ca="1">IFERROR(__xludf.DUMMYFUNCTION("""COMPUTED_VALUE"""),13.65)</f>
        <v>13.65</v>
      </c>
      <c r="F162" s="1">
        <f ca="1">IFERROR(__xludf.DUMMYFUNCTION("""COMPUTED_VALUE"""),6531)</f>
        <v>6531</v>
      </c>
    </row>
    <row r="163" spans="1:6" ht="15.75" customHeight="1"/>
    <row r="164" spans="1:6" ht="15.75" customHeight="1"/>
    <row r="165" spans="1:6" ht="15.75" customHeight="1"/>
    <row r="166" spans="1:6" ht="15.75" customHeight="1"/>
    <row r="167" spans="1:6" ht="15.75" customHeight="1"/>
    <row r="168" spans="1:6" ht="15.75" customHeight="1"/>
    <row r="169" spans="1:6" ht="15.75" customHeight="1"/>
    <row r="170" spans="1:6" ht="15.75" customHeight="1"/>
    <row r="171" spans="1:6" ht="15.75" customHeight="1"/>
    <row r="172" spans="1:6" ht="15.75" customHeight="1"/>
    <row r="173" spans="1:6" ht="15.75" customHeight="1"/>
    <row r="174" spans="1:6" ht="15.75" customHeight="1"/>
    <row r="175" spans="1:6" ht="15.75" customHeight="1"/>
    <row r="176" spans="1: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custom" allowBlank="1" showDropDown="1" showErrorMessage="1" sqref="C2:D2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1" max="1" width="22.28515625" customWidth="1"/>
    <col min="2" max="2" width="20.28515625" customWidth="1"/>
    <col min="3" max="3" width="17.42578125" customWidth="1"/>
    <col min="4" max="6" width="14.42578125" customWidth="1"/>
  </cols>
  <sheetData>
    <row r="1" spans="1:9" ht="15.75" customHeight="1">
      <c r="A1" s="11" t="s">
        <v>5</v>
      </c>
      <c r="B1" s="12" t="s">
        <v>169</v>
      </c>
      <c r="C1" s="12" t="s">
        <v>170</v>
      </c>
      <c r="D1" s="11" t="s">
        <v>171</v>
      </c>
      <c r="E1" s="11" t="s">
        <v>172</v>
      </c>
      <c r="F1" s="12" t="s">
        <v>173</v>
      </c>
      <c r="G1" s="12" t="s">
        <v>174</v>
      </c>
      <c r="H1" s="12" t="s">
        <v>175</v>
      </c>
      <c r="I1" s="12" t="s">
        <v>176</v>
      </c>
    </row>
    <row r="2" spans="1:9" ht="15.75" customHeight="1">
      <c r="A2" s="13">
        <v>43764</v>
      </c>
      <c r="B2" s="14">
        <v>83</v>
      </c>
      <c r="C2" s="15">
        <v>90</v>
      </c>
      <c r="D2" s="15">
        <v>4000</v>
      </c>
      <c r="E2" s="14">
        <v>3120</v>
      </c>
      <c r="F2" s="14">
        <v>70</v>
      </c>
      <c r="G2" s="14">
        <v>69.2</v>
      </c>
      <c r="H2" s="14">
        <v>0</v>
      </c>
      <c r="I2" s="14">
        <v>0</v>
      </c>
    </row>
    <row r="3" spans="1:9" ht="15.75" customHeight="1">
      <c r="A3" s="13">
        <v>43765</v>
      </c>
      <c r="B3" s="14">
        <v>67</v>
      </c>
      <c r="C3" s="14">
        <v>97</v>
      </c>
      <c r="D3" s="14">
        <v>4000</v>
      </c>
      <c r="E3" s="14">
        <v>4610</v>
      </c>
      <c r="F3" s="14">
        <v>70</v>
      </c>
      <c r="G3" s="14">
        <v>63.2</v>
      </c>
      <c r="H3" s="14">
        <v>1</v>
      </c>
      <c r="I3" s="14">
        <v>0</v>
      </c>
    </row>
    <row r="4" spans="1:9" ht="15.75" customHeight="1">
      <c r="A4" s="13">
        <v>43766</v>
      </c>
      <c r="B4" s="14">
        <v>81</v>
      </c>
      <c r="C4" s="14">
        <v>90</v>
      </c>
      <c r="D4" s="14">
        <v>4000</v>
      </c>
      <c r="E4" s="14">
        <v>3260</v>
      </c>
      <c r="F4" s="14">
        <v>78</v>
      </c>
      <c r="G4" s="14">
        <v>69.3</v>
      </c>
      <c r="H4" s="14">
        <v>0</v>
      </c>
      <c r="I4" s="14">
        <v>-1</v>
      </c>
    </row>
    <row r="5" spans="1:9" ht="15.75" customHeight="1">
      <c r="A5" s="13">
        <v>43767</v>
      </c>
      <c r="B5" s="14">
        <v>114</v>
      </c>
      <c r="C5" s="14">
        <v>88</v>
      </c>
      <c r="D5" s="14">
        <v>2910.73</v>
      </c>
      <c r="E5" s="14">
        <v>4400</v>
      </c>
      <c r="F5" s="14">
        <v>74</v>
      </c>
      <c r="G5" s="14">
        <v>63.2</v>
      </c>
      <c r="H5" s="14">
        <v>1</v>
      </c>
      <c r="I5" s="14">
        <v>1</v>
      </c>
    </row>
    <row r="6" spans="1:9" ht="15.75" customHeight="1">
      <c r="A6" s="13">
        <v>43768</v>
      </c>
      <c r="B6" s="14">
        <v>100</v>
      </c>
      <c r="C6" s="14">
        <v>98</v>
      </c>
      <c r="D6" s="14">
        <v>4000.98</v>
      </c>
      <c r="E6" s="14">
        <v>4260</v>
      </c>
      <c r="F6" s="14">
        <v>72</v>
      </c>
      <c r="G6" s="14">
        <v>63.2</v>
      </c>
      <c r="H6" s="14">
        <v>1</v>
      </c>
      <c r="I6" s="14">
        <v>-1</v>
      </c>
    </row>
    <row r="7" spans="1:9" ht="15.75" customHeight="1">
      <c r="A7" s="13">
        <v>43769</v>
      </c>
      <c r="B7" s="14">
        <v>107</v>
      </c>
      <c r="C7" s="14">
        <v>98</v>
      </c>
      <c r="D7" s="14">
        <v>4550.0600000000004</v>
      </c>
      <c r="E7" s="14">
        <v>4920</v>
      </c>
      <c r="F7" s="14">
        <v>73</v>
      </c>
      <c r="G7" s="14">
        <v>75</v>
      </c>
      <c r="H7" s="14">
        <v>0</v>
      </c>
      <c r="I7" s="14">
        <v>0</v>
      </c>
    </row>
    <row r="8" spans="1:9" ht="15.75" customHeight="1">
      <c r="A8" s="13">
        <v>43770</v>
      </c>
      <c r="B8" s="14">
        <v>138</v>
      </c>
      <c r="C8" s="14">
        <v>99</v>
      </c>
      <c r="D8" s="14">
        <v>4980</v>
      </c>
      <c r="E8" s="14">
        <v>4500</v>
      </c>
      <c r="F8" s="14">
        <v>78</v>
      </c>
      <c r="G8" s="14">
        <v>63.2</v>
      </c>
      <c r="H8" s="14">
        <v>0</v>
      </c>
      <c r="I8" s="14">
        <v>0</v>
      </c>
    </row>
    <row r="9" spans="1:9" ht="15.75" customHeight="1">
      <c r="A9" s="13">
        <v>43771</v>
      </c>
      <c r="B9" s="14">
        <v>67</v>
      </c>
      <c r="C9" s="14">
        <v>80</v>
      </c>
      <c r="D9" s="14">
        <v>4950</v>
      </c>
      <c r="E9" s="14">
        <v>4700</v>
      </c>
      <c r="F9" s="14">
        <v>78</v>
      </c>
      <c r="G9" s="14">
        <v>63.2</v>
      </c>
      <c r="H9" s="14">
        <v>0</v>
      </c>
      <c r="I9" s="14">
        <v>1</v>
      </c>
    </row>
    <row r="10" spans="1:9" ht="15.75" customHeight="1">
      <c r="A10" s="13">
        <v>43772</v>
      </c>
      <c r="B10" s="14">
        <v>67</v>
      </c>
      <c r="C10" s="14">
        <v>85</v>
      </c>
      <c r="D10" s="14">
        <v>5000</v>
      </c>
      <c r="E10" s="14">
        <v>4370</v>
      </c>
      <c r="F10" s="14">
        <v>70</v>
      </c>
      <c r="G10" s="14">
        <v>63.2</v>
      </c>
      <c r="H10" s="14">
        <v>-1</v>
      </c>
      <c r="I10" s="14">
        <v>0</v>
      </c>
    </row>
    <row r="11" spans="1:9" ht="15.75" customHeight="1">
      <c r="A11" s="13">
        <v>43773</v>
      </c>
      <c r="B11" s="14">
        <v>70</v>
      </c>
      <c r="C11" s="14">
        <v>88</v>
      </c>
      <c r="D11" s="14">
        <v>4100.99</v>
      </c>
      <c r="E11" s="14">
        <v>4490</v>
      </c>
      <c r="F11" s="14">
        <v>70</v>
      </c>
      <c r="G11" s="14">
        <v>63.2</v>
      </c>
      <c r="H11" s="14">
        <v>0</v>
      </c>
      <c r="I11" s="14">
        <v>1</v>
      </c>
    </row>
    <row r="12" spans="1:9" ht="15.75" customHeight="1">
      <c r="A12" s="13">
        <v>43774</v>
      </c>
      <c r="B12" s="14">
        <v>77</v>
      </c>
      <c r="C12" s="14">
        <v>58</v>
      </c>
      <c r="D12" s="14">
        <v>3280</v>
      </c>
      <c r="E12" s="14">
        <v>3310</v>
      </c>
      <c r="F12" s="14">
        <v>70</v>
      </c>
      <c r="G12" s="14">
        <v>63.2</v>
      </c>
      <c r="H12" s="14">
        <v>-1</v>
      </c>
      <c r="I12" s="14">
        <v>1</v>
      </c>
    </row>
    <row r="13" spans="1:9" ht="15.75" customHeight="1">
      <c r="A13" s="13">
        <v>43775</v>
      </c>
      <c r="B13" s="14">
        <v>67</v>
      </c>
      <c r="C13" s="14">
        <v>67</v>
      </c>
      <c r="D13" s="14">
        <v>4680</v>
      </c>
      <c r="E13" s="14">
        <v>4310</v>
      </c>
      <c r="F13" s="14">
        <v>87</v>
      </c>
      <c r="G13" s="14">
        <v>63.2</v>
      </c>
      <c r="H13" s="14">
        <v>0</v>
      </c>
      <c r="I13" s="14">
        <v>0</v>
      </c>
    </row>
    <row r="14" spans="1:9" ht="15.75" customHeight="1">
      <c r="A14" s="13">
        <v>43776</v>
      </c>
      <c r="B14" s="14">
        <v>67</v>
      </c>
      <c r="C14" s="14">
        <v>80</v>
      </c>
      <c r="D14" s="14">
        <v>4440</v>
      </c>
      <c r="E14" s="14">
        <v>3570</v>
      </c>
      <c r="F14" s="14">
        <v>98</v>
      </c>
      <c r="G14" s="14">
        <v>65.900000000000006</v>
      </c>
      <c r="H14" s="14">
        <v>0</v>
      </c>
      <c r="I14" s="14">
        <v>1</v>
      </c>
    </row>
    <row r="15" spans="1:9" ht="15.75" customHeight="1">
      <c r="A15" s="13">
        <v>43777</v>
      </c>
      <c r="B15" s="14">
        <v>80</v>
      </c>
      <c r="C15" s="14">
        <v>87</v>
      </c>
      <c r="D15" s="14">
        <v>5000</v>
      </c>
      <c r="E15" s="14">
        <v>4740</v>
      </c>
      <c r="F15" s="14">
        <v>88</v>
      </c>
      <c r="G15" s="14">
        <v>63.2</v>
      </c>
      <c r="H15" s="14">
        <v>-1</v>
      </c>
      <c r="I15" s="14">
        <v>-1</v>
      </c>
    </row>
    <row r="16" spans="1:9" ht="15.75" customHeight="1">
      <c r="A16" s="13">
        <v>43778</v>
      </c>
      <c r="B16" s="14">
        <v>95</v>
      </c>
      <c r="C16" s="14">
        <v>99</v>
      </c>
      <c r="D16" s="14">
        <v>4990</v>
      </c>
      <c r="E16" s="14">
        <v>3590</v>
      </c>
      <c r="F16" s="14">
        <v>70</v>
      </c>
      <c r="G16" s="14">
        <v>63.2</v>
      </c>
      <c r="H16" s="14">
        <v>0</v>
      </c>
      <c r="I16" s="14">
        <v>1</v>
      </c>
    </row>
    <row r="17" spans="1:9" ht="15.75" customHeight="1">
      <c r="A17" s="13">
        <v>43779</v>
      </c>
      <c r="B17" s="14">
        <v>70</v>
      </c>
      <c r="C17" s="14">
        <v>89</v>
      </c>
      <c r="D17" s="14">
        <v>4260</v>
      </c>
      <c r="E17" s="14">
        <v>4770</v>
      </c>
      <c r="F17" s="14">
        <v>70</v>
      </c>
      <c r="G17" s="14">
        <v>63.2</v>
      </c>
      <c r="H17" s="14">
        <v>0</v>
      </c>
      <c r="I17" s="14">
        <v>0</v>
      </c>
    </row>
    <row r="18" spans="1:9" ht="15.75" customHeight="1">
      <c r="A18" s="13">
        <v>43780</v>
      </c>
      <c r="B18" s="14">
        <v>70</v>
      </c>
      <c r="C18" s="14">
        <v>89</v>
      </c>
      <c r="D18" s="14">
        <v>4470</v>
      </c>
      <c r="E18" s="14">
        <v>4040</v>
      </c>
      <c r="F18" s="14">
        <v>70</v>
      </c>
      <c r="G18" s="14">
        <v>70</v>
      </c>
      <c r="H18" s="14">
        <v>0</v>
      </c>
      <c r="I18" s="14">
        <v>0</v>
      </c>
    </row>
    <row r="19" spans="1:9" ht="15.75" customHeight="1">
      <c r="A19" s="13">
        <v>43781</v>
      </c>
      <c r="B19" s="14">
        <v>70</v>
      </c>
      <c r="C19" s="14">
        <v>98</v>
      </c>
      <c r="D19" s="14">
        <v>4760</v>
      </c>
      <c r="E19" s="14">
        <v>3640</v>
      </c>
      <c r="F19" s="14">
        <v>78</v>
      </c>
      <c r="G19" s="14">
        <v>63.2</v>
      </c>
      <c r="H19" s="14">
        <v>-1</v>
      </c>
      <c r="I19" s="14">
        <v>0</v>
      </c>
    </row>
    <row r="20" spans="1:9" ht="15.75" customHeight="1">
      <c r="A20" s="13">
        <v>43782</v>
      </c>
      <c r="B20" s="14">
        <v>98</v>
      </c>
      <c r="C20" s="14">
        <v>70</v>
      </c>
      <c r="D20" s="14">
        <v>3330</v>
      </c>
      <c r="E20" s="14">
        <v>4040</v>
      </c>
      <c r="F20" s="14">
        <v>74</v>
      </c>
      <c r="G20" s="14">
        <v>63.2</v>
      </c>
      <c r="H20" s="14">
        <v>0</v>
      </c>
      <c r="I20" s="14">
        <v>0</v>
      </c>
    </row>
    <row r="21" spans="1:9" ht="15.75" customHeight="1">
      <c r="A21" s="13">
        <v>43783</v>
      </c>
      <c r="B21" s="14">
        <v>75</v>
      </c>
      <c r="C21" s="14">
        <v>94</v>
      </c>
      <c r="D21" s="14">
        <v>3710</v>
      </c>
      <c r="E21" s="14">
        <v>3360</v>
      </c>
      <c r="F21" s="14">
        <v>72</v>
      </c>
      <c r="G21" s="14">
        <v>63.2</v>
      </c>
      <c r="H21" s="14">
        <v>-1</v>
      </c>
      <c r="I21" s="14">
        <v>0</v>
      </c>
    </row>
    <row r="22" spans="1:9" ht="15.75" customHeight="1">
      <c r="A22" s="13">
        <v>43784</v>
      </c>
      <c r="B22" s="14">
        <v>67</v>
      </c>
      <c r="C22" s="14">
        <v>98</v>
      </c>
      <c r="D22" s="14">
        <v>3500.98</v>
      </c>
      <c r="E22" s="14">
        <v>3830</v>
      </c>
      <c r="F22" s="14">
        <v>73</v>
      </c>
      <c r="G22" s="14">
        <v>63.2</v>
      </c>
      <c r="H22" s="14">
        <v>-1</v>
      </c>
      <c r="I22" s="14">
        <v>0</v>
      </c>
    </row>
    <row r="23" spans="1:9" ht="15.75" customHeight="1">
      <c r="A23" s="13">
        <v>43785</v>
      </c>
      <c r="B23" s="14">
        <v>89</v>
      </c>
      <c r="C23" s="14">
        <v>99</v>
      </c>
      <c r="D23" s="14">
        <v>3200.97</v>
      </c>
      <c r="E23" s="14">
        <v>4170</v>
      </c>
      <c r="F23" s="14">
        <v>77</v>
      </c>
      <c r="G23" s="14">
        <v>63.2</v>
      </c>
      <c r="H23" s="14">
        <v>-1</v>
      </c>
      <c r="I23" s="14">
        <v>0</v>
      </c>
    </row>
    <row r="24" spans="1:9" ht="15.75" customHeight="1">
      <c r="A24" s="13">
        <v>43786</v>
      </c>
      <c r="B24" s="14">
        <v>93</v>
      </c>
      <c r="C24" s="14">
        <v>70</v>
      </c>
      <c r="D24" s="14">
        <v>5000</v>
      </c>
      <c r="E24" s="14">
        <v>4260</v>
      </c>
      <c r="F24" s="14">
        <v>87</v>
      </c>
      <c r="G24" s="14">
        <v>63.2</v>
      </c>
      <c r="H24" s="14">
        <v>1</v>
      </c>
      <c r="I24" s="14">
        <v>-1</v>
      </c>
    </row>
    <row r="25" spans="1:9" ht="15.75" customHeight="1">
      <c r="A25" s="13">
        <v>43787</v>
      </c>
      <c r="B25" s="14">
        <v>108</v>
      </c>
      <c r="C25" s="14">
        <v>99</v>
      </c>
      <c r="D25" s="14">
        <v>3990.7</v>
      </c>
      <c r="E25" s="14">
        <v>4750</v>
      </c>
      <c r="F25" s="14">
        <v>98</v>
      </c>
      <c r="G25" s="14">
        <v>63.2</v>
      </c>
      <c r="H25" s="14">
        <v>0</v>
      </c>
      <c r="I25" s="14">
        <v>-1</v>
      </c>
    </row>
    <row r="26" spans="1:9" ht="15.75" customHeight="1">
      <c r="A26" s="13">
        <v>43788</v>
      </c>
      <c r="B26" s="14">
        <v>111</v>
      </c>
      <c r="C26" s="14">
        <v>94</v>
      </c>
      <c r="D26" s="14">
        <v>4790.29</v>
      </c>
      <c r="E26" s="14">
        <v>4460</v>
      </c>
      <c r="F26" s="14">
        <v>88</v>
      </c>
      <c r="G26" s="14">
        <v>63.2</v>
      </c>
      <c r="H26" s="14">
        <v>0</v>
      </c>
      <c r="I26" s="14">
        <v>-1</v>
      </c>
    </row>
    <row r="27" spans="1:9" ht="15.75" customHeight="1">
      <c r="A27" s="13">
        <v>43789</v>
      </c>
      <c r="B27" s="14">
        <v>67</v>
      </c>
      <c r="C27" s="14">
        <v>79</v>
      </c>
      <c r="D27" s="14">
        <v>4940.3</v>
      </c>
      <c r="E27" s="14">
        <v>3930</v>
      </c>
      <c r="F27" s="14">
        <v>70</v>
      </c>
      <c r="G27" s="14">
        <v>63.2</v>
      </c>
      <c r="H27" s="14">
        <v>0</v>
      </c>
      <c r="I27" s="14">
        <v>-1</v>
      </c>
    </row>
    <row r="28" spans="1:9" ht="15.75" customHeight="1">
      <c r="A28" s="13">
        <v>43790</v>
      </c>
      <c r="B28" s="14">
        <v>60</v>
      </c>
      <c r="C28" s="14">
        <v>88</v>
      </c>
      <c r="D28" s="14">
        <v>4090.84</v>
      </c>
      <c r="E28" s="14">
        <v>3930</v>
      </c>
      <c r="F28" s="14">
        <v>70</v>
      </c>
      <c r="G28" s="14">
        <v>63.2</v>
      </c>
      <c r="H28" s="14">
        <v>-1</v>
      </c>
      <c r="I28" s="14">
        <v>1</v>
      </c>
    </row>
    <row r="29" spans="1:9" ht="15.75" customHeight="1">
      <c r="A29" s="13">
        <v>43791</v>
      </c>
      <c r="B29" s="14">
        <v>70</v>
      </c>
      <c r="C29" s="14">
        <v>89</v>
      </c>
      <c r="D29" s="14">
        <v>4459.45</v>
      </c>
      <c r="E29" s="14">
        <v>5000</v>
      </c>
      <c r="F29" s="14">
        <v>70</v>
      </c>
      <c r="G29" s="14">
        <v>63.2</v>
      </c>
      <c r="H29" s="14">
        <v>0</v>
      </c>
      <c r="I29" s="14">
        <v>0</v>
      </c>
    </row>
    <row r="30" spans="1:9" ht="15.75" customHeight="1">
      <c r="A30" s="13">
        <v>43792</v>
      </c>
      <c r="B30" s="14">
        <v>67</v>
      </c>
      <c r="C30" s="14">
        <v>76</v>
      </c>
      <c r="D30" s="14">
        <v>3000</v>
      </c>
      <c r="E30" s="14">
        <v>3100</v>
      </c>
      <c r="F30" s="14">
        <v>87</v>
      </c>
      <c r="G30" s="14">
        <v>63.2</v>
      </c>
      <c r="H30" s="14">
        <v>-1</v>
      </c>
      <c r="I30" s="14">
        <v>1</v>
      </c>
    </row>
    <row r="31" spans="1:9" ht="15.75" customHeight="1">
      <c r="A31" s="13">
        <v>43793</v>
      </c>
      <c r="B31" s="14">
        <v>67</v>
      </c>
      <c r="C31" s="14">
        <v>80</v>
      </c>
      <c r="D31" s="14">
        <v>4980</v>
      </c>
      <c r="E31" s="14">
        <v>4590</v>
      </c>
      <c r="F31" s="14">
        <v>98</v>
      </c>
      <c r="G31" s="14">
        <v>63.2</v>
      </c>
      <c r="H31" s="14">
        <v>0</v>
      </c>
      <c r="I31" s="14">
        <v>-1</v>
      </c>
    </row>
    <row r="32" spans="1:9" ht="15.75" customHeight="1">
      <c r="A32" s="13">
        <v>43794</v>
      </c>
      <c r="B32" s="14">
        <v>68</v>
      </c>
      <c r="C32" s="14">
        <v>97</v>
      </c>
      <c r="D32" s="14">
        <v>2790.48</v>
      </c>
      <c r="E32" s="14">
        <v>4690</v>
      </c>
      <c r="F32" s="14">
        <v>88</v>
      </c>
      <c r="G32" s="14">
        <v>63.2</v>
      </c>
      <c r="H32" s="14">
        <v>0</v>
      </c>
      <c r="I32" s="14">
        <v>0</v>
      </c>
    </row>
    <row r="33" spans="1:9" ht="15.75" customHeight="1">
      <c r="A33" s="13">
        <v>43795</v>
      </c>
      <c r="B33" s="14">
        <v>64</v>
      </c>
      <c r="C33" s="14">
        <v>76</v>
      </c>
      <c r="D33" s="14">
        <v>4910</v>
      </c>
      <c r="E33" s="14">
        <v>3520</v>
      </c>
      <c r="F33" s="14">
        <v>70</v>
      </c>
      <c r="G33" s="14">
        <v>63.2</v>
      </c>
      <c r="H33" s="14">
        <v>0</v>
      </c>
      <c r="I33" s="14">
        <v>-1</v>
      </c>
    </row>
    <row r="34" spans="1:9" ht="15.75" customHeight="1">
      <c r="A34" s="13">
        <v>43796</v>
      </c>
      <c r="B34" s="14">
        <v>65</v>
      </c>
      <c r="C34" s="14">
        <v>92</v>
      </c>
      <c r="D34" s="14">
        <v>4250.99</v>
      </c>
      <c r="E34" s="14">
        <v>4430</v>
      </c>
      <c r="F34" s="14">
        <v>70</v>
      </c>
      <c r="G34" s="14">
        <v>63.2</v>
      </c>
      <c r="H34" s="14">
        <v>-1</v>
      </c>
      <c r="I34" s="14">
        <v>-1</v>
      </c>
    </row>
    <row r="35" spans="1:9" ht="15.75" customHeight="1">
      <c r="A35" s="13">
        <v>43797</v>
      </c>
      <c r="B35" s="14">
        <v>71</v>
      </c>
      <c r="C35" s="14">
        <v>97</v>
      </c>
      <c r="D35" s="14">
        <v>4230</v>
      </c>
      <c r="E35" s="14">
        <v>4910</v>
      </c>
      <c r="F35" s="14">
        <v>70</v>
      </c>
      <c r="G35" s="14">
        <v>63.2</v>
      </c>
      <c r="H35" s="14">
        <v>-1</v>
      </c>
      <c r="I35" s="14">
        <v>1</v>
      </c>
    </row>
    <row r="36" spans="1:9" ht="15.75" customHeight="1">
      <c r="A36" s="13">
        <v>43798</v>
      </c>
      <c r="B36" s="14">
        <v>67</v>
      </c>
      <c r="C36" s="14">
        <v>84</v>
      </c>
      <c r="D36" s="14">
        <v>4440</v>
      </c>
      <c r="E36" s="14">
        <v>4120</v>
      </c>
      <c r="F36" s="14">
        <v>87</v>
      </c>
      <c r="G36" s="14">
        <v>63.2</v>
      </c>
      <c r="H36" s="14">
        <v>0</v>
      </c>
      <c r="I36" s="14">
        <v>1</v>
      </c>
    </row>
    <row r="37" spans="1:9" ht="15.75" customHeight="1">
      <c r="A37" s="13">
        <v>43799</v>
      </c>
      <c r="B37" s="14">
        <v>67</v>
      </c>
      <c r="C37" s="14">
        <v>90</v>
      </c>
      <c r="D37" s="14">
        <v>4450</v>
      </c>
      <c r="E37" s="14">
        <v>4490</v>
      </c>
      <c r="F37" s="14">
        <v>98</v>
      </c>
      <c r="G37" s="14">
        <v>63.2</v>
      </c>
      <c r="H37" s="14">
        <v>1</v>
      </c>
      <c r="I37" s="14">
        <v>-1</v>
      </c>
    </row>
    <row r="38" spans="1:9" ht="15.75" customHeight="1">
      <c r="A38" s="13">
        <v>43800</v>
      </c>
      <c r="B38" s="14">
        <v>71</v>
      </c>
      <c r="C38" s="14">
        <v>90</v>
      </c>
      <c r="D38" s="14">
        <v>5000</v>
      </c>
      <c r="E38" s="14">
        <v>4630</v>
      </c>
      <c r="F38" s="14">
        <v>88</v>
      </c>
      <c r="G38" s="14">
        <v>63.2</v>
      </c>
      <c r="H38" s="14">
        <v>0</v>
      </c>
      <c r="I38" s="14">
        <v>0</v>
      </c>
    </row>
    <row r="39" spans="1:9" ht="15.75" customHeight="1">
      <c r="A39" s="13">
        <v>43801</v>
      </c>
      <c r="B39" s="14">
        <v>151</v>
      </c>
      <c r="C39" s="14">
        <v>99</v>
      </c>
      <c r="D39" s="14">
        <v>4000.98</v>
      </c>
      <c r="E39" s="14">
        <v>4630</v>
      </c>
      <c r="F39" s="14">
        <v>70</v>
      </c>
      <c r="G39" s="14">
        <v>63.2</v>
      </c>
      <c r="H39" s="14">
        <v>0</v>
      </c>
      <c r="I39" s="14">
        <v>1</v>
      </c>
    </row>
    <row r="40" spans="1:9" ht="15.75" customHeight="1">
      <c r="A40" s="13">
        <v>43802</v>
      </c>
      <c r="B40" s="14">
        <v>151</v>
      </c>
      <c r="C40" s="14">
        <v>92</v>
      </c>
      <c r="D40" s="14">
        <v>4450</v>
      </c>
      <c r="E40" s="14">
        <v>4550</v>
      </c>
      <c r="F40" s="14">
        <v>70</v>
      </c>
      <c r="G40" s="14">
        <v>63.2</v>
      </c>
      <c r="H40" s="14">
        <v>-1</v>
      </c>
      <c r="I40" s="14">
        <v>-1</v>
      </c>
    </row>
    <row r="41" spans="1:9" ht="15.75" customHeight="1">
      <c r="A41" s="13">
        <v>43803</v>
      </c>
      <c r="B41" s="14">
        <v>121</v>
      </c>
      <c r="C41" s="14">
        <v>80</v>
      </c>
      <c r="D41" s="14">
        <v>4450</v>
      </c>
      <c r="E41" s="14">
        <v>3300</v>
      </c>
      <c r="F41" s="14">
        <v>70</v>
      </c>
      <c r="G41" s="14">
        <v>63.2</v>
      </c>
      <c r="H41" s="14">
        <v>-1</v>
      </c>
      <c r="I41" s="14">
        <v>1</v>
      </c>
    </row>
    <row r="42" spans="1:9" ht="15.75" customHeight="1">
      <c r="A42" s="13">
        <v>43804</v>
      </c>
      <c r="B42" s="14">
        <v>66</v>
      </c>
      <c r="C42" s="14">
        <v>91</v>
      </c>
      <c r="D42" s="14">
        <v>4500.9799999999996</v>
      </c>
      <c r="E42" s="14">
        <v>3900</v>
      </c>
      <c r="F42" s="14">
        <v>77</v>
      </c>
      <c r="G42" s="14">
        <v>63.2</v>
      </c>
      <c r="H42" s="14">
        <v>-1</v>
      </c>
      <c r="I42" s="14">
        <v>-1</v>
      </c>
    </row>
    <row r="43" spans="1:9" ht="15.75" customHeight="1">
      <c r="A43" s="13">
        <v>43805</v>
      </c>
      <c r="B43" s="14">
        <v>76</v>
      </c>
      <c r="C43" s="14">
        <v>98</v>
      </c>
      <c r="D43" s="14">
        <v>5000</v>
      </c>
      <c r="E43" s="14">
        <v>4280</v>
      </c>
      <c r="F43" s="14">
        <v>89</v>
      </c>
      <c r="G43" s="14">
        <v>63.2</v>
      </c>
      <c r="H43" s="14">
        <v>1</v>
      </c>
      <c r="I43" s="14">
        <v>0</v>
      </c>
    </row>
    <row r="44" spans="1:9" ht="15.75" customHeight="1">
      <c r="A44" s="13">
        <v>43806</v>
      </c>
      <c r="B44" s="14">
        <v>151</v>
      </c>
      <c r="C44" s="14">
        <v>67</v>
      </c>
      <c r="D44" s="14">
        <v>4750</v>
      </c>
      <c r="E44" s="14">
        <v>4340</v>
      </c>
      <c r="F44" s="14">
        <v>87</v>
      </c>
      <c r="G44" s="14">
        <v>63.2</v>
      </c>
      <c r="H44" s="14">
        <v>1</v>
      </c>
      <c r="I44" s="14">
        <v>-1</v>
      </c>
    </row>
    <row r="45" spans="1:9" ht="15.75" customHeight="1">
      <c r="A45" s="13">
        <v>43807</v>
      </c>
      <c r="B45" s="14">
        <v>153</v>
      </c>
      <c r="C45" s="14">
        <v>93</v>
      </c>
      <c r="D45" s="14">
        <v>3100</v>
      </c>
      <c r="E45" s="14">
        <v>3140</v>
      </c>
      <c r="F45" s="14">
        <v>98</v>
      </c>
      <c r="G45" s="14">
        <v>63.2</v>
      </c>
      <c r="H45" s="14">
        <v>0</v>
      </c>
      <c r="I45" s="14">
        <v>-1</v>
      </c>
    </row>
    <row r="46" spans="1:9" ht="15.75" customHeight="1">
      <c r="A46" s="13">
        <v>43808</v>
      </c>
      <c r="B46" s="14">
        <v>151</v>
      </c>
      <c r="C46" s="14">
        <v>89</v>
      </c>
      <c r="D46" s="14">
        <v>3230</v>
      </c>
      <c r="E46" s="14">
        <v>4890</v>
      </c>
      <c r="F46" s="14">
        <v>88</v>
      </c>
      <c r="G46" s="14">
        <v>63.2</v>
      </c>
      <c r="H46" s="14">
        <v>-1</v>
      </c>
      <c r="I46" s="14">
        <v>1</v>
      </c>
    </row>
    <row r="47" spans="1:9" ht="15.75" customHeight="1">
      <c r="A47" s="13">
        <v>43809</v>
      </c>
      <c r="B47" s="14">
        <v>70</v>
      </c>
      <c r="C47" s="14">
        <v>99</v>
      </c>
      <c r="D47" s="14">
        <v>4500</v>
      </c>
      <c r="E47" s="14">
        <v>4160</v>
      </c>
      <c r="F47" s="14">
        <v>70</v>
      </c>
      <c r="G47" s="14">
        <v>63.2</v>
      </c>
      <c r="H47" s="14">
        <v>1</v>
      </c>
      <c r="I47" s="14">
        <v>1</v>
      </c>
    </row>
    <row r="48" spans="1:9" ht="15.75" customHeight="1">
      <c r="A48" s="13">
        <v>43810</v>
      </c>
      <c r="B48" s="14">
        <v>68</v>
      </c>
      <c r="C48" s="14">
        <v>95</v>
      </c>
      <c r="D48" s="14">
        <v>4530</v>
      </c>
      <c r="E48" s="14">
        <v>4860</v>
      </c>
      <c r="F48" s="14">
        <v>70</v>
      </c>
      <c r="G48" s="14">
        <v>63.2</v>
      </c>
      <c r="H48" s="14">
        <v>0</v>
      </c>
      <c r="I48" s="14">
        <v>1</v>
      </c>
    </row>
    <row r="49" spans="1:9" ht="15.75" customHeight="1">
      <c r="A49" s="13">
        <v>43811</v>
      </c>
      <c r="B49" s="14">
        <v>153</v>
      </c>
      <c r="C49" s="14">
        <v>89</v>
      </c>
      <c r="D49" s="14">
        <v>4990</v>
      </c>
      <c r="E49" s="14">
        <v>4920</v>
      </c>
      <c r="F49" s="14">
        <v>70</v>
      </c>
      <c r="G49" s="14">
        <v>63.2</v>
      </c>
      <c r="H49" s="14">
        <v>-1</v>
      </c>
      <c r="I49" s="14">
        <v>1</v>
      </c>
    </row>
    <row r="50" spans="1:9" ht="15.75" customHeight="1">
      <c r="A50" s="13">
        <v>43812</v>
      </c>
      <c r="B50" s="14">
        <v>95</v>
      </c>
      <c r="C50" s="14">
        <v>90</v>
      </c>
      <c r="D50" s="14">
        <v>3280</v>
      </c>
      <c r="E50" s="14">
        <v>3660</v>
      </c>
      <c r="F50" s="14">
        <v>70</v>
      </c>
      <c r="G50" s="14">
        <v>63.2</v>
      </c>
      <c r="H50" s="14">
        <v>0</v>
      </c>
      <c r="I50" s="14">
        <v>1</v>
      </c>
    </row>
    <row r="51" spans="1:9" ht="15.75" customHeight="1">
      <c r="A51" s="13">
        <v>43813</v>
      </c>
      <c r="B51" s="14">
        <v>131</v>
      </c>
      <c r="C51" s="14">
        <v>79</v>
      </c>
      <c r="D51" s="14">
        <v>4950</v>
      </c>
      <c r="E51" s="14">
        <v>4120</v>
      </c>
      <c r="F51" s="14">
        <v>98</v>
      </c>
      <c r="G51" s="14">
        <v>63.2</v>
      </c>
      <c r="H51" s="14">
        <v>0</v>
      </c>
      <c r="I51" s="14">
        <v>1</v>
      </c>
    </row>
    <row r="52" spans="1:9" ht="15.75" customHeight="1">
      <c r="A52" s="13">
        <v>43814</v>
      </c>
      <c r="B52" s="14">
        <v>89</v>
      </c>
      <c r="C52" s="14">
        <v>90</v>
      </c>
      <c r="D52" s="14">
        <v>4990</v>
      </c>
      <c r="E52" s="14">
        <v>4620</v>
      </c>
      <c r="F52" s="14">
        <v>78</v>
      </c>
      <c r="G52" s="14">
        <v>63.2</v>
      </c>
      <c r="H52" s="14">
        <v>1</v>
      </c>
      <c r="I52" s="14">
        <v>1</v>
      </c>
    </row>
    <row r="53" spans="1:9" ht="15.75" customHeight="1">
      <c r="A53" s="13">
        <v>43815</v>
      </c>
      <c r="B53" s="14">
        <v>66</v>
      </c>
      <c r="C53" s="14">
        <v>89</v>
      </c>
      <c r="D53" s="14">
        <v>5000</v>
      </c>
      <c r="E53" s="14">
        <v>3660</v>
      </c>
      <c r="F53" s="14">
        <v>77</v>
      </c>
      <c r="G53" s="14">
        <v>63.2</v>
      </c>
      <c r="H53" s="14">
        <v>0</v>
      </c>
      <c r="I53" s="14">
        <v>-1</v>
      </c>
    </row>
    <row r="54" spans="1:9" ht="15.75" customHeight="1">
      <c r="A54" s="13">
        <v>43816</v>
      </c>
      <c r="B54" s="14">
        <v>85</v>
      </c>
      <c r="C54" s="14">
        <v>83</v>
      </c>
      <c r="D54" s="14">
        <v>4760</v>
      </c>
      <c r="E54" s="14">
        <v>3250</v>
      </c>
      <c r="F54" s="14">
        <v>77</v>
      </c>
      <c r="G54" s="14">
        <v>63.2</v>
      </c>
      <c r="H54" s="14">
        <v>0</v>
      </c>
      <c r="I54" s="14">
        <v>-1</v>
      </c>
    </row>
    <row r="55" spans="1:9" ht="15.75" customHeight="1">
      <c r="A55" s="13">
        <v>43817</v>
      </c>
      <c r="B55" s="14">
        <v>79</v>
      </c>
      <c r="C55" s="14">
        <v>75</v>
      </c>
      <c r="D55" s="14">
        <v>4000</v>
      </c>
      <c r="E55" s="14">
        <v>4430</v>
      </c>
      <c r="F55" s="14">
        <v>77</v>
      </c>
      <c r="G55" s="14">
        <v>63.2</v>
      </c>
      <c r="H55" s="14">
        <v>0</v>
      </c>
      <c r="I55" s="14">
        <v>0</v>
      </c>
    </row>
    <row r="56" spans="1:9" ht="15.75" customHeight="1">
      <c r="A56" s="13">
        <v>43818</v>
      </c>
      <c r="B56" s="14">
        <v>80</v>
      </c>
      <c r="C56" s="14">
        <v>67</v>
      </c>
      <c r="D56" s="14">
        <v>4990</v>
      </c>
      <c r="E56" s="14">
        <v>4950</v>
      </c>
      <c r="F56" s="14">
        <v>100</v>
      </c>
      <c r="G56" s="14">
        <v>63.2</v>
      </c>
      <c r="H56" s="14">
        <v>1</v>
      </c>
      <c r="I56" s="14">
        <v>1</v>
      </c>
    </row>
    <row r="57" spans="1:9" ht="15.75" customHeight="1">
      <c r="A57" s="13">
        <v>43819</v>
      </c>
      <c r="B57" s="14">
        <v>187</v>
      </c>
      <c r="C57" s="14">
        <v>53</v>
      </c>
      <c r="D57" s="14">
        <v>4890</v>
      </c>
      <c r="E57" s="14">
        <v>4140</v>
      </c>
      <c r="F57" s="14">
        <v>100</v>
      </c>
      <c r="G57" s="14">
        <v>63.2</v>
      </c>
      <c r="H57" s="14">
        <v>1</v>
      </c>
      <c r="I57" s="14">
        <v>-1</v>
      </c>
    </row>
    <row r="58" spans="1:9" ht="15.75" customHeight="1">
      <c r="A58" s="13">
        <v>43820</v>
      </c>
      <c r="B58" s="14">
        <v>184</v>
      </c>
      <c r="C58" s="14">
        <v>56</v>
      </c>
      <c r="D58" s="14">
        <v>5000</v>
      </c>
      <c r="E58" s="14">
        <v>3750</v>
      </c>
      <c r="F58" s="14">
        <v>100</v>
      </c>
      <c r="G58" s="14">
        <v>63.2</v>
      </c>
      <c r="H58" s="14">
        <v>0</v>
      </c>
      <c r="I58" s="14">
        <v>0</v>
      </c>
    </row>
    <row r="59" spans="1:9" ht="15.75" customHeight="1">
      <c r="A59" s="13">
        <v>43821</v>
      </c>
      <c r="B59" s="14">
        <v>199</v>
      </c>
      <c r="C59" s="14">
        <v>59</v>
      </c>
      <c r="D59" s="14">
        <v>4240</v>
      </c>
      <c r="E59" s="14">
        <v>3350</v>
      </c>
      <c r="F59" s="14">
        <v>99</v>
      </c>
      <c r="G59" s="14">
        <v>63.2</v>
      </c>
      <c r="H59" s="14">
        <v>1</v>
      </c>
      <c r="I59" s="14">
        <v>1</v>
      </c>
    </row>
    <row r="60" spans="1:9" ht="15.75" customHeight="1">
      <c r="A60" s="13">
        <v>43822</v>
      </c>
      <c r="B60" s="14">
        <v>200</v>
      </c>
      <c r="C60" s="14">
        <v>40</v>
      </c>
      <c r="D60" s="14">
        <v>5000</v>
      </c>
      <c r="E60" s="14">
        <v>4200</v>
      </c>
      <c r="F60" s="14">
        <v>97</v>
      </c>
      <c r="G60" s="14">
        <v>63.2</v>
      </c>
      <c r="H60" s="14">
        <v>0</v>
      </c>
      <c r="I60" s="14">
        <v>1</v>
      </c>
    </row>
    <row r="61" spans="1:9" ht="15.75" customHeight="1">
      <c r="A61" s="13">
        <v>43823</v>
      </c>
      <c r="B61" s="14">
        <v>200</v>
      </c>
      <c r="C61" s="14">
        <v>40</v>
      </c>
      <c r="D61" s="14">
        <v>4990</v>
      </c>
      <c r="E61" s="14">
        <v>3950</v>
      </c>
      <c r="F61" s="14">
        <v>92</v>
      </c>
      <c r="G61" s="14">
        <v>67</v>
      </c>
      <c r="H61" s="14">
        <v>1</v>
      </c>
      <c r="I61" s="14">
        <v>-1</v>
      </c>
    </row>
    <row r="62" spans="1:9" ht="15.75" customHeight="1">
      <c r="A62" s="13">
        <v>43824</v>
      </c>
      <c r="B62" s="14">
        <v>200</v>
      </c>
      <c r="C62" s="14">
        <v>50</v>
      </c>
      <c r="D62" s="14">
        <v>4500</v>
      </c>
      <c r="E62" s="14">
        <v>4450</v>
      </c>
      <c r="F62" s="14">
        <v>94.5</v>
      </c>
      <c r="G62" s="14">
        <v>68</v>
      </c>
      <c r="H62" s="14">
        <v>1</v>
      </c>
      <c r="I62" s="14">
        <v>0</v>
      </c>
    </row>
    <row r="63" spans="1:9" ht="15.75" customHeight="1">
      <c r="A63" s="13">
        <v>43825</v>
      </c>
      <c r="B63" s="14">
        <v>199</v>
      </c>
      <c r="C63" s="14">
        <v>57</v>
      </c>
      <c r="D63" s="14">
        <v>5000</v>
      </c>
      <c r="E63" s="14">
        <v>4040</v>
      </c>
      <c r="F63" s="14">
        <v>100</v>
      </c>
      <c r="G63" s="14">
        <v>70</v>
      </c>
      <c r="H63" s="14">
        <v>1</v>
      </c>
      <c r="I63" s="14">
        <v>0</v>
      </c>
    </row>
    <row r="64" spans="1:9" ht="15.75" customHeight="1">
      <c r="A64" s="13">
        <v>43826</v>
      </c>
      <c r="B64" s="14">
        <v>198</v>
      </c>
      <c r="C64" s="14">
        <v>59</v>
      </c>
      <c r="D64" s="14">
        <v>5000</v>
      </c>
      <c r="E64" s="14">
        <v>3240</v>
      </c>
      <c r="F64" s="14">
        <v>97.2</v>
      </c>
      <c r="G64" s="14">
        <v>77</v>
      </c>
      <c r="H64" s="14">
        <v>1</v>
      </c>
      <c r="I64" s="14">
        <v>0</v>
      </c>
    </row>
    <row r="65" spans="1:9" ht="15.75" customHeight="1">
      <c r="A65" s="13">
        <v>43827</v>
      </c>
      <c r="B65" s="14">
        <v>199</v>
      </c>
      <c r="C65" s="14">
        <v>69</v>
      </c>
      <c r="D65" s="14">
        <v>3470</v>
      </c>
      <c r="E65" s="14">
        <v>3310</v>
      </c>
      <c r="F65" s="14">
        <v>92.2</v>
      </c>
      <c r="G65" s="14">
        <v>78</v>
      </c>
      <c r="H65" s="14">
        <v>1</v>
      </c>
      <c r="I65" s="14">
        <v>-1</v>
      </c>
    </row>
    <row r="66" spans="1:9" ht="15.75" customHeight="1">
      <c r="A66" s="13">
        <v>43828</v>
      </c>
      <c r="B66" s="14">
        <v>199</v>
      </c>
      <c r="C66" s="14">
        <v>30</v>
      </c>
      <c r="D66" s="14">
        <v>4760</v>
      </c>
      <c r="E66" s="14">
        <v>3230</v>
      </c>
      <c r="F66" s="14">
        <v>100</v>
      </c>
      <c r="G66" s="14">
        <v>89</v>
      </c>
      <c r="H66" s="14">
        <v>1</v>
      </c>
      <c r="I66" s="14">
        <v>-1</v>
      </c>
    </row>
    <row r="67" spans="1:9" ht="15.75" customHeight="1">
      <c r="A67" s="13">
        <v>43829</v>
      </c>
      <c r="B67" s="14">
        <v>187</v>
      </c>
      <c r="C67" s="14">
        <v>27</v>
      </c>
      <c r="D67" s="14">
        <v>3290</v>
      </c>
      <c r="E67" s="14">
        <v>3360</v>
      </c>
      <c r="F67" s="14">
        <v>100</v>
      </c>
      <c r="G67" s="14">
        <v>88</v>
      </c>
      <c r="H67" s="14">
        <v>1</v>
      </c>
      <c r="I67" s="14">
        <v>-1</v>
      </c>
    </row>
    <row r="68" spans="1:9" ht="15.75" customHeight="1">
      <c r="A68" s="13">
        <v>43830</v>
      </c>
      <c r="B68" s="14">
        <v>199</v>
      </c>
      <c r="C68" s="14">
        <v>55</v>
      </c>
      <c r="D68" s="14">
        <v>4250.99</v>
      </c>
      <c r="E68" s="14">
        <v>3620</v>
      </c>
      <c r="F68" s="14">
        <v>100</v>
      </c>
      <c r="G68" s="14">
        <v>84</v>
      </c>
      <c r="H68" s="14">
        <v>0</v>
      </c>
      <c r="I68" s="14">
        <v>0</v>
      </c>
    </row>
    <row r="69" spans="1:9" ht="15.75" customHeight="1">
      <c r="A69" s="13">
        <v>43831</v>
      </c>
      <c r="B69" s="14">
        <v>200</v>
      </c>
      <c r="C69" s="14">
        <v>83</v>
      </c>
      <c r="D69" s="14">
        <v>4160</v>
      </c>
      <c r="E69" s="14">
        <v>4740</v>
      </c>
      <c r="F69" s="14">
        <v>100</v>
      </c>
      <c r="G69" s="14">
        <v>78</v>
      </c>
      <c r="H69" s="14">
        <v>1</v>
      </c>
      <c r="I69" s="14">
        <v>0</v>
      </c>
    </row>
    <row r="70" spans="1:9" ht="15.75" customHeight="1">
      <c r="A70" s="13">
        <v>43832</v>
      </c>
      <c r="B70" s="14">
        <v>180</v>
      </c>
      <c r="C70" s="14">
        <v>111</v>
      </c>
      <c r="D70" s="14">
        <v>3800</v>
      </c>
      <c r="E70" s="14">
        <v>3190</v>
      </c>
      <c r="F70" s="14">
        <v>99</v>
      </c>
      <c r="G70" s="14">
        <v>77</v>
      </c>
      <c r="H70" s="14">
        <v>0</v>
      </c>
      <c r="I70" s="14">
        <v>-1</v>
      </c>
    </row>
    <row r="71" spans="1:9" ht="15.75" customHeight="1">
      <c r="A71" s="13">
        <v>43833</v>
      </c>
      <c r="B71" s="14">
        <v>170</v>
      </c>
      <c r="C71" s="14">
        <v>139</v>
      </c>
      <c r="D71" s="14">
        <v>3280</v>
      </c>
      <c r="E71" s="14">
        <v>3040</v>
      </c>
      <c r="F71" s="14">
        <v>97</v>
      </c>
      <c r="G71" s="14">
        <v>90</v>
      </c>
      <c r="H71" s="14">
        <v>1</v>
      </c>
      <c r="I71" s="14">
        <v>-1</v>
      </c>
    </row>
    <row r="72" spans="1:9" ht="15.75" customHeight="1">
      <c r="A72" s="13">
        <v>43834</v>
      </c>
      <c r="B72" s="14">
        <v>199</v>
      </c>
      <c r="C72" s="14">
        <v>101</v>
      </c>
      <c r="D72" s="14">
        <v>5000</v>
      </c>
      <c r="E72" s="14">
        <v>3250</v>
      </c>
      <c r="F72" s="14">
        <v>92</v>
      </c>
      <c r="G72" s="14">
        <v>99</v>
      </c>
      <c r="H72" s="14">
        <v>0</v>
      </c>
      <c r="I72" s="14">
        <v>0</v>
      </c>
    </row>
    <row r="73" spans="1:9" ht="15.75" customHeight="1">
      <c r="A73" s="13">
        <v>43835</v>
      </c>
      <c r="B73" s="14">
        <v>200</v>
      </c>
      <c r="C73" s="14">
        <v>80</v>
      </c>
      <c r="D73" s="14">
        <v>4150</v>
      </c>
      <c r="E73" s="14">
        <v>3020</v>
      </c>
      <c r="F73" s="14">
        <v>94.5</v>
      </c>
      <c r="G73" s="14">
        <v>63.2</v>
      </c>
      <c r="H73" s="14">
        <v>0</v>
      </c>
      <c r="I73" s="14">
        <v>-1</v>
      </c>
    </row>
    <row r="74" spans="1:9" ht="15.75" customHeight="1">
      <c r="A74" s="13">
        <v>43836</v>
      </c>
      <c r="B74" s="14">
        <v>170</v>
      </c>
      <c r="C74" s="14">
        <v>90</v>
      </c>
      <c r="D74" s="14">
        <v>3620.93</v>
      </c>
      <c r="E74" s="14">
        <v>3920</v>
      </c>
      <c r="F74" s="14">
        <v>100</v>
      </c>
      <c r="G74" s="14">
        <v>78</v>
      </c>
      <c r="H74" s="14">
        <v>1</v>
      </c>
      <c r="I74" s="14">
        <v>-1</v>
      </c>
    </row>
    <row r="75" spans="1:9" ht="15.75" customHeight="1">
      <c r="A75" s="13">
        <v>43837</v>
      </c>
      <c r="B75" s="14">
        <v>170</v>
      </c>
      <c r="C75" s="14">
        <v>48</v>
      </c>
      <c r="D75" s="14">
        <v>3760</v>
      </c>
      <c r="E75" s="14">
        <v>4110</v>
      </c>
      <c r="F75" s="14">
        <v>97.2</v>
      </c>
      <c r="G75" s="14">
        <v>66</v>
      </c>
      <c r="H75" s="14">
        <v>0</v>
      </c>
      <c r="I75" s="14">
        <v>-1</v>
      </c>
    </row>
    <row r="76" spans="1:9" ht="15.75" customHeight="1">
      <c r="A76" s="13">
        <v>43838</v>
      </c>
      <c r="B76" s="14">
        <v>150</v>
      </c>
      <c r="C76" s="14">
        <v>19</v>
      </c>
      <c r="D76" s="14">
        <v>4610.55</v>
      </c>
      <c r="E76" s="14">
        <v>4430</v>
      </c>
      <c r="F76" s="14">
        <v>92.2</v>
      </c>
      <c r="G76" s="14">
        <v>63.2</v>
      </c>
      <c r="H76" s="14">
        <v>1</v>
      </c>
      <c r="I76" s="14">
        <v>0</v>
      </c>
    </row>
    <row r="77" spans="1:9" ht="15.75" customHeight="1">
      <c r="A77" s="13">
        <v>43839</v>
      </c>
      <c r="B77" s="14">
        <v>140</v>
      </c>
      <c r="C77" s="14">
        <v>19</v>
      </c>
      <c r="D77" s="14">
        <v>3460</v>
      </c>
      <c r="E77" s="14">
        <v>3160</v>
      </c>
      <c r="F77" s="14">
        <v>99</v>
      </c>
      <c r="G77" s="14">
        <v>89.4</v>
      </c>
      <c r="H77" s="14">
        <v>0</v>
      </c>
      <c r="I77" s="14">
        <v>0</v>
      </c>
    </row>
    <row r="78" spans="1:9" ht="15.75" customHeight="1">
      <c r="A78" s="13">
        <v>43840</v>
      </c>
      <c r="B78" s="14">
        <v>79</v>
      </c>
      <c r="C78" s="14">
        <v>99</v>
      </c>
      <c r="D78" s="14">
        <v>3280</v>
      </c>
      <c r="E78" s="14">
        <v>3380</v>
      </c>
      <c r="F78" s="14">
        <v>97</v>
      </c>
      <c r="G78" s="14">
        <v>63.2</v>
      </c>
      <c r="H78" s="14">
        <v>0</v>
      </c>
      <c r="I78" s="14">
        <v>-1</v>
      </c>
    </row>
    <row r="79" spans="1:9" ht="15.75" customHeight="1">
      <c r="A79" s="13">
        <v>43841</v>
      </c>
      <c r="B79" s="14">
        <v>120</v>
      </c>
      <c r="C79" s="14">
        <v>97</v>
      </c>
      <c r="D79" s="14">
        <v>3180</v>
      </c>
      <c r="E79" s="14">
        <v>3660</v>
      </c>
      <c r="F79" s="14">
        <v>92</v>
      </c>
      <c r="G79" s="14">
        <v>63.2</v>
      </c>
      <c r="H79" s="14">
        <v>0</v>
      </c>
      <c r="I79" s="14">
        <v>0</v>
      </c>
    </row>
    <row r="80" spans="1:9" ht="15.75" customHeight="1">
      <c r="A80" s="13">
        <v>43842</v>
      </c>
      <c r="B80" s="14">
        <v>151</v>
      </c>
      <c r="C80" s="14">
        <v>70</v>
      </c>
      <c r="D80" s="14">
        <v>4790.29</v>
      </c>
      <c r="E80" s="14">
        <v>4310</v>
      </c>
      <c r="F80" s="14">
        <v>94.5</v>
      </c>
      <c r="G80" s="14">
        <v>63.2</v>
      </c>
      <c r="H80" s="14">
        <v>0</v>
      </c>
      <c r="I80" s="14">
        <v>1</v>
      </c>
    </row>
    <row r="81" spans="1:9" ht="15.75" customHeight="1">
      <c r="A81" s="13">
        <v>43843</v>
      </c>
      <c r="B81" s="14">
        <v>61</v>
      </c>
      <c r="C81" s="14">
        <v>98</v>
      </c>
      <c r="D81" s="14">
        <v>4680</v>
      </c>
      <c r="E81" s="14">
        <v>3170</v>
      </c>
      <c r="F81" s="14">
        <v>100</v>
      </c>
      <c r="G81" s="14">
        <v>63.2</v>
      </c>
      <c r="H81" s="14">
        <v>1</v>
      </c>
      <c r="I81" s="14">
        <v>-1</v>
      </c>
    </row>
    <row r="82" spans="1:9" ht="15.75" customHeight="1">
      <c r="A82" s="13">
        <v>43844</v>
      </c>
      <c r="B82" s="14">
        <v>68</v>
      </c>
      <c r="C82" s="14">
        <v>99</v>
      </c>
      <c r="D82" s="14">
        <v>2970.64</v>
      </c>
      <c r="E82" s="14">
        <v>3470</v>
      </c>
      <c r="F82" s="14">
        <v>97.2</v>
      </c>
      <c r="G82" s="14">
        <v>63.2</v>
      </c>
      <c r="H82" s="14">
        <v>0</v>
      </c>
      <c r="I82" s="14">
        <v>-1</v>
      </c>
    </row>
    <row r="83" spans="1:9" ht="15.75" customHeight="1">
      <c r="A83" s="13">
        <v>43845</v>
      </c>
      <c r="B83" s="14">
        <v>62</v>
      </c>
      <c r="C83" s="14">
        <v>77</v>
      </c>
      <c r="D83" s="14">
        <v>3450</v>
      </c>
      <c r="E83" s="14">
        <v>4810</v>
      </c>
      <c r="F83" s="14">
        <v>92.2</v>
      </c>
      <c r="G83" s="14">
        <v>63.2</v>
      </c>
      <c r="H83" s="14">
        <v>0</v>
      </c>
      <c r="I83" s="14">
        <v>-1</v>
      </c>
    </row>
    <row r="84" spans="1:9" ht="15.75" customHeight="1">
      <c r="A84" s="13">
        <v>43846</v>
      </c>
      <c r="B84" s="14">
        <v>63</v>
      </c>
      <c r="C84" s="14">
        <v>78</v>
      </c>
      <c r="D84" s="14">
        <v>4790.29</v>
      </c>
      <c r="E84" s="14">
        <v>3510</v>
      </c>
      <c r="F84" s="14">
        <v>70</v>
      </c>
      <c r="G84" s="14">
        <v>63.2</v>
      </c>
      <c r="H84" s="14">
        <v>0</v>
      </c>
      <c r="I84" s="14">
        <v>-1</v>
      </c>
    </row>
    <row r="85" spans="1:9" ht="15.75" customHeight="1">
      <c r="A85" s="13">
        <v>43847</v>
      </c>
      <c r="B85" s="14">
        <v>151</v>
      </c>
      <c r="C85" s="14">
        <v>67</v>
      </c>
      <c r="D85" s="14">
        <v>2970.64</v>
      </c>
      <c r="E85" s="14">
        <v>4820</v>
      </c>
      <c r="F85" s="14">
        <v>70</v>
      </c>
      <c r="G85" s="14">
        <v>63.2</v>
      </c>
      <c r="H85" s="14">
        <v>1</v>
      </c>
      <c r="I85" s="14">
        <v>0</v>
      </c>
    </row>
    <row r="86" spans="1:9" ht="15.75" customHeight="1">
      <c r="A86" s="13">
        <v>43848</v>
      </c>
      <c r="B86" s="14">
        <v>151</v>
      </c>
      <c r="C86" s="14">
        <v>89</v>
      </c>
      <c r="D86" s="14">
        <v>4990</v>
      </c>
      <c r="E86" s="14">
        <v>4130</v>
      </c>
      <c r="F86" s="14">
        <v>70</v>
      </c>
      <c r="G86" s="14">
        <v>63.2</v>
      </c>
      <c r="H86" s="14">
        <v>0</v>
      </c>
      <c r="I86" s="14">
        <v>1</v>
      </c>
    </row>
    <row r="87" spans="1:9" ht="15.75" customHeight="1">
      <c r="A87" s="13">
        <v>43849</v>
      </c>
      <c r="B87" s="14">
        <v>71</v>
      </c>
      <c r="C87" s="14">
        <v>98</v>
      </c>
      <c r="D87" s="14">
        <v>4450</v>
      </c>
      <c r="E87" s="14">
        <v>4850</v>
      </c>
      <c r="F87" s="14">
        <v>78</v>
      </c>
      <c r="G87" s="14">
        <v>65.7</v>
      </c>
      <c r="H87" s="14">
        <v>0</v>
      </c>
      <c r="I87" s="14">
        <v>-1</v>
      </c>
    </row>
    <row r="88" spans="1:9" ht="15.75" customHeight="1">
      <c r="A88" s="13">
        <v>43850</v>
      </c>
      <c r="B88" s="14">
        <v>67</v>
      </c>
      <c r="C88" s="14">
        <v>89</v>
      </c>
      <c r="D88" s="14">
        <v>4680</v>
      </c>
      <c r="E88" s="14">
        <v>3380</v>
      </c>
      <c r="F88" s="14">
        <v>74</v>
      </c>
      <c r="G88" s="14">
        <v>63.2</v>
      </c>
      <c r="H88" s="14">
        <v>1</v>
      </c>
      <c r="I88" s="14">
        <v>1</v>
      </c>
    </row>
    <row r="89" spans="1:9" ht="15.75" customHeight="1">
      <c r="A89" s="13">
        <v>43851</v>
      </c>
      <c r="B89" s="14">
        <v>65</v>
      </c>
      <c r="C89" s="14">
        <v>100</v>
      </c>
      <c r="D89" s="14">
        <v>3170</v>
      </c>
      <c r="E89" s="14">
        <v>3240</v>
      </c>
      <c r="F89" s="14">
        <v>72</v>
      </c>
      <c r="G89" s="14">
        <v>63.2</v>
      </c>
      <c r="H89" s="14">
        <v>0</v>
      </c>
      <c r="I89" s="14">
        <v>-1</v>
      </c>
    </row>
    <row r="90" spans="1:9" ht="15.75" customHeight="1">
      <c r="A90" s="13">
        <v>43852</v>
      </c>
      <c r="B90" s="14">
        <v>151</v>
      </c>
      <c r="C90" s="14">
        <v>95</v>
      </c>
      <c r="D90" s="14">
        <v>3990.98</v>
      </c>
      <c r="E90" s="14">
        <v>3840</v>
      </c>
      <c r="F90" s="14">
        <v>73</v>
      </c>
      <c r="G90" s="14">
        <v>73.400000000000006</v>
      </c>
      <c r="H90" s="14">
        <v>0</v>
      </c>
      <c r="I90" s="14">
        <v>0</v>
      </c>
    </row>
    <row r="91" spans="1:9" ht="15.75" customHeight="1">
      <c r="A91" s="13">
        <v>43853</v>
      </c>
      <c r="B91" s="14">
        <v>135</v>
      </c>
      <c r="C91" s="14">
        <v>78</v>
      </c>
      <c r="D91" s="14">
        <v>4090</v>
      </c>
      <c r="E91" s="14">
        <v>3320</v>
      </c>
      <c r="F91" s="14">
        <v>70</v>
      </c>
      <c r="G91" s="14">
        <v>63.2</v>
      </c>
      <c r="H91" s="14">
        <v>-1</v>
      </c>
      <c r="I91" s="14">
        <v>0</v>
      </c>
    </row>
    <row r="92" spans="1:9" ht="15.75" customHeight="1">
      <c r="A92" s="13">
        <v>43854</v>
      </c>
      <c r="B92" s="14">
        <v>151</v>
      </c>
      <c r="C92" s="14">
        <v>98</v>
      </c>
      <c r="D92" s="14">
        <v>3500.98</v>
      </c>
      <c r="E92" s="14">
        <v>3610</v>
      </c>
      <c r="F92" s="14">
        <v>78</v>
      </c>
      <c r="G92" s="14">
        <v>63.2</v>
      </c>
      <c r="H92" s="14">
        <v>-1</v>
      </c>
      <c r="I92" s="14">
        <v>-1</v>
      </c>
    </row>
    <row r="93" spans="1:9" ht="15.75" customHeight="1">
      <c r="A93" s="13">
        <v>43855</v>
      </c>
      <c r="B93" s="14">
        <v>93</v>
      </c>
      <c r="C93" s="14">
        <v>89</v>
      </c>
      <c r="D93" s="14">
        <v>4680</v>
      </c>
      <c r="E93" s="14">
        <v>3200</v>
      </c>
      <c r="F93" s="14">
        <v>70</v>
      </c>
      <c r="G93" s="14">
        <v>63.2</v>
      </c>
      <c r="H93" s="14">
        <v>-1</v>
      </c>
      <c r="I93" s="14">
        <v>1</v>
      </c>
    </row>
    <row r="94" spans="1:9" ht="15.75" customHeight="1">
      <c r="A94" s="13">
        <v>43856</v>
      </c>
      <c r="B94" s="14">
        <v>153</v>
      </c>
      <c r="C94" s="14">
        <v>97</v>
      </c>
      <c r="D94" s="14">
        <v>4760</v>
      </c>
      <c r="E94" s="14">
        <v>4080</v>
      </c>
      <c r="F94" s="14">
        <v>70</v>
      </c>
      <c r="G94" s="14">
        <v>63.2</v>
      </c>
      <c r="H94" s="14">
        <v>0</v>
      </c>
      <c r="I94" s="14">
        <v>1</v>
      </c>
    </row>
    <row r="95" spans="1:9" ht="15.75" customHeight="1">
      <c r="A95" s="13">
        <v>43857</v>
      </c>
      <c r="B95" s="14">
        <v>137</v>
      </c>
      <c r="C95" s="14">
        <v>57</v>
      </c>
      <c r="D95" s="14">
        <v>3090</v>
      </c>
      <c r="E95" s="14">
        <v>4440</v>
      </c>
      <c r="F95" s="14">
        <v>70</v>
      </c>
      <c r="G95" s="14">
        <v>72.3</v>
      </c>
      <c r="H95" s="14">
        <v>0</v>
      </c>
      <c r="I95" s="14">
        <v>0</v>
      </c>
    </row>
    <row r="96" spans="1:9" ht="15.75" customHeight="1">
      <c r="A96" s="13">
        <v>43858</v>
      </c>
      <c r="B96" s="14">
        <v>153</v>
      </c>
      <c r="C96" s="14">
        <v>98</v>
      </c>
      <c r="D96" s="14">
        <v>3500.99</v>
      </c>
      <c r="E96" s="14">
        <v>4670</v>
      </c>
      <c r="F96" s="14">
        <v>87</v>
      </c>
      <c r="G96" s="14">
        <v>63.2</v>
      </c>
      <c r="H96" s="14">
        <v>0</v>
      </c>
      <c r="I96" s="14">
        <v>-1</v>
      </c>
    </row>
    <row r="97" spans="1:9" ht="15.75" customHeight="1">
      <c r="A97" s="13">
        <v>43859</v>
      </c>
      <c r="B97" s="14">
        <v>151</v>
      </c>
      <c r="C97" s="14">
        <v>88</v>
      </c>
      <c r="D97" s="14">
        <v>3000</v>
      </c>
      <c r="E97" s="14">
        <v>3930</v>
      </c>
      <c r="F97" s="14">
        <v>98</v>
      </c>
      <c r="G97" s="14">
        <v>63.2</v>
      </c>
      <c r="H97" s="14">
        <v>0</v>
      </c>
      <c r="I97" s="14">
        <v>0</v>
      </c>
    </row>
    <row r="98" spans="1:9" ht="15.75" customHeight="1">
      <c r="A98" s="13">
        <v>43860</v>
      </c>
      <c r="B98" s="14">
        <v>151</v>
      </c>
      <c r="C98" s="14">
        <v>83</v>
      </c>
      <c r="D98" s="14">
        <v>4980</v>
      </c>
      <c r="E98" s="14">
        <v>3230</v>
      </c>
      <c r="F98" s="14">
        <v>88</v>
      </c>
      <c r="G98" s="14">
        <v>63.2</v>
      </c>
      <c r="H98" s="14">
        <v>0</v>
      </c>
      <c r="I98" s="14">
        <v>-1</v>
      </c>
    </row>
    <row r="99" spans="1:9" ht="15.75" customHeight="1">
      <c r="A99" s="13">
        <v>43861</v>
      </c>
      <c r="B99" s="14">
        <v>132</v>
      </c>
      <c r="C99" s="14">
        <v>79</v>
      </c>
      <c r="D99" s="14">
        <v>4090</v>
      </c>
      <c r="E99" s="14">
        <v>3530</v>
      </c>
      <c r="F99" s="14">
        <v>70</v>
      </c>
      <c r="G99" s="14">
        <v>63.2</v>
      </c>
      <c r="H99" s="14">
        <v>1</v>
      </c>
      <c r="I99" s="14">
        <v>0</v>
      </c>
    </row>
    <row r="100" spans="1:9" ht="15.75" customHeight="1">
      <c r="A100" s="13">
        <v>43862</v>
      </c>
      <c r="B100" s="14">
        <v>67</v>
      </c>
      <c r="C100" s="14">
        <v>87</v>
      </c>
      <c r="D100" s="14">
        <v>3670</v>
      </c>
      <c r="E100" s="14">
        <v>3810</v>
      </c>
      <c r="F100" s="14">
        <v>70</v>
      </c>
      <c r="G100" s="14">
        <v>63.2</v>
      </c>
      <c r="H100" s="14">
        <v>0</v>
      </c>
      <c r="I100" s="14">
        <v>-1</v>
      </c>
    </row>
    <row r="101" spans="1:9" ht="15.75" customHeight="1">
      <c r="A101" s="13">
        <v>43863</v>
      </c>
      <c r="B101" s="14">
        <v>151</v>
      </c>
      <c r="C101" s="14">
        <v>80</v>
      </c>
      <c r="D101" s="14">
        <v>4450.45</v>
      </c>
      <c r="E101" s="14">
        <v>4350</v>
      </c>
      <c r="F101" s="14">
        <v>70</v>
      </c>
      <c r="G101" s="14">
        <v>63.2</v>
      </c>
      <c r="H101" s="14">
        <v>-1</v>
      </c>
      <c r="I101" s="14">
        <v>1</v>
      </c>
    </row>
    <row r="102" spans="1:9" ht="15.75" customHeight="1">
      <c r="A102" s="13">
        <v>43864</v>
      </c>
      <c r="B102" s="14">
        <v>70</v>
      </c>
      <c r="C102" s="14">
        <v>78</v>
      </c>
      <c r="D102" s="14">
        <v>4340</v>
      </c>
      <c r="E102" s="14">
        <v>3340</v>
      </c>
      <c r="F102" s="14">
        <v>78</v>
      </c>
      <c r="G102" s="14">
        <v>63.2</v>
      </c>
      <c r="H102" s="14">
        <v>1</v>
      </c>
      <c r="I102" s="14">
        <v>-1</v>
      </c>
    </row>
    <row r="103" spans="1:9" ht="15.75" customHeight="1">
      <c r="A103" s="13">
        <v>43865</v>
      </c>
      <c r="B103" s="14">
        <v>69</v>
      </c>
      <c r="C103" s="14">
        <v>89</v>
      </c>
      <c r="D103" s="14">
        <v>4790.29</v>
      </c>
      <c r="E103" s="14">
        <v>4910</v>
      </c>
      <c r="F103" s="14">
        <v>74</v>
      </c>
      <c r="G103" s="14">
        <v>100.9</v>
      </c>
      <c r="H103" s="14">
        <v>1</v>
      </c>
      <c r="I103" s="14">
        <v>1</v>
      </c>
    </row>
    <row r="104" spans="1:9" ht="15.75" customHeight="1">
      <c r="A104" s="13">
        <v>43866</v>
      </c>
      <c r="B104" s="14">
        <v>151</v>
      </c>
      <c r="C104" s="14">
        <v>64</v>
      </c>
      <c r="D104" s="14">
        <v>3060.14</v>
      </c>
      <c r="E104" s="14">
        <v>4210</v>
      </c>
      <c r="F104" s="14">
        <v>72</v>
      </c>
      <c r="G104" s="14">
        <v>63.2</v>
      </c>
      <c r="H104" s="14">
        <v>-1</v>
      </c>
      <c r="I104" s="14">
        <v>0</v>
      </c>
    </row>
    <row r="105" spans="1:9" ht="15.75" customHeight="1">
      <c r="A105" s="13">
        <v>43867</v>
      </c>
      <c r="B105" s="14">
        <v>73</v>
      </c>
      <c r="C105" s="14">
        <v>92</v>
      </c>
      <c r="D105" s="14">
        <v>3990</v>
      </c>
      <c r="E105" s="14">
        <v>3120</v>
      </c>
      <c r="F105" s="14">
        <v>73</v>
      </c>
      <c r="G105" s="14">
        <v>63.2</v>
      </c>
      <c r="H105" s="14">
        <v>-1</v>
      </c>
      <c r="I105" s="14">
        <v>0</v>
      </c>
    </row>
    <row r="106" spans="1:9" ht="15.75" customHeight="1">
      <c r="A106" s="13">
        <v>43868</v>
      </c>
      <c r="B106" s="14">
        <v>88</v>
      </c>
      <c r="C106" s="14">
        <v>87</v>
      </c>
      <c r="D106" s="14">
        <v>3080.16</v>
      </c>
      <c r="E106" s="14">
        <v>4560</v>
      </c>
      <c r="F106" s="14">
        <v>77</v>
      </c>
      <c r="G106" s="14">
        <v>63.2</v>
      </c>
      <c r="H106" s="14">
        <v>0</v>
      </c>
      <c r="I106" s="14">
        <v>0</v>
      </c>
    </row>
    <row r="107" spans="1:9" ht="15.75" customHeight="1">
      <c r="A107" s="13">
        <v>43869</v>
      </c>
      <c r="B107" s="14">
        <v>66</v>
      </c>
      <c r="C107" s="14">
        <v>86</v>
      </c>
      <c r="D107" s="14">
        <v>4010</v>
      </c>
      <c r="E107" s="14">
        <v>3760</v>
      </c>
      <c r="F107" s="14">
        <v>70</v>
      </c>
      <c r="G107" s="14">
        <v>63.2</v>
      </c>
      <c r="H107" s="14">
        <v>0</v>
      </c>
      <c r="I107" s="14">
        <v>0</v>
      </c>
    </row>
    <row r="108" spans="1:9" ht="15.75" customHeight="1">
      <c r="A108" s="13">
        <v>43870</v>
      </c>
      <c r="B108" s="14">
        <v>67</v>
      </c>
      <c r="C108" s="14">
        <v>70</v>
      </c>
      <c r="D108" s="14">
        <v>3990</v>
      </c>
      <c r="E108" s="14">
        <v>4640</v>
      </c>
      <c r="F108" s="14">
        <v>87</v>
      </c>
      <c r="G108" s="14">
        <v>63.2</v>
      </c>
      <c r="H108" s="14">
        <v>-1</v>
      </c>
      <c r="I108" s="14">
        <v>0</v>
      </c>
    </row>
    <row r="109" spans="1:9" ht="15.75" customHeight="1">
      <c r="A109" s="13">
        <v>43871</v>
      </c>
      <c r="B109" s="14">
        <v>151</v>
      </c>
      <c r="C109" s="14">
        <v>88</v>
      </c>
      <c r="D109" s="14">
        <v>4770</v>
      </c>
      <c r="E109" s="14">
        <v>4390</v>
      </c>
      <c r="F109" s="14">
        <v>87</v>
      </c>
      <c r="G109" s="14">
        <v>63.2</v>
      </c>
      <c r="H109" s="14">
        <v>0</v>
      </c>
      <c r="I109" s="14">
        <v>-1</v>
      </c>
    </row>
    <row r="110" spans="1:9" ht="15.75" customHeight="1">
      <c r="A110" s="13">
        <v>43872</v>
      </c>
      <c r="B110" s="14">
        <v>66</v>
      </c>
      <c r="C110" s="14">
        <v>83</v>
      </c>
      <c r="D110" s="14">
        <v>4150.99</v>
      </c>
      <c r="E110" s="14">
        <v>3270</v>
      </c>
      <c r="F110" s="14">
        <v>88</v>
      </c>
      <c r="G110" s="14">
        <v>63.2</v>
      </c>
      <c r="H110" s="14">
        <v>1</v>
      </c>
      <c r="I110" s="14">
        <v>-1</v>
      </c>
    </row>
    <row r="111" spans="1:9" ht="15.75" customHeight="1">
      <c r="A111" s="13">
        <v>43873</v>
      </c>
      <c r="B111" s="14">
        <v>134</v>
      </c>
      <c r="C111" s="14">
        <v>79</v>
      </c>
      <c r="D111" s="14">
        <v>4990</v>
      </c>
      <c r="E111" s="14">
        <v>3580</v>
      </c>
      <c r="F111" s="14">
        <v>89</v>
      </c>
      <c r="G111" s="14">
        <v>63.2</v>
      </c>
      <c r="H111" s="14">
        <v>0</v>
      </c>
      <c r="I111" s="14">
        <v>-1</v>
      </c>
    </row>
    <row r="112" spans="1:9" ht="15.75" customHeight="1">
      <c r="A112" s="13">
        <v>43874</v>
      </c>
      <c r="B112" s="14">
        <v>151</v>
      </c>
      <c r="C112" s="14">
        <v>60</v>
      </c>
      <c r="D112" s="14">
        <v>4990</v>
      </c>
      <c r="E112" s="14">
        <v>3210</v>
      </c>
      <c r="F112" s="14">
        <v>82</v>
      </c>
      <c r="G112" s="14">
        <v>63.2</v>
      </c>
      <c r="H112" s="14">
        <v>0</v>
      </c>
      <c r="I112" s="14">
        <v>-1</v>
      </c>
    </row>
    <row r="113" spans="1:9" ht="15.75" customHeight="1">
      <c r="A113" s="13">
        <v>43875</v>
      </c>
      <c r="B113" s="14">
        <v>131</v>
      </c>
      <c r="C113" s="14">
        <v>76</v>
      </c>
      <c r="D113" s="14">
        <v>4680</v>
      </c>
      <c r="E113" s="14">
        <v>3330</v>
      </c>
      <c r="F113" s="14">
        <v>88</v>
      </c>
      <c r="G113" s="14">
        <v>63.2</v>
      </c>
      <c r="H113" s="14">
        <v>-1</v>
      </c>
      <c r="I113" s="14">
        <v>1</v>
      </c>
    </row>
    <row r="114" spans="1:9" ht="15.75" customHeight="1">
      <c r="A114" s="13">
        <v>43876</v>
      </c>
      <c r="B114" s="14">
        <v>113</v>
      </c>
      <c r="C114" s="14">
        <v>99</v>
      </c>
      <c r="D114" s="14">
        <v>3200.98</v>
      </c>
      <c r="E114" s="14">
        <v>3680</v>
      </c>
      <c r="F114" s="14">
        <v>88</v>
      </c>
      <c r="G114" s="14">
        <v>63.2</v>
      </c>
      <c r="H114" s="14">
        <v>1</v>
      </c>
      <c r="I114" s="14">
        <v>0</v>
      </c>
    </row>
    <row r="115" spans="1:9" ht="15.75" customHeight="1">
      <c r="A115" s="13">
        <v>43877</v>
      </c>
      <c r="B115" s="14">
        <v>151</v>
      </c>
      <c r="C115" s="14">
        <v>98</v>
      </c>
      <c r="D115" s="14">
        <v>2800</v>
      </c>
      <c r="E115" s="14">
        <v>4400</v>
      </c>
      <c r="F115" s="14">
        <v>88</v>
      </c>
      <c r="G115" s="14">
        <v>63.2</v>
      </c>
      <c r="H115" s="14">
        <v>-1</v>
      </c>
      <c r="I115" s="14">
        <v>0</v>
      </c>
    </row>
    <row r="116" spans="1:9" ht="15.75" customHeight="1">
      <c r="A116" s="13">
        <v>43878</v>
      </c>
      <c r="B116" s="14">
        <v>151</v>
      </c>
      <c r="C116" s="14">
        <v>81</v>
      </c>
      <c r="D116" s="14">
        <v>3000</v>
      </c>
      <c r="E116" s="14">
        <v>4720</v>
      </c>
      <c r="F116" s="14">
        <v>87</v>
      </c>
      <c r="G116" s="14">
        <v>63.2</v>
      </c>
      <c r="H116" s="14">
        <v>-1</v>
      </c>
      <c r="I116" s="14">
        <v>1</v>
      </c>
    </row>
    <row r="117" spans="1:9" ht="15.75" customHeight="1">
      <c r="A117" s="13">
        <v>43879</v>
      </c>
      <c r="B117" s="14">
        <v>119</v>
      </c>
      <c r="C117" s="14">
        <v>89</v>
      </c>
      <c r="D117" s="14">
        <v>3000</v>
      </c>
      <c r="E117" s="14">
        <v>4840</v>
      </c>
      <c r="F117" s="14">
        <v>93</v>
      </c>
      <c r="G117" s="14">
        <v>63.2</v>
      </c>
      <c r="H117" s="14">
        <v>1</v>
      </c>
      <c r="I117" s="14">
        <v>1</v>
      </c>
    </row>
    <row r="118" spans="1:9" ht="15.75" customHeight="1">
      <c r="A118" s="13">
        <v>43880</v>
      </c>
      <c r="B118" s="14">
        <v>82</v>
      </c>
      <c r="C118" s="14">
        <v>87</v>
      </c>
      <c r="D118" s="14">
        <v>3000</v>
      </c>
      <c r="E118" s="14">
        <v>4640</v>
      </c>
      <c r="F118" s="14">
        <v>79</v>
      </c>
      <c r="G118" s="14">
        <v>63.2</v>
      </c>
      <c r="H118" s="14">
        <v>0</v>
      </c>
      <c r="I118" s="14">
        <v>0</v>
      </c>
    </row>
    <row r="119" spans="1:9" ht="15.75" customHeight="1">
      <c r="A119" s="13">
        <v>43881</v>
      </c>
      <c r="B119" s="14">
        <v>69</v>
      </c>
      <c r="C119" s="14">
        <v>77</v>
      </c>
      <c r="D119" s="14">
        <v>4520</v>
      </c>
      <c r="E119" s="14">
        <v>4240</v>
      </c>
      <c r="F119" s="14">
        <v>80</v>
      </c>
      <c r="G119" s="14">
        <v>63.2</v>
      </c>
      <c r="H119" s="14">
        <v>-1</v>
      </c>
      <c r="I119" s="14">
        <v>0</v>
      </c>
    </row>
    <row r="120" spans="1:9" ht="15.75" customHeight="1">
      <c r="A120" s="13">
        <v>43882</v>
      </c>
      <c r="B120" s="14">
        <v>68</v>
      </c>
      <c r="C120" s="14">
        <v>70</v>
      </c>
      <c r="D120" s="14">
        <v>4990</v>
      </c>
      <c r="E120" s="14">
        <v>4350</v>
      </c>
      <c r="F120" s="14">
        <v>93</v>
      </c>
      <c r="G120" s="14">
        <v>79.2</v>
      </c>
      <c r="H120" s="14">
        <v>1</v>
      </c>
      <c r="I120" s="14">
        <v>-1</v>
      </c>
    </row>
    <row r="121" spans="1:9" ht="15.75" customHeight="1">
      <c r="A121" s="13">
        <v>43883</v>
      </c>
      <c r="B121" s="14">
        <v>67</v>
      </c>
      <c r="C121" s="14">
        <v>76</v>
      </c>
      <c r="D121" s="14">
        <v>4070</v>
      </c>
      <c r="E121" s="14">
        <v>4480</v>
      </c>
      <c r="F121" s="14">
        <v>84</v>
      </c>
      <c r="G121" s="14">
        <v>63.2</v>
      </c>
      <c r="H121" s="14">
        <v>1</v>
      </c>
      <c r="I121" s="14">
        <v>1</v>
      </c>
    </row>
    <row r="122" spans="1:9" ht="15.75" customHeight="1">
      <c r="A122" s="13">
        <v>43884</v>
      </c>
      <c r="B122" s="14">
        <v>70</v>
      </c>
      <c r="C122" s="14">
        <v>99</v>
      </c>
      <c r="D122" s="14">
        <v>3790</v>
      </c>
      <c r="E122" s="14">
        <v>3350</v>
      </c>
      <c r="F122" s="14">
        <v>85</v>
      </c>
      <c r="G122" s="14">
        <v>63.2</v>
      </c>
      <c r="H122" s="14">
        <v>1</v>
      </c>
      <c r="I122" s="14">
        <v>-1</v>
      </c>
    </row>
    <row r="123" spans="1:9" ht="15.75" customHeight="1">
      <c r="A123" s="13">
        <v>43885</v>
      </c>
      <c r="B123" s="14">
        <v>61</v>
      </c>
      <c r="C123" s="14">
        <v>74</v>
      </c>
      <c r="D123" s="14">
        <v>4110</v>
      </c>
      <c r="E123" s="14">
        <v>3050</v>
      </c>
      <c r="F123" s="14">
        <v>76</v>
      </c>
      <c r="G123" s="14">
        <v>63.2</v>
      </c>
      <c r="H123" s="14">
        <v>1</v>
      </c>
      <c r="I123" s="14">
        <v>1</v>
      </c>
    </row>
    <row r="124" spans="1:9" ht="15.75" customHeight="1">
      <c r="A124" s="13">
        <v>43886</v>
      </c>
      <c r="B124" s="14">
        <v>66</v>
      </c>
      <c r="C124" s="14">
        <v>99</v>
      </c>
      <c r="D124" s="14">
        <v>4550</v>
      </c>
      <c r="E124" s="14">
        <v>4410</v>
      </c>
      <c r="F124" s="14">
        <v>79</v>
      </c>
      <c r="G124" s="14">
        <v>63.2</v>
      </c>
      <c r="H124" s="14">
        <v>0</v>
      </c>
      <c r="I124" s="14">
        <v>-1</v>
      </c>
    </row>
    <row r="125" spans="1:9" ht="15.75" customHeight="1">
      <c r="A125" s="13">
        <v>43887</v>
      </c>
      <c r="B125" s="14">
        <v>70</v>
      </c>
      <c r="C125" s="14">
        <v>88</v>
      </c>
      <c r="D125" s="14">
        <v>4560</v>
      </c>
      <c r="E125" s="14">
        <v>4480</v>
      </c>
      <c r="F125" s="14">
        <v>89</v>
      </c>
      <c r="G125" s="14">
        <v>63.2</v>
      </c>
      <c r="H125" s="14">
        <v>0</v>
      </c>
      <c r="I125" s="14">
        <v>0</v>
      </c>
    </row>
    <row r="126" spans="1:9" ht="15.75" customHeight="1">
      <c r="A126" s="13">
        <v>43888</v>
      </c>
      <c r="B126" s="14">
        <v>80</v>
      </c>
      <c r="C126" s="14">
        <v>75</v>
      </c>
      <c r="D126" s="14">
        <v>4790.29</v>
      </c>
      <c r="E126" s="14">
        <v>3350</v>
      </c>
      <c r="F126" s="14">
        <v>70</v>
      </c>
      <c r="G126" s="14">
        <v>74.2</v>
      </c>
      <c r="H126" s="14">
        <v>1</v>
      </c>
      <c r="I126" s="14">
        <v>-1</v>
      </c>
    </row>
    <row r="127" spans="1:9" ht="15.75" customHeight="1">
      <c r="A127" s="13">
        <v>43889</v>
      </c>
      <c r="B127" s="14">
        <v>65</v>
      </c>
      <c r="C127" s="14">
        <v>72</v>
      </c>
      <c r="D127" s="14">
        <v>4720</v>
      </c>
      <c r="E127" s="14">
        <v>3970</v>
      </c>
      <c r="F127" s="14">
        <v>70</v>
      </c>
      <c r="G127" s="14">
        <v>63.2</v>
      </c>
      <c r="H127" s="14">
        <v>1</v>
      </c>
      <c r="I127" s="14">
        <v>1</v>
      </c>
    </row>
    <row r="128" spans="1:9" ht="15.75" customHeight="1">
      <c r="A128" s="13">
        <v>43890</v>
      </c>
      <c r="B128" s="14">
        <v>64</v>
      </c>
      <c r="C128" s="14">
        <v>72</v>
      </c>
      <c r="D128" s="14">
        <v>4250.99</v>
      </c>
      <c r="E128" s="14">
        <v>3720</v>
      </c>
      <c r="F128" s="14">
        <v>70</v>
      </c>
      <c r="G128" s="14">
        <v>63.2</v>
      </c>
      <c r="H128" s="14">
        <v>1</v>
      </c>
      <c r="I128" s="14">
        <v>-1</v>
      </c>
    </row>
    <row r="129" spans="1:9" ht="15.75" customHeight="1">
      <c r="A129" s="13">
        <v>43891</v>
      </c>
      <c r="B129" s="14">
        <v>74</v>
      </c>
      <c r="C129" s="14">
        <v>79</v>
      </c>
      <c r="D129" s="14">
        <v>4370</v>
      </c>
      <c r="E129" s="14">
        <v>4300</v>
      </c>
      <c r="F129" s="14">
        <v>70</v>
      </c>
      <c r="G129" s="14">
        <v>63.2</v>
      </c>
      <c r="H129" s="14">
        <v>1</v>
      </c>
      <c r="I129" s="14">
        <v>1</v>
      </c>
    </row>
    <row r="130" spans="1:9" ht="15.75" customHeight="1">
      <c r="A130" s="13">
        <v>43892</v>
      </c>
      <c r="B130" s="14">
        <v>67</v>
      </c>
      <c r="C130" s="14">
        <v>80</v>
      </c>
      <c r="D130" s="14">
        <v>4660</v>
      </c>
      <c r="E130" s="14">
        <v>3090</v>
      </c>
      <c r="F130" s="14">
        <v>70</v>
      </c>
      <c r="G130" s="14">
        <v>63.2</v>
      </c>
      <c r="H130" s="14">
        <v>1</v>
      </c>
      <c r="I130" s="14">
        <v>-1</v>
      </c>
    </row>
    <row r="131" spans="1:9" ht="15.75" customHeight="1">
      <c r="A131" s="13">
        <v>43893</v>
      </c>
      <c r="B131" s="14">
        <v>67</v>
      </c>
      <c r="C131" s="14">
        <v>81</v>
      </c>
      <c r="D131" s="14">
        <v>4450</v>
      </c>
      <c r="E131" s="14">
        <v>4090</v>
      </c>
      <c r="F131" s="14">
        <v>70</v>
      </c>
      <c r="G131" s="14">
        <v>63.2</v>
      </c>
      <c r="H131" s="14">
        <v>-1</v>
      </c>
      <c r="I131" s="14">
        <v>-1</v>
      </c>
    </row>
    <row r="132" spans="1:9" ht="15.75" customHeight="1">
      <c r="A132" s="13">
        <v>43894</v>
      </c>
      <c r="B132" s="14">
        <v>69</v>
      </c>
      <c r="C132" s="14">
        <v>63</v>
      </c>
      <c r="D132" s="14">
        <v>4890</v>
      </c>
      <c r="E132" s="14">
        <v>4400</v>
      </c>
      <c r="F132" s="14">
        <v>70</v>
      </c>
      <c r="G132" s="14">
        <v>63.2</v>
      </c>
      <c r="H132" s="16">
        <v>-1</v>
      </c>
      <c r="I132" s="14">
        <v>-1</v>
      </c>
    </row>
    <row r="133" spans="1:9" ht="15.75" customHeight="1">
      <c r="A133" s="13">
        <v>43895</v>
      </c>
      <c r="B133" s="14">
        <v>69</v>
      </c>
      <c r="C133" s="14">
        <v>75</v>
      </c>
      <c r="D133" s="14">
        <v>3980</v>
      </c>
      <c r="E133" s="14">
        <v>3390</v>
      </c>
      <c r="F133" s="14">
        <v>89</v>
      </c>
      <c r="G133" s="14">
        <v>63.2</v>
      </c>
      <c r="H133" s="14">
        <v>-1</v>
      </c>
      <c r="I133" s="14">
        <v>-1</v>
      </c>
    </row>
    <row r="134" spans="1:9" ht="15.75" customHeight="1">
      <c r="A134" s="13">
        <v>43896</v>
      </c>
      <c r="B134" s="14">
        <v>77</v>
      </c>
      <c r="C134" s="14">
        <v>94</v>
      </c>
      <c r="D134" s="14">
        <v>4459</v>
      </c>
      <c r="E134" s="14">
        <v>3330</v>
      </c>
      <c r="F134" s="14">
        <v>79</v>
      </c>
      <c r="G134" s="14">
        <v>63.2</v>
      </c>
      <c r="H134" s="14">
        <v>0</v>
      </c>
      <c r="I134" s="14">
        <v>-1</v>
      </c>
    </row>
    <row r="135" spans="1:9" ht="15.75" customHeight="1">
      <c r="A135" s="13">
        <v>43897</v>
      </c>
      <c r="B135" s="14">
        <v>67</v>
      </c>
      <c r="C135" s="14">
        <v>77</v>
      </c>
      <c r="D135" s="14">
        <v>4650</v>
      </c>
      <c r="E135" s="14">
        <v>3350</v>
      </c>
      <c r="F135" s="14">
        <v>99</v>
      </c>
      <c r="G135" s="14">
        <v>63.2</v>
      </c>
      <c r="H135" s="14">
        <v>1</v>
      </c>
      <c r="I135" s="14">
        <v>1</v>
      </c>
    </row>
    <row r="136" spans="1:9" ht="15.75" customHeight="1">
      <c r="A136" s="13">
        <v>43898</v>
      </c>
      <c r="B136" s="14">
        <v>63</v>
      </c>
      <c r="C136" s="14">
        <v>98</v>
      </c>
      <c r="D136" s="14">
        <v>4450</v>
      </c>
      <c r="E136" s="14">
        <v>3790</v>
      </c>
      <c r="F136" s="14">
        <v>99</v>
      </c>
      <c r="G136" s="14">
        <v>65.599999999999994</v>
      </c>
      <c r="H136" s="14">
        <v>1</v>
      </c>
      <c r="I136" s="14">
        <v>1</v>
      </c>
    </row>
    <row r="137" spans="1:9" ht="15.75" customHeight="1">
      <c r="A137" s="13">
        <v>43899</v>
      </c>
      <c r="B137" s="14">
        <v>62</v>
      </c>
      <c r="C137" s="14">
        <v>91</v>
      </c>
      <c r="D137" s="14">
        <v>4820</v>
      </c>
      <c r="E137" s="14">
        <v>3090</v>
      </c>
      <c r="F137" s="14">
        <v>99</v>
      </c>
      <c r="G137" s="14">
        <v>81</v>
      </c>
      <c r="H137" s="14">
        <v>1</v>
      </c>
      <c r="I137" s="14">
        <v>1</v>
      </c>
    </row>
    <row r="138" spans="1:9" ht="15.75" customHeight="1">
      <c r="A138" s="13">
        <v>43900</v>
      </c>
      <c r="B138" s="14">
        <v>61</v>
      </c>
      <c r="C138" s="14">
        <v>90</v>
      </c>
      <c r="D138" s="14">
        <v>4620</v>
      </c>
      <c r="E138" s="14">
        <v>4000</v>
      </c>
      <c r="F138" s="14">
        <v>99</v>
      </c>
      <c r="G138" s="14">
        <v>63.2</v>
      </c>
      <c r="H138" s="14">
        <v>1</v>
      </c>
      <c r="I138" s="14">
        <v>1</v>
      </c>
    </row>
    <row r="139" spans="1:9" ht="15.75" customHeight="1">
      <c r="A139" s="13">
        <v>43901</v>
      </c>
      <c r="B139" s="14">
        <v>66.599999999999994</v>
      </c>
      <c r="C139" s="14">
        <v>99</v>
      </c>
      <c r="D139" s="14">
        <v>4320</v>
      </c>
      <c r="E139" s="14">
        <v>4110</v>
      </c>
      <c r="F139" s="14">
        <v>99</v>
      </c>
      <c r="G139" s="14">
        <v>63.2</v>
      </c>
      <c r="H139" s="14">
        <v>1</v>
      </c>
      <c r="I139" s="14">
        <v>0</v>
      </c>
    </row>
    <row r="140" spans="1:9" ht="15.75" customHeight="1">
      <c r="A140" s="13">
        <v>43902</v>
      </c>
      <c r="B140" s="14">
        <v>65</v>
      </c>
      <c r="C140" s="14">
        <v>50</v>
      </c>
      <c r="D140" s="14">
        <v>4220</v>
      </c>
      <c r="E140" s="14">
        <v>3840</v>
      </c>
      <c r="F140" s="14">
        <v>99</v>
      </c>
      <c r="G140" s="14">
        <v>67</v>
      </c>
      <c r="H140" s="14">
        <v>1</v>
      </c>
      <c r="I140" s="14">
        <v>1</v>
      </c>
    </row>
    <row r="141" spans="1:9" ht="15.75" customHeight="1">
      <c r="A141" s="13">
        <v>43903</v>
      </c>
      <c r="B141" s="14">
        <v>67</v>
      </c>
      <c r="C141" s="14">
        <v>99</v>
      </c>
      <c r="D141" s="14">
        <v>3760</v>
      </c>
      <c r="E141" s="14">
        <v>3370</v>
      </c>
      <c r="F141" s="14">
        <v>99</v>
      </c>
      <c r="G141" s="14">
        <v>67</v>
      </c>
      <c r="H141" s="14">
        <v>1</v>
      </c>
      <c r="I141" s="14">
        <v>1</v>
      </c>
    </row>
    <row r="142" spans="1:9" ht="15.75" customHeight="1">
      <c r="A142" s="13">
        <v>43904</v>
      </c>
      <c r="B142" s="14">
        <v>70</v>
      </c>
      <c r="C142" s="14">
        <v>99</v>
      </c>
      <c r="D142" s="14">
        <v>4980</v>
      </c>
      <c r="E142" s="14">
        <v>4510</v>
      </c>
      <c r="F142" s="14">
        <v>99</v>
      </c>
      <c r="G142" s="14">
        <v>70</v>
      </c>
      <c r="H142" s="14">
        <v>1</v>
      </c>
      <c r="I142" s="14">
        <v>1</v>
      </c>
    </row>
    <row r="143" spans="1:9" ht="15.75" customHeight="1">
      <c r="A143" s="13">
        <v>43905</v>
      </c>
      <c r="B143" s="14">
        <v>66</v>
      </c>
      <c r="C143" s="14">
        <v>99</v>
      </c>
      <c r="D143" s="14">
        <v>4240</v>
      </c>
      <c r="E143" s="14">
        <v>4660</v>
      </c>
      <c r="F143" s="14">
        <v>99</v>
      </c>
      <c r="G143" s="14">
        <v>75.599999999999994</v>
      </c>
      <c r="H143" s="14">
        <v>1</v>
      </c>
      <c r="I143" s="14">
        <v>0</v>
      </c>
    </row>
    <row r="144" spans="1:9" ht="15.75" customHeight="1">
      <c r="A144" s="13">
        <v>43906</v>
      </c>
      <c r="B144" s="14">
        <v>84</v>
      </c>
      <c r="C144" s="14">
        <v>90</v>
      </c>
      <c r="D144" s="14">
        <v>4900</v>
      </c>
      <c r="E144" s="14">
        <v>4870</v>
      </c>
      <c r="F144" s="14">
        <v>70</v>
      </c>
      <c r="G144" s="14">
        <v>81.2</v>
      </c>
      <c r="H144" s="14">
        <v>1</v>
      </c>
      <c r="I144" s="14">
        <v>-1</v>
      </c>
    </row>
    <row r="145" spans="1:9" ht="15.75" customHeight="1">
      <c r="A145" s="13">
        <v>43907</v>
      </c>
      <c r="B145" s="14">
        <v>60</v>
      </c>
      <c r="C145" s="14">
        <v>89</v>
      </c>
      <c r="D145" s="14">
        <v>4440</v>
      </c>
      <c r="E145" s="14">
        <v>4250</v>
      </c>
      <c r="F145" s="14">
        <v>70</v>
      </c>
      <c r="G145" s="14">
        <v>86.8</v>
      </c>
      <c r="H145" s="14">
        <v>-1</v>
      </c>
      <c r="I145" s="14">
        <v>0</v>
      </c>
    </row>
    <row r="146" spans="1:9" ht="15.75" customHeight="1">
      <c r="A146" s="13">
        <v>43908</v>
      </c>
      <c r="B146" s="14">
        <v>59</v>
      </c>
      <c r="C146" s="14">
        <v>98</v>
      </c>
      <c r="D146" s="14">
        <v>4920</v>
      </c>
      <c r="E146" s="14">
        <v>3710</v>
      </c>
      <c r="F146" s="14">
        <v>94</v>
      </c>
      <c r="G146" s="14">
        <v>92.4</v>
      </c>
      <c r="H146" s="14">
        <v>1</v>
      </c>
      <c r="I146" s="14">
        <v>0</v>
      </c>
    </row>
    <row r="147" spans="1:9" ht="15.75" customHeight="1">
      <c r="A147" s="13">
        <v>43909</v>
      </c>
      <c r="B147" s="14">
        <v>63</v>
      </c>
      <c r="C147" s="14">
        <v>78</v>
      </c>
      <c r="D147" s="14">
        <v>4240</v>
      </c>
      <c r="E147" s="14">
        <v>3150</v>
      </c>
      <c r="F147" s="14">
        <v>79</v>
      </c>
      <c r="G147" s="14">
        <v>98</v>
      </c>
      <c r="H147" s="14">
        <v>0</v>
      </c>
      <c r="I147" s="14">
        <v>1</v>
      </c>
    </row>
    <row r="148" spans="1:9" ht="15.75" customHeight="1">
      <c r="A148" s="13">
        <v>43910</v>
      </c>
      <c r="B148" s="14">
        <v>60</v>
      </c>
      <c r="C148" s="14">
        <v>63</v>
      </c>
      <c r="D148" s="14">
        <v>4890</v>
      </c>
      <c r="E148" s="14">
        <v>4830</v>
      </c>
      <c r="F148" s="14">
        <v>80</v>
      </c>
      <c r="G148" s="14">
        <v>80</v>
      </c>
      <c r="H148" s="16">
        <v>0</v>
      </c>
      <c r="I148" s="14">
        <v>-1</v>
      </c>
    </row>
    <row r="149" spans="1:9" ht="15.75" customHeight="1">
      <c r="A149" s="13">
        <v>43911</v>
      </c>
      <c r="B149" s="14">
        <v>11</v>
      </c>
      <c r="C149" s="14">
        <v>175</v>
      </c>
      <c r="D149" s="14">
        <v>2900</v>
      </c>
      <c r="E149" s="14">
        <v>4900</v>
      </c>
      <c r="F149" s="14">
        <v>98</v>
      </c>
      <c r="G149" s="14">
        <v>63.2</v>
      </c>
      <c r="H149" s="14">
        <v>-1</v>
      </c>
      <c r="I149" s="14">
        <v>1</v>
      </c>
    </row>
    <row r="150" spans="1:9" ht="15.75" customHeight="1">
      <c r="A150" s="13">
        <v>43912</v>
      </c>
      <c r="B150" s="14">
        <v>13</v>
      </c>
      <c r="C150" s="14">
        <v>120.97</v>
      </c>
      <c r="D150" s="14">
        <v>3990</v>
      </c>
      <c r="E150" s="14">
        <v>4740</v>
      </c>
      <c r="F150" s="14">
        <v>40.299999999999997</v>
      </c>
      <c r="G150" s="14">
        <v>88</v>
      </c>
      <c r="H150" s="14">
        <v>-1</v>
      </c>
      <c r="I150" s="14">
        <v>1</v>
      </c>
    </row>
    <row r="151" spans="1:9" ht="15.75" customHeight="1">
      <c r="A151" s="13">
        <v>43913</v>
      </c>
      <c r="B151" s="14">
        <v>17</v>
      </c>
      <c r="C151" s="14">
        <v>200</v>
      </c>
      <c r="D151" s="14">
        <v>5000</v>
      </c>
      <c r="E151" s="14">
        <v>3170</v>
      </c>
      <c r="F151" s="14">
        <v>25.8</v>
      </c>
      <c r="G151" s="14">
        <v>90</v>
      </c>
      <c r="H151" s="14">
        <v>0</v>
      </c>
      <c r="I151" s="14">
        <v>1</v>
      </c>
    </row>
    <row r="152" spans="1:9" ht="15.75" customHeight="1">
      <c r="A152" s="13">
        <v>43914</v>
      </c>
      <c r="B152" s="14">
        <v>14</v>
      </c>
      <c r="C152" s="14">
        <v>119</v>
      </c>
      <c r="D152" s="14">
        <v>2990</v>
      </c>
      <c r="E152" s="14">
        <v>3520</v>
      </c>
      <c r="F152" s="14">
        <v>20.7</v>
      </c>
      <c r="G152" s="14">
        <v>97</v>
      </c>
      <c r="H152" s="14">
        <v>0</v>
      </c>
      <c r="I152" s="14">
        <v>1</v>
      </c>
    </row>
    <row r="153" spans="1:9" ht="15.75" customHeight="1">
      <c r="A153" s="13">
        <v>43915</v>
      </c>
      <c r="B153" s="14">
        <v>13</v>
      </c>
      <c r="C153" s="14">
        <v>100</v>
      </c>
      <c r="D153" s="14">
        <v>2990</v>
      </c>
      <c r="E153" s="14">
        <v>4150</v>
      </c>
      <c r="F153" s="14">
        <v>20.7</v>
      </c>
      <c r="G153" s="14">
        <v>99</v>
      </c>
      <c r="H153" s="14">
        <v>0</v>
      </c>
      <c r="I153" s="14">
        <v>0</v>
      </c>
    </row>
    <row r="154" spans="1:9" ht="15.75" customHeight="1">
      <c r="A154" s="13">
        <v>43916</v>
      </c>
      <c r="B154" s="14">
        <v>12</v>
      </c>
      <c r="C154" s="14">
        <v>128</v>
      </c>
      <c r="D154" s="14">
        <v>2750</v>
      </c>
      <c r="E154" s="14">
        <v>3480</v>
      </c>
      <c r="F154" s="14">
        <v>23.3</v>
      </c>
      <c r="G154" s="14">
        <v>100</v>
      </c>
      <c r="H154" s="14">
        <v>0</v>
      </c>
      <c r="I154" s="14">
        <v>1</v>
      </c>
    </row>
    <row r="155" spans="1:9" ht="15.75" customHeight="1">
      <c r="A155" s="13">
        <v>43917</v>
      </c>
      <c r="B155" s="14">
        <v>11</v>
      </c>
      <c r="C155" s="14">
        <v>121</v>
      </c>
      <c r="D155" s="14">
        <v>2990</v>
      </c>
      <c r="E155" s="14">
        <v>4130</v>
      </c>
      <c r="F155" s="14">
        <v>39.700000000000003</v>
      </c>
      <c r="G155" s="14">
        <v>90</v>
      </c>
      <c r="H155" s="14">
        <v>0</v>
      </c>
      <c r="I155" s="14">
        <v>1</v>
      </c>
    </row>
    <row r="156" spans="1:9" ht="15.75" customHeight="1">
      <c r="A156" s="13">
        <v>43918</v>
      </c>
      <c r="B156" s="14">
        <v>15</v>
      </c>
      <c r="C156" s="14">
        <v>135</v>
      </c>
      <c r="D156" s="14">
        <v>3500</v>
      </c>
      <c r="E156" s="14">
        <v>4900</v>
      </c>
      <c r="F156" s="14">
        <v>21.1</v>
      </c>
      <c r="G156" s="14">
        <v>99</v>
      </c>
      <c r="H156" s="14">
        <v>0</v>
      </c>
      <c r="I156" s="14">
        <v>0</v>
      </c>
    </row>
    <row r="157" spans="1:9" ht="15.75" customHeight="1">
      <c r="A157" s="13">
        <v>43919</v>
      </c>
      <c r="B157" s="14">
        <v>19</v>
      </c>
      <c r="C157" s="14">
        <v>200</v>
      </c>
      <c r="D157" s="14">
        <v>2990</v>
      </c>
      <c r="E157" s="14">
        <v>4100</v>
      </c>
      <c r="F157" s="14">
        <v>20.7</v>
      </c>
      <c r="G157" s="14">
        <v>99</v>
      </c>
      <c r="H157" s="14">
        <v>0</v>
      </c>
      <c r="I157" s="14">
        <v>0</v>
      </c>
    </row>
    <row r="158" spans="1:9" ht="15.75" customHeight="1">
      <c r="A158" s="13">
        <v>43920</v>
      </c>
      <c r="B158" s="14">
        <v>23</v>
      </c>
      <c r="C158" s="14">
        <v>111</v>
      </c>
      <c r="D158" s="14">
        <v>2990</v>
      </c>
      <c r="E158" s="14">
        <v>4600</v>
      </c>
      <c r="F158" s="14">
        <v>43.5</v>
      </c>
      <c r="G158" s="14">
        <v>99</v>
      </c>
      <c r="H158" s="14">
        <v>0</v>
      </c>
      <c r="I158" s="14">
        <v>1</v>
      </c>
    </row>
    <row r="159" spans="1:9" ht="15.75" customHeight="1">
      <c r="A159" s="13">
        <v>43921</v>
      </c>
      <c r="B159" s="14">
        <v>11</v>
      </c>
      <c r="C159" s="14">
        <v>200</v>
      </c>
      <c r="D159" s="14">
        <v>3000</v>
      </c>
      <c r="E159" s="14">
        <v>3410</v>
      </c>
      <c r="F159" s="14">
        <v>20.7</v>
      </c>
      <c r="G159" s="14">
        <v>99</v>
      </c>
      <c r="H159" s="14">
        <v>0</v>
      </c>
      <c r="I159" s="14">
        <v>0</v>
      </c>
    </row>
    <row r="160" spans="1:9" ht="15.75" customHeight="1">
      <c r="A160" s="13">
        <v>43922</v>
      </c>
      <c r="B160" s="14">
        <v>16</v>
      </c>
      <c r="C160" s="14">
        <v>115</v>
      </c>
      <c r="D160" s="14">
        <v>2999</v>
      </c>
      <c r="E160" s="14">
        <v>4600</v>
      </c>
      <c r="F160" s="14">
        <v>36.9</v>
      </c>
      <c r="G160" s="14">
        <v>100</v>
      </c>
      <c r="H160" s="14">
        <v>0</v>
      </c>
      <c r="I160" s="14">
        <v>1</v>
      </c>
    </row>
    <row r="161" spans="1:9" ht="15.75" customHeight="1">
      <c r="A161" s="13">
        <v>43923</v>
      </c>
      <c r="B161" s="14">
        <v>19</v>
      </c>
      <c r="C161" s="14">
        <v>126</v>
      </c>
      <c r="D161" s="14">
        <v>3678</v>
      </c>
      <c r="E161" s="14">
        <v>3890</v>
      </c>
      <c r="F161" s="14">
        <v>20.7</v>
      </c>
      <c r="G161" s="14">
        <v>100</v>
      </c>
      <c r="H161" s="14">
        <v>-1</v>
      </c>
      <c r="I161" s="14">
        <v>1</v>
      </c>
    </row>
    <row r="162" spans="1:9" ht="15.75" customHeight="1">
      <c r="A162" s="13">
        <v>43924</v>
      </c>
      <c r="B162" s="14">
        <v>13</v>
      </c>
      <c r="C162" s="14">
        <v>127</v>
      </c>
      <c r="D162" s="14">
        <v>3910</v>
      </c>
      <c r="E162" s="14">
        <v>3620</v>
      </c>
      <c r="F162" s="14">
        <v>20.7</v>
      </c>
      <c r="G162" s="14">
        <v>100</v>
      </c>
      <c r="H162" s="14">
        <v>0</v>
      </c>
      <c r="I162" s="14">
        <v>0</v>
      </c>
    </row>
    <row r="163" spans="1:9" ht="15.75" customHeight="1">
      <c r="A163" s="13">
        <v>43925</v>
      </c>
      <c r="B163" s="14">
        <v>18</v>
      </c>
      <c r="C163" s="14">
        <v>141</v>
      </c>
      <c r="D163" s="14">
        <v>3980</v>
      </c>
      <c r="E163" s="14">
        <v>3280</v>
      </c>
      <c r="F163" s="14">
        <v>35.799999999999997</v>
      </c>
      <c r="G163" s="14">
        <v>100</v>
      </c>
      <c r="H163" s="14">
        <v>-1</v>
      </c>
      <c r="I163" s="14">
        <v>1</v>
      </c>
    </row>
    <row r="164" spans="1:9" ht="15.75" customHeight="1">
      <c r="A164" s="13">
        <v>43926</v>
      </c>
      <c r="B164" s="14">
        <v>12</v>
      </c>
      <c r="C164" s="14">
        <v>138</v>
      </c>
      <c r="D164" s="14">
        <v>3440</v>
      </c>
      <c r="E164" s="14">
        <v>3320</v>
      </c>
      <c r="F164" s="14">
        <v>20.7</v>
      </c>
      <c r="G164" s="14">
        <v>100</v>
      </c>
      <c r="H164" s="14">
        <v>0</v>
      </c>
      <c r="I164" s="14">
        <v>0</v>
      </c>
    </row>
    <row r="165" spans="1:9" ht="15.75" customHeight="1">
      <c r="A165" s="13">
        <v>43927</v>
      </c>
      <c r="B165" s="14">
        <v>19</v>
      </c>
      <c r="C165" s="14">
        <v>178</v>
      </c>
      <c r="D165" s="14">
        <v>3550</v>
      </c>
      <c r="E165" s="14">
        <v>4980</v>
      </c>
      <c r="F165" s="14">
        <v>36.799999999999997</v>
      </c>
      <c r="G165" s="14">
        <v>97</v>
      </c>
      <c r="H165" s="14">
        <v>0</v>
      </c>
      <c r="I165" s="14">
        <v>1</v>
      </c>
    </row>
    <row r="166" spans="1:9" ht="15.75" customHeight="1">
      <c r="A166" s="13">
        <v>43928</v>
      </c>
      <c r="B166" s="14">
        <v>15</v>
      </c>
      <c r="C166" s="14">
        <v>145</v>
      </c>
      <c r="D166" s="14">
        <v>2010</v>
      </c>
      <c r="E166" s="14">
        <v>4750</v>
      </c>
      <c r="F166" s="14">
        <v>20.7</v>
      </c>
      <c r="G166" s="14">
        <v>98</v>
      </c>
      <c r="H166" s="14">
        <v>0</v>
      </c>
      <c r="I166" s="14">
        <v>1</v>
      </c>
    </row>
    <row r="167" spans="1:9" ht="15.75" customHeight="1">
      <c r="A167" s="13">
        <v>43929</v>
      </c>
      <c r="B167" s="14">
        <v>15</v>
      </c>
      <c r="C167" s="14">
        <v>151</v>
      </c>
      <c r="D167" s="14">
        <v>3000</v>
      </c>
      <c r="E167" s="14">
        <v>4290</v>
      </c>
      <c r="F167" s="14">
        <v>20.7</v>
      </c>
      <c r="G167" s="14">
        <v>97</v>
      </c>
      <c r="H167" s="14">
        <v>0</v>
      </c>
      <c r="I167" s="14">
        <v>1</v>
      </c>
    </row>
    <row r="168" spans="1:9" ht="15.75" customHeight="1">
      <c r="A168" s="13">
        <v>43930</v>
      </c>
      <c r="B168" s="14">
        <v>15</v>
      </c>
      <c r="C168" s="14">
        <v>137</v>
      </c>
      <c r="D168" s="14">
        <v>3860</v>
      </c>
      <c r="E168" s="14">
        <v>3990</v>
      </c>
      <c r="F168" s="14">
        <v>20.7</v>
      </c>
      <c r="G168" s="14">
        <v>95</v>
      </c>
      <c r="H168" s="16">
        <v>-1</v>
      </c>
      <c r="I168" s="14">
        <v>1</v>
      </c>
    </row>
    <row r="169" spans="1:9" ht="15.75" customHeight="1">
      <c r="A169" s="13">
        <v>43931</v>
      </c>
      <c r="B169" s="14">
        <v>17</v>
      </c>
      <c r="C169" s="14">
        <v>140</v>
      </c>
      <c r="D169" s="14">
        <v>4440</v>
      </c>
      <c r="E169" s="14">
        <v>3600</v>
      </c>
      <c r="F169" s="14">
        <v>20.7</v>
      </c>
      <c r="G169" s="14">
        <v>97</v>
      </c>
      <c r="H169" s="14">
        <v>0</v>
      </c>
      <c r="I169" s="14">
        <v>1</v>
      </c>
    </row>
    <row r="170" spans="1:9" ht="15.75" customHeight="1">
      <c r="A170" s="13">
        <v>43932</v>
      </c>
      <c r="B170" s="14">
        <v>13</v>
      </c>
      <c r="C170" s="14">
        <v>153</v>
      </c>
      <c r="D170" s="14">
        <v>2900</v>
      </c>
      <c r="E170" s="14">
        <v>4260</v>
      </c>
      <c r="F170" s="14">
        <v>23.6</v>
      </c>
      <c r="G170" s="14">
        <v>94</v>
      </c>
      <c r="H170" s="14">
        <v>0</v>
      </c>
      <c r="I170" s="14">
        <v>0</v>
      </c>
    </row>
    <row r="171" spans="1:9" ht="15.75" customHeight="1">
      <c r="A171" s="13">
        <v>43933</v>
      </c>
      <c r="B171" s="14">
        <v>12</v>
      </c>
      <c r="C171" s="14">
        <v>130</v>
      </c>
      <c r="D171" s="14">
        <v>3990</v>
      </c>
      <c r="E171" s="14">
        <v>3270</v>
      </c>
      <c r="F171" s="14">
        <v>20.7</v>
      </c>
      <c r="G171" s="14">
        <v>99</v>
      </c>
      <c r="H171" s="14">
        <v>0</v>
      </c>
      <c r="I171" s="14">
        <v>1</v>
      </c>
    </row>
    <row r="172" spans="1:9" ht="15.75" customHeight="1">
      <c r="A172" s="13">
        <v>43934</v>
      </c>
      <c r="B172" s="14">
        <v>19</v>
      </c>
      <c r="C172" s="14">
        <v>171</v>
      </c>
      <c r="D172" s="14">
        <v>3020</v>
      </c>
      <c r="E172" s="14">
        <v>3880</v>
      </c>
      <c r="F172" s="14">
        <v>20.7</v>
      </c>
      <c r="G172" s="14">
        <v>93</v>
      </c>
      <c r="H172" s="14">
        <v>0</v>
      </c>
      <c r="I172" s="14">
        <v>1</v>
      </c>
    </row>
    <row r="173" spans="1:9" ht="15.75" customHeight="1">
      <c r="A173" s="13">
        <v>43935</v>
      </c>
      <c r="B173" s="14">
        <v>14</v>
      </c>
      <c r="C173" s="14">
        <v>132</v>
      </c>
      <c r="D173" s="14">
        <v>2500</v>
      </c>
      <c r="E173" s="14">
        <v>5000</v>
      </c>
      <c r="F173" s="14">
        <v>20.9</v>
      </c>
      <c r="G173" s="14">
        <v>92</v>
      </c>
      <c r="H173" s="14">
        <v>0</v>
      </c>
      <c r="I173" s="14">
        <v>1</v>
      </c>
    </row>
    <row r="174" spans="1:9" ht="15.75" customHeight="1">
      <c r="A174" s="13">
        <v>43936</v>
      </c>
      <c r="B174" s="14">
        <v>20</v>
      </c>
      <c r="C174" s="14">
        <v>175</v>
      </c>
      <c r="D174" s="14">
        <v>3990</v>
      </c>
      <c r="E174" s="14">
        <v>3860</v>
      </c>
      <c r="F174" s="14">
        <v>20.100000000000001</v>
      </c>
      <c r="G174" s="14">
        <v>90</v>
      </c>
      <c r="H174" s="14">
        <v>-1</v>
      </c>
      <c r="I174" s="14">
        <v>0</v>
      </c>
    </row>
    <row r="175" spans="1:9" ht="15.75" customHeight="1">
      <c r="A175" s="13">
        <v>43937</v>
      </c>
      <c r="B175" s="14">
        <v>11</v>
      </c>
      <c r="C175" s="14">
        <v>140</v>
      </c>
      <c r="D175" s="14">
        <v>3750</v>
      </c>
      <c r="E175" s="14">
        <v>3970</v>
      </c>
      <c r="F175" s="14">
        <v>20.7</v>
      </c>
      <c r="G175" s="14">
        <v>99</v>
      </c>
      <c r="H175" s="14">
        <v>-1</v>
      </c>
      <c r="I175" s="14">
        <v>1</v>
      </c>
    </row>
    <row r="176" spans="1:9" ht="15.75" customHeight="1">
      <c r="A176" s="13">
        <v>43938</v>
      </c>
      <c r="B176" s="14">
        <v>14</v>
      </c>
      <c r="C176" s="14">
        <v>153</v>
      </c>
      <c r="D176" s="14">
        <v>3000</v>
      </c>
      <c r="E176" s="14">
        <v>4020</v>
      </c>
      <c r="F176" s="14">
        <v>20.7</v>
      </c>
      <c r="G176" s="14">
        <v>89</v>
      </c>
      <c r="H176" s="14">
        <v>-1</v>
      </c>
      <c r="I176" s="14">
        <v>0</v>
      </c>
    </row>
    <row r="177" spans="1:9" ht="15.75" customHeight="1">
      <c r="A177" s="13">
        <v>43939</v>
      </c>
      <c r="B177" s="14">
        <v>10</v>
      </c>
      <c r="C177" s="14">
        <v>153</v>
      </c>
      <c r="D177" s="14">
        <v>2890</v>
      </c>
      <c r="E177" s="14">
        <v>4500</v>
      </c>
      <c r="F177" s="14">
        <v>20.7</v>
      </c>
      <c r="G177" s="14">
        <v>97</v>
      </c>
      <c r="H177" s="14">
        <v>0</v>
      </c>
      <c r="I177" s="14">
        <v>0</v>
      </c>
    </row>
    <row r="178" spans="1:9" ht="15.75" customHeight="1">
      <c r="A178" s="13">
        <v>43940</v>
      </c>
      <c r="B178" s="14">
        <v>10</v>
      </c>
      <c r="C178" s="14">
        <v>179</v>
      </c>
      <c r="D178" s="14">
        <v>3990</v>
      </c>
      <c r="E178" s="14">
        <v>4660</v>
      </c>
      <c r="F178" s="14">
        <v>20.7</v>
      </c>
      <c r="G178" s="14">
        <v>80</v>
      </c>
      <c r="H178" s="14">
        <v>0</v>
      </c>
      <c r="I178" s="14">
        <v>0</v>
      </c>
    </row>
    <row r="179" spans="1:9" ht="15.75" customHeight="1">
      <c r="A179" s="13">
        <v>43941</v>
      </c>
      <c r="B179" s="14">
        <v>12</v>
      </c>
      <c r="C179" s="14">
        <v>139</v>
      </c>
      <c r="D179" s="14">
        <v>3500</v>
      </c>
      <c r="E179" s="14">
        <v>4600</v>
      </c>
      <c r="F179" s="14">
        <v>20.7</v>
      </c>
      <c r="G179" s="14">
        <v>87</v>
      </c>
      <c r="H179" s="14">
        <v>0</v>
      </c>
      <c r="I179" s="14">
        <v>1</v>
      </c>
    </row>
    <row r="180" spans="1:9" ht="15.75" customHeight="1">
      <c r="A180" s="13">
        <v>43942</v>
      </c>
      <c r="B180" s="14">
        <v>14</v>
      </c>
      <c r="C180" s="14">
        <v>111</v>
      </c>
      <c r="D180" s="14">
        <v>3000</v>
      </c>
      <c r="E180" s="14">
        <v>4830</v>
      </c>
      <c r="F180" s="14">
        <v>20.7</v>
      </c>
      <c r="G180" s="14">
        <v>86</v>
      </c>
      <c r="H180" s="14">
        <v>0</v>
      </c>
      <c r="I180" s="14">
        <v>1</v>
      </c>
    </row>
    <row r="181" spans="1:9" ht="15.75" customHeight="1">
      <c r="A181" s="13">
        <v>43943</v>
      </c>
      <c r="B181" s="14">
        <v>15</v>
      </c>
      <c r="C181" s="14">
        <v>125</v>
      </c>
      <c r="D181" s="14">
        <v>3000</v>
      </c>
      <c r="E181" s="14">
        <v>4680</v>
      </c>
      <c r="F181" s="14">
        <v>20.7</v>
      </c>
      <c r="G181" s="14">
        <v>92</v>
      </c>
      <c r="H181" s="14">
        <v>0</v>
      </c>
      <c r="I181" s="14">
        <v>1</v>
      </c>
    </row>
    <row r="182" spans="1:9" ht="15.75" customHeight="1">
      <c r="A182" s="13">
        <v>43944</v>
      </c>
      <c r="B182" s="14">
        <v>20</v>
      </c>
      <c r="C182" s="14">
        <v>110</v>
      </c>
      <c r="D182" s="14">
        <v>2890</v>
      </c>
      <c r="E182" s="14">
        <v>3860</v>
      </c>
      <c r="F182" s="14">
        <v>20.7</v>
      </c>
      <c r="G182" s="14">
        <v>99</v>
      </c>
      <c r="H182" s="14">
        <v>0</v>
      </c>
      <c r="I182" s="14">
        <v>1</v>
      </c>
    </row>
    <row r="183" spans="1:9" ht="15.75" customHeight="1">
      <c r="A183" s="2"/>
    </row>
    <row r="184" spans="1:9" ht="15.75" customHeight="1">
      <c r="A184" s="2"/>
    </row>
    <row r="185" spans="1:9" ht="15.75" customHeight="1">
      <c r="A185" s="2"/>
    </row>
    <row r="186" spans="1:9" ht="15.75" customHeight="1">
      <c r="A186" s="2"/>
    </row>
    <row r="187" spans="1:9" ht="15.75" customHeight="1">
      <c r="A187" s="2"/>
    </row>
    <row r="188" spans="1:9" ht="15.75" customHeight="1">
      <c r="A188" s="2"/>
    </row>
    <row r="189" spans="1:9" ht="15.75" customHeight="1">
      <c r="A189" s="2"/>
    </row>
    <row r="190" spans="1:9" ht="15.75" customHeight="1">
      <c r="A190" s="2"/>
    </row>
    <row r="191" spans="1:9" ht="15.75" customHeight="1">
      <c r="A191" s="2"/>
    </row>
    <row r="192" spans="1:9" ht="15.75" customHeight="1">
      <c r="A192" s="2"/>
    </row>
    <row r="193" spans="1:1" ht="15.75" customHeight="1">
      <c r="A193" s="2"/>
    </row>
    <row r="194" spans="1:1" ht="15.75" customHeight="1">
      <c r="A194" s="2"/>
    </row>
    <row r="195" spans="1:1" ht="15.75" customHeight="1">
      <c r="A195" s="2"/>
    </row>
    <row r="196" spans="1:1" ht="15.75" customHeight="1">
      <c r="A196" s="2"/>
    </row>
    <row r="197" spans="1:1" ht="15.75" customHeight="1">
      <c r="A197" s="2"/>
    </row>
    <row r="198" spans="1:1" ht="15.75" customHeight="1">
      <c r="A198" s="2"/>
    </row>
    <row r="199" spans="1:1" ht="15.75" customHeight="1">
      <c r="A199" s="2"/>
    </row>
    <row r="200" spans="1:1" ht="15.75" customHeight="1">
      <c r="A200" s="2"/>
    </row>
    <row r="201" spans="1:1" ht="15.75" customHeight="1">
      <c r="A201" s="2"/>
    </row>
    <row r="202" spans="1:1" ht="15.75" customHeight="1">
      <c r="A202" s="2"/>
    </row>
    <row r="203" spans="1:1" ht="15.75" customHeight="1">
      <c r="A203" s="2"/>
    </row>
    <row r="204" spans="1:1" ht="15.75" customHeight="1">
      <c r="A204" s="2"/>
    </row>
    <row r="205" spans="1:1" ht="15.75" customHeight="1">
      <c r="A205" s="2"/>
    </row>
    <row r="206" spans="1:1" ht="15.75" customHeight="1">
      <c r="A206" s="2"/>
    </row>
    <row r="207" spans="1:1" ht="15.75" customHeight="1">
      <c r="A207" s="2"/>
    </row>
    <row r="208" spans="1:1" ht="15.75" customHeight="1">
      <c r="A208" s="2"/>
    </row>
    <row r="209" spans="1:1" ht="15.75" customHeight="1">
      <c r="A209" s="2"/>
    </row>
    <row r="210" spans="1:1" ht="15.75" customHeight="1">
      <c r="A210" s="2"/>
    </row>
    <row r="211" spans="1:1" ht="15.75" customHeight="1">
      <c r="A211" s="2"/>
    </row>
    <row r="212" spans="1:1" ht="15.75" customHeight="1">
      <c r="A212" s="2"/>
    </row>
    <row r="213" spans="1:1" ht="15.75" customHeight="1">
      <c r="A213" s="2"/>
    </row>
    <row r="214" spans="1:1" ht="15.75" customHeight="1">
      <c r="A214" s="2"/>
    </row>
    <row r="215" spans="1:1" ht="15.75" customHeight="1">
      <c r="A215" s="2"/>
    </row>
    <row r="216" spans="1:1" ht="15.75" customHeight="1">
      <c r="A216" s="2"/>
    </row>
    <row r="217" spans="1:1" ht="15.75" customHeight="1">
      <c r="A217" s="2"/>
    </row>
    <row r="218" spans="1:1" ht="15.75" customHeight="1">
      <c r="A218" s="2"/>
    </row>
    <row r="219" spans="1:1" ht="15.75" customHeight="1">
      <c r="A219" s="2"/>
    </row>
    <row r="220" spans="1:1" ht="15.75" customHeight="1">
      <c r="A220" s="2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custom" allowBlank="1" showDropDown="1" showErrorMessage="1" sqref="C2:D2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6" ht="15.75" customHeight="1">
      <c r="A1" s="1" t="s">
        <v>0</v>
      </c>
      <c r="C1" s="1" t="s">
        <v>1</v>
      </c>
      <c r="D1" s="1" t="s">
        <v>2</v>
      </c>
    </row>
    <row r="2" spans="1:6" ht="15.75" customHeight="1">
      <c r="A2" s="1" t="s">
        <v>177</v>
      </c>
      <c r="C2" s="2">
        <v>43831</v>
      </c>
      <c r="D2" s="2">
        <v>44059</v>
      </c>
    </row>
    <row r="3" spans="1:6" ht="15.75" customHeight="1"/>
    <row r="4" spans="1:6" ht="15.75" customHeight="1"/>
    <row r="5" spans="1:6" ht="15.75" customHeight="1">
      <c r="A5" s="1" t="str">
        <f ca="1">IFERROR(__xludf.DUMMYFUNCTION("GOOGLEFINANCE(A2,""all"",C2, D2, ""DAILY"")"),"Date")</f>
        <v>Date</v>
      </c>
      <c r="B5" s="1" t="str">
        <f ca="1">IFERROR(__xludf.DUMMYFUNCTION("""COMPUTED_VALUE"""),"Open")</f>
        <v>Open</v>
      </c>
      <c r="C5" s="1" t="str">
        <f ca="1">IFERROR(__xludf.DUMMYFUNCTION("""COMPUTED_VALUE"""),"High")</f>
        <v>High</v>
      </c>
      <c r="D5" s="1" t="str">
        <f ca="1">IFERROR(__xludf.DUMMYFUNCTION("""COMPUTED_VALUE"""),"Low")</f>
        <v>Low</v>
      </c>
      <c r="E5" s="1" t="str">
        <f ca="1">IFERROR(__xludf.DUMMYFUNCTION("""COMPUTED_VALUE"""),"Close")</f>
        <v>Close</v>
      </c>
      <c r="F5" s="1" t="str">
        <f ca="1">IFERROR(__xludf.DUMMYFUNCTION("""COMPUTED_VALUE"""),"Volume")</f>
        <v>Volume</v>
      </c>
    </row>
    <row r="6" spans="1:6" ht="15.75" customHeight="1">
      <c r="A6" s="10">
        <f ca="1">IFERROR(__xludf.DUMMYFUNCTION("""COMPUTED_VALUE"""),43832.6458333333)</f>
        <v>43832.645833333299</v>
      </c>
      <c r="B6" s="1">
        <f ca="1">IFERROR(__xludf.DUMMYFUNCTION("""COMPUTED_VALUE"""),3047)</f>
        <v>3047</v>
      </c>
      <c r="C6" s="1">
        <f ca="1">IFERROR(__xludf.DUMMYFUNCTION("""COMPUTED_VALUE"""),3065)</f>
        <v>3065</v>
      </c>
      <c r="D6" s="1">
        <f ca="1">IFERROR(__xludf.DUMMYFUNCTION("""COMPUTED_VALUE"""),3043.05)</f>
        <v>3043.05</v>
      </c>
      <c r="E6" s="1">
        <f ca="1">IFERROR(__xludf.DUMMYFUNCTION("""COMPUTED_VALUE"""),3053.4)</f>
        <v>3053.4</v>
      </c>
      <c r="F6" s="1">
        <f ca="1">IFERROR(__xludf.DUMMYFUNCTION("""COMPUTED_VALUE"""),138428)</f>
        <v>138428</v>
      </c>
    </row>
    <row r="7" spans="1:6" ht="15.75" customHeight="1">
      <c r="A7" s="10">
        <f ca="1">IFERROR(__xludf.DUMMYFUNCTION("""COMPUTED_VALUE"""),43833.6458333333)</f>
        <v>43833.645833333299</v>
      </c>
      <c r="B7" s="1">
        <f ca="1">IFERROR(__xludf.DUMMYFUNCTION("""COMPUTED_VALUE"""),3045)</f>
        <v>3045</v>
      </c>
      <c r="C7" s="1">
        <f ca="1">IFERROR(__xludf.DUMMYFUNCTION("""COMPUTED_VALUE"""),3060)</f>
        <v>3060</v>
      </c>
      <c r="D7" s="1">
        <f ca="1">IFERROR(__xludf.DUMMYFUNCTION("""COMPUTED_VALUE"""),3025.65)</f>
        <v>3025.65</v>
      </c>
      <c r="E7" s="1">
        <f ca="1">IFERROR(__xludf.DUMMYFUNCTION("""COMPUTED_VALUE"""),3038.8)</f>
        <v>3038.8</v>
      </c>
      <c r="F7" s="1">
        <f ca="1">IFERROR(__xludf.DUMMYFUNCTION("""COMPUTED_VALUE"""),168305)</f>
        <v>168305</v>
      </c>
    </row>
    <row r="8" spans="1:6" ht="15.75" customHeight="1">
      <c r="A8" s="10">
        <f ca="1">IFERROR(__xludf.DUMMYFUNCTION("""COMPUTED_VALUE"""),43836.6458333333)</f>
        <v>43836.645833333299</v>
      </c>
      <c r="B8" s="1">
        <f ca="1">IFERROR(__xludf.DUMMYFUNCTION("""COMPUTED_VALUE"""),3030)</f>
        <v>3030</v>
      </c>
      <c r="C8" s="1">
        <f ca="1">IFERROR(__xludf.DUMMYFUNCTION("""COMPUTED_VALUE"""),3032.15)</f>
        <v>3032.15</v>
      </c>
      <c r="D8" s="1">
        <f ca="1">IFERROR(__xludf.DUMMYFUNCTION("""COMPUTED_VALUE"""),2995.05)</f>
        <v>2995.05</v>
      </c>
      <c r="E8" s="1">
        <f ca="1">IFERROR(__xludf.DUMMYFUNCTION("""COMPUTED_VALUE"""),3022.05)</f>
        <v>3022.05</v>
      </c>
      <c r="F8" s="1">
        <f ca="1">IFERROR(__xludf.DUMMYFUNCTION("""COMPUTED_VALUE"""),181158)</f>
        <v>181158</v>
      </c>
    </row>
    <row r="9" spans="1:6" ht="15.75" customHeight="1">
      <c r="A9" s="10">
        <f ca="1">IFERROR(__xludf.DUMMYFUNCTION("""COMPUTED_VALUE"""),43837.6458333333)</f>
        <v>43837.645833333299</v>
      </c>
      <c r="B9" s="1">
        <f ca="1">IFERROR(__xludf.DUMMYFUNCTION("""COMPUTED_VALUE"""),3033.9)</f>
        <v>3033.9</v>
      </c>
      <c r="C9" s="1">
        <f ca="1">IFERROR(__xludf.DUMMYFUNCTION("""COMPUTED_VALUE"""),3054)</f>
        <v>3054</v>
      </c>
      <c r="D9" s="1">
        <f ca="1">IFERROR(__xludf.DUMMYFUNCTION("""COMPUTED_VALUE"""),3028)</f>
        <v>3028</v>
      </c>
      <c r="E9" s="1">
        <f ca="1">IFERROR(__xludf.DUMMYFUNCTION("""COMPUTED_VALUE"""),3036.6)</f>
        <v>3036.6</v>
      </c>
      <c r="F9" s="1">
        <f ca="1">IFERROR(__xludf.DUMMYFUNCTION("""COMPUTED_VALUE"""),159307)</f>
        <v>159307</v>
      </c>
    </row>
    <row r="10" spans="1:6" ht="15.75" customHeight="1">
      <c r="A10" s="10">
        <f ca="1">IFERROR(__xludf.DUMMYFUNCTION("""COMPUTED_VALUE"""),43838.6458333333)</f>
        <v>43838.645833333299</v>
      </c>
      <c r="B10" s="1">
        <f ca="1">IFERROR(__xludf.DUMMYFUNCTION("""COMPUTED_VALUE"""),3020)</f>
        <v>3020</v>
      </c>
      <c r="C10" s="1">
        <f ca="1">IFERROR(__xludf.DUMMYFUNCTION("""COMPUTED_VALUE"""),3038.7)</f>
        <v>3038.7</v>
      </c>
      <c r="D10" s="1">
        <f ca="1">IFERROR(__xludf.DUMMYFUNCTION("""COMPUTED_VALUE"""),2995)</f>
        <v>2995</v>
      </c>
      <c r="E10" s="1">
        <f ca="1">IFERROR(__xludf.DUMMYFUNCTION("""COMPUTED_VALUE"""),3023.6)</f>
        <v>3023.6</v>
      </c>
      <c r="F10" s="1">
        <f ca="1">IFERROR(__xludf.DUMMYFUNCTION("""COMPUTED_VALUE"""),194024)</f>
        <v>194024</v>
      </c>
    </row>
    <row r="11" spans="1:6" ht="15.75" customHeight="1">
      <c r="A11" s="10">
        <f ca="1">IFERROR(__xludf.DUMMYFUNCTION("""COMPUTED_VALUE"""),43839.6458333333)</f>
        <v>43839.645833333299</v>
      </c>
      <c r="B11" s="1">
        <f ca="1">IFERROR(__xludf.DUMMYFUNCTION("""COMPUTED_VALUE"""),3047.2)</f>
        <v>3047.2</v>
      </c>
      <c r="C11" s="1">
        <f ca="1">IFERROR(__xludf.DUMMYFUNCTION("""COMPUTED_VALUE"""),3049)</f>
        <v>3049</v>
      </c>
      <c r="D11" s="1">
        <f ca="1">IFERROR(__xludf.DUMMYFUNCTION("""COMPUTED_VALUE"""),2995.1)</f>
        <v>2995.1</v>
      </c>
      <c r="E11" s="1">
        <f ca="1">IFERROR(__xludf.DUMMYFUNCTION("""COMPUTED_VALUE"""),3001.1)</f>
        <v>3001.1</v>
      </c>
      <c r="F11" s="1">
        <f ca="1">IFERROR(__xludf.DUMMYFUNCTION("""COMPUTED_VALUE"""),434270)</f>
        <v>434270</v>
      </c>
    </row>
    <row r="12" spans="1:6" ht="15.75" customHeight="1">
      <c r="A12" s="10">
        <f ca="1">IFERROR(__xludf.DUMMYFUNCTION("""COMPUTED_VALUE"""),43840.6458333333)</f>
        <v>43840.645833333299</v>
      </c>
      <c r="B12" s="1">
        <f ca="1">IFERROR(__xludf.DUMMYFUNCTION("""COMPUTED_VALUE"""),3014.95)</f>
        <v>3014.95</v>
      </c>
      <c r="C12" s="1">
        <f ca="1">IFERROR(__xludf.DUMMYFUNCTION("""COMPUTED_VALUE"""),3015)</f>
        <v>3015</v>
      </c>
      <c r="D12" s="1">
        <f ca="1">IFERROR(__xludf.DUMMYFUNCTION("""COMPUTED_VALUE"""),2978.05)</f>
        <v>2978.05</v>
      </c>
      <c r="E12" s="1">
        <f ca="1">IFERROR(__xludf.DUMMYFUNCTION("""COMPUTED_VALUE"""),2989.75)</f>
        <v>2989.75</v>
      </c>
      <c r="F12" s="1">
        <f ca="1">IFERROR(__xludf.DUMMYFUNCTION("""COMPUTED_VALUE"""),526254)</f>
        <v>526254</v>
      </c>
    </row>
    <row r="13" spans="1:6" ht="15.75" customHeight="1">
      <c r="A13" s="10">
        <f ca="1">IFERROR(__xludf.DUMMYFUNCTION("""COMPUTED_VALUE"""),43843.6458333333)</f>
        <v>43843.645833333299</v>
      </c>
      <c r="B13" s="1">
        <f ca="1">IFERROR(__xludf.DUMMYFUNCTION("""COMPUTED_VALUE"""),2995)</f>
        <v>2995</v>
      </c>
      <c r="C13" s="1">
        <f ca="1">IFERROR(__xludf.DUMMYFUNCTION("""COMPUTED_VALUE"""),3056.25)</f>
        <v>3056.25</v>
      </c>
      <c r="D13" s="1">
        <f ca="1">IFERROR(__xludf.DUMMYFUNCTION("""COMPUTED_VALUE"""),2987.3)</f>
        <v>2987.3</v>
      </c>
      <c r="E13" s="1">
        <f ca="1">IFERROR(__xludf.DUMMYFUNCTION("""COMPUTED_VALUE"""),3045.1)</f>
        <v>3045.1</v>
      </c>
      <c r="F13" s="1">
        <f ca="1">IFERROR(__xludf.DUMMYFUNCTION("""COMPUTED_VALUE"""),420792)</f>
        <v>420792</v>
      </c>
    </row>
    <row r="14" spans="1:6" ht="15.75" customHeight="1">
      <c r="A14" s="10">
        <f ca="1">IFERROR(__xludf.DUMMYFUNCTION("""COMPUTED_VALUE"""),43844.6458333333)</f>
        <v>43844.645833333299</v>
      </c>
      <c r="B14" s="1">
        <f ca="1">IFERROR(__xludf.DUMMYFUNCTION("""COMPUTED_VALUE"""),3058)</f>
        <v>3058</v>
      </c>
      <c r="C14" s="1">
        <f ca="1">IFERROR(__xludf.DUMMYFUNCTION("""COMPUTED_VALUE"""),3119)</f>
        <v>3119</v>
      </c>
      <c r="D14" s="1">
        <f ca="1">IFERROR(__xludf.DUMMYFUNCTION("""COMPUTED_VALUE"""),3037.15)</f>
        <v>3037.15</v>
      </c>
      <c r="E14" s="1">
        <f ca="1">IFERROR(__xludf.DUMMYFUNCTION("""COMPUTED_VALUE"""),3105.15)</f>
        <v>3105.15</v>
      </c>
      <c r="F14" s="1">
        <f ca="1">IFERROR(__xludf.DUMMYFUNCTION("""COMPUTED_VALUE"""),653300)</f>
        <v>653300</v>
      </c>
    </row>
    <row r="15" spans="1:6" ht="15.75" customHeight="1">
      <c r="A15" s="10">
        <f ca="1">IFERROR(__xludf.DUMMYFUNCTION("""COMPUTED_VALUE"""),43845.6458333333)</f>
        <v>43845.645833333299</v>
      </c>
      <c r="B15" s="1">
        <f ca="1">IFERROR(__xludf.DUMMYFUNCTION("""COMPUTED_VALUE"""),3120)</f>
        <v>3120</v>
      </c>
      <c r="C15" s="1">
        <f ca="1">IFERROR(__xludf.DUMMYFUNCTION("""COMPUTED_VALUE"""),3133.95)</f>
        <v>3133.95</v>
      </c>
      <c r="D15" s="1">
        <f ca="1">IFERROR(__xludf.DUMMYFUNCTION("""COMPUTED_VALUE"""),3092.9)</f>
        <v>3092.9</v>
      </c>
      <c r="E15" s="1">
        <f ca="1">IFERROR(__xludf.DUMMYFUNCTION("""COMPUTED_VALUE"""),3114.2)</f>
        <v>3114.2</v>
      </c>
      <c r="F15" s="1">
        <f ca="1">IFERROR(__xludf.DUMMYFUNCTION("""COMPUTED_VALUE"""),438959)</f>
        <v>438959</v>
      </c>
    </row>
    <row r="16" spans="1:6" ht="15.75" customHeight="1">
      <c r="A16" s="10">
        <f ca="1">IFERROR(__xludf.DUMMYFUNCTION("""COMPUTED_VALUE"""),43846.6458333333)</f>
        <v>43846.645833333299</v>
      </c>
      <c r="B16" s="1">
        <f ca="1">IFERROR(__xludf.DUMMYFUNCTION("""COMPUTED_VALUE"""),3116)</f>
        <v>3116</v>
      </c>
      <c r="C16" s="1">
        <f ca="1">IFERROR(__xludf.DUMMYFUNCTION("""COMPUTED_VALUE"""),3160)</f>
        <v>3160</v>
      </c>
      <c r="D16" s="1">
        <f ca="1">IFERROR(__xludf.DUMMYFUNCTION("""COMPUTED_VALUE"""),3115)</f>
        <v>3115</v>
      </c>
      <c r="E16" s="1">
        <f ca="1">IFERROR(__xludf.DUMMYFUNCTION("""COMPUTED_VALUE"""),3150.25)</f>
        <v>3150.25</v>
      </c>
      <c r="F16" s="1">
        <f ca="1">IFERROR(__xludf.DUMMYFUNCTION("""COMPUTED_VALUE"""),768872)</f>
        <v>768872</v>
      </c>
    </row>
    <row r="17" spans="1:6" ht="15.75" customHeight="1">
      <c r="A17" s="10">
        <f ca="1">IFERROR(__xludf.DUMMYFUNCTION("""COMPUTED_VALUE"""),43847.6458333333)</f>
        <v>43847.645833333299</v>
      </c>
      <c r="B17" s="1">
        <f ca="1">IFERROR(__xludf.DUMMYFUNCTION("""COMPUTED_VALUE"""),3155)</f>
        <v>3155</v>
      </c>
      <c r="C17" s="1">
        <f ca="1">IFERROR(__xludf.DUMMYFUNCTION("""COMPUTED_VALUE"""),3169)</f>
        <v>3169</v>
      </c>
      <c r="D17" s="1">
        <f ca="1">IFERROR(__xludf.DUMMYFUNCTION("""COMPUTED_VALUE"""),3114.35)</f>
        <v>3114.35</v>
      </c>
      <c r="E17" s="1">
        <f ca="1">IFERROR(__xludf.DUMMYFUNCTION("""COMPUTED_VALUE"""),3124.45)</f>
        <v>3124.45</v>
      </c>
      <c r="F17" s="1">
        <f ca="1">IFERROR(__xludf.DUMMYFUNCTION("""COMPUTED_VALUE"""),294064)</f>
        <v>294064</v>
      </c>
    </row>
    <row r="18" spans="1:6" ht="15.75" customHeight="1">
      <c r="A18" s="10">
        <f ca="1">IFERROR(__xludf.DUMMYFUNCTION("""COMPUTED_VALUE"""),43850.6458333333)</f>
        <v>43850.645833333299</v>
      </c>
      <c r="B18" s="1">
        <f ca="1">IFERROR(__xludf.DUMMYFUNCTION("""COMPUTED_VALUE"""),3143)</f>
        <v>3143</v>
      </c>
      <c r="C18" s="1">
        <f ca="1">IFERROR(__xludf.DUMMYFUNCTION("""COMPUTED_VALUE"""),3143)</f>
        <v>3143</v>
      </c>
      <c r="D18" s="1">
        <f ca="1">IFERROR(__xludf.DUMMYFUNCTION("""COMPUTED_VALUE"""),3104.4)</f>
        <v>3104.4</v>
      </c>
      <c r="E18" s="1">
        <f ca="1">IFERROR(__xludf.DUMMYFUNCTION("""COMPUTED_VALUE"""),3110.45)</f>
        <v>3110.45</v>
      </c>
      <c r="F18" s="1">
        <f ca="1">IFERROR(__xludf.DUMMYFUNCTION("""COMPUTED_VALUE"""),203111)</f>
        <v>203111</v>
      </c>
    </row>
    <row r="19" spans="1:6" ht="15.75" customHeight="1">
      <c r="A19" s="10">
        <f ca="1">IFERROR(__xludf.DUMMYFUNCTION("""COMPUTED_VALUE"""),43851.6458333333)</f>
        <v>43851.645833333299</v>
      </c>
      <c r="B19" s="1">
        <f ca="1">IFERROR(__xludf.DUMMYFUNCTION("""COMPUTED_VALUE"""),3100)</f>
        <v>3100</v>
      </c>
      <c r="C19" s="1">
        <f ca="1">IFERROR(__xludf.DUMMYFUNCTION("""COMPUTED_VALUE"""),3130)</f>
        <v>3130</v>
      </c>
      <c r="D19" s="1">
        <f ca="1">IFERROR(__xludf.DUMMYFUNCTION("""COMPUTED_VALUE"""),3077.25)</f>
        <v>3077.25</v>
      </c>
      <c r="E19" s="1">
        <f ca="1">IFERROR(__xludf.DUMMYFUNCTION("""COMPUTED_VALUE"""),3111.25)</f>
        <v>3111.25</v>
      </c>
      <c r="F19" s="1">
        <f ca="1">IFERROR(__xludf.DUMMYFUNCTION("""COMPUTED_VALUE"""),220943)</f>
        <v>220943</v>
      </c>
    </row>
    <row r="20" spans="1:6" ht="15.75" customHeight="1">
      <c r="A20" s="10">
        <f ca="1">IFERROR(__xludf.DUMMYFUNCTION("""COMPUTED_VALUE"""),43852.6458333333)</f>
        <v>43852.645833333299</v>
      </c>
      <c r="B20" s="1">
        <f ca="1">IFERROR(__xludf.DUMMYFUNCTION("""COMPUTED_VALUE"""),3125.5)</f>
        <v>3125.5</v>
      </c>
      <c r="C20" s="1">
        <f ca="1">IFERROR(__xludf.DUMMYFUNCTION("""COMPUTED_VALUE"""),3138.7)</f>
        <v>3138.7</v>
      </c>
      <c r="D20" s="1">
        <f ca="1">IFERROR(__xludf.DUMMYFUNCTION("""COMPUTED_VALUE"""),3088.9)</f>
        <v>3088.9</v>
      </c>
      <c r="E20" s="1">
        <f ca="1">IFERROR(__xludf.DUMMYFUNCTION("""COMPUTED_VALUE"""),3106.35)</f>
        <v>3106.35</v>
      </c>
      <c r="F20" s="1">
        <f ca="1">IFERROR(__xludf.DUMMYFUNCTION("""COMPUTED_VALUE"""),248578)</f>
        <v>248578</v>
      </c>
    </row>
    <row r="21" spans="1:6" ht="15.75" customHeight="1">
      <c r="A21" s="10">
        <f ca="1">IFERROR(__xludf.DUMMYFUNCTION("""COMPUTED_VALUE"""),43853.6458333333)</f>
        <v>43853.645833333299</v>
      </c>
      <c r="B21" s="1">
        <f ca="1">IFERROR(__xludf.DUMMYFUNCTION("""COMPUTED_VALUE"""),3103.85)</f>
        <v>3103.85</v>
      </c>
      <c r="C21" s="1">
        <f ca="1">IFERROR(__xludf.DUMMYFUNCTION("""COMPUTED_VALUE"""),3122.9)</f>
        <v>3122.9</v>
      </c>
      <c r="D21" s="1">
        <f ca="1">IFERROR(__xludf.DUMMYFUNCTION("""COMPUTED_VALUE"""),3068.1)</f>
        <v>3068.1</v>
      </c>
      <c r="E21" s="1">
        <f ca="1">IFERROR(__xludf.DUMMYFUNCTION("""COMPUTED_VALUE"""),3112.95)</f>
        <v>3112.95</v>
      </c>
      <c r="F21" s="1">
        <f ca="1">IFERROR(__xludf.DUMMYFUNCTION("""COMPUTED_VALUE"""),203032)</f>
        <v>203032</v>
      </c>
    </row>
    <row r="22" spans="1:6" ht="15.75" customHeight="1">
      <c r="A22" s="10">
        <f ca="1">IFERROR(__xludf.DUMMYFUNCTION("""COMPUTED_VALUE"""),43854.6458333333)</f>
        <v>43854.645833333299</v>
      </c>
      <c r="B22" s="1">
        <f ca="1">IFERROR(__xludf.DUMMYFUNCTION("""COMPUTED_VALUE"""),3113.15)</f>
        <v>3113.15</v>
      </c>
      <c r="C22" s="1">
        <f ca="1">IFERROR(__xludf.DUMMYFUNCTION("""COMPUTED_VALUE"""),3212.95)</f>
        <v>3212.95</v>
      </c>
      <c r="D22" s="1">
        <f ca="1">IFERROR(__xludf.DUMMYFUNCTION("""COMPUTED_VALUE"""),3112.05)</f>
        <v>3112.05</v>
      </c>
      <c r="E22" s="1">
        <f ca="1">IFERROR(__xludf.DUMMYFUNCTION("""COMPUTED_VALUE"""),3192.5)</f>
        <v>3192.5</v>
      </c>
      <c r="F22" s="1">
        <f ca="1">IFERROR(__xludf.DUMMYFUNCTION("""COMPUTED_VALUE"""),580192)</f>
        <v>580192</v>
      </c>
    </row>
    <row r="23" spans="1:6" ht="15.75" customHeight="1">
      <c r="A23" s="10">
        <f ca="1">IFERROR(__xludf.DUMMYFUNCTION("""COMPUTED_VALUE"""),43857.6458333333)</f>
        <v>43857.645833333299</v>
      </c>
      <c r="B23" s="1">
        <f ca="1">IFERROR(__xludf.DUMMYFUNCTION("""COMPUTED_VALUE"""),3187)</f>
        <v>3187</v>
      </c>
      <c r="C23" s="1">
        <f ca="1">IFERROR(__xludf.DUMMYFUNCTION("""COMPUTED_VALUE"""),3210)</f>
        <v>3210</v>
      </c>
      <c r="D23" s="1">
        <f ca="1">IFERROR(__xludf.DUMMYFUNCTION("""COMPUTED_VALUE"""),3155)</f>
        <v>3155</v>
      </c>
      <c r="E23" s="1">
        <f ca="1">IFERROR(__xludf.DUMMYFUNCTION("""COMPUTED_VALUE"""),3174.2)</f>
        <v>3174.2</v>
      </c>
      <c r="F23" s="1">
        <f ca="1">IFERROR(__xludf.DUMMYFUNCTION("""COMPUTED_VALUE"""),322446)</f>
        <v>322446</v>
      </c>
    </row>
    <row r="24" spans="1:6" ht="15.75" customHeight="1">
      <c r="A24" s="10">
        <f ca="1">IFERROR(__xludf.DUMMYFUNCTION("""COMPUTED_VALUE"""),43858.6458333333)</f>
        <v>43858.645833333299</v>
      </c>
      <c r="B24" s="1">
        <f ca="1">IFERROR(__xludf.DUMMYFUNCTION("""COMPUTED_VALUE"""),3182.9)</f>
        <v>3182.9</v>
      </c>
      <c r="C24" s="1">
        <f ca="1">IFERROR(__xludf.DUMMYFUNCTION("""COMPUTED_VALUE"""),3209.9)</f>
        <v>3209.9</v>
      </c>
      <c r="D24" s="1">
        <f ca="1">IFERROR(__xludf.DUMMYFUNCTION("""COMPUTED_VALUE"""),3136.5)</f>
        <v>3136.5</v>
      </c>
      <c r="E24" s="1">
        <f ca="1">IFERROR(__xludf.DUMMYFUNCTION("""COMPUTED_VALUE"""),3181.25)</f>
        <v>3181.25</v>
      </c>
      <c r="F24" s="1">
        <f ca="1">IFERROR(__xludf.DUMMYFUNCTION("""COMPUTED_VALUE"""),292577)</f>
        <v>292577</v>
      </c>
    </row>
    <row r="25" spans="1:6" ht="15.75" customHeight="1">
      <c r="A25" s="10">
        <f ca="1">IFERROR(__xludf.DUMMYFUNCTION("""COMPUTED_VALUE"""),43859.6458333333)</f>
        <v>43859.645833333299</v>
      </c>
      <c r="B25" s="1">
        <f ca="1">IFERROR(__xludf.DUMMYFUNCTION("""COMPUTED_VALUE"""),3200)</f>
        <v>3200</v>
      </c>
      <c r="C25" s="1">
        <f ca="1">IFERROR(__xludf.DUMMYFUNCTION("""COMPUTED_VALUE"""),3245.5)</f>
        <v>3245.5</v>
      </c>
      <c r="D25" s="1">
        <f ca="1">IFERROR(__xludf.DUMMYFUNCTION("""COMPUTED_VALUE"""),3190.05)</f>
        <v>3190.05</v>
      </c>
      <c r="E25" s="1">
        <f ca="1">IFERROR(__xludf.DUMMYFUNCTION("""COMPUTED_VALUE"""),3214.2)</f>
        <v>3214.2</v>
      </c>
      <c r="F25" s="1">
        <f ca="1">IFERROR(__xludf.DUMMYFUNCTION("""COMPUTED_VALUE"""),434882)</f>
        <v>434882</v>
      </c>
    </row>
    <row r="26" spans="1:6" ht="15.75" customHeight="1">
      <c r="A26" s="10">
        <f ca="1">IFERROR(__xludf.DUMMYFUNCTION("""COMPUTED_VALUE"""),43860.6458333333)</f>
        <v>43860.645833333299</v>
      </c>
      <c r="B26" s="1">
        <f ca="1">IFERROR(__xludf.DUMMYFUNCTION("""COMPUTED_VALUE"""),3208.95)</f>
        <v>3208.95</v>
      </c>
      <c r="C26" s="1">
        <f ca="1">IFERROR(__xludf.DUMMYFUNCTION("""COMPUTED_VALUE"""),3234.7)</f>
        <v>3234.7</v>
      </c>
      <c r="D26" s="1">
        <f ca="1">IFERROR(__xludf.DUMMYFUNCTION("""COMPUTED_VALUE"""),3192.45)</f>
        <v>3192.45</v>
      </c>
      <c r="E26" s="1">
        <f ca="1">IFERROR(__xludf.DUMMYFUNCTION("""COMPUTED_VALUE"""),3210.7)</f>
        <v>3210.7</v>
      </c>
      <c r="F26" s="1">
        <f ca="1">IFERROR(__xludf.DUMMYFUNCTION("""COMPUTED_VALUE"""),337850)</f>
        <v>337850</v>
      </c>
    </row>
    <row r="27" spans="1:6" ht="15.75" customHeight="1">
      <c r="A27" s="10">
        <f ca="1">IFERROR(__xludf.DUMMYFUNCTION("""COMPUTED_VALUE"""),43861.6458333333)</f>
        <v>43861.645833333299</v>
      </c>
      <c r="B27" s="1">
        <f ca="1">IFERROR(__xludf.DUMMYFUNCTION("""COMPUTED_VALUE"""),3242.7)</f>
        <v>3242.7</v>
      </c>
      <c r="C27" s="1">
        <f ca="1">IFERROR(__xludf.DUMMYFUNCTION("""COMPUTED_VALUE"""),3274.6)</f>
        <v>3274.6</v>
      </c>
      <c r="D27" s="1">
        <f ca="1">IFERROR(__xludf.DUMMYFUNCTION("""COMPUTED_VALUE"""),3186.85)</f>
        <v>3186.85</v>
      </c>
      <c r="E27" s="1">
        <f ca="1">IFERROR(__xludf.DUMMYFUNCTION("""COMPUTED_VALUE"""),3200.7)</f>
        <v>3200.7</v>
      </c>
      <c r="F27" s="1">
        <f ca="1">IFERROR(__xludf.DUMMYFUNCTION("""COMPUTED_VALUE"""),468850)</f>
        <v>468850</v>
      </c>
    </row>
    <row r="28" spans="1:6" ht="15.75" customHeight="1">
      <c r="A28" s="10">
        <f ca="1">IFERROR(__xludf.DUMMYFUNCTION("""COMPUTED_VALUE"""),43862.7083333333)</f>
        <v>43862.708333333299</v>
      </c>
      <c r="B28" s="1">
        <f ca="1">IFERROR(__xludf.DUMMYFUNCTION("""COMPUTED_VALUE"""),3161)</f>
        <v>3161</v>
      </c>
      <c r="C28" s="1">
        <f ca="1">IFERROR(__xludf.DUMMYFUNCTION("""COMPUTED_VALUE"""),3220)</f>
        <v>3220</v>
      </c>
      <c r="D28" s="1">
        <f ca="1">IFERROR(__xludf.DUMMYFUNCTION("""COMPUTED_VALUE"""),3080)</f>
        <v>3080</v>
      </c>
      <c r="E28" s="1">
        <f ca="1">IFERROR(__xludf.DUMMYFUNCTION("""COMPUTED_VALUE"""),3088)</f>
        <v>3088</v>
      </c>
      <c r="F28" s="1">
        <f ca="1">IFERROR(__xludf.DUMMYFUNCTION("""COMPUTED_VALUE"""),233426)</f>
        <v>233426</v>
      </c>
    </row>
    <row r="29" spans="1:6" ht="15.75" customHeight="1">
      <c r="A29" s="10">
        <f ca="1">IFERROR(__xludf.DUMMYFUNCTION("""COMPUTED_VALUE"""),43864.6458333333)</f>
        <v>43864.645833333299</v>
      </c>
      <c r="B29" s="1">
        <f ca="1">IFERROR(__xludf.DUMMYFUNCTION("""COMPUTED_VALUE"""),3097.6)</f>
        <v>3097.6</v>
      </c>
      <c r="C29" s="1">
        <f ca="1">IFERROR(__xludf.DUMMYFUNCTION("""COMPUTED_VALUE"""),3249)</f>
        <v>3249</v>
      </c>
      <c r="D29" s="1">
        <f ca="1">IFERROR(__xludf.DUMMYFUNCTION("""COMPUTED_VALUE"""),3092.35)</f>
        <v>3092.35</v>
      </c>
      <c r="E29" s="1">
        <f ca="1">IFERROR(__xludf.DUMMYFUNCTION("""COMPUTED_VALUE"""),3230.05)</f>
        <v>3230.05</v>
      </c>
      <c r="F29" s="1">
        <f ca="1">IFERROR(__xludf.DUMMYFUNCTION("""COMPUTED_VALUE"""),657504)</f>
        <v>657504</v>
      </c>
    </row>
    <row r="30" spans="1:6" ht="15.75" customHeight="1">
      <c r="A30" s="10">
        <f ca="1">IFERROR(__xludf.DUMMYFUNCTION("""COMPUTED_VALUE"""),43865.6458333333)</f>
        <v>43865.645833333299</v>
      </c>
      <c r="B30" s="1">
        <f ca="1">IFERROR(__xludf.DUMMYFUNCTION("""COMPUTED_VALUE"""),3235)</f>
        <v>3235</v>
      </c>
      <c r="C30" s="1">
        <f ca="1">IFERROR(__xludf.DUMMYFUNCTION("""COMPUTED_VALUE"""),3300)</f>
        <v>3300</v>
      </c>
      <c r="D30" s="1">
        <f ca="1">IFERROR(__xludf.DUMMYFUNCTION("""COMPUTED_VALUE"""),3188)</f>
        <v>3188</v>
      </c>
      <c r="E30" s="1">
        <f ca="1">IFERROR(__xludf.DUMMYFUNCTION("""COMPUTED_VALUE"""),3232.5)</f>
        <v>3232.5</v>
      </c>
      <c r="F30" s="1">
        <f ca="1">IFERROR(__xludf.DUMMYFUNCTION("""COMPUTED_VALUE"""),511585)</f>
        <v>511585</v>
      </c>
    </row>
    <row r="31" spans="1:6" ht="15.75" customHeight="1">
      <c r="A31" s="10">
        <f ca="1">IFERROR(__xludf.DUMMYFUNCTION("""COMPUTED_VALUE"""),43866.6458333333)</f>
        <v>43866.645833333299</v>
      </c>
      <c r="B31" s="1">
        <f ca="1">IFERROR(__xludf.DUMMYFUNCTION("""COMPUTED_VALUE"""),3269.8)</f>
        <v>3269.8</v>
      </c>
      <c r="C31" s="1">
        <f ca="1">IFERROR(__xludf.DUMMYFUNCTION("""COMPUTED_VALUE"""),3318)</f>
        <v>3318</v>
      </c>
      <c r="D31" s="1">
        <f ca="1">IFERROR(__xludf.DUMMYFUNCTION("""COMPUTED_VALUE"""),3243.7)</f>
        <v>3243.7</v>
      </c>
      <c r="E31" s="1">
        <f ca="1">IFERROR(__xludf.DUMMYFUNCTION("""COMPUTED_VALUE"""),3255.95)</f>
        <v>3255.95</v>
      </c>
      <c r="F31" s="1">
        <f ca="1">IFERROR(__xludf.DUMMYFUNCTION("""COMPUTED_VALUE"""),423733)</f>
        <v>423733</v>
      </c>
    </row>
    <row r="32" spans="1:6" ht="15.75" customHeight="1">
      <c r="A32" s="10">
        <f ca="1">IFERROR(__xludf.DUMMYFUNCTION("""COMPUTED_VALUE"""),43867.6458333333)</f>
        <v>43867.645833333299</v>
      </c>
      <c r="B32" s="1">
        <f ca="1">IFERROR(__xludf.DUMMYFUNCTION("""COMPUTED_VALUE"""),3260.35)</f>
        <v>3260.35</v>
      </c>
      <c r="C32" s="1">
        <f ca="1">IFERROR(__xludf.DUMMYFUNCTION("""COMPUTED_VALUE"""),3293)</f>
        <v>3293</v>
      </c>
      <c r="D32" s="1">
        <f ca="1">IFERROR(__xludf.DUMMYFUNCTION("""COMPUTED_VALUE"""),3236.35)</f>
        <v>3236.35</v>
      </c>
      <c r="E32" s="1">
        <f ca="1">IFERROR(__xludf.DUMMYFUNCTION("""COMPUTED_VALUE"""),3252.2)</f>
        <v>3252.2</v>
      </c>
      <c r="F32" s="1">
        <f ca="1">IFERROR(__xludf.DUMMYFUNCTION("""COMPUTED_VALUE"""),410631)</f>
        <v>410631</v>
      </c>
    </row>
    <row r="33" spans="1:6" ht="15.75" customHeight="1">
      <c r="A33" s="10">
        <f ca="1">IFERROR(__xludf.DUMMYFUNCTION("""COMPUTED_VALUE"""),43868.6458333333)</f>
        <v>43868.645833333299</v>
      </c>
      <c r="B33" s="1">
        <f ca="1">IFERROR(__xludf.DUMMYFUNCTION("""COMPUTED_VALUE"""),3256)</f>
        <v>3256</v>
      </c>
      <c r="C33" s="1">
        <f ca="1">IFERROR(__xludf.DUMMYFUNCTION("""COMPUTED_VALUE"""),3296)</f>
        <v>3296</v>
      </c>
      <c r="D33" s="1">
        <f ca="1">IFERROR(__xludf.DUMMYFUNCTION("""COMPUTED_VALUE"""),3237.1)</f>
        <v>3237.1</v>
      </c>
      <c r="E33" s="1">
        <f ca="1">IFERROR(__xludf.DUMMYFUNCTION("""COMPUTED_VALUE"""),3251.4)</f>
        <v>3251.4</v>
      </c>
      <c r="F33" s="1">
        <f ca="1">IFERROR(__xludf.DUMMYFUNCTION("""COMPUTED_VALUE"""),450061)</f>
        <v>450061</v>
      </c>
    </row>
    <row r="34" spans="1:6" ht="15.75" customHeight="1">
      <c r="A34" s="10">
        <f ca="1">IFERROR(__xludf.DUMMYFUNCTION("""COMPUTED_VALUE"""),43871.6458333333)</f>
        <v>43871.645833333299</v>
      </c>
      <c r="B34" s="1">
        <f ca="1">IFERROR(__xludf.DUMMYFUNCTION("""COMPUTED_VALUE"""),3270)</f>
        <v>3270</v>
      </c>
      <c r="C34" s="1">
        <f ca="1">IFERROR(__xludf.DUMMYFUNCTION("""COMPUTED_VALUE"""),3280)</f>
        <v>3280</v>
      </c>
      <c r="D34" s="1">
        <f ca="1">IFERROR(__xludf.DUMMYFUNCTION("""COMPUTED_VALUE"""),3125)</f>
        <v>3125</v>
      </c>
      <c r="E34" s="1">
        <f ca="1">IFERROR(__xludf.DUMMYFUNCTION("""COMPUTED_VALUE"""),3155.6)</f>
        <v>3155.6</v>
      </c>
      <c r="F34" s="1">
        <f ca="1">IFERROR(__xludf.DUMMYFUNCTION("""COMPUTED_VALUE"""),969115)</f>
        <v>969115</v>
      </c>
    </row>
    <row r="35" spans="1:6" ht="15.75" customHeight="1">
      <c r="A35" s="10">
        <f ca="1">IFERROR(__xludf.DUMMYFUNCTION("""COMPUTED_VALUE"""),43872.6458333333)</f>
        <v>43872.645833333299</v>
      </c>
      <c r="B35" s="1">
        <f ca="1">IFERROR(__xludf.DUMMYFUNCTION("""COMPUTED_VALUE"""),3179.95)</f>
        <v>3179.95</v>
      </c>
      <c r="C35" s="1">
        <f ca="1">IFERROR(__xludf.DUMMYFUNCTION("""COMPUTED_VALUE"""),3198.8)</f>
        <v>3198.8</v>
      </c>
      <c r="D35" s="1">
        <f ca="1">IFERROR(__xludf.DUMMYFUNCTION("""COMPUTED_VALUE"""),3124.2)</f>
        <v>3124.2</v>
      </c>
      <c r="E35" s="1">
        <f ca="1">IFERROR(__xludf.DUMMYFUNCTION("""COMPUTED_VALUE"""),3134.7)</f>
        <v>3134.7</v>
      </c>
      <c r="F35" s="1">
        <f ca="1">IFERROR(__xludf.DUMMYFUNCTION("""COMPUTED_VALUE"""),507516)</f>
        <v>507516</v>
      </c>
    </row>
    <row r="36" spans="1:6" ht="15.75" customHeight="1">
      <c r="A36" s="10">
        <f ca="1">IFERROR(__xludf.DUMMYFUNCTION("""COMPUTED_VALUE"""),43873.6458333333)</f>
        <v>43873.645833333299</v>
      </c>
      <c r="B36" s="1">
        <f ca="1">IFERROR(__xludf.DUMMYFUNCTION("""COMPUTED_VALUE"""),3124.2)</f>
        <v>3124.2</v>
      </c>
      <c r="C36" s="1">
        <f ca="1">IFERROR(__xludf.DUMMYFUNCTION("""COMPUTED_VALUE"""),3209)</f>
        <v>3209</v>
      </c>
      <c r="D36" s="1">
        <f ca="1">IFERROR(__xludf.DUMMYFUNCTION("""COMPUTED_VALUE"""),3124.2)</f>
        <v>3124.2</v>
      </c>
      <c r="E36" s="1">
        <f ca="1">IFERROR(__xludf.DUMMYFUNCTION("""COMPUTED_VALUE"""),3136.8)</f>
        <v>3136.8</v>
      </c>
      <c r="F36" s="1">
        <f ca="1">IFERROR(__xludf.DUMMYFUNCTION("""COMPUTED_VALUE"""),669153)</f>
        <v>669153</v>
      </c>
    </row>
    <row r="37" spans="1:6" ht="15.75" customHeight="1">
      <c r="A37" s="10">
        <f ca="1">IFERROR(__xludf.DUMMYFUNCTION("""COMPUTED_VALUE"""),43874.6458333333)</f>
        <v>43874.645833333299</v>
      </c>
      <c r="B37" s="1">
        <f ca="1">IFERROR(__xludf.DUMMYFUNCTION("""COMPUTED_VALUE"""),3132)</f>
        <v>3132</v>
      </c>
      <c r="C37" s="1">
        <f ca="1">IFERROR(__xludf.DUMMYFUNCTION("""COMPUTED_VALUE"""),3143.65)</f>
        <v>3143.65</v>
      </c>
      <c r="D37" s="1">
        <f ca="1">IFERROR(__xludf.DUMMYFUNCTION("""COMPUTED_VALUE"""),3105.2)</f>
        <v>3105.2</v>
      </c>
      <c r="E37" s="1">
        <f ca="1">IFERROR(__xludf.DUMMYFUNCTION("""COMPUTED_VALUE"""),3135.2)</f>
        <v>3135.2</v>
      </c>
      <c r="F37" s="1">
        <f ca="1">IFERROR(__xludf.DUMMYFUNCTION("""COMPUTED_VALUE"""),319421)</f>
        <v>319421</v>
      </c>
    </row>
    <row r="38" spans="1:6" ht="15.75" customHeight="1">
      <c r="A38" s="10">
        <f ca="1">IFERROR(__xludf.DUMMYFUNCTION("""COMPUTED_VALUE"""),43875.6458333333)</f>
        <v>43875.645833333299</v>
      </c>
      <c r="B38" s="1">
        <f ca="1">IFERROR(__xludf.DUMMYFUNCTION("""COMPUTED_VALUE"""),3116)</f>
        <v>3116</v>
      </c>
      <c r="C38" s="1">
        <f ca="1">IFERROR(__xludf.DUMMYFUNCTION("""COMPUTED_VALUE"""),3159)</f>
        <v>3159</v>
      </c>
      <c r="D38" s="1">
        <f ca="1">IFERROR(__xludf.DUMMYFUNCTION("""COMPUTED_VALUE"""),3090.3)</f>
        <v>3090.3</v>
      </c>
      <c r="E38" s="1">
        <f ca="1">IFERROR(__xludf.DUMMYFUNCTION("""COMPUTED_VALUE"""),3096.65)</f>
        <v>3096.65</v>
      </c>
      <c r="F38" s="1">
        <f ca="1">IFERROR(__xludf.DUMMYFUNCTION("""COMPUTED_VALUE"""),270506)</f>
        <v>270506</v>
      </c>
    </row>
    <row r="39" spans="1:6" ht="15.75" customHeight="1">
      <c r="A39" s="10">
        <f ca="1">IFERROR(__xludf.DUMMYFUNCTION("""COMPUTED_VALUE"""),43878.6458333333)</f>
        <v>43878.645833333299</v>
      </c>
      <c r="B39" s="1">
        <f ca="1">IFERROR(__xludf.DUMMYFUNCTION("""COMPUTED_VALUE"""),3095)</f>
        <v>3095</v>
      </c>
      <c r="C39" s="1">
        <f ca="1">IFERROR(__xludf.DUMMYFUNCTION("""COMPUTED_VALUE"""),3112.3)</f>
        <v>3112.3</v>
      </c>
      <c r="D39" s="1">
        <f ca="1">IFERROR(__xludf.DUMMYFUNCTION("""COMPUTED_VALUE"""),3072.05)</f>
        <v>3072.05</v>
      </c>
      <c r="E39" s="1">
        <f ca="1">IFERROR(__xludf.DUMMYFUNCTION("""COMPUTED_VALUE"""),3084.1)</f>
        <v>3084.1</v>
      </c>
      <c r="F39" s="1">
        <f ca="1">IFERROR(__xludf.DUMMYFUNCTION("""COMPUTED_VALUE"""),224912)</f>
        <v>224912</v>
      </c>
    </row>
    <row r="40" spans="1:6" ht="15.75" customHeight="1">
      <c r="A40" s="10">
        <f ca="1">IFERROR(__xludf.DUMMYFUNCTION("""COMPUTED_VALUE"""),43879.6458333333)</f>
        <v>43879.645833333299</v>
      </c>
      <c r="B40" s="1">
        <f ca="1">IFERROR(__xludf.DUMMYFUNCTION("""COMPUTED_VALUE"""),3080)</f>
        <v>3080</v>
      </c>
      <c r="C40" s="1">
        <f ca="1">IFERROR(__xludf.DUMMYFUNCTION("""COMPUTED_VALUE"""),3080)</f>
        <v>3080</v>
      </c>
      <c r="D40" s="1">
        <f ca="1">IFERROR(__xludf.DUMMYFUNCTION("""COMPUTED_VALUE"""),3020)</f>
        <v>3020</v>
      </c>
      <c r="E40" s="1">
        <f ca="1">IFERROR(__xludf.DUMMYFUNCTION("""COMPUTED_VALUE"""),3066.45)</f>
        <v>3066.45</v>
      </c>
      <c r="F40" s="1">
        <f ca="1">IFERROR(__xludf.DUMMYFUNCTION("""COMPUTED_VALUE"""),453173)</f>
        <v>453173</v>
      </c>
    </row>
    <row r="41" spans="1:6" ht="15.75" customHeight="1">
      <c r="A41" s="10">
        <f ca="1">IFERROR(__xludf.DUMMYFUNCTION("""COMPUTED_VALUE"""),43880.6458333333)</f>
        <v>43880.645833333299</v>
      </c>
      <c r="B41" s="1">
        <f ca="1">IFERROR(__xludf.DUMMYFUNCTION("""COMPUTED_VALUE"""),3082.1)</f>
        <v>3082.1</v>
      </c>
      <c r="C41" s="1">
        <f ca="1">IFERROR(__xludf.DUMMYFUNCTION("""COMPUTED_VALUE"""),3111)</f>
        <v>3111</v>
      </c>
      <c r="D41" s="1">
        <f ca="1">IFERROR(__xludf.DUMMYFUNCTION("""COMPUTED_VALUE"""),3040)</f>
        <v>3040</v>
      </c>
      <c r="E41" s="1">
        <f ca="1">IFERROR(__xludf.DUMMYFUNCTION("""COMPUTED_VALUE"""),3082.25)</f>
        <v>3082.25</v>
      </c>
      <c r="F41" s="1">
        <f ca="1">IFERROR(__xludf.DUMMYFUNCTION("""COMPUTED_VALUE"""),462922)</f>
        <v>462922</v>
      </c>
    </row>
    <row r="42" spans="1:6" ht="15.75" customHeight="1">
      <c r="A42" s="10">
        <f ca="1">IFERROR(__xludf.DUMMYFUNCTION("""COMPUTED_VALUE"""),43881.6458333333)</f>
        <v>43881.645833333299</v>
      </c>
      <c r="B42" s="1">
        <f ca="1">IFERROR(__xludf.DUMMYFUNCTION("""COMPUTED_VALUE"""),3079.8)</f>
        <v>3079.8</v>
      </c>
      <c r="C42" s="1">
        <f ca="1">IFERROR(__xludf.DUMMYFUNCTION("""COMPUTED_VALUE"""),3123.45)</f>
        <v>3123.45</v>
      </c>
      <c r="D42" s="1">
        <f ca="1">IFERROR(__xludf.DUMMYFUNCTION("""COMPUTED_VALUE"""),3052.25)</f>
        <v>3052.25</v>
      </c>
      <c r="E42" s="1">
        <f ca="1">IFERROR(__xludf.DUMMYFUNCTION("""COMPUTED_VALUE"""),3059.4)</f>
        <v>3059.4</v>
      </c>
      <c r="F42" s="1">
        <f ca="1">IFERROR(__xludf.DUMMYFUNCTION("""COMPUTED_VALUE"""),270720)</f>
        <v>270720</v>
      </c>
    </row>
    <row r="43" spans="1:6" ht="15.75" customHeight="1">
      <c r="A43" s="10">
        <f ca="1">IFERROR(__xludf.DUMMYFUNCTION("""COMPUTED_VALUE"""),43885.6458333333)</f>
        <v>43885.645833333299</v>
      </c>
      <c r="B43" s="1">
        <f ca="1">IFERROR(__xludf.DUMMYFUNCTION("""COMPUTED_VALUE"""),3059)</f>
        <v>3059</v>
      </c>
      <c r="C43" s="1">
        <f ca="1">IFERROR(__xludf.DUMMYFUNCTION("""COMPUTED_VALUE"""),3065)</f>
        <v>3065</v>
      </c>
      <c r="D43" s="1">
        <f ca="1">IFERROR(__xludf.DUMMYFUNCTION("""COMPUTED_VALUE"""),3005)</f>
        <v>3005</v>
      </c>
      <c r="E43" s="1">
        <f ca="1">IFERROR(__xludf.DUMMYFUNCTION("""COMPUTED_VALUE"""),3036.2)</f>
        <v>3036.2</v>
      </c>
      <c r="F43" s="1">
        <f ca="1">IFERROR(__xludf.DUMMYFUNCTION("""COMPUTED_VALUE"""),427352)</f>
        <v>427352</v>
      </c>
    </row>
    <row r="44" spans="1:6" ht="15.75" customHeight="1">
      <c r="A44" s="10">
        <f ca="1">IFERROR(__xludf.DUMMYFUNCTION("""COMPUTED_VALUE"""),43886.6458333333)</f>
        <v>43886.645833333299</v>
      </c>
      <c r="B44" s="1">
        <f ca="1">IFERROR(__xludf.DUMMYFUNCTION("""COMPUTED_VALUE"""),3040)</f>
        <v>3040</v>
      </c>
      <c r="C44" s="1">
        <f ca="1">IFERROR(__xludf.DUMMYFUNCTION("""COMPUTED_VALUE"""),3078)</f>
        <v>3078</v>
      </c>
      <c r="D44" s="1">
        <f ca="1">IFERROR(__xludf.DUMMYFUNCTION("""COMPUTED_VALUE"""),3018)</f>
        <v>3018</v>
      </c>
      <c r="E44" s="1">
        <f ca="1">IFERROR(__xludf.DUMMYFUNCTION("""COMPUTED_VALUE"""),3033.55)</f>
        <v>3033.55</v>
      </c>
      <c r="F44" s="1">
        <f ca="1">IFERROR(__xludf.DUMMYFUNCTION("""COMPUTED_VALUE"""),350415)</f>
        <v>350415</v>
      </c>
    </row>
    <row r="45" spans="1:6" ht="15.75" customHeight="1">
      <c r="A45" s="10">
        <f ca="1">IFERROR(__xludf.DUMMYFUNCTION("""COMPUTED_VALUE"""),43887.6458333333)</f>
        <v>43887.645833333299</v>
      </c>
      <c r="B45" s="1">
        <f ca="1">IFERROR(__xludf.DUMMYFUNCTION("""COMPUTED_VALUE"""),3025.1)</f>
        <v>3025.1</v>
      </c>
      <c r="C45" s="1">
        <f ca="1">IFERROR(__xludf.DUMMYFUNCTION("""COMPUTED_VALUE"""),3069.9)</f>
        <v>3069.9</v>
      </c>
      <c r="D45" s="1">
        <f ca="1">IFERROR(__xludf.DUMMYFUNCTION("""COMPUTED_VALUE"""),3016.7)</f>
        <v>3016.7</v>
      </c>
      <c r="E45" s="1">
        <f ca="1">IFERROR(__xludf.DUMMYFUNCTION("""COMPUTED_VALUE"""),3041.35)</f>
        <v>3041.35</v>
      </c>
      <c r="F45" s="1">
        <f ca="1">IFERROR(__xludf.DUMMYFUNCTION("""COMPUTED_VALUE"""),366302)</f>
        <v>366302</v>
      </c>
    </row>
    <row r="46" spans="1:6" ht="15.75" customHeight="1">
      <c r="A46" s="10">
        <f ca="1">IFERROR(__xludf.DUMMYFUNCTION("""COMPUTED_VALUE"""),43888.6458333333)</f>
        <v>43888.645833333299</v>
      </c>
      <c r="B46" s="1">
        <f ca="1">IFERROR(__xludf.DUMMYFUNCTION("""COMPUTED_VALUE"""),3036.95)</f>
        <v>3036.95</v>
      </c>
      <c r="C46" s="1">
        <f ca="1">IFERROR(__xludf.DUMMYFUNCTION("""COMPUTED_VALUE"""),3100)</f>
        <v>3100</v>
      </c>
      <c r="D46" s="1">
        <f ca="1">IFERROR(__xludf.DUMMYFUNCTION("""COMPUTED_VALUE"""),2960)</f>
        <v>2960</v>
      </c>
      <c r="E46" s="1">
        <f ca="1">IFERROR(__xludf.DUMMYFUNCTION("""COMPUTED_VALUE"""),3026.05)</f>
        <v>3026.05</v>
      </c>
      <c r="F46" s="1">
        <f ca="1">IFERROR(__xludf.DUMMYFUNCTION("""COMPUTED_VALUE"""),652385)</f>
        <v>652385</v>
      </c>
    </row>
    <row r="47" spans="1:6" ht="15.75" customHeight="1">
      <c r="A47" s="10">
        <f ca="1">IFERROR(__xludf.DUMMYFUNCTION("""COMPUTED_VALUE"""),43889.6458333333)</f>
        <v>43889.645833333299</v>
      </c>
      <c r="B47" s="1">
        <f ca="1">IFERROR(__xludf.DUMMYFUNCTION("""COMPUTED_VALUE"""),2983)</f>
        <v>2983</v>
      </c>
      <c r="C47" s="1">
        <f ca="1">IFERROR(__xludf.DUMMYFUNCTION("""COMPUTED_VALUE"""),3020)</f>
        <v>3020</v>
      </c>
      <c r="D47" s="1">
        <f ca="1">IFERROR(__xludf.DUMMYFUNCTION("""COMPUTED_VALUE"""),2917)</f>
        <v>2917</v>
      </c>
      <c r="E47" s="1">
        <f ca="1">IFERROR(__xludf.DUMMYFUNCTION("""COMPUTED_VALUE"""),2970.2)</f>
        <v>2970.2</v>
      </c>
      <c r="F47" s="1">
        <f ca="1">IFERROR(__xludf.DUMMYFUNCTION("""COMPUTED_VALUE"""),619510)</f>
        <v>619510</v>
      </c>
    </row>
    <row r="48" spans="1:6" ht="15.75" customHeight="1">
      <c r="A48" s="10">
        <f ca="1">IFERROR(__xludf.DUMMYFUNCTION("""COMPUTED_VALUE"""),43892.6458333333)</f>
        <v>43892.645833333299</v>
      </c>
      <c r="B48" s="1">
        <f ca="1">IFERROR(__xludf.DUMMYFUNCTION("""COMPUTED_VALUE"""),2995)</f>
        <v>2995</v>
      </c>
      <c r="C48" s="1">
        <f ca="1">IFERROR(__xludf.DUMMYFUNCTION("""COMPUTED_VALUE"""),3053.95)</f>
        <v>3053.95</v>
      </c>
      <c r="D48" s="1">
        <f ca="1">IFERROR(__xludf.DUMMYFUNCTION("""COMPUTED_VALUE"""),2925)</f>
        <v>2925</v>
      </c>
      <c r="E48" s="1">
        <f ca="1">IFERROR(__xludf.DUMMYFUNCTION("""COMPUTED_VALUE"""),2949.1)</f>
        <v>2949.1</v>
      </c>
      <c r="F48" s="1">
        <f ca="1">IFERROR(__xludf.DUMMYFUNCTION("""COMPUTED_VALUE"""),348147)</f>
        <v>348147</v>
      </c>
    </row>
    <row r="49" spans="1:6" ht="15.75" customHeight="1">
      <c r="A49" s="10">
        <f ca="1">IFERROR(__xludf.DUMMYFUNCTION("""COMPUTED_VALUE"""),43893.6458333333)</f>
        <v>43893.645833333299</v>
      </c>
      <c r="B49" s="1">
        <f ca="1">IFERROR(__xludf.DUMMYFUNCTION("""COMPUTED_VALUE"""),2970)</f>
        <v>2970</v>
      </c>
      <c r="C49" s="1">
        <f ca="1">IFERROR(__xludf.DUMMYFUNCTION("""COMPUTED_VALUE"""),3045.5)</f>
        <v>3045.5</v>
      </c>
      <c r="D49" s="1">
        <f ca="1">IFERROR(__xludf.DUMMYFUNCTION("""COMPUTED_VALUE"""),2965)</f>
        <v>2965</v>
      </c>
      <c r="E49" s="1">
        <f ca="1">IFERROR(__xludf.DUMMYFUNCTION("""COMPUTED_VALUE"""),3026.5)</f>
        <v>3026.5</v>
      </c>
      <c r="F49" s="1">
        <f ca="1">IFERROR(__xludf.DUMMYFUNCTION("""COMPUTED_VALUE"""),399770)</f>
        <v>399770</v>
      </c>
    </row>
    <row r="50" spans="1:6" ht="15.75" customHeight="1">
      <c r="A50" s="10">
        <f ca="1">IFERROR(__xludf.DUMMYFUNCTION("""COMPUTED_VALUE"""),43894.6458333333)</f>
        <v>43894.645833333299</v>
      </c>
      <c r="B50" s="1">
        <f ca="1">IFERROR(__xludf.DUMMYFUNCTION("""COMPUTED_VALUE"""),3048)</f>
        <v>3048</v>
      </c>
      <c r="C50" s="1">
        <f ca="1">IFERROR(__xludf.DUMMYFUNCTION("""COMPUTED_VALUE"""),3080)</f>
        <v>3080</v>
      </c>
      <c r="D50" s="1">
        <f ca="1">IFERROR(__xludf.DUMMYFUNCTION("""COMPUTED_VALUE"""),3028)</f>
        <v>3028</v>
      </c>
      <c r="E50" s="1">
        <f ca="1">IFERROR(__xludf.DUMMYFUNCTION("""COMPUTED_VALUE"""),3063.05)</f>
        <v>3063.05</v>
      </c>
      <c r="F50" s="1">
        <f ca="1">IFERROR(__xludf.DUMMYFUNCTION("""COMPUTED_VALUE"""),368498)</f>
        <v>368498</v>
      </c>
    </row>
    <row r="51" spans="1:6" ht="15.75" customHeight="1">
      <c r="A51" s="10">
        <f ca="1">IFERROR(__xludf.DUMMYFUNCTION("""COMPUTED_VALUE"""),43895.6458333333)</f>
        <v>43895.645833333299</v>
      </c>
      <c r="B51" s="1">
        <f ca="1">IFERROR(__xludf.DUMMYFUNCTION("""COMPUTED_VALUE"""),3082.6)</f>
        <v>3082.6</v>
      </c>
      <c r="C51" s="1">
        <f ca="1">IFERROR(__xludf.DUMMYFUNCTION("""COMPUTED_VALUE"""),3165)</f>
        <v>3165</v>
      </c>
      <c r="D51" s="1">
        <f ca="1">IFERROR(__xludf.DUMMYFUNCTION("""COMPUTED_VALUE"""),3076.1)</f>
        <v>3076.1</v>
      </c>
      <c r="E51" s="1">
        <f ca="1">IFERROR(__xludf.DUMMYFUNCTION("""COMPUTED_VALUE"""),3127.15)</f>
        <v>3127.15</v>
      </c>
      <c r="F51" s="1">
        <f ca="1">IFERROR(__xludf.DUMMYFUNCTION("""COMPUTED_VALUE"""),720100)</f>
        <v>720100</v>
      </c>
    </row>
    <row r="52" spans="1:6" ht="15.75" customHeight="1">
      <c r="A52" s="10">
        <f ca="1">IFERROR(__xludf.DUMMYFUNCTION("""COMPUTED_VALUE"""),43896.6458333333)</f>
        <v>43896.645833333299</v>
      </c>
      <c r="B52" s="1">
        <f ca="1">IFERROR(__xludf.DUMMYFUNCTION("""COMPUTED_VALUE"""),3084.9)</f>
        <v>3084.9</v>
      </c>
      <c r="C52" s="1">
        <f ca="1">IFERROR(__xludf.DUMMYFUNCTION("""COMPUTED_VALUE"""),3100)</f>
        <v>3100</v>
      </c>
      <c r="D52" s="1">
        <f ca="1">IFERROR(__xludf.DUMMYFUNCTION("""COMPUTED_VALUE"""),3013.25)</f>
        <v>3013.25</v>
      </c>
      <c r="E52" s="1">
        <f ca="1">IFERROR(__xludf.DUMMYFUNCTION("""COMPUTED_VALUE"""),3081.4)</f>
        <v>3081.4</v>
      </c>
      <c r="F52" s="1">
        <f ca="1">IFERROR(__xludf.DUMMYFUNCTION("""COMPUTED_VALUE"""),593374)</f>
        <v>593374</v>
      </c>
    </row>
    <row r="53" spans="1:6" ht="15.75" customHeight="1">
      <c r="A53" s="10">
        <f ca="1">IFERROR(__xludf.DUMMYFUNCTION("""COMPUTED_VALUE"""),43899.6458333333)</f>
        <v>43899.645833333299</v>
      </c>
      <c r="B53" s="1">
        <f ca="1">IFERROR(__xludf.DUMMYFUNCTION("""COMPUTED_VALUE"""),3045)</f>
        <v>3045</v>
      </c>
      <c r="C53" s="1">
        <f ca="1">IFERROR(__xludf.DUMMYFUNCTION("""COMPUTED_VALUE"""),3061.8)</f>
        <v>3061.8</v>
      </c>
      <c r="D53" s="1">
        <f ca="1">IFERROR(__xludf.DUMMYFUNCTION("""COMPUTED_VALUE"""),2968.5)</f>
        <v>2968.5</v>
      </c>
      <c r="E53" s="1">
        <f ca="1">IFERROR(__xludf.DUMMYFUNCTION("""COMPUTED_VALUE"""),2996.5)</f>
        <v>2996.5</v>
      </c>
      <c r="F53" s="1">
        <f ca="1">IFERROR(__xludf.DUMMYFUNCTION("""COMPUTED_VALUE"""),607257)</f>
        <v>607257</v>
      </c>
    </row>
    <row r="54" spans="1:6" ht="15.75" customHeight="1">
      <c r="A54" s="10">
        <f ca="1">IFERROR(__xludf.DUMMYFUNCTION("""COMPUTED_VALUE"""),43901.6458333333)</f>
        <v>43901.645833333299</v>
      </c>
      <c r="B54" s="1">
        <f ca="1">IFERROR(__xludf.DUMMYFUNCTION("""COMPUTED_VALUE"""),2982.2)</f>
        <v>2982.2</v>
      </c>
      <c r="C54" s="1">
        <f ca="1">IFERROR(__xludf.DUMMYFUNCTION("""COMPUTED_VALUE"""),3065.9)</f>
        <v>3065.9</v>
      </c>
      <c r="D54" s="1">
        <f ca="1">IFERROR(__xludf.DUMMYFUNCTION("""COMPUTED_VALUE"""),2944.1)</f>
        <v>2944.1</v>
      </c>
      <c r="E54" s="1">
        <f ca="1">IFERROR(__xludf.DUMMYFUNCTION("""COMPUTED_VALUE"""),3048.3)</f>
        <v>3048.3</v>
      </c>
      <c r="F54" s="1">
        <f ca="1">IFERROR(__xludf.DUMMYFUNCTION("""COMPUTED_VALUE"""),534597)</f>
        <v>534597</v>
      </c>
    </row>
    <row r="55" spans="1:6" ht="15.75" customHeight="1">
      <c r="A55" s="10">
        <f ca="1">IFERROR(__xludf.DUMMYFUNCTION("""COMPUTED_VALUE"""),43902.6458333333)</f>
        <v>43902.645833333299</v>
      </c>
      <c r="B55" s="1">
        <f ca="1">IFERROR(__xludf.DUMMYFUNCTION("""COMPUTED_VALUE"""),2945)</f>
        <v>2945</v>
      </c>
      <c r="C55" s="1">
        <f ca="1">IFERROR(__xludf.DUMMYFUNCTION("""COMPUTED_VALUE"""),2968.95)</f>
        <v>2968.95</v>
      </c>
      <c r="D55" s="1">
        <f ca="1">IFERROR(__xludf.DUMMYFUNCTION("""COMPUTED_VALUE"""),2785.05)</f>
        <v>2785.05</v>
      </c>
      <c r="E55" s="1">
        <f ca="1">IFERROR(__xludf.DUMMYFUNCTION("""COMPUTED_VALUE"""),2810.65)</f>
        <v>2810.65</v>
      </c>
      <c r="F55" s="1">
        <f ca="1">IFERROR(__xludf.DUMMYFUNCTION("""COMPUTED_VALUE"""),774263)</f>
        <v>774263</v>
      </c>
    </row>
    <row r="56" spans="1:6" ht="15.75" customHeight="1">
      <c r="A56" s="10">
        <f ca="1">IFERROR(__xludf.DUMMYFUNCTION("""COMPUTED_VALUE"""),43903.6458333333)</f>
        <v>43903.645833333299</v>
      </c>
      <c r="B56" s="1">
        <f ca="1">IFERROR(__xludf.DUMMYFUNCTION("""COMPUTED_VALUE"""),2700)</f>
        <v>2700</v>
      </c>
      <c r="C56" s="1">
        <f ca="1">IFERROR(__xludf.DUMMYFUNCTION("""COMPUTED_VALUE"""),3049.9)</f>
        <v>3049.9</v>
      </c>
      <c r="D56" s="1">
        <f ca="1">IFERROR(__xludf.DUMMYFUNCTION("""COMPUTED_VALUE"""),2410)</f>
        <v>2410</v>
      </c>
      <c r="E56" s="1">
        <f ca="1">IFERROR(__xludf.DUMMYFUNCTION("""COMPUTED_VALUE"""),2763.6)</f>
        <v>2763.6</v>
      </c>
      <c r="F56" s="1">
        <f ca="1">IFERROR(__xludf.DUMMYFUNCTION("""COMPUTED_VALUE"""),1108162)</f>
        <v>1108162</v>
      </c>
    </row>
    <row r="57" spans="1:6" ht="15.75" customHeight="1">
      <c r="A57" s="10">
        <f ca="1">IFERROR(__xludf.DUMMYFUNCTION("""COMPUTED_VALUE"""),43906.6458333333)</f>
        <v>43906.645833333299</v>
      </c>
      <c r="B57" s="1">
        <f ca="1">IFERROR(__xludf.DUMMYFUNCTION("""COMPUTED_VALUE"""),2704.8)</f>
        <v>2704.8</v>
      </c>
      <c r="C57" s="1">
        <f ca="1">IFERROR(__xludf.DUMMYFUNCTION("""COMPUTED_VALUE"""),2744.65)</f>
        <v>2744.65</v>
      </c>
      <c r="D57" s="1">
        <f ca="1">IFERROR(__xludf.DUMMYFUNCTION("""COMPUTED_VALUE"""),2602.05)</f>
        <v>2602.0500000000002</v>
      </c>
      <c r="E57" s="1">
        <f ca="1">IFERROR(__xludf.DUMMYFUNCTION("""COMPUTED_VALUE"""),2709)</f>
        <v>2709</v>
      </c>
      <c r="F57" s="1">
        <f ca="1">IFERROR(__xludf.DUMMYFUNCTION("""COMPUTED_VALUE"""),791034)</f>
        <v>791034</v>
      </c>
    </row>
    <row r="58" spans="1:6" ht="15.75" customHeight="1">
      <c r="A58" s="10">
        <f ca="1">IFERROR(__xludf.DUMMYFUNCTION("""COMPUTED_VALUE"""),43907.6458333333)</f>
        <v>43907.645833333299</v>
      </c>
      <c r="B58" s="1">
        <f ca="1">IFERROR(__xludf.DUMMYFUNCTION("""COMPUTED_VALUE"""),2720)</f>
        <v>2720</v>
      </c>
      <c r="C58" s="1">
        <f ca="1">IFERROR(__xludf.DUMMYFUNCTION("""COMPUTED_VALUE"""),2795.75)</f>
        <v>2795.75</v>
      </c>
      <c r="D58" s="1">
        <f ca="1">IFERROR(__xludf.DUMMYFUNCTION("""COMPUTED_VALUE"""),2669.05)</f>
        <v>2669.05</v>
      </c>
      <c r="E58" s="1">
        <f ca="1">IFERROR(__xludf.DUMMYFUNCTION("""COMPUTED_VALUE"""),2686)</f>
        <v>2686</v>
      </c>
      <c r="F58" s="1">
        <f ca="1">IFERROR(__xludf.DUMMYFUNCTION("""COMPUTED_VALUE"""),567266)</f>
        <v>567266</v>
      </c>
    </row>
    <row r="59" spans="1:6" ht="15.75" customHeight="1">
      <c r="A59" s="10">
        <f ca="1">IFERROR(__xludf.DUMMYFUNCTION("""COMPUTED_VALUE"""),43908.6458333333)</f>
        <v>43908.645833333299</v>
      </c>
      <c r="B59" s="1">
        <f ca="1">IFERROR(__xludf.DUMMYFUNCTION("""COMPUTED_VALUE"""),2728)</f>
        <v>2728</v>
      </c>
      <c r="C59" s="1">
        <f ca="1">IFERROR(__xludf.DUMMYFUNCTION("""COMPUTED_VALUE"""),2744.95)</f>
        <v>2744.95</v>
      </c>
      <c r="D59" s="1">
        <f ca="1">IFERROR(__xludf.DUMMYFUNCTION("""COMPUTED_VALUE"""),2480)</f>
        <v>2480</v>
      </c>
      <c r="E59" s="1">
        <f ca="1">IFERROR(__xludf.DUMMYFUNCTION("""COMPUTED_VALUE"""),2501.95)</f>
        <v>2501.9499999999998</v>
      </c>
      <c r="F59" s="1">
        <f ca="1">IFERROR(__xludf.DUMMYFUNCTION("""COMPUTED_VALUE"""),649481)</f>
        <v>649481</v>
      </c>
    </row>
    <row r="60" spans="1:6" ht="15.75" customHeight="1">
      <c r="A60" s="10">
        <f ca="1">IFERROR(__xludf.DUMMYFUNCTION("""COMPUTED_VALUE"""),43909.6458333333)</f>
        <v>43909.645833333299</v>
      </c>
      <c r="B60" s="1">
        <f ca="1">IFERROR(__xludf.DUMMYFUNCTION("""COMPUTED_VALUE"""),2389)</f>
        <v>2389</v>
      </c>
      <c r="C60" s="1">
        <f ca="1">IFERROR(__xludf.DUMMYFUNCTION("""COMPUTED_VALUE"""),2404)</f>
        <v>2404</v>
      </c>
      <c r="D60" s="1">
        <f ca="1">IFERROR(__xludf.DUMMYFUNCTION("""COMPUTED_VALUE"""),2260)</f>
        <v>2260</v>
      </c>
      <c r="E60" s="1">
        <f ca="1">IFERROR(__xludf.DUMMYFUNCTION("""COMPUTED_VALUE"""),2318.15)</f>
        <v>2318.15</v>
      </c>
      <c r="F60" s="1">
        <f ca="1">IFERROR(__xludf.DUMMYFUNCTION("""COMPUTED_VALUE"""),786857)</f>
        <v>786857</v>
      </c>
    </row>
    <row r="61" spans="1:6" ht="15.75" customHeight="1">
      <c r="A61" s="10">
        <f ca="1">IFERROR(__xludf.DUMMYFUNCTION("""COMPUTED_VALUE"""),43910.6458333333)</f>
        <v>43910.645833333299</v>
      </c>
      <c r="B61" s="1">
        <f ca="1">IFERROR(__xludf.DUMMYFUNCTION("""COMPUTED_VALUE"""),2341.3)</f>
        <v>2341.3000000000002</v>
      </c>
      <c r="C61" s="1">
        <f ca="1">IFERROR(__xludf.DUMMYFUNCTION("""COMPUTED_VALUE"""),2500.9)</f>
        <v>2500.9</v>
      </c>
      <c r="D61" s="1">
        <f ca="1">IFERROR(__xludf.DUMMYFUNCTION("""COMPUTED_VALUE"""),2294.25)</f>
        <v>2294.25</v>
      </c>
      <c r="E61" s="1">
        <f ca="1">IFERROR(__xludf.DUMMYFUNCTION("""COMPUTED_VALUE"""),2467.8)</f>
        <v>2467.8000000000002</v>
      </c>
      <c r="F61" s="1">
        <f ca="1">IFERROR(__xludf.DUMMYFUNCTION("""COMPUTED_VALUE"""),742455)</f>
        <v>742455</v>
      </c>
    </row>
    <row r="62" spans="1:6" ht="15.75" customHeight="1">
      <c r="A62" s="10">
        <f ca="1">IFERROR(__xludf.DUMMYFUNCTION("""COMPUTED_VALUE"""),43913.6458333333)</f>
        <v>43913.645833333299</v>
      </c>
      <c r="B62" s="1">
        <f ca="1">IFERROR(__xludf.DUMMYFUNCTION("""COMPUTED_VALUE"""),2300)</f>
        <v>2300</v>
      </c>
      <c r="C62" s="1">
        <f ca="1">IFERROR(__xludf.DUMMYFUNCTION("""COMPUTED_VALUE"""),2422.4)</f>
        <v>2422.4</v>
      </c>
      <c r="D62" s="1">
        <f ca="1">IFERROR(__xludf.DUMMYFUNCTION("""COMPUTED_VALUE"""),2100)</f>
        <v>2100</v>
      </c>
      <c r="E62" s="1">
        <f ca="1">IFERROR(__xludf.DUMMYFUNCTION("""COMPUTED_VALUE"""),2137.85)</f>
        <v>2137.85</v>
      </c>
      <c r="F62" s="1">
        <f ca="1">IFERROR(__xludf.DUMMYFUNCTION("""COMPUTED_VALUE"""),613493)</f>
        <v>613493</v>
      </c>
    </row>
    <row r="63" spans="1:6" ht="15.75" customHeight="1">
      <c r="A63" s="10">
        <f ca="1">IFERROR(__xludf.DUMMYFUNCTION("""COMPUTED_VALUE"""),43914.6458333333)</f>
        <v>43914.645833333299</v>
      </c>
      <c r="B63" s="1">
        <f ca="1">IFERROR(__xludf.DUMMYFUNCTION("""COMPUTED_VALUE"""),2117)</f>
        <v>2117</v>
      </c>
      <c r="C63" s="1">
        <f ca="1">IFERROR(__xludf.DUMMYFUNCTION("""COMPUTED_VALUE"""),2450)</f>
        <v>2450</v>
      </c>
      <c r="D63" s="1">
        <f ca="1">IFERROR(__xludf.DUMMYFUNCTION("""COMPUTED_VALUE"""),2111.9)</f>
        <v>2111.9</v>
      </c>
      <c r="E63" s="1">
        <f ca="1">IFERROR(__xludf.DUMMYFUNCTION("""COMPUTED_VALUE"""),2364.7)</f>
        <v>2364.6999999999998</v>
      </c>
      <c r="F63" s="1">
        <f ca="1">IFERROR(__xludf.DUMMYFUNCTION("""COMPUTED_VALUE"""),929170)</f>
        <v>929170</v>
      </c>
    </row>
    <row r="64" spans="1:6" ht="15.75" customHeight="1">
      <c r="A64" s="10">
        <f ca="1">IFERROR(__xludf.DUMMYFUNCTION("""COMPUTED_VALUE"""),43915.6458333333)</f>
        <v>43915.645833333299</v>
      </c>
      <c r="B64" s="1">
        <f ca="1">IFERROR(__xludf.DUMMYFUNCTION("""COMPUTED_VALUE"""),2364.6)</f>
        <v>2364.6</v>
      </c>
      <c r="C64" s="1">
        <f ca="1">IFERROR(__xludf.DUMMYFUNCTION("""COMPUTED_VALUE"""),2511.6)</f>
        <v>2511.6</v>
      </c>
      <c r="D64" s="1">
        <f ca="1">IFERROR(__xludf.DUMMYFUNCTION("""COMPUTED_VALUE"""),2317.1)</f>
        <v>2317.1</v>
      </c>
      <c r="E64" s="1">
        <f ca="1">IFERROR(__xludf.DUMMYFUNCTION("""COMPUTED_VALUE"""),2451.4)</f>
        <v>2451.4</v>
      </c>
      <c r="F64" s="1">
        <f ca="1">IFERROR(__xludf.DUMMYFUNCTION("""COMPUTED_VALUE"""),1249005)</f>
        <v>1249005</v>
      </c>
    </row>
    <row r="65" spans="1:6" ht="15.75" customHeight="1">
      <c r="A65" s="10">
        <f ca="1">IFERROR(__xludf.DUMMYFUNCTION("""COMPUTED_VALUE"""),43916.6458333333)</f>
        <v>43916.645833333299</v>
      </c>
      <c r="B65" s="1">
        <f ca="1">IFERROR(__xludf.DUMMYFUNCTION("""COMPUTED_VALUE"""),2471.55)</f>
        <v>2471.5500000000002</v>
      </c>
      <c r="C65" s="1">
        <f ca="1">IFERROR(__xludf.DUMMYFUNCTION("""COMPUTED_VALUE"""),2668.8)</f>
        <v>2668.8</v>
      </c>
      <c r="D65" s="1">
        <f ca="1">IFERROR(__xludf.DUMMYFUNCTION("""COMPUTED_VALUE"""),2417.3)</f>
        <v>2417.3000000000002</v>
      </c>
      <c r="E65" s="1">
        <f ca="1">IFERROR(__xludf.DUMMYFUNCTION("""COMPUTED_VALUE"""),2588.45)</f>
        <v>2588.4499999999998</v>
      </c>
      <c r="F65" s="1">
        <f ca="1">IFERROR(__xludf.DUMMYFUNCTION("""COMPUTED_VALUE"""),944116)</f>
        <v>944116</v>
      </c>
    </row>
    <row r="66" spans="1:6" ht="15.75" customHeight="1">
      <c r="A66" s="10">
        <f ca="1">IFERROR(__xludf.DUMMYFUNCTION("""COMPUTED_VALUE"""),43917.6458333333)</f>
        <v>43917.645833333299</v>
      </c>
      <c r="B66" s="1">
        <f ca="1">IFERROR(__xludf.DUMMYFUNCTION("""COMPUTED_VALUE"""),2690)</f>
        <v>2690</v>
      </c>
      <c r="C66" s="1">
        <f ca="1">IFERROR(__xludf.DUMMYFUNCTION("""COMPUTED_VALUE"""),2708.95)</f>
        <v>2708.95</v>
      </c>
      <c r="D66" s="1">
        <f ca="1">IFERROR(__xludf.DUMMYFUNCTION("""COMPUTED_VALUE"""),2505)</f>
        <v>2505</v>
      </c>
      <c r="E66" s="1">
        <f ca="1">IFERROR(__xludf.DUMMYFUNCTION("""COMPUTED_VALUE"""),2529.25)</f>
        <v>2529.25</v>
      </c>
      <c r="F66" s="1">
        <f ca="1">IFERROR(__xludf.DUMMYFUNCTION("""COMPUTED_VALUE"""),472582)</f>
        <v>472582</v>
      </c>
    </row>
    <row r="67" spans="1:6" ht="15.75" customHeight="1">
      <c r="A67" s="10">
        <f ca="1">IFERROR(__xludf.DUMMYFUNCTION("""COMPUTED_VALUE"""),43920.6458333333)</f>
        <v>43920.645833333299</v>
      </c>
      <c r="B67" s="1">
        <f ca="1">IFERROR(__xludf.DUMMYFUNCTION("""COMPUTED_VALUE"""),2465.25)</f>
        <v>2465.25</v>
      </c>
      <c r="C67" s="1">
        <f ca="1">IFERROR(__xludf.DUMMYFUNCTION("""COMPUTED_VALUE"""),2579.35)</f>
        <v>2579.35</v>
      </c>
      <c r="D67" s="1">
        <f ca="1">IFERROR(__xludf.DUMMYFUNCTION("""COMPUTED_VALUE"""),2442.75)</f>
        <v>2442.75</v>
      </c>
      <c r="E67" s="1">
        <f ca="1">IFERROR(__xludf.DUMMYFUNCTION("""COMPUTED_VALUE"""),2473.75)</f>
        <v>2473.75</v>
      </c>
      <c r="F67" s="1">
        <f ca="1">IFERROR(__xludf.DUMMYFUNCTION("""COMPUTED_VALUE"""),701815)</f>
        <v>701815</v>
      </c>
    </row>
    <row r="68" spans="1:6" ht="15.75" customHeight="1">
      <c r="A68" s="10">
        <f ca="1">IFERROR(__xludf.DUMMYFUNCTION("""COMPUTED_VALUE"""),43921.6458333333)</f>
        <v>43921.645833333299</v>
      </c>
      <c r="B68" s="1">
        <f ca="1">IFERROR(__xludf.DUMMYFUNCTION("""COMPUTED_VALUE"""),2579.95)</f>
        <v>2579.9499999999998</v>
      </c>
      <c r="C68" s="1">
        <f ca="1">IFERROR(__xludf.DUMMYFUNCTION("""COMPUTED_VALUE"""),2710)</f>
        <v>2710</v>
      </c>
      <c r="D68" s="1">
        <f ca="1">IFERROR(__xludf.DUMMYFUNCTION("""COMPUTED_VALUE"""),2490)</f>
        <v>2490</v>
      </c>
      <c r="E68" s="1">
        <f ca="1">IFERROR(__xludf.DUMMYFUNCTION("""COMPUTED_VALUE"""),2688.95)</f>
        <v>2688.95</v>
      </c>
      <c r="F68" s="1">
        <f ca="1">IFERROR(__xludf.DUMMYFUNCTION("""COMPUTED_VALUE"""),734769)</f>
        <v>734769</v>
      </c>
    </row>
    <row r="69" spans="1:6" ht="15.75" customHeight="1">
      <c r="A69" s="10">
        <f ca="1">IFERROR(__xludf.DUMMYFUNCTION("""COMPUTED_VALUE"""),43922.6458333333)</f>
        <v>43922.645833333299</v>
      </c>
      <c r="B69" s="1">
        <f ca="1">IFERROR(__xludf.DUMMYFUNCTION("""COMPUTED_VALUE"""),2700)</f>
        <v>2700</v>
      </c>
      <c r="C69" s="1">
        <f ca="1">IFERROR(__xludf.DUMMYFUNCTION("""COMPUTED_VALUE"""),2780)</f>
        <v>2780</v>
      </c>
      <c r="D69" s="1">
        <f ca="1">IFERROR(__xludf.DUMMYFUNCTION("""COMPUTED_VALUE"""),2505)</f>
        <v>2505</v>
      </c>
      <c r="E69" s="1">
        <f ca="1">IFERROR(__xludf.DUMMYFUNCTION("""COMPUTED_VALUE"""),2564.85)</f>
        <v>2564.85</v>
      </c>
      <c r="F69" s="1">
        <f ca="1">IFERROR(__xludf.DUMMYFUNCTION("""COMPUTED_VALUE"""),1167150)</f>
        <v>1167150</v>
      </c>
    </row>
    <row r="70" spans="1:6" ht="15.75" customHeight="1">
      <c r="A70" s="10">
        <f ca="1">IFERROR(__xludf.DUMMYFUNCTION("""COMPUTED_VALUE"""),43924.6458333333)</f>
        <v>43924.645833333299</v>
      </c>
      <c r="B70" s="1">
        <f ca="1">IFERROR(__xludf.DUMMYFUNCTION("""COMPUTED_VALUE"""),2588.95)</f>
        <v>2588.9499999999998</v>
      </c>
      <c r="C70" s="1">
        <f ca="1">IFERROR(__xludf.DUMMYFUNCTION("""COMPUTED_VALUE"""),2610)</f>
        <v>2610</v>
      </c>
      <c r="D70" s="1">
        <f ca="1">IFERROR(__xludf.DUMMYFUNCTION("""COMPUTED_VALUE"""),2475)</f>
        <v>2475</v>
      </c>
      <c r="E70" s="1">
        <f ca="1">IFERROR(__xludf.DUMMYFUNCTION("""COMPUTED_VALUE"""),2563.25)</f>
        <v>2563.25</v>
      </c>
      <c r="F70" s="1">
        <f ca="1">IFERROR(__xludf.DUMMYFUNCTION("""COMPUTED_VALUE"""),726903)</f>
        <v>726903</v>
      </c>
    </row>
    <row r="71" spans="1:6" ht="15.75" customHeight="1">
      <c r="A71" s="10">
        <f ca="1">IFERROR(__xludf.DUMMYFUNCTION("""COMPUTED_VALUE"""),43928.6458333333)</f>
        <v>43928.645833333299</v>
      </c>
      <c r="B71" s="1">
        <f ca="1">IFERROR(__xludf.DUMMYFUNCTION("""COMPUTED_VALUE"""),2640.15)</f>
        <v>2640.15</v>
      </c>
      <c r="C71" s="1">
        <f ca="1">IFERROR(__xludf.DUMMYFUNCTION("""COMPUTED_VALUE"""),2878.7)</f>
        <v>2878.7</v>
      </c>
      <c r="D71" s="1">
        <f ca="1">IFERROR(__xludf.DUMMYFUNCTION("""COMPUTED_VALUE"""),2640.15)</f>
        <v>2640.15</v>
      </c>
      <c r="E71" s="1">
        <f ca="1">IFERROR(__xludf.DUMMYFUNCTION("""COMPUTED_VALUE"""),2834.5)</f>
        <v>2834.5</v>
      </c>
      <c r="F71" s="1">
        <f ca="1">IFERROR(__xludf.DUMMYFUNCTION("""COMPUTED_VALUE"""),1062855)</f>
        <v>1062855</v>
      </c>
    </row>
    <row r="72" spans="1:6" ht="15.75" customHeight="1">
      <c r="A72" s="10">
        <f ca="1">IFERROR(__xludf.DUMMYFUNCTION("""COMPUTED_VALUE"""),43929.6458333333)</f>
        <v>43929.645833333299</v>
      </c>
      <c r="B72" s="1">
        <f ca="1">IFERROR(__xludf.DUMMYFUNCTION("""COMPUTED_VALUE"""),2829)</f>
        <v>2829</v>
      </c>
      <c r="C72" s="1">
        <f ca="1">IFERROR(__xludf.DUMMYFUNCTION("""COMPUTED_VALUE"""),2990)</f>
        <v>2990</v>
      </c>
      <c r="D72" s="1">
        <f ca="1">IFERROR(__xludf.DUMMYFUNCTION("""COMPUTED_VALUE"""),2759)</f>
        <v>2759</v>
      </c>
      <c r="E72" s="1">
        <f ca="1">IFERROR(__xludf.DUMMYFUNCTION("""COMPUTED_VALUE"""),2775.55)</f>
        <v>2775.55</v>
      </c>
      <c r="F72" s="1">
        <f ca="1">IFERROR(__xludf.DUMMYFUNCTION("""COMPUTED_VALUE"""),1037961)</f>
        <v>1037961</v>
      </c>
    </row>
    <row r="73" spans="1:6" ht="15.75" customHeight="1">
      <c r="A73" s="10">
        <f ca="1">IFERROR(__xludf.DUMMYFUNCTION("""COMPUTED_VALUE"""),43930.6458333333)</f>
        <v>43930.645833333299</v>
      </c>
      <c r="B73" s="1">
        <f ca="1">IFERROR(__xludf.DUMMYFUNCTION("""COMPUTED_VALUE"""),2850)</f>
        <v>2850</v>
      </c>
      <c r="C73" s="1">
        <f ca="1">IFERROR(__xludf.DUMMYFUNCTION("""COMPUTED_VALUE"""),2850)</f>
        <v>2850</v>
      </c>
      <c r="D73" s="1">
        <f ca="1">IFERROR(__xludf.DUMMYFUNCTION("""COMPUTED_VALUE"""),2732.9)</f>
        <v>2732.9</v>
      </c>
      <c r="E73" s="1">
        <f ca="1">IFERROR(__xludf.DUMMYFUNCTION("""COMPUTED_VALUE"""),2801.7)</f>
        <v>2801.7</v>
      </c>
      <c r="F73" s="1">
        <f ca="1">IFERROR(__xludf.DUMMYFUNCTION("""COMPUTED_VALUE"""),893108)</f>
        <v>893108</v>
      </c>
    </row>
    <row r="74" spans="1:6" ht="15.75" customHeight="1">
      <c r="A74" s="10">
        <f ca="1">IFERROR(__xludf.DUMMYFUNCTION("""COMPUTED_VALUE"""),43934.6458333333)</f>
        <v>43934.645833333299</v>
      </c>
      <c r="B74" s="1">
        <f ca="1">IFERROR(__xludf.DUMMYFUNCTION("""COMPUTED_VALUE"""),2800)</f>
        <v>2800</v>
      </c>
      <c r="C74" s="1">
        <f ca="1">IFERROR(__xludf.DUMMYFUNCTION("""COMPUTED_VALUE"""),2800)</f>
        <v>2800</v>
      </c>
      <c r="D74" s="1">
        <f ca="1">IFERROR(__xludf.DUMMYFUNCTION("""COMPUTED_VALUE"""),2697.35)</f>
        <v>2697.35</v>
      </c>
      <c r="E74" s="1">
        <f ca="1">IFERROR(__xludf.DUMMYFUNCTION("""COMPUTED_VALUE"""),2706.15)</f>
        <v>2706.15</v>
      </c>
      <c r="F74" s="1">
        <f ca="1">IFERROR(__xludf.DUMMYFUNCTION("""COMPUTED_VALUE"""),501533)</f>
        <v>501533</v>
      </c>
    </row>
    <row r="75" spans="1:6" ht="15.75" customHeight="1">
      <c r="A75" s="10">
        <f ca="1">IFERROR(__xludf.DUMMYFUNCTION("""COMPUTED_VALUE"""),43936.6458333333)</f>
        <v>43936.645833333299</v>
      </c>
      <c r="B75" s="1">
        <f ca="1">IFERROR(__xludf.DUMMYFUNCTION("""COMPUTED_VALUE"""),2772)</f>
        <v>2772</v>
      </c>
      <c r="C75" s="1">
        <f ca="1">IFERROR(__xludf.DUMMYFUNCTION("""COMPUTED_VALUE"""),2908.5)</f>
        <v>2908.5</v>
      </c>
      <c r="D75" s="1">
        <f ca="1">IFERROR(__xludf.DUMMYFUNCTION("""COMPUTED_VALUE"""),2754.7)</f>
        <v>2754.7</v>
      </c>
      <c r="E75" s="1">
        <f ca="1">IFERROR(__xludf.DUMMYFUNCTION("""COMPUTED_VALUE"""),2837.35)</f>
        <v>2837.35</v>
      </c>
      <c r="F75" s="1">
        <f ca="1">IFERROR(__xludf.DUMMYFUNCTION("""COMPUTED_VALUE"""),1011691)</f>
        <v>1011691</v>
      </c>
    </row>
    <row r="76" spans="1:6" ht="15.75" customHeight="1">
      <c r="A76" s="10">
        <f ca="1">IFERROR(__xludf.DUMMYFUNCTION("""COMPUTED_VALUE"""),43937.6458333333)</f>
        <v>43937.645833333299</v>
      </c>
      <c r="B76" s="1">
        <f ca="1">IFERROR(__xludf.DUMMYFUNCTION("""COMPUTED_VALUE"""),2837.5)</f>
        <v>2837.5</v>
      </c>
      <c r="C76" s="1">
        <f ca="1">IFERROR(__xludf.DUMMYFUNCTION("""COMPUTED_VALUE"""),2893.95)</f>
        <v>2893.95</v>
      </c>
      <c r="D76" s="1">
        <f ca="1">IFERROR(__xludf.DUMMYFUNCTION("""COMPUTED_VALUE"""),2815)</f>
        <v>2815</v>
      </c>
      <c r="E76" s="1">
        <f ca="1">IFERROR(__xludf.DUMMYFUNCTION("""COMPUTED_VALUE"""),2836.8)</f>
        <v>2836.8</v>
      </c>
      <c r="F76" s="1">
        <f ca="1">IFERROR(__xludf.DUMMYFUNCTION("""COMPUTED_VALUE"""),675907)</f>
        <v>675907</v>
      </c>
    </row>
    <row r="77" spans="1:6" ht="15.75" customHeight="1">
      <c r="A77" s="10">
        <f ca="1">IFERROR(__xludf.DUMMYFUNCTION("""COMPUTED_VALUE"""),43938.6458333333)</f>
        <v>43938.645833333299</v>
      </c>
      <c r="B77" s="1">
        <f ca="1">IFERROR(__xludf.DUMMYFUNCTION("""COMPUTED_VALUE"""),2884)</f>
        <v>2884</v>
      </c>
      <c r="C77" s="1">
        <f ca="1">IFERROR(__xludf.DUMMYFUNCTION("""COMPUTED_VALUE"""),2895)</f>
        <v>2895</v>
      </c>
      <c r="D77" s="1">
        <f ca="1">IFERROR(__xludf.DUMMYFUNCTION("""COMPUTED_VALUE"""),2802.2)</f>
        <v>2802.2</v>
      </c>
      <c r="E77" s="1">
        <f ca="1">IFERROR(__xludf.DUMMYFUNCTION("""COMPUTED_VALUE"""),2832.15)</f>
        <v>2832.15</v>
      </c>
      <c r="F77" s="1">
        <f ca="1">IFERROR(__xludf.DUMMYFUNCTION("""COMPUTED_VALUE"""),705271)</f>
        <v>705271</v>
      </c>
    </row>
    <row r="78" spans="1:6" ht="15.75" customHeight="1">
      <c r="A78" s="10">
        <f ca="1">IFERROR(__xludf.DUMMYFUNCTION("""COMPUTED_VALUE"""),43941.6458333333)</f>
        <v>43941.645833333299</v>
      </c>
      <c r="B78" s="1">
        <f ca="1">IFERROR(__xludf.DUMMYFUNCTION("""COMPUTED_VALUE"""),2860.1)</f>
        <v>2860.1</v>
      </c>
      <c r="C78" s="1">
        <f ca="1">IFERROR(__xludf.DUMMYFUNCTION("""COMPUTED_VALUE"""),2864.8)</f>
        <v>2864.8</v>
      </c>
      <c r="D78" s="1">
        <f ca="1">IFERROR(__xludf.DUMMYFUNCTION("""COMPUTED_VALUE"""),2801)</f>
        <v>2801</v>
      </c>
      <c r="E78" s="1">
        <f ca="1">IFERROR(__xludf.DUMMYFUNCTION("""COMPUTED_VALUE"""),2833)</f>
        <v>2833</v>
      </c>
      <c r="F78" s="1">
        <f ca="1">IFERROR(__xludf.DUMMYFUNCTION("""COMPUTED_VALUE"""),667917)</f>
        <v>667917</v>
      </c>
    </row>
    <row r="79" spans="1:6" ht="15.75" customHeight="1">
      <c r="A79" s="10">
        <f ca="1">IFERROR(__xludf.DUMMYFUNCTION("""COMPUTED_VALUE"""),43942.6458333333)</f>
        <v>43942.645833333299</v>
      </c>
      <c r="B79" s="1">
        <f ca="1">IFERROR(__xludf.DUMMYFUNCTION("""COMPUTED_VALUE"""),2779.9)</f>
        <v>2779.9</v>
      </c>
      <c r="C79" s="1">
        <f ca="1">IFERROR(__xludf.DUMMYFUNCTION("""COMPUTED_VALUE"""),2906.35)</f>
        <v>2906.35</v>
      </c>
      <c r="D79" s="1">
        <f ca="1">IFERROR(__xludf.DUMMYFUNCTION("""COMPUTED_VALUE"""),2733.15)</f>
        <v>2733.15</v>
      </c>
      <c r="E79" s="1">
        <f ca="1">IFERROR(__xludf.DUMMYFUNCTION("""COMPUTED_VALUE"""),2863.25)</f>
        <v>2863.25</v>
      </c>
      <c r="F79" s="1">
        <f ca="1">IFERROR(__xludf.DUMMYFUNCTION("""COMPUTED_VALUE"""),1129799)</f>
        <v>1129799</v>
      </c>
    </row>
    <row r="80" spans="1:6" ht="15.75" customHeight="1">
      <c r="A80" s="10">
        <f ca="1">IFERROR(__xludf.DUMMYFUNCTION("""COMPUTED_VALUE"""),43943.6458333333)</f>
        <v>43943.645833333299</v>
      </c>
      <c r="B80" s="1">
        <f ca="1">IFERROR(__xludf.DUMMYFUNCTION("""COMPUTED_VALUE"""),2863)</f>
        <v>2863</v>
      </c>
      <c r="C80" s="1">
        <f ca="1">IFERROR(__xludf.DUMMYFUNCTION("""COMPUTED_VALUE"""),2969.7)</f>
        <v>2969.7</v>
      </c>
      <c r="D80" s="1">
        <f ca="1">IFERROR(__xludf.DUMMYFUNCTION("""COMPUTED_VALUE"""),2827.45)</f>
        <v>2827.45</v>
      </c>
      <c r="E80" s="1">
        <f ca="1">IFERROR(__xludf.DUMMYFUNCTION("""COMPUTED_VALUE"""),2952.65)</f>
        <v>2952.65</v>
      </c>
      <c r="F80" s="1">
        <f ca="1">IFERROR(__xludf.DUMMYFUNCTION("""COMPUTED_VALUE"""),737395)</f>
        <v>737395</v>
      </c>
    </row>
    <row r="81" spans="1:6" ht="15.75" customHeight="1">
      <c r="A81" s="10">
        <f ca="1">IFERROR(__xludf.DUMMYFUNCTION("""COMPUTED_VALUE"""),43944.6458333333)</f>
        <v>43944.645833333299</v>
      </c>
      <c r="B81" s="1">
        <f ca="1">IFERROR(__xludf.DUMMYFUNCTION("""COMPUTED_VALUE"""),2960)</f>
        <v>2960</v>
      </c>
      <c r="C81" s="1">
        <f ca="1">IFERROR(__xludf.DUMMYFUNCTION("""COMPUTED_VALUE"""),3245)</f>
        <v>3245</v>
      </c>
      <c r="D81" s="1">
        <f ca="1">IFERROR(__xludf.DUMMYFUNCTION("""COMPUTED_VALUE"""),2918)</f>
        <v>2918</v>
      </c>
      <c r="E81" s="1">
        <f ca="1">IFERROR(__xludf.DUMMYFUNCTION("""COMPUTED_VALUE"""),2947.4)</f>
        <v>2947.4</v>
      </c>
      <c r="F81" s="1">
        <f ca="1">IFERROR(__xludf.DUMMYFUNCTION("""COMPUTED_VALUE"""),3426363)</f>
        <v>3426363</v>
      </c>
    </row>
    <row r="82" spans="1:6" ht="15.75" customHeight="1">
      <c r="A82" s="10">
        <f ca="1">IFERROR(__xludf.DUMMYFUNCTION("""COMPUTED_VALUE"""),43945.6458333333)</f>
        <v>43945.645833333299</v>
      </c>
      <c r="B82" s="1">
        <f ca="1">IFERROR(__xludf.DUMMYFUNCTION("""COMPUTED_VALUE"""),2980)</f>
        <v>2980</v>
      </c>
      <c r="C82" s="1">
        <f ca="1">IFERROR(__xludf.DUMMYFUNCTION("""COMPUTED_VALUE"""),3122.9)</f>
        <v>3122.9</v>
      </c>
      <c r="D82" s="1">
        <f ca="1">IFERROR(__xludf.DUMMYFUNCTION("""COMPUTED_VALUE"""),2956)</f>
        <v>2956</v>
      </c>
      <c r="E82" s="1">
        <f ca="1">IFERROR(__xludf.DUMMYFUNCTION("""COMPUTED_VALUE"""),3062.15)</f>
        <v>3062.15</v>
      </c>
      <c r="F82" s="1">
        <f ca="1">IFERROR(__xludf.DUMMYFUNCTION("""COMPUTED_VALUE"""),2613797)</f>
        <v>2613797</v>
      </c>
    </row>
    <row r="83" spans="1:6" ht="15.75" customHeight="1">
      <c r="A83" s="10">
        <f ca="1">IFERROR(__xludf.DUMMYFUNCTION("""COMPUTED_VALUE"""),43948.6458333333)</f>
        <v>43948.645833333299</v>
      </c>
      <c r="B83" s="1">
        <f ca="1">IFERROR(__xludf.DUMMYFUNCTION("""COMPUTED_VALUE"""),3075.85)</f>
        <v>3075.85</v>
      </c>
      <c r="C83" s="1">
        <f ca="1">IFERROR(__xludf.DUMMYFUNCTION("""COMPUTED_VALUE"""),3290)</f>
        <v>3290</v>
      </c>
      <c r="D83" s="1">
        <f ca="1">IFERROR(__xludf.DUMMYFUNCTION("""COMPUTED_VALUE"""),3070)</f>
        <v>3070</v>
      </c>
      <c r="E83" s="1">
        <f ca="1">IFERROR(__xludf.DUMMYFUNCTION("""COMPUTED_VALUE"""),3242.05)</f>
        <v>3242.05</v>
      </c>
      <c r="F83" s="1">
        <f ca="1">IFERROR(__xludf.DUMMYFUNCTION("""COMPUTED_VALUE"""),1993378)</f>
        <v>1993378</v>
      </c>
    </row>
    <row r="84" spans="1:6" ht="15.75" customHeight="1">
      <c r="A84" s="10">
        <f ca="1">IFERROR(__xludf.DUMMYFUNCTION("""COMPUTED_VALUE"""),43949.6458333333)</f>
        <v>43949.645833333299</v>
      </c>
      <c r="B84" s="1">
        <f ca="1">IFERROR(__xludf.DUMMYFUNCTION("""COMPUTED_VALUE"""),3277)</f>
        <v>3277</v>
      </c>
      <c r="C84" s="1">
        <f ca="1">IFERROR(__xludf.DUMMYFUNCTION("""COMPUTED_VALUE"""),3289.85)</f>
        <v>3289.85</v>
      </c>
      <c r="D84" s="1">
        <f ca="1">IFERROR(__xludf.DUMMYFUNCTION("""COMPUTED_VALUE"""),3160)</f>
        <v>3160</v>
      </c>
      <c r="E84" s="1">
        <f ca="1">IFERROR(__xludf.DUMMYFUNCTION("""COMPUTED_VALUE"""),3193.95)</f>
        <v>3193.95</v>
      </c>
      <c r="F84" s="1">
        <f ca="1">IFERROR(__xludf.DUMMYFUNCTION("""COMPUTED_VALUE"""),1379063)</f>
        <v>1379063</v>
      </c>
    </row>
    <row r="85" spans="1:6" ht="15.75" customHeight="1">
      <c r="A85" s="10">
        <f ca="1">IFERROR(__xludf.DUMMYFUNCTION("""COMPUTED_VALUE"""),43950.6458333333)</f>
        <v>43950.645833333299</v>
      </c>
      <c r="B85" s="1">
        <f ca="1">IFERROR(__xludf.DUMMYFUNCTION("""COMPUTED_VALUE"""),3187.8)</f>
        <v>3187.8</v>
      </c>
      <c r="C85" s="1">
        <f ca="1">IFERROR(__xludf.DUMMYFUNCTION("""COMPUTED_VALUE"""),3238.75)</f>
        <v>3238.75</v>
      </c>
      <c r="D85" s="1">
        <f ca="1">IFERROR(__xludf.DUMMYFUNCTION("""COMPUTED_VALUE"""),3150)</f>
        <v>3150</v>
      </c>
      <c r="E85" s="1">
        <f ca="1">IFERROR(__xludf.DUMMYFUNCTION("""COMPUTED_VALUE"""),3156.8)</f>
        <v>3156.8</v>
      </c>
      <c r="F85" s="1">
        <f ca="1">IFERROR(__xludf.DUMMYFUNCTION("""COMPUTED_VALUE"""),1177520)</f>
        <v>1177520</v>
      </c>
    </row>
    <row r="86" spans="1:6" ht="15.75" customHeight="1">
      <c r="A86" s="10">
        <f ca="1">IFERROR(__xludf.DUMMYFUNCTION("""COMPUTED_VALUE"""),43951.6458333333)</f>
        <v>43951.645833333299</v>
      </c>
      <c r="B86" s="1">
        <f ca="1">IFERROR(__xludf.DUMMYFUNCTION("""COMPUTED_VALUE"""),3195)</f>
        <v>3195</v>
      </c>
      <c r="C86" s="1">
        <f ca="1">IFERROR(__xludf.DUMMYFUNCTION("""COMPUTED_VALUE"""),3205)</f>
        <v>3205</v>
      </c>
      <c r="D86" s="1">
        <f ca="1">IFERROR(__xludf.DUMMYFUNCTION("""COMPUTED_VALUE"""),3150)</f>
        <v>3150</v>
      </c>
      <c r="E86" s="1">
        <f ca="1">IFERROR(__xludf.DUMMYFUNCTION("""COMPUTED_VALUE"""),3165.75)</f>
        <v>3165.75</v>
      </c>
      <c r="F86" s="1">
        <f ca="1">IFERROR(__xludf.DUMMYFUNCTION("""COMPUTED_VALUE"""),1021592)</f>
        <v>1021592</v>
      </c>
    </row>
    <row r="87" spans="1:6" ht="15.75" customHeight="1">
      <c r="A87" s="10">
        <f ca="1">IFERROR(__xludf.DUMMYFUNCTION("""COMPUTED_VALUE"""),43955.6458333333)</f>
        <v>43955.645833333299</v>
      </c>
      <c r="B87" s="1">
        <f ca="1">IFERROR(__xludf.DUMMYFUNCTION("""COMPUTED_VALUE"""),3109)</f>
        <v>3109</v>
      </c>
      <c r="C87" s="1">
        <f ca="1">IFERROR(__xludf.DUMMYFUNCTION("""COMPUTED_VALUE"""),3160)</f>
        <v>3160</v>
      </c>
      <c r="D87" s="1">
        <f ca="1">IFERROR(__xludf.DUMMYFUNCTION("""COMPUTED_VALUE"""),3056)</f>
        <v>3056</v>
      </c>
      <c r="E87" s="1">
        <f ca="1">IFERROR(__xludf.DUMMYFUNCTION("""COMPUTED_VALUE"""),3092.95)</f>
        <v>3092.95</v>
      </c>
      <c r="F87" s="1">
        <f ca="1">IFERROR(__xludf.DUMMYFUNCTION("""COMPUTED_VALUE"""),591353)</f>
        <v>591353</v>
      </c>
    </row>
    <row r="88" spans="1:6" ht="15.75" customHeight="1">
      <c r="A88" s="10">
        <f ca="1">IFERROR(__xludf.DUMMYFUNCTION("""COMPUTED_VALUE"""),43956.6458333333)</f>
        <v>43956.645833333299</v>
      </c>
      <c r="B88" s="1">
        <f ca="1">IFERROR(__xludf.DUMMYFUNCTION("""COMPUTED_VALUE"""),3107)</f>
        <v>3107</v>
      </c>
      <c r="C88" s="1">
        <f ca="1">IFERROR(__xludf.DUMMYFUNCTION("""COMPUTED_VALUE"""),3126)</f>
        <v>3126</v>
      </c>
      <c r="D88" s="1">
        <f ca="1">IFERROR(__xludf.DUMMYFUNCTION("""COMPUTED_VALUE"""),2970.5)</f>
        <v>2970.5</v>
      </c>
      <c r="E88" s="1">
        <f ca="1">IFERROR(__xludf.DUMMYFUNCTION("""COMPUTED_VALUE"""),2978.75)</f>
        <v>2978.75</v>
      </c>
      <c r="F88" s="1">
        <f ca="1">IFERROR(__xludf.DUMMYFUNCTION("""COMPUTED_VALUE"""),905266)</f>
        <v>905266</v>
      </c>
    </row>
    <row r="89" spans="1:6" ht="15.75" customHeight="1">
      <c r="A89" s="10">
        <f ca="1">IFERROR(__xludf.DUMMYFUNCTION("""COMPUTED_VALUE"""),43957.6458333333)</f>
        <v>43957.645833333299</v>
      </c>
      <c r="B89" s="1">
        <f ca="1">IFERROR(__xludf.DUMMYFUNCTION("""COMPUTED_VALUE"""),2950)</f>
        <v>2950</v>
      </c>
      <c r="C89" s="1">
        <f ca="1">IFERROR(__xludf.DUMMYFUNCTION("""COMPUTED_VALUE"""),3065)</f>
        <v>3065</v>
      </c>
      <c r="D89" s="1">
        <f ca="1">IFERROR(__xludf.DUMMYFUNCTION("""COMPUTED_VALUE"""),2907.65)</f>
        <v>2907.65</v>
      </c>
      <c r="E89" s="1">
        <f ca="1">IFERROR(__xludf.DUMMYFUNCTION("""COMPUTED_VALUE"""),2987.7)</f>
        <v>2987.7</v>
      </c>
      <c r="F89" s="1">
        <f ca="1">IFERROR(__xludf.DUMMYFUNCTION("""COMPUTED_VALUE"""),995972)</f>
        <v>995972</v>
      </c>
    </row>
    <row r="90" spans="1:6" ht="15.75" customHeight="1">
      <c r="A90" s="10">
        <f ca="1">IFERROR(__xludf.DUMMYFUNCTION("""COMPUTED_VALUE"""),43958.6458333333)</f>
        <v>43958.645833333299</v>
      </c>
      <c r="B90" s="1">
        <f ca="1">IFERROR(__xludf.DUMMYFUNCTION("""COMPUTED_VALUE"""),2977.7)</f>
        <v>2977.7</v>
      </c>
      <c r="C90" s="1">
        <f ca="1">IFERROR(__xludf.DUMMYFUNCTION("""COMPUTED_VALUE"""),2980)</f>
        <v>2980</v>
      </c>
      <c r="D90" s="1">
        <f ca="1">IFERROR(__xludf.DUMMYFUNCTION("""COMPUTED_VALUE"""),2867)</f>
        <v>2867</v>
      </c>
      <c r="E90" s="1">
        <f ca="1">IFERROR(__xludf.DUMMYFUNCTION("""COMPUTED_VALUE"""),2915.35)</f>
        <v>2915.35</v>
      </c>
      <c r="F90" s="1">
        <f ca="1">IFERROR(__xludf.DUMMYFUNCTION("""COMPUTED_VALUE"""),994651)</f>
        <v>994651</v>
      </c>
    </row>
    <row r="91" spans="1:6" ht="15.75" customHeight="1">
      <c r="A91" s="10">
        <f ca="1">IFERROR(__xludf.DUMMYFUNCTION("""COMPUTED_VALUE"""),43959.6458333333)</f>
        <v>43959.645833333299</v>
      </c>
      <c r="B91" s="1">
        <f ca="1">IFERROR(__xludf.DUMMYFUNCTION("""COMPUTED_VALUE"""),2945)</f>
        <v>2945</v>
      </c>
      <c r="C91" s="1">
        <f ca="1">IFERROR(__xludf.DUMMYFUNCTION("""COMPUTED_VALUE"""),3037)</f>
        <v>3037</v>
      </c>
      <c r="D91" s="1">
        <f ca="1">IFERROR(__xludf.DUMMYFUNCTION("""COMPUTED_VALUE"""),2923.45)</f>
        <v>2923.45</v>
      </c>
      <c r="E91" s="1">
        <f ca="1">IFERROR(__xludf.DUMMYFUNCTION("""COMPUTED_VALUE"""),2994.65)</f>
        <v>2994.65</v>
      </c>
      <c r="F91" s="1">
        <f ca="1">IFERROR(__xludf.DUMMYFUNCTION("""COMPUTED_VALUE"""),1102857)</f>
        <v>1102857</v>
      </c>
    </row>
    <row r="92" spans="1:6" ht="15.75" customHeight="1">
      <c r="A92" s="10">
        <f ca="1">IFERROR(__xludf.DUMMYFUNCTION("""COMPUTED_VALUE"""),43962.6458333333)</f>
        <v>43962.645833333299</v>
      </c>
      <c r="B92" s="1">
        <f ca="1">IFERROR(__xludf.DUMMYFUNCTION("""COMPUTED_VALUE"""),3029)</f>
        <v>3029</v>
      </c>
      <c r="C92" s="1">
        <f ca="1">IFERROR(__xludf.DUMMYFUNCTION("""COMPUTED_VALUE"""),3083.4)</f>
        <v>3083.4</v>
      </c>
      <c r="D92" s="1">
        <f ca="1">IFERROR(__xludf.DUMMYFUNCTION("""COMPUTED_VALUE"""),2991.85)</f>
        <v>2991.85</v>
      </c>
      <c r="E92" s="1">
        <f ca="1">IFERROR(__xludf.DUMMYFUNCTION("""COMPUTED_VALUE"""),3053.95)</f>
        <v>3053.95</v>
      </c>
      <c r="F92" s="1">
        <f ca="1">IFERROR(__xludf.DUMMYFUNCTION("""COMPUTED_VALUE"""),1095855)</f>
        <v>1095855</v>
      </c>
    </row>
    <row r="93" spans="1:6" ht="15.75" customHeight="1">
      <c r="A93" s="10">
        <f ca="1">IFERROR(__xludf.DUMMYFUNCTION("""COMPUTED_VALUE"""),43963.6458333333)</f>
        <v>43963.645833333299</v>
      </c>
      <c r="B93" s="1">
        <f ca="1">IFERROR(__xludf.DUMMYFUNCTION("""COMPUTED_VALUE"""),3048.95)</f>
        <v>3048.95</v>
      </c>
      <c r="C93" s="1">
        <f ca="1">IFERROR(__xludf.DUMMYFUNCTION("""COMPUTED_VALUE"""),3123.2)</f>
        <v>3123.2</v>
      </c>
      <c r="D93" s="1">
        <f ca="1">IFERROR(__xludf.DUMMYFUNCTION("""COMPUTED_VALUE"""),3031.3)</f>
        <v>3031.3</v>
      </c>
      <c r="E93" s="1">
        <f ca="1">IFERROR(__xludf.DUMMYFUNCTION("""COMPUTED_VALUE"""),3107.3)</f>
        <v>3107.3</v>
      </c>
      <c r="F93" s="1">
        <f ca="1">IFERROR(__xludf.DUMMYFUNCTION("""COMPUTED_VALUE"""),1329390)</f>
        <v>1329390</v>
      </c>
    </row>
    <row r="94" spans="1:6" ht="15.75" customHeight="1">
      <c r="A94" s="10">
        <f ca="1">IFERROR(__xludf.DUMMYFUNCTION("""COMPUTED_VALUE"""),43964.6458333333)</f>
        <v>43964.645833333299</v>
      </c>
      <c r="B94" s="1">
        <f ca="1">IFERROR(__xludf.DUMMYFUNCTION("""COMPUTED_VALUE"""),3180)</f>
        <v>3180</v>
      </c>
      <c r="C94" s="1">
        <f ca="1">IFERROR(__xludf.DUMMYFUNCTION("""COMPUTED_VALUE"""),3188)</f>
        <v>3188</v>
      </c>
      <c r="D94" s="1">
        <f ca="1">IFERROR(__xludf.DUMMYFUNCTION("""COMPUTED_VALUE"""),3057.5)</f>
        <v>3057.5</v>
      </c>
      <c r="E94" s="1">
        <f ca="1">IFERROR(__xludf.DUMMYFUNCTION("""COMPUTED_VALUE"""),3079.55)</f>
        <v>3079.55</v>
      </c>
      <c r="F94" s="1">
        <f ca="1">IFERROR(__xludf.DUMMYFUNCTION("""COMPUTED_VALUE"""),850975)</f>
        <v>850975</v>
      </c>
    </row>
    <row r="95" spans="1:6" ht="15.75" customHeight="1">
      <c r="A95" s="10">
        <f ca="1">IFERROR(__xludf.DUMMYFUNCTION("""COMPUTED_VALUE"""),43965.6458333333)</f>
        <v>43965.645833333299</v>
      </c>
      <c r="B95" s="1">
        <f ca="1">IFERROR(__xludf.DUMMYFUNCTION("""COMPUTED_VALUE"""),3065)</f>
        <v>3065</v>
      </c>
      <c r="C95" s="1">
        <f ca="1">IFERROR(__xludf.DUMMYFUNCTION("""COMPUTED_VALUE"""),3138)</f>
        <v>3138</v>
      </c>
      <c r="D95" s="1">
        <f ca="1">IFERROR(__xludf.DUMMYFUNCTION("""COMPUTED_VALUE"""),3031.7)</f>
        <v>3031.7</v>
      </c>
      <c r="E95" s="1">
        <f ca="1">IFERROR(__xludf.DUMMYFUNCTION("""COMPUTED_VALUE"""),3118.7)</f>
        <v>3118.7</v>
      </c>
      <c r="F95" s="1">
        <f ca="1">IFERROR(__xludf.DUMMYFUNCTION("""COMPUTED_VALUE"""),777257)</f>
        <v>777257</v>
      </c>
    </row>
    <row r="96" spans="1:6" ht="15.75" customHeight="1">
      <c r="A96" s="10">
        <f ca="1">IFERROR(__xludf.DUMMYFUNCTION("""COMPUTED_VALUE"""),43966.6458333333)</f>
        <v>43966.645833333299</v>
      </c>
      <c r="B96" s="1">
        <f ca="1">IFERROR(__xludf.DUMMYFUNCTION("""COMPUTED_VALUE"""),3146.9)</f>
        <v>3146.9</v>
      </c>
      <c r="C96" s="1">
        <f ca="1">IFERROR(__xludf.DUMMYFUNCTION("""COMPUTED_VALUE"""),3196)</f>
        <v>3196</v>
      </c>
      <c r="D96" s="1">
        <f ca="1">IFERROR(__xludf.DUMMYFUNCTION("""COMPUTED_VALUE"""),3115)</f>
        <v>3115</v>
      </c>
      <c r="E96" s="1">
        <f ca="1">IFERROR(__xludf.DUMMYFUNCTION("""COMPUTED_VALUE"""),3125.65)</f>
        <v>3125.65</v>
      </c>
      <c r="F96" s="1">
        <f ca="1">IFERROR(__xludf.DUMMYFUNCTION("""COMPUTED_VALUE"""),870248)</f>
        <v>870248</v>
      </c>
    </row>
    <row r="97" spans="1:6" ht="15.75" customHeight="1">
      <c r="A97" s="10">
        <f ca="1">IFERROR(__xludf.DUMMYFUNCTION("""COMPUTED_VALUE"""),43969.6458333333)</f>
        <v>43969.645833333299</v>
      </c>
      <c r="B97" s="1">
        <f ca="1">IFERROR(__xludf.DUMMYFUNCTION("""COMPUTED_VALUE"""),3110)</f>
        <v>3110</v>
      </c>
      <c r="C97" s="1">
        <f ca="1">IFERROR(__xludf.DUMMYFUNCTION("""COMPUTED_VALUE"""),3165)</f>
        <v>3165</v>
      </c>
      <c r="D97" s="1">
        <f ca="1">IFERROR(__xludf.DUMMYFUNCTION("""COMPUTED_VALUE"""),3098.1)</f>
        <v>3098.1</v>
      </c>
      <c r="E97" s="1">
        <f ca="1">IFERROR(__xludf.DUMMYFUNCTION("""COMPUTED_VALUE"""),3109.55)</f>
        <v>3109.55</v>
      </c>
      <c r="F97" s="1">
        <f ca="1">IFERROR(__xludf.DUMMYFUNCTION("""COMPUTED_VALUE"""),730350)</f>
        <v>730350</v>
      </c>
    </row>
    <row r="98" spans="1:6" ht="15.75" customHeight="1">
      <c r="A98" s="10">
        <f ca="1">IFERROR(__xludf.DUMMYFUNCTION("""COMPUTED_VALUE"""),43970.6458333333)</f>
        <v>43970.645833333299</v>
      </c>
      <c r="B98" s="1">
        <f ca="1">IFERROR(__xludf.DUMMYFUNCTION("""COMPUTED_VALUE"""),3130.2)</f>
        <v>3130.2</v>
      </c>
      <c r="C98" s="1">
        <f ca="1">IFERROR(__xludf.DUMMYFUNCTION("""COMPUTED_VALUE"""),3147.9)</f>
        <v>3147.9</v>
      </c>
      <c r="D98" s="1">
        <f ca="1">IFERROR(__xludf.DUMMYFUNCTION("""COMPUTED_VALUE"""),3086.05)</f>
        <v>3086.05</v>
      </c>
      <c r="E98" s="1">
        <f ca="1">IFERROR(__xludf.DUMMYFUNCTION("""COMPUTED_VALUE"""),3104)</f>
        <v>3104</v>
      </c>
      <c r="F98" s="1">
        <f ca="1">IFERROR(__xludf.DUMMYFUNCTION("""COMPUTED_VALUE"""),537217)</f>
        <v>537217</v>
      </c>
    </row>
    <row r="99" spans="1:6" ht="15.75" customHeight="1">
      <c r="A99" s="10">
        <f ca="1">IFERROR(__xludf.DUMMYFUNCTION("""COMPUTED_VALUE"""),43971.6458333333)</f>
        <v>43971.645833333299</v>
      </c>
      <c r="B99" s="1">
        <f ca="1">IFERROR(__xludf.DUMMYFUNCTION("""COMPUTED_VALUE"""),3110.6)</f>
        <v>3110.6</v>
      </c>
      <c r="C99" s="1">
        <f ca="1">IFERROR(__xludf.DUMMYFUNCTION("""COMPUTED_VALUE"""),3159)</f>
        <v>3159</v>
      </c>
      <c r="D99" s="1">
        <f ca="1">IFERROR(__xludf.DUMMYFUNCTION("""COMPUTED_VALUE"""),3106.85)</f>
        <v>3106.85</v>
      </c>
      <c r="E99" s="1">
        <f ca="1">IFERROR(__xludf.DUMMYFUNCTION("""COMPUTED_VALUE"""),3127.85)</f>
        <v>3127.85</v>
      </c>
      <c r="F99" s="1">
        <f ca="1">IFERROR(__xludf.DUMMYFUNCTION("""COMPUTED_VALUE"""),439150)</f>
        <v>439150</v>
      </c>
    </row>
    <row r="100" spans="1:6" ht="15.75" customHeight="1">
      <c r="A100" s="10">
        <f ca="1">IFERROR(__xludf.DUMMYFUNCTION("""COMPUTED_VALUE"""),43972.6458333333)</f>
        <v>43972.645833333299</v>
      </c>
      <c r="B100" s="1">
        <f ca="1">IFERROR(__xludf.DUMMYFUNCTION("""COMPUTED_VALUE"""),3120.1)</f>
        <v>3120.1</v>
      </c>
      <c r="C100" s="1">
        <f ca="1">IFERROR(__xludf.DUMMYFUNCTION("""COMPUTED_VALUE"""),3157)</f>
        <v>3157</v>
      </c>
      <c r="D100" s="1">
        <f ca="1">IFERROR(__xludf.DUMMYFUNCTION("""COMPUTED_VALUE"""),3099)</f>
        <v>3099</v>
      </c>
      <c r="E100" s="1">
        <f ca="1">IFERROR(__xludf.DUMMYFUNCTION("""COMPUTED_VALUE"""),3110.95)</f>
        <v>3110.95</v>
      </c>
      <c r="F100" s="1">
        <f ca="1">IFERROR(__xludf.DUMMYFUNCTION("""COMPUTED_VALUE"""),574325)</f>
        <v>574325</v>
      </c>
    </row>
    <row r="101" spans="1:6" ht="15.75" customHeight="1">
      <c r="A101" s="10">
        <f ca="1">IFERROR(__xludf.DUMMYFUNCTION("""COMPUTED_VALUE"""),43973.6458333333)</f>
        <v>43973.645833333299</v>
      </c>
      <c r="B101" s="1">
        <f ca="1">IFERROR(__xludf.DUMMYFUNCTION("""COMPUTED_VALUE"""),3104)</f>
        <v>3104</v>
      </c>
      <c r="C101" s="1">
        <f ca="1">IFERROR(__xludf.DUMMYFUNCTION("""COMPUTED_VALUE"""),3184.2)</f>
        <v>3184.2</v>
      </c>
      <c r="D101" s="1">
        <f ca="1">IFERROR(__xludf.DUMMYFUNCTION("""COMPUTED_VALUE"""),3080)</f>
        <v>3080</v>
      </c>
      <c r="E101" s="1">
        <f ca="1">IFERROR(__xludf.DUMMYFUNCTION("""COMPUTED_VALUE"""),3167.1)</f>
        <v>3167.1</v>
      </c>
      <c r="F101" s="1">
        <f ca="1">IFERROR(__xludf.DUMMYFUNCTION("""COMPUTED_VALUE"""),630580)</f>
        <v>630580</v>
      </c>
    </row>
    <row r="102" spans="1:6" ht="15.75" customHeight="1">
      <c r="A102" s="10">
        <f ca="1">IFERROR(__xludf.DUMMYFUNCTION("""COMPUTED_VALUE"""),43977.6458333333)</f>
        <v>43977.645833333299</v>
      </c>
      <c r="B102" s="1">
        <f ca="1">IFERROR(__xludf.DUMMYFUNCTION("""COMPUTED_VALUE"""),3200)</f>
        <v>3200</v>
      </c>
      <c r="C102" s="1">
        <f ca="1">IFERROR(__xludf.DUMMYFUNCTION("""COMPUTED_VALUE"""),3244)</f>
        <v>3244</v>
      </c>
      <c r="D102" s="1">
        <f ca="1">IFERROR(__xludf.DUMMYFUNCTION("""COMPUTED_VALUE"""),3141)</f>
        <v>3141</v>
      </c>
      <c r="E102" s="1">
        <f ca="1">IFERROR(__xludf.DUMMYFUNCTION("""COMPUTED_VALUE"""),3163.85)</f>
        <v>3163.85</v>
      </c>
      <c r="F102" s="1">
        <f ca="1">IFERROR(__xludf.DUMMYFUNCTION("""COMPUTED_VALUE"""),718134)</f>
        <v>718134</v>
      </c>
    </row>
    <row r="103" spans="1:6" ht="15.75" customHeight="1">
      <c r="A103" s="10">
        <f ca="1">IFERROR(__xludf.DUMMYFUNCTION("""COMPUTED_VALUE"""),43978.6458333333)</f>
        <v>43978.645833333299</v>
      </c>
      <c r="B103" s="1">
        <f ca="1">IFERROR(__xludf.DUMMYFUNCTION("""COMPUTED_VALUE"""),3170)</f>
        <v>3170</v>
      </c>
      <c r="C103" s="1">
        <f ca="1">IFERROR(__xludf.DUMMYFUNCTION("""COMPUTED_VALUE"""),3238.95)</f>
        <v>3238.95</v>
      </c>
      <c r="D103" s="1">
        <f ca="1">IFERROR(__xludf.DUMMYFUNCTION("""COMPUTED_VALUE"""),3141)</f>
        <v>3141</v>
      </c>
      <c r="E103" s="1">
        <f ca="1">IFERROR(__xludf.DUMMYFUNCTION("""COMPUTED_VALUE"""),3220.3)</f>
        <v>3220.3</v>
      </c>
      <c r="F103" s="1">
        <f ca="1">IFERROR(__xludf.DUMMYFUNCTION("""COMPUTED_VALUE"""),739328)</f>
        <v>739328</v>
      </c>
    </row>
    <row r="104" spans="1:6" ht="15.75" customHeight="1">
      <c r="A104" s="10">
        <f ca="1">IFERROR(__xludf.DUMMYFUNCTION("""COMPUTED_VALUE"""),43979.6458333333)</f>
        <v>43979.645833333299</v>
      </c>
      <c r="B104" s="1">
        <f ca="1">IFERROR(__xludf.DUMMYFUNCTION("""COMPUTED_VALUE"""),3217.5)</f>
        <v>3217.5</v>
      </c>
      <c r="C104" s="1">
        <f ca="1">IFERROR(__xludf.DUMMYFUNCTION("""COMPUTED_VALUE"""),3363.25)</f>
        <v>3363.25</v>
      </c>
      <c r="D104" s="1">
        <f ca="1">IFERROR(__xludf.DUMMYFUNCTION("""COMPUTED_VALUE"""),3189.35)</f>
        <v>3189.35</v>
      </c>
      <c r="E104" s="1">
        <f ca="1">IFERROR(__xludf.DUMMYFUNCTION("""COMPUTED_VALUE"""),3323.25)</f>
        <v>3323.25</v>
      </c>
      <c r="F104" s="1">
        <f ca="1">IFERROR(__xludf.DUMMYFUNCTION("""COMPUTED_VALUE"""),1453514)</f>
        <v>1453514</v>
      </c>
    </row>
    <row r="105" spans="1:6" ht="15.75" customHeight="1">
      <c r="A105" s="10">
        <f ca="1">IFERROR(__xludf.DUMMYFUNCTION("""COMPUTED_VALUE"""),43980.6458333333)</f>
        <v>43980.645833333299</v>
      </c>
      <c r="B105" s="1">
        <f ca="1">IFERROR(__xludf.DUMMYFUNCTION("""COMPUTED_VALUE"""),3289.9)</f>
        <v>3289.9</v>
      </c>
      <c r="C105" s="1">
        <f ca="1">IFERROR(__xludf.DUMMYFUNCTION("""COMPUTED_VALUE"""),3417)</f>
        <v>3417</v>
      </c>
      <c r="D105" s="1">
        <f ca="1">IFERROR(__xludf.DUMMYFUNCTION("""COMPUTED_VALUE"""),3289.9)</f>
        <v>3289.9</v>
      </c>
      <c r="E105" s="1">
        <f ca="1">IFERROR(__xludf.DUMMYFUNCTION("""COMPUTED_VALUE"""),3378.85)</f>
        <v>3378.85</v>
      </c>
      <c r="F105" s="1">
        <f ca="1">IFERROR(__xludf.DUMMYFUNCTION("""COMPUTED_VALUE"""),1658714)</f>
        <v>1658714</v>
      </c>
    </row>
    <row r="106" spans="1:6" ht="15.75" customHeight="1">
      <c r="A106" s="10">
        <f ca="1">IFERROR(__xludf.DUMMYFUNCTION("""COMPUTED_VALUE"""),43983.6458333333)</f>
        <v>43983.645833333299</v>
      </c>
      <c r="B106" s="1">
        <f ca="1">IFERROR(__xludf.DUMMYFUNCTION("""COMPUTED_VALUE"""),3416)</f>
        <v>3416</v>
      </c>
      <c r="C106" s="1">
        <f ca="1">IFERROR(__xludf.DUMMYFUNCTION("""COMPUTED_VALUE"""),3470)</f>
        <v>3470</v>
      </c>
      <c r="D106" s="1">
        <f ca="1">IFERROR(__xludf.DUMMYFUNCTION("""COMPUTED_VALUE"""),3401)</f>
        <v>3401</v>
      </c>
      <c r="E106" s="1">
        <f ca="1">IFERROR(__xludf.DUMMYFUNCTION("""COMPUTED_VALUE"""),3434.85)</f>
        <v>3434.85</v>
      </c>
      <c r="F106" s="1">
        <f ca="1">IFERROR(__xludf.DUMMYFUNCTION("""COMPUTED_VALUE"""),883460)</f>
        <v>883460</v>
      </c>
    </row>
    <row r="107" spans="1:6" ht="15.75" customHeight="1">
      <c r="A107" s="10">
        <f ca="1">IFERROR(__xludf.DUMMYFUNCTION("""COMPUTED_VALUE"""),43984.6458333333)</f>
        <v>43984.645833333299</v>
      </c>
      <c r="B107" s="1">
        <f ca="1">IFERROR(__xludf.DUMMYFUNCTION("""COMPUTED_VALUE"""),3434.9)</f>
        <v>3434.9</v>
      </c>
      <c r="C107" s="1">
        <f ca="1">IFERROR(__xludf.DUMMYFUNCTION("""COMPUTED_VALUE"""),3480)</f>
        <v>3480</v>
      </c>
      <c r="D107" s="1">
        <f ca="1">IFERROR(__xludf.DUMMYFUNCTION("""COMPUTED_VALUE"""),3400)</f>
        <v>3400</v>
      </c>
      <c r="E107" s="1">
        <f ca="1">IFERROR(__xludf.DUMMYFUNCTION("""COMPUTED_VALUE"""),3451)</f>
        <v>3451</v>
      </c>
      <c r="F107" s="1">
        <f ca="1">IFERROR(__xludf.DUMMYFUNCTION("""COMPUTED_VALUE"""),786444)</f>
        <v>786444</v>
      </c>
    </row>
    <row r="108" spans="1:6" ht="15.75" customHeight="1">
      <c r="A108" s="10">
        <f ca="1">IFERROR(__xludf.DUMMYFUNCTION("""COMPUTED_VALUE"""),43985.6458333333)</f>
        <v>43985.645833333299</v>
      </c>
      <c r="B108" s="1">
        <f ca="1">IFERROR(__xludf.DUMMYFUNCTION("""COMPUTED_VALUE"""),3601)</f>
        <v>3601</v>
      </c>
      <c r="C108" s="1">
        <f ca="1">IFERROR(__xludf.DUMMYFUNCTION("""COMPUTED_VALUE"""),3708)</f>
        <v>3708</v>
      </c>
      <c r="D108" s="1">
        <f ca="1">IFERROR(__xludf.DUMMYFUNCTION("""COMPUTED_VALUE"""),3471.2)</f>
        <v>3471.2</v>
      </c>
      <c r="E108" s="1">
        <f ca="1">IFERROR(__xludf.DUMMYFUNCTION("""COMPUTED_VALUE"""),3510.3)</f>
        <v>3510.3</v>
      </c>
      <c r="F108" s="1">
        <f ca="1">IFERROR(__xludf.DUMMYFUNCTION("""COMPUTED_VALUE"""),3415126)</f>
        <v>3415126</v>
      </c>
    </row>
    <row r="109" spans="1:6" ht="15.75" customHeight="1">
      <c r="A109" s="10">
        <f ca="1">IFERROR(__xludf.DUMMYFUNCTION("""COMPUTED_VALUE"""),43986.6458333333)</f>
        <v>43986.645833333299</v>
      </c>
      <c r="B109" s="1">
        <f ca="1">IFERROR(__xludf.DUMMYFUNCTION("""COMPUTED_VALUE"""),3510)</f>
        <v>3510</v>
      </c>
      <c r="C109" s="1">
        <f ca="1">IFERROR(__xludf.DUMMYFUNCTION("""COMPUTED_VALUE"""),3555)</f>
        <v>3555</v>
      </c>
      <c r="D109" s="1">
        <f ca="1">IFERROR(__xludf.DUMMYFUNCTION("""COMPUTED_VALUE"""),3422)</f>
        <v>3422</v>
      </c>
      <c r="E109" s="1">
        <f ca="1">IFERROR(__xludf.DUMMYFUNCTION("""COMPUTED_VALUE"""),3450.35)</f>
        <v>3450.35</v>
      </c>
      <c r="F109" s="1">
        <f ca="1">IFERROR(__xludf.DUMMYFUNCTION("""COMPUTED_VALUE"""),1309771)</f>
        <v>1309771</v>
      </c>
    </row>
    <row r="110" spans="1:6" ht="15.75" customHeight="1">
      <c r="A110" s="10">
        <f ca="1">IFERROR(__xludf.DUMMYFUNCTION("""COMPUTED_VALUE"""),43987.6458333333)</f>
        <v>43987.645833333299</v>
      </c>
      <c r="B110" s="1">
        <f ca="1">IFERROR(__xludf.DUMMYFUNCTION("""COMPUTED_VALUE"""),3475)</f>
        <v>3475</v>
      </c>
      <c r="C110" s="1">
        <f ca="1">IFERROR(__xludf.DUMMYFUNCTION("""COMPUTED_VALUE"""),3497.95)</f>
        <v>3497.95</v>
      </c>
      <c r="D110" s="1">
        <f ca="1">IFERROR(__xludf.DUMMYFUNCTION("""COMPUTED_VALUE"""),3402.2)</f>
        <v>3402.2</v>
      </c>
      <c r="E110" s="1">
        <f ca="1">IFERROR(__xludf.DUMMYFUNCTION("""COMPUTED_VALUE"""),3466.7)</f>
        <v>3466.7</v>
      </c>
      <c r="F110" s="1">
        <f ca="1">IFERROR(__xludf.DUMMYFUNCTION("""COMPUTED_VALUE"""),1200548)</f>
        <v>1200548</v>
      </c>
    </row>
    <row r="111" spans="1:6" ht="15.75" customHeight="1">
      <c r="A111" s="10">
        <f ca="1">IFERROR(__xludf.DUMMYFUNCTION("""COMPUTED_VALUE"""),43990.6458333333)</f>
        <v>43990.645833333299</v>
      </c>
      <c r="B111" s="1">
        <f ca="1">IFERROR(__xludf.DUMMYFUNCTION("""COMPUTED_VALUE"""),3486)</f>
        <v>3486</v>
      </c>
      <c r="C111" s="1">
        <f ca="1">IFERROR(__xludf.DUMMYFUNCTION("""COMPUTED_VALUE"""),3513.25)</f>
        <v>3513.25</v>
      </c>
      <c r="D111" s="1">
        <f ca="1">IFERROR(__xludf.DUMMYFUNCTION("""COMPUTED_VALUE"""),3410)</f>
        <v>3410</v>
      </c>
      <c r="E111" s="1">
        <f ca="1">IFERROR(__xludf.DUMMYFUNCTION("""COMPUTED_VALUE"""),3426.8)</f>
        <v>3426.8</v>
      </c>
      <c r="F111" s="1">
        <f ca="1">IFERROR(__xludf.DUMMYFUNCTION("""COMPUTED_VALUE"""),768759)</f>
        <v>768759</v>
      </c>
    </row>
    <row r="112" spans="1:6" ht="15.75" customHeight="1">
      <c r="A112" s="10">
        <f ca="1">IFERROR(__xludf.DUMMYFUNCTION("""COMPUTED_VALUE"""),43991.6458333333)</f>
        <v>43991.645833333299</v>
      </c>
      <c r="B112" s="1">
        <f ca="1">IFERROR(__xludf.DUMMYFUNCTION("""COMPUTED_VALUE"""),3434.9)</f>
        <v>3434.9</v>
      </c>
      <c r="C112" s="1">
        <f ca="1">IFERROR(__xludf.DUMMYFUNCTION("""COMPUTED_VALUE"""),3469.9)</f>
        <v>3469.9</v>
      </c>
      <c r="D112" s="1">
        <f ca="1">IFERROR(__xludf.DUMMYFUNCTION("""COMPUTED_VALUE"""),3409)</f>
        <v>3409</v>
      </c>
      <c r="E112" s="1">
        <f ca="1">IFERROR(__xludf.DUMMYFUNCTION("""COMPUTED_VALUE"""),3415.7)</f>
        <v>3415.7</v>
      </c>
      <c r="F112" s="1">
        <f ca="1">IFERROR(__xludf.DUMMYFUNCTION("""COMPUTED_VALUE"""),567611)</f>
        <v>567611</v>
      </c>
    </row>
    <row r="113" spans="1:6" ht="15.75" customHeight="1">
      <c r="A113" s="10">
        <f ca="1">IFERROR(__xludf.DUMMYFUNCTION("""COMPUTED_VALUE"""),43992.6458333333)</f>
        <v>43992.645833333299</v>
      </c>
      <c r="B113" s="1">
        <f ca="1">IFERROR(__xludf.DUMMYFUNCTION("""COMPUTED_VALUE"""),3420.9)</f>
        <v>3420.9</v>
      </c>
      <c r="C113" s="1">
        <f ca="1">IFERROR(__xludf.DUMMYFUNCTION("""COMPUTED_VALUE"""),3447.6)</f>
        <v>3447.6</v>
      </c>
      <c r="D113" s="1">
        <f ca="1">IFERROR(__xludf.DUMMYFUNCTION("""COMPUTED_VALUE"""),3357.4)</f>
        <v>3357.4</v>
      </c>
      <c r="E113" s="1">
        <f ca="1">IFERROR(__xludf.DUMMYFUNCTION("""COMPUTED_VALUE"""),3377)</f>
        <v>3377</v>
      </c>
      <c r="F113" s="1">
        <f ca="1">IFERROR(__xludf.DUMMYFUNCTION("""COMPUTED_VALUE"""),628261)</f>
        <v>628261</v>
      </c>
    </row>
    <row r="114" spans="1:6" ht="15.75" customHeight="1">
      <c r="A114" s="10">
        <f ca="1">IFERROR(__xludf.DUMMYFUNCTION("""COMPUTED_VALUE"""),43993.6458333333)</f>
        <v>43993.645833333299</v>
      </c>
      <c r="B114" s="1">
        <f ca="1">IFERROR(__xludf.DUMMYFUNCTION("""COMPUTED_VALUE"""),3389.9)</f>
        <v>3389.9</v>
      </c>
      <c r="C114" s="1">
        <f ca="1">IFERROR(__xludf.DUMMYFUNCTION("""COMPUTED_VALUE"""),3403.45)</f>
        <v>3403.45</v>
      </c>
      <c r="D114" s="1">
        <f ca="1">IFERROR(__xludf.DUMMYFUNCTION("""COMPUTED_VALUE"""),3330)</f>
        <v>3330</v>
      </c>
      <c r="E114" s="1">
        <f ca="1">IFERROR(__xludf.DUMMYFUNCTION("""COMPUTED_VALUE"""),3370.35)</f>
        <v>3370.35</v>
      </c>
      <c r="F114" s="1">
        <f ca="1">IFERROR(__xludf.DUMMYFUNCTION("""COMPUTED_VALUE"""),673105)</f>
        <v>673105</v>
      </c>
    </row>
    <row r="115" spans="1:6" ht="15.75" customHeight="1">
      <c r="A115" s="10">
        <f ca="1">IFERROR(__xludf.DUMMYFUNCTION("""COMPUTED_VALUE"""),43994.6458333333)</f>
        <v>43994.645833333299</v>
      </c>
      <c r="B115" s="1">
        <f ca="1">IFERROR(__xludf.DUMMYFUNCTION("""COMPUTED_VALUE"""),3333)</f>
        <v>3333</v>
      </c>
      <c r="C115" s="1">
        <f ca="1">IFERROR(__xludf.DUMMYFUNCTION("""COMPUTED_VALUE"""),3443)</f>
        <v>3443</v>
      </c>
      <c r="D115" s="1">
        <f ca="1">IFERROR(__xludf.DUMMYFUNCTION("""COMPUTED_VALUE"""),3305.75)</f>
        <v>3305.75</v>
      </c>
      <c r="E115" s="1">
        <f ca="1">IFERROR(__xludf.DUMMYFUNCTION("""COMPUTED_VALUE"""),3366.05)</f>
        <v>3366.05</v>
      </c>
      <c r="F115" s="1">
        <f ca="1">IFERROR(__xludf.DUMMYFUNCTION("""COMPUTED_VALUE"""),1373475)</f>
        <v>1373475</v>
      </c>
    </row>
    <row r="116" spans="1:6" ht="15.75" customHeight="1">
      <c r="A116" s="10">
        <f ca="1">IFERROR(__xludf.DUMMYFUNCTION("""COMPUTED_VALUE"""),43997.6458333333)</f>
        <v>43997.645833333299</v>
      </c>
      <c r="B116" s="1">
        <f ca="1">IFERROR(__xludf.DUMMYFUNCTION("""COMPUTED_VALUE"""),3351)</f>
        <v>3351</v>
      </c>
      <c r="C116" s="1">
        <f ca="1">IFERROR(__xludf.DUMMYFUNCTION("""COMPUTED_VALUE"""),3406.5)</f>
        <v>3406.5</v>
      </c>
      <c r="D116" s="1">
        <f ca="1">IFERROR(__xludf.DUMMYFUNCTION("""COMPUTED_VALUE"""),3343.45)</f>
        <v>3343.45</v>
      </c>
      <c r="E116" s="1">
        <f ca="1">IFERROR(__xludf.DUMMYFUNCTION("""COMPUTED_VALUE"""),3357.2)</f>
        <v>3357.2</v>
      </c>
      <c r="F116" s="1">
        <f ca="1">IFERROR(__xludf.DUMMYFUNCTION("""COMPUTED_VALUE"""),609721)</f>
        <v>609721</v>
      </c>
    </row>
    <row r="117" spans="1:6" ht="15.75" customHeight="1">
      <c r="A117" s="10">
        <f ca="1">IFERROR(__xludf.DUMMYFUNCTION("""COMPUTED_VALUE"""),43998.6458333333)</f>
        <v>43998.645833333299</v>
      </c>
      <c r="B117" s="1">
        <f ca="1">IFERROR(__xludf.DUMMYFUNCTION("""COMPUTED_VALUE"""),3381.05)</f>
        <v>3381.05</v>
      </c>
      <c r="C117" s="1">
        <f ca="1">IFERROR(__xludf.DUMMYFUNCTION("""COMPUTED_VALUE"""),3399.95)</f>
        <v>3399.95</v>
      </c>
      <c r="D117" s="1">
        <f ca="1">IFERROR(__xludf.DUMMYFUNCTION("""COMPUTED_VALUE"""),3330)</f>
        <v>3330</v>
      </c>
      <c r="E117" s="1">
        <f ca="1">IFERROR(__xludf.DUMMYFUNCTION("""COMPUTED_VALUE"""),3345.35)</f>
        <v>3345.35</v>
      </c>
      <c r="F117" s="1">
        <f ca="1">IFERROR(__xludf.DUMMYFUNCTION("""COMPUTED_VALUE"""),701355)</f>
        <v>701355</v>
      </c>
    </row>
    <row r="118" spans="1:6" ht="15.75" customHeight="1">
      <c r="A118" s="10">
        <f ca="1">IFERROR(__xludf.DUMMYFUNCTION("""COMPUTED_VALUE"""),43999.6458333333)</f>
        <v>43999.645833333299</v>
      </c>
      <c r="B118" s="1">
        <f ca="1">IFERROR(__xludf.DUMMYFUNCTION("""COMPUTED_VALUE"""),3357.85)</f>
        <v>3357.85</v>
      </c>
      <c r="C118" s="1">
        <f ca="1">IFERROR(__xludf.DUMMYFUNCTION("""COMPUTED_VALUE"""),3435)</f>
        <v>3435</v>
      </c>
      <c r="D118" s="1">
        <f ca="1">IFERROR(__xludf.DUMMYFUNCTION("""COMPUTED_VALUE"""),3355.05)</f>
        <v>3355.05</v>
      </c>
      <c r="E118" s="1">
        <f ca="1">IFERROR(__xludf.DUMMYFUNCTION("""COMPUTED_VALUE"""),3401.45)</f>
        <v>3401.45</v>
      </c>
      <c r="F118" s="1">
        <f ca="1">IFERROR(__xludf.DUMMYFUNCTION("""COMPUTED_VALUE"""),1100079)</f>
        <v>1100079</v>
      </c>
    </row>
    <row r="119" spans="1:6" ht="15.75" customHeight="1">
      <c r="A119" s="10">
        <f ca="1">IFERROR(__xludf.DUMMYFUNCTION("""COMPUTED_VALUE"""),44000.6458333333)</f>
        <v>44000.645833333299</v>
      </c>
      <c r="B119" s="1">
        <f ca="1">IFERROR(__xludf.DUMMYFUNCTION("""COMPUTED_VALUE"""),3415)</f>
        <v>3415</v>
      </c>
      <c r="C119" s="1">
        <f ca="1">IFERROR(__xludf.DUMMYFUNCTION("""COMPUTED_VALUE"""),3457)</f>
        <v>3457</v>
      </c>
      <c r="D119" s="1">
        <f ca="1">IFERROR(__xludf.DUMMYFUNCTION("""COMPUTED_VALUE"""),3381.55)</f>
        <v>3381.55</v>
      </c>
      <c r="E119" s="1">
        <f ca="1">IFERROR(__xludf.DUMMYFUNCTION("""COMPUTED_VALUE"""),3404.25)</f>
        <v>3404.25</v>
      </c>
      <c r="F119" s="1">
        <f ca="1">IFERROR(__xludf.DUMMYFUNCTION("""COMPUTED_VALUE"""),898020)</f>
        <v>898020</v>
      </c>
    </row>
    <row r="120" spans="1:6" ht="15.75" customHeight="1">
      <c r="A120" s="10">
        <f ca="1">IFERROR(__xludf.DUMMYFUNCTION("""COMPUTED_VALUE"""),44001.6458333333)</f>
        <v>44001.645833333299</v>
      </c>
      <c r="B120" s="1">
        <f ca="1">IFERROR(__xludf.DUMMYFUNCTION("""COMPUTED_VALUE"""),3417.9)</f>
        <v>3417.9</v>
      </c>
      <c r="C120" s="1">
        <f ca="1">IFERROR(__xludf.DUMMYFUNCTION("""COMPUTED_VALUE"""),3450)</f>
        <v>3450</v>
      </c>
      <c r="D120" s="1">
        <f ca="1">IFERROR(__xludf.DUMMYFUNCTION("""COMPUTED_VALUE"""),3382)</f>
        <v>3382</v>
      </c>
      <c r="E120" s="1">
        <f ca="1">IFERROR(__xludf.DUMMYFUNCTION("""COMPUTED_VALUE"""),3438.55)</f>
        <v>3438.55</v>
      </c>
      <c r="F120" s="1">
        <f ca="1">IFERROR(__xludf.DUMMYFUNCTION("""COMPUTED_VALUE"""),782740)</f>
        <v>782740</v>
      </c>
    </row>
    <row r="121" spans="1:6" ht="15.75" customHeight="1">
      <c r="A121" s="10">
        <f ca="1">IFERROR(__xludf.DUMMYFUNCTION("""COMPUTED_VALUE"""),44004.6458333333)</f>
        <v>44004.645833333299</v>
      </c>
      <c r="B121" s="1">
        <f ca="1">IFERROR(__xludf.DUMMYFUNCTION("""COMPUTED_VALUE"""),3450)</f>
        <v>3450</v>
      </c>
      <c r="C121" s="1">
        <f ca="1">IFERROR(__xludf.DUMMYFUNCTION("""COMPUTED_VALUE"""),3475)</f>
        <v>3475</v>
      </c>
      <c r="D121" s="1">
        <f ca="1">IFERROR(__xludf.DUMMYFUNCTION("""COMPUTED_VALUE"""),3416)</f>
        <v>3416</v>
      </c>
      <c r="E121" s="1">
        <f ca="1">IFERROR(__xludf.DUMMYFUNCTION("""COMPUTED_VALUE"""),3421.2)</f>
        <v>3421.2</v>
      </c>
      <c r="F121" s="1">
        <f ca="1">IFERROR(__xludf.DUMMYFUNCTION("""COMPUTED_VALUE"""),735172)</f>
        <v>735172</v>
      </c>
    </row>
    <row r="122" spans="1:6" ht="15.75" customHeight="1">
      <c r="A122" s="10">
        <f ca="1">IFERROR(__xludf.DUMMYFUNCTION("""COMPUTED_VALUE"""),44005.6458333333)</f>
        <v>44005.645833333299</v>
      </c>
      <c r="B122" s="1">
        <f ca="1">IFERROR(__xludf.DUMMYFUNCTION("""COMPUTED_VALUE"""),3429.95)</f>
        <v>3429.95</v>
      </c>
      <c r="C122" s="1">
        <f ca="1">IFERROR(__xludf.DUMMYFUNCTION("""COMPUTED_VALUE"""),3504.9)</f>
        <v>3504.9</v>
      </c>
      <c r="D122" s="1">
        <f ca="1">IFERROR(__xludf.DUMMYFUNCTION("""COMPUTED_VALUE"""),3426.3)</f>
        <v>3426.3</v>
      </c>
      <c r="E122" s="1">
        <f ca="1">IFERROR(__xludf.DUMMYFUNCTION("""COMPUTED_VALUE"""),3467.05)</f>
        <v>3467.05</v>
      </c>
      <c r="F122" s="1">
        <f ca="1">IFERROR(__xludf.DUMMYFUNCTION("""COMPUTED_VALUE"""),765553)</f>
        <v>765553</v>
      </c>
    </row>
    <row r="123" spans="1:6" ht="15.75" customHeight="1">
      <c r="A123" s="10">
        <f ca="1">IFERROR(__xludf.DUMMYFUNCTION("""COMPUTED_VALUE"""),44006.6458333333)</f>
        <v>44006.645833333299</v>
      </c>
      <c r="B123" s="1">
        <f ca="1">IFERROR(__xludf.DUMMYFUNCTION("""COMPUTED_VALUE"""),3487)</f>
        <v>3487</v>
      </c>
      <c r="C123" s="1">
        <f ca="1">IFERROR(__xludf.DUMMYFUNCTION("""COMPUTED_VALUE"""),3504.9)</f>
        <v>3504.9</v>
      </c>
      <c r="D123" s="1">
        <f ca="1">IFERROR(__xludf.DUMMYFUNCTION("""COMPUTED_VALUE"""),3440)</f>
        <v>3440</v>
      </c>
      <c r="E123" s="1">
        <f ca="1">IFERROR(__xludf.DUMMYFUNCTION("""COMPUTED_VALUE"""),3446.4)</f>
        <v>3446.4</v>
      </c>
      <c r="F123" s="1">
        <f ca="1">IFERROR(__xludf.DUMMYFUNCTION("""COMPUTED_VALUE"""),573266)</f>
        <v>573266</v>
      </c>
    </row>
    <row r="124" spans="1:6" ht="15.75" customHeight="1">
      <c r="A124" s="10">
        <f ca="1">IFERROR(__xludf.DUMMYFUNCTION("""COMPUTED_VALUE"""),44007.6458333333)</f>
        <v>44007.645833333299</v>
      </c>
      <c r="B124" s="1">
        <f ca="1">IFERROR(__xludf.DUMMYFUNCTION("""COMPUTED_VALUE"""),3424.9)</f>
        <v>3424.9</v>
      </c>
      <c r="C124" s="1">
        <f ca="1">IFERROR(__xludf.DUMMYFUNCTION("""COMPUTED_VALUE"""),3474.4)</f>
        <v>3474.4</v>
      </c>
      <c r="D124" s="1">
        <f ca="1">IFERROR(__xludf.DUMMYFUNCTION("""COMPUTED_VALUE"""),3420)</f>
        <v>3420</v>
      </c>
      <c r="E124" s="1">
        <f ca="1">IFERROR(__xludf.DUMMYFUNCTION("""COMPUTED_VALUE"""),3450.4)</f>
        <v>3450.4</v>
      </c>
      <c r="F124" s="1">
        <f ca="1">IFERROR(__xludf.DUMMYFUNCTION("""COMPUTED_VALUE"""),546489)</f>
        <v>546489</v>
      </c>
    </row>
    <row r="125" spans="1:6" ht="15.75" customHeight="1">
      <c r="A125" s="10">
        <f ca="1">IFERROR(__xludf.DUMMYFUNCTION("""COMPUTED_VALUE"""),44008.6458333333)</f>
        <v>44008.645833333299</v>
      </c>
      <c r="B125" s="1">
        <f ca="1">IFERROR(__xludf.DUMMYFUNCTION("""COMPUTED_VALUE"""),3457.3)</f>
        <v>3457.3</v>
      </c>
      <c r="C125" s="1">
        <f ca="1">IFERROR(__xludf.DUMMYFUNCTION("""COMPUTED_VALUE"""),3499.9)</f>
        <v>3499.9</v>
      </c>
      <c r="D125" s="1">
        <f ca="1">IFERROR(__xludf.DUMMYFUNCTION("""COMPUTED_VALUE"""),3444.3)</f>
        <v>3444.3</v>
      </c>
      <c r="E125" s="1">
        <f ca="1">IFERROR(__xludf.DUMMYFUNCTION("""COMPUTED_VALUE"""),3456.4)</f>
        <v>3456.4</v>
      </c>
      <c r="F125" s="1">
        <f ca="1">IFERROR(__xludf.DUMMYFUNCTION("""COMPUTED_VALUE"""),448352)</f>
        <v>448352</v>
      </c>
    </row>
    <row r="126" spans="1:6" ht="15.75" customHeight="1">
      <c r="A126" s="10">
        <f ca="1">IFERROR(__xludf.DUMMYFUNCTION("""COMPUTED_VALUE"""),44011.6458333333)</f>
        <v>44011.645833333299</v>
      </c>
      <c r="B126" s="1">
        <f ca="1">IFERROR(__xludf.DUMMYFUNCTION("""COMPUTED_VALUE"""),3452.8)</f>
        <v>3452.8</v>
      </c>
      <c r="C126" s="1">
        <f ca="1">IFERROR(__xludf.DUMMYFUNCTION("""COMPUTED_VALUE"""),3544.85)</f>
        <v>3544.85</v>
      </c>
      <c r="D126" s="1">
        <f ca="1">IFERROR(__xludf.DUMMYFUNCTION("""COMPUTED_VALUE"""),3445.8)</f>
        <v>3445.8</v>
      </c>
      <c r="E126" s="1">
        <f ca="1">IFERROR(__xludf.DUMMYFUNCTION("""COMPUTED_VALUE"""),3519.25)</f>
        <v>3519.25</v>
      </c>
      <c r="F126" s="1">
        <f ca="1">IFERROR(__xludf.DUMMYFUNCTION("""COMPUTED_VALUE"""),940186)</f>
        <v>940186</v>
      </c>
    </row>
    <row r="127" spans="1:6" ht="15.75" customHeight="1">
      <c r="A127" s="10">
        <f ca="1">IFERROR(__xludf.DUMMYFUNCTION("""COMPUTED_VALUE"""),44012.6458333333)</f>
        <v>44012.645833333299</v>
      </c>
      <c r="B127" s="1">
        <f ca="1">IFERROR(__xludf.DUMMYFUNCTION("""COMPUTED_VALUE"""),3542)</f>
        <v>3542</v>
      </c>
      <c r="C127" s="1">
        <f ca="1">IFERROR(__xludf.DUMMYFUNCTION("""COMPUTED_VALUE"""),3615)</f>
        <v>3615</v>
      </c>
      <c r="D127" s="1">
        <f ca="1">IFERROR(__xludf.DUMMYFUNCTION("""COMPUTED_VALUE"""),3540)</f>
        <v>3540</v>
      </c>
      <c r="E127" s="1">
        <f ca="1">IFERROR(__xludf.DUMMYFUNCTION("""COMPUTED_VALUE"""),3603.8)</f>
        <v>3603.8</v>
      </c>
      <c r="F127" s="1">
        <f ca="1">IFERROR(__xludf.DUMMYFUNCTION("""COMPUTED_VALUE"""),1236537)</f>
        <v>1236537</v>
      </c>
    </row>
    <row r="128" spans="1:6" ht="15.75" customHeight="1">
      <c r="A128" s="10">
        <f ca="1">IFERROR(__xludf.DUMMYFUNCTION("""COMPUTED_VALUE"""),44013.6458333333)</f>
        <v>44013.645833333299</v>
      </c>
      <c r="B128" s="1">
        <f ca="1">IFERROR(__xludf.DUMMYFUNCTION("""COMPUTED_VALUE"""),3605)</f>
        <v>3605</v>
      </c>
      <c r="C128" s="1">
        <f ca="1">IFERROR(__xludf.DUMMYFUNCTION("""COMPUTED_VALUE"""),3611)</f>
        <v>3611</v>
      </c>
      <c r="D128" s="1">
        <f ca="1">IFERROR(__xludf.DUMMYFUNCTION("""COMPUTED_VALUE"""),3536)</f>
        <v>3536</v>
      </c>
      <c r="E128" s="1">
        <f ca="1">IFERROR(__xludf.DUMMYFUNCTION("""COMPUTED_VALUE"""),3545.95)</f>
        <v>3545.95</v>
      </c>
      <c r="F128" s="1">
        <f ca="1">IFERROR(__xludf.DUMMYFUNCTION("""COMPUTED_VALUE"""),586225)</f>
        <v>586225</v>
      </c>
    </row>
    <row r="129" spans="1:6" ht="15.75" customHeight="1">
      <c r="A129" s="10">
        <f ca="1">IFERROR(__xludf.DUMMYFUNCTION("""COMPUTED_VALUE"""),44014.6458333333)</f>
        <v>44014.645833333299</v>
      </c>
      <c r="B129" s="1">
        <f ca="1">IFERROR(__xludf.DUMMYFUNCTION("""COMPUTED_VALUE"""),3553)</f>
        <v>3553</v>
      </c>
      <c r="C129" s="1">
        <f ca="1">IFERROR(__xludf.DUMMYFUNCTION("""COMPUTED_VALUE"""),3567.65)</f>
        <v>3567.65</v>
      </c>
      <c r="D129" s="1">
        <f ca="1">IFERROR(__xludf.DUMMYFUNCTION("""COMPUTED_VALUE"""),3512.05)</f>
        <v>3512.05</v>
      </c>
      <c r="E129" s="1">
        <f ca="1">IFERROR(__xludf.DUMMYFUNCTION("""COMPUTED_VALUE"""),3535.1)</f>
        <v>3535.1</v>
      </c>
      <c r="F129" s="1">
        <f ca="1">IFERROR(__xludf.DUMMYFUNCTION("""COMPUTED_VALUE"""),422319)</f>
        <v>422319</v>
      </c>
    </row>
    <row r="130" spans="1:6" ht="15.75" customHeight="1">
      <c r="A130" s="10">
        <f ca="1">IFERROR(__xludf.DUMMYFUNCTION("""COMPUTED_VALUE"""),44015.6458333333)</f>
        <v>44015.645833333299</v>
      </c>
      <c r="B130" s="1">
        <f ca="1">IFERROR(__xludf.DUMMYFUNCTION("""COMPUTED_VALUE"""),3549.5)</f>
        <v>3549.5</v>
      </c>
      <c r="C130" s="1">
        <f ca="1">IFERROR(__xludf.DUMMYFUNCTION("""COMPUTED_VALUE"""),3579.95)</f>
        <v>3579.95</v>
      </c>
      <c r="D130" s="1">
        <f ca="1">IFERROR(__xludf.DUMMYFUNCTION("""COMPUTED_VALUE"""),3515)</f>
        <v>3515</v>
      </c>
      <c r="E130" s="1">
        <f ca="1">IFERROR(__xludf.DUMMYFUNCTION("""COMPUTED_VALUE"""),3538.35)</f>
        <v>3538.35</v>
      </c>
      <c r="F130" s="1">
        <f ca="1">IFERROR(__xludf.DUMMYFUNCTION("""COMPUTED_VALUE"""),323231)</f>
        <v>323231</v>
      </c>
    </row>
    <row r="131" spans="1:6" ht="15.75" customHeight="1">
      <c r="A131" s="10">
        <f ca="1">IFERROR(__xludf.DUMMYFUNCTION("""COMPUTED_VALUE"""),44018.6458333333)</f>
        <v>44018.645833333299</v>
      </c>
      <c r="B131" s="1">
        <f ca="1">IFERROR(__xludf.DUMMYFUNCTION("""COMPUTED_VALUE"""),3560)</f>
        <v>3560</v>
      </c>
      <c r="C131" s="1">
        <f ca="1">IFERROR(__xludf.DUMMYFUNCTION("""COMPUTED_VALUE"""),3646)</f>
        <v>3646</v>
      </c>
      <c r="D131" s="1">
        <f ca="1">IFERROR(__xludf.DUMMYFUNCTION("""COMPUTED_VALUE"""),3541)</f>
        <v>3541</v>
      </c>
      <c r="E131" s="1">
        <f ca="1">IFERROR(__xludf.DUMMYFUNCTION("""COMPUTED_VALUE"""),3624.45)</f>
        <v>3624.45</v>
      </c>
      <c r="F131" s="1">
        <f ca="1">IFERROR(__xludf.DUMMYFUNCTION("""COMPUTED_VALUE"""),538078)</f>
        <v>538078</v>
      </c>
    </row>
    <row r="132" spans="1:6" ht="15.75" customHeight="1">
      <c r="A132" s="10">
        <f ca="1">IFERROR(__xludf.DUMMYFUNCTION("""COMPUTED_VALUE"""),44019.6458333333)</f>
        <v>44019.645833333299</v>
      </c>
      <c r="B132" s="1">
        <f ca="1">IFERROR(__xludf.DUMMYFUNCTION("""COMPUTED_VALUE"""),3636)</f>
        <v>3636</v>
      </c>
      <c r="C132" s="1">
        <f ca="1">IFERROR(__xludf.DUMMYFUNCTION("""COMPUTED_VALUE"""),3685.45)</f>
        <v>3685.45</v>
      </c>
      <c r="D132" s="1">
        <f ca="1">IFERROR(__xludf.DUMMYFUNCTION("""COMPUTED_VALUE"""),3580)</f>
        <v>3580</v>
      </c>
      <c r="E132" s="1">
        <f ca="1">IFERROR(__xludf.DUMMYFUNCTION("""COMPUTED_VALUE"""),3678.45)</f>
        <v>3678.45</v>
      </c>
      <c r="F132" s="1">
        <f ca="1">IFERROR(__xludf.DUMMYFUNCTION("""COMPUTED_VALUE"""),664348)</f>
        <v>664348</v>
      </c>
    </row>
    <row r="133" spans="1:6" ht="15.75" customHeight="1">
      <c r="A133" s="10">
        <f ca="1">IFERROR(__xludf.DUMMYFUNCTION("""COMPUTED_VALUE"""),44020.6458333333)</f>
        <v>44020.645833333299</v>
      </c>
      <c r="B133" s="1">
        <f ca="1">IFERROR(__xludf.DUMMYFUNCTION("""COMPUTED_VALUE"""),3675.55)</f>
        <v>3675.55</v>
      </c>
      <c r="C133" s="1">
        <f ca="1">IFERROR(__xludf.DUMMYFUNCTION("""COMPUTED_VALUE"""),3712.5)</f>
        <v>3712.5</v>
      </c>
      <c r="D133" s="1">
        <f ca="1">IFERROR(__xludf.DUMMYFUNCTION("""COMPUTED_VALUE"""),3630)</f>
        <v>3630</v>
      </c>
      <c r="E133" s="1">
        <f ca="1">IFERROR(__xludf.DUMMYFUNCTION("""COMPUTED_VALUE"""),3685)</f>
        <v>3685</v>
      </c>
      <c r="F133" s="1">
        <f ca="1">IFERROR(__xludf.DUMMYFUNCTION("""COMPUTED_VALUE"""),531417)</f>
        <v>531417</v>
      </c>
    </row>
    <row r="134" spans="1:6" ht="15.75" customHeight="1">
      <c r="A134" s="10">
        <f ca="1">IFERROR(__xludf.DUMMYFUNCTION("""COMPUTED_VALUE"""),44021.6458333333)</f>
        <v>44021.645833333299</v>
      </c>
      <c r="B134" s="1">
        <f ca="1">IFERROR(__xludf.DUMMYFUNCTION("""COMPUTED_VALUE"""),3690)</f>
        <v>3690</v>
      </c>
      <c r="C134" s="1">
        <f ca="1">IFERROR(__xludf.DUMMYFUNCTION("""COMPUTED_VALUE"""),3699)</f>
        <v>3699</v>
      </c>
      <c r="D134" s="1">
        <f ca="1">IFERROR(__xludf.DUMMYFUNCTION("""COMPUTED_VALUE"""),3650)</f>
        <v>3650</v>
      </c>
      <c r="E134" s="1">
        <f ca="1">IFERROR(__xludf.DUMMYFUNCTION("""COMPUTED_VALUE"""),3673.6)</f>
        <v>3673.6</v>
      </c>
      <c r="F134" s="1">
        <f ca="1">IFERROR(__xludf.DUMMYFUNCTION("""COMPUTED_VALUE"""),397351)</f>
        <v>397351</v>
      </c>
    </row>
    <row r="135" spans="1:6" ht="15.75" customHeight="1">
      <c r="A135" s="10">
        <f ca="1">IFERROR(__xludf.DUMMYFUNCTION("""COMPUTED_VALUE"""),44022.6458333333)</f>
        <v>44022.645833333299</v>
      </c>
      <c r="B135" s="1">
        <f ca="1">IFERROR(__xludf.DUMMYFUNCTION("""COMPUTED_VALUE"""),3669.6)</f>
        <v>3669.6</v>
      </c>
      <c r="C135" s="1">
        <f ca="1">IFERROR(__xludf.DUMMYFUNCTION("""COMPUTED_VALUE"""),3753.6)</f>
        <v>3753.6</v>
      </c>
      <c r="D135" s="1">
        <f ca="1">IFERROR(__xludf.DUMMYFUNCTION("""COMPUTED_VALUE"""),3655.35)</f>
        <v>3655.35</v>
      </c>
      <c r="E135" s="1">
        <f ca="1">IFERROR(__xludf.DUMMYFUNCTION("""COMPUTED_VALUE"""),3726.65)</f>
        <v>3726.65</v>
      </c>
      <c r="F135" s="1">
        <f ca="1">IFERROR(__xludf.DUMMYFUNCTION("""COMPUTED_VALUE"""),706136)</f>
        <v>706136</v>
      </c>
    </row>
    <row r="136" spans="1:6" ht="15.75" customHeight="1">
      <c r="A136" s="10">
        <f ca="1">IFERROR(__xludf.DUMMYFUNCTION("""COMPUTED_VALUE"""),44025.6458333333)</f>
        <v>44025.645833333299</v>
      </c>
      <c r="B136" s="1">
        <f ca="1">IFERROR(__xludf.DUMMYFUNCTION("""COMPUTED_VALUE"""),3760)</f>
        <v>3760</v>
      </c>
      <c r="C136" s="1">
        <f ca="1">IFERROR(__xludf.DUMMYFUNCTION("""COMPUTED_VALUE"""),3835)</f>
        <v>3835</v>
      </c>
      <c r="D136" s="1">
        <f ca="1">IFERROR(__xludf.DUMMYFUNCTION("""COMPUTED_VALUE"""),3750.25)</f>
        <v>3750.25</v>
      </c>
      <c r="E136" s="1">
        <f ca="1">IFERROR(__xludf.DUMMYFUNCTION("""COMPUTED_VALUE"""),3796.8)</f>
        <v>3796.8</v>
      </c>
      <c r="F136" s="1">
        <f ca="1">IFERROR(__xludf.DUMMYFUNCTION("""COMPUTED_VALUE"""),1108644)</f>
        <v>1108644</v>
      </c>
    </row>
    <row r="137" spans="1:6" ht="15.75" customHeight="1">
      <c r="A137" s="10">
        <f ca="1">IFERROR(__xludf.DUMMYFUNCTION("""COMPUTED_VALUE"""),44026.6458333333)</f>
        <v>44026.645833333299</v>
      </c>
      <c r="B137" s="1">
        <f ca="1">IFERROR(__xludf.DUMMYFUNCTION("""COMPUTED_VALUE"""),3795.55)</f>
        <v>3795.55</v>
      </c>
      <c r="C137" s="1">
        <f ca="1">IFERROR(__xludf.DUMMYFUNCTION("""COMPUTED_VALUE"""),3795.95)</f>
        <v>3795.95</v>
      </c>
      <c r="D137" s="1">
        <f ca="1">IFERROR(__xludf.DUMMYFUNCTION("""COMPUTED_VALUE"""),3729)</f>
        <v>3729</v>
      </c>
      <c r="E137" s="1">
        <f ca="1">IFERROR(__xludf.DUMMYFUNCTION("""COMPUTED_VALUE"""),3735.25)</f>
        <v>3735.25</v>
      </c>
      <c r="F137" s="1">
        <f ca="1">IFERROR(__xludf.DUMMYFUNCTION("""COMPUTED_VALUE"""),399210)</f>
        <v>399210</v>
      </c>
    </row>
    <row r="138" spans="1:6" ht="15.75" customHeight="1">
      <c r="A138" s="10">
        <f ca="1">IFERROR(__xludf.DUMMYFUNCTION("""COMPUTED_VALUE"""),44027.6458333333)</f>
        <v>44027.645833333299</v>
      </c>
      <c r="B138" s="1">
        <f ca="1">IFERROR(__xludf.DUMMYFUNCTION("""COMPUTED_VALUE"""),3742)</f>
        <v>3742</v>
      </c>
      <c r="C138" s="1">
        <f ca="1">IFERROR(__xludf.DUMMYFUNCTION("""COMPUTED_VALUE"""),3778.3)</f>
        <v>3778.3</v>
      </c>
      <c r="D138" s="1">
        <f ca="1">IFERROR(__xludf.DUMMYFUNCTION("""COMPUTED_VALUE"""),3711.7)</f>
        <v>3711.7</v>
      </c>
      <c r="E138" s="1">
        <f ca="1">IFERROR(__xludf.DUMMYFUNCTION("""COMPUTED_VALUE"""),3723.25)</f>
        <v>3723.25</v>
      </c>
      <c r="F138" s="1">
        <f ca="1">IFERROR(__xludf.DUMMYFUNCTION("""COMPUTED_VALUE"""),506574)</f>
        <v>506574</v>
      </c>
    </row>
    <row r="139" spans="1:6" ht="15.75" customHeight="1">
      <c r="A139" s="10">
        <f ca="1">IFERROR(__xludf.DUMMYFUNCTION("""COMPUTED_VALUE"""),44028.6458333333)</f>
        <v>44028.645833333299</v>
      </c>
      <c r="B139" s="1">
        <f ca="1">IFERROR(__xludf.DUMMYFUNCTION("""COMPUTED_VALUE"""),3729)</f>
        <v>3729</v>
      </c>
      <c r="C139" s="1">
        <f ca="1">IFERROR(__xludf.DUMMYFUNCTION("""COMPUTED_VALUE"""),3880.25)</f>
        <v>3880.25</v>
      </c>
      <c r="D139" s="1">
        <f ca="1">IFERROR(__xludf.DUMMYFUNCTION("""COMPUTED_VALUE"""),3689.55)</f>
        <v>3689.55</v>
      </c>
      <c r="E139" s="1">
        <f ca="1">IFERROR(__xludf.DUMMYFUNCTION("""COMPUTED_VALUE"""),3854.75)</f>
        <v>3854.75</v>
      </c>
      <c r="F139" s="1">
        <f ca="1">IFERROR(__xludf.DUMMYFUNCTION("""COMPUTED_VALUE"""),987220)</f>
        <v>987220</v>
      </c>
    </row>
    <row r="140" spans="1:6" ht="15.75" customHeight="1">
      <c r="A140" s="10">
        <f ca="1">IFERROR(__xludf.DUMMYFUNCTION("""COMPUTED_VALUE"""),44029.6458333333)</f>
        <v>44029.645833333299</v>
      </c>
      <c r="B140" s="1">
        <f ca="1">IFERROR(__xludf.DUMMYFUNCTION("""COMPUTED_VALUE"""),3900)</f>
        <v>3900</v>
      </c>
      <c r="C140" s="1">
        <f ca="1">IFERROR(__xludf.DUMMYFUNCTION("""COMPUTED_VALUE"""),3938)</f>
        <v>3938</v>
      </c>
      <c r="D140" s="1">
        <f ca="1">IFERROR(__xludf.DUMMYFUNCTION("""COMPUTED_VALUE"""),3766.8)</f>
        <v>3766.8</v>
      </c>
      <c r="E140" s="1">
        <f ca="1">IFERROR(__xludf.DUMMYFUNCTION("""COMPUTED_VALUE"""),3785)</f>
        <v>3785</v>
      </c>
      <c r="F140" s="1">
        <f ca="1">IFERROR(__xludf.DUMMYFUNCTION("""COMPUTED_VALUE"""),4503046)</f>
        <v>4503046</v>
      </c>
    </row>
    <row r="141" spans="1:6" ht="15.75" customHeight="1">
      <c r="A141" s="10">
        <f ca="1">IFERROR(__xludf.DUMMYFUNCTION("""COMPUTED_VALUE"""),44032.6458333333)</f>
        <v>44032.645833333299</v>
      </c>
      <c r="B141" s="1">
        <f ca="1">IFERROR(__xludf.DUMMYFUNCTION("""COMPUTED_VALUE"""),3859)</f>
        <v>3859</v>
      </c>
      <c r="C141" s="1">
        <f ca="1">IFERROR(__xludf.DUMMYFUNCTION("""COMPUTED_VALUE"""),3993)</f>
        <v>3993</v>
      </c>
      <c r="D141" s="1">
        <f ca="1">IFERROR(__xludf.DUMMYFUNCTION("""COMPUTED_VALUE"""),3807.2)</f>
        <v>3807.2</v>
      </c>
      <c r="E141" s="1">
        <f ca="1">IFERROR(__xludf.DUMMYFUNCTION("""COMPUTED_VALUE"""),3982.65)</f>
        <v>3982.65</v>
      </c>
      <c r="F141" s="1">
        <f ca="1">IFERROR(__xludf.DUMMYFUNCTION("""COMPUTED_VALUE"""),3785159)</f>
        <v>3785159</v>
      </c>
    </row>
    <row r="142" spans="1:6" ht="15.75" customHeight="1">
      <c r="A142" s="10">
        <f ca="1">IFERROR(__xludf.DUMMYFUNCTION("""COMPUTED_VALUE"""),44033.6458333333)</f>
        <v>44033.645833333299</v>
      </c>
      <c r="B142" s="1">
        <f ca="1">IFERROR(__xludf.DUMMYFUNCTION("""COMPUTED_VALUE"""),3999)</f>
        <v>3999</v>
      </c>
      <c r="C142" s="1">
        <f ca="1">IFERROR(__xludf.DUMMYFUNCTION("""COMPUTED_VALUE"""),4010)</f>
        <v>4010</v>
      </c>
      <c r="D142" s="1">
        <f ca="1">IFERROR(__xludf.DUMMYFUNCTION("""COMPUTED_VALUE"""),3875)</f>
        <v>3875</v>
      </c>
      <c r="E142" s="1">
        <f ca="1">IFERROR(__xludf.DUMMYFUNCTION("""COMPUTED_VALUE"""),3880.4)</f>
        <v>3880.4</v>
      </c>
      <c r="F142" s="1">
        <f ca="1">IFERROR(__xludf.DUMMYFUNCTION("""COMPUTED_VALUE"""),1880670)</f>
        <v>1880670</v>
      </c>
    </row>
    <row r="143" spans="1:6" ht="15.75" customHeight="1">
      <c r="A143" s="10">
        <f ca="1">IFERROR(__xludf.DUMMYFUNCTION("""COMPUTED_VALUE"""),44034.6458333333)</f>
        <v>44034.645833333299</v>
      </c>
      <c r="B143" s="1">
        <f ca="1">IFERROR(__xludf.DUMMYFUNCTION("""COMPUTED_VALUE"""),3914.8)</f>
        <v>3914.8</v>
      </c>
      <c r="C143" s="1">
        <f ca="1">IFERROR(__xludf.DUMMYFUNCTION("""COMPUTED_VALUE"""),3924.4)</f>
        <v>3924.4</v>
      </c>
      <c r="D143" s="1">
        <f ca="1">IFERROR(__xludf.DUMMYFUNCTION("""COMPUTED_VALUE"""),3791.05)</f>
        <v>3791.05</v>
      </c>
      <c r="E143" s="1">
        <f ca="1">IFERROR(__xludf.DUMMYFUNCTION("""COMPUTED_VALUE"""),3805.05)</f>
        <v>3805.05</v>
      </c>
      <c r="F143" s="1">
        <f ca="1">IFERROR(__xludf.DUMMYFUNCTION("""COMPUTED_VALUE"""),1019300)</f>
        <v>1019300</v>
      </c>
    </row>
    <row r="144" spans="1:6" ht="15.75" customHeight="1">
      <c r="A144" s="10">
        <f ca="1">IFERROR(__xludf.DUMMYFUNCTION("""COMPUTED_VALUE"""),44035.6458333333)</f>
        <v>44035.645833333299</v>
      </c>
      <c r="B144" s="1">
        <f ca="1">IFERROR(__xludf.DUMMYFUNCTION("""COMPUTED_VALUE"""),3825)</f>
        <v>3825</v>
      </c>
      <c r="C144" s="1">
        <f ca="1">IFERROR(__xludf.DUMMYFUNCTION("""COMPUTED_VALUE"""),3879.75)</f>
        <v>3879.75</v>
      </c>
      <c r="D144" s="1">
        <f ca="1">IFERROR(__xludf.DUMMYFUNCTION("""COMPUTED_VALUE"""),3820)</f>
        <v>3820</v>
      </c>
      <c r="E144" s="1">
        <f ca="1">IFERROR(__xludf.DUMMYFUNCTION("""COMPUTED_VALUE"""),3827.6)</f>
        <v>3827.6</v>
      </c>
      <c r="F144" s="1">
        <f ca="1">IFERROR(__xludf.DUMMYFUNCTION("""COMPUTED_VALUE"""),791770)</f>
        <v>791770</v>
      </c>
    </row>
    <row r="145" spans="1:6" ht="15.75" customHeight="1">
      <c r="A145" s="10">
        <f ca="1">IFERROR(__xludf.DUMMYFUNCTION("""COMPUTED_VALUE"""),44036.6458333333)</f>
        <v>44036.645833333299</v>
      </c>
      <c r="B145" s="1">
        <f ca="1">IFERROR(__xludf.DUMMYFUNCTION("""COMPUTED_VALUE"""),3824.95)</f>
        <v>3824.95</v>
      </c>
      <c r="C145" s="1">
        <f ca="1">IFERROR(__xludf.DUMMYFUNCTION("""COMPUTED_VALUE"""),3849.9)</f>
        <v>3849.9</v>
      </c>
      <c r="D145" s="1">
        <f ca="1">IFERROR(__xludf.DUMMYFUNCTION("""COMPUTED_VALUE"""),3768)</f>
        <v>3768</v>
      </c>
      <c r="E145" s="1">
        <f ca="1">IFERROR(__xludf.DUMMYFUNCTION("""COMPUTED_VALUE"""),3818.45)</f>
        <v>3818.45</v>
      </c>
      <c r="F145" s="1">
        <f ca="1">IFERROR(__xludf.DUMMYFUNCTION("""COMPUTED_VALUE"""),665233)</f>
        <v>665233</v>
      </c>
    </row>
    <row r="146" spans="1:6" ht="15.75" customHeight="1">
      <c r="A146" s="10">
        <f ca="1">IFERROR(__xludf.DUMMYFUNCTION("""COMPUTED_VALUE"""),44039.6458333333)</f>
        <v>44039.645833333299</v>
      </c>
      <c r="B146" s="1">
        <f ca="1">IFERROR(__xludf.DUMMYFUNCTION("""COMPUTED_VALUE"""),3845)</f>
        <v>3845</v>
      </c>
      <c r="C146" s="1">
        <f ca="1">IFERROR(__xludf.DUMMYFUNCTION("""COMPUTED_VALUE"""),3846.6)</f>
        <v>3846.6</v>
      </c>
      <c r="D146" s="1">
        <f ca="1">IFERROR(__xludf.DUMMYFUNCTION("""COMPUTED_VALUE"""),3762.4)</f>
        <v>3762.4</v>
      </c>
      <c r="E146" s="1">
        <f ca="1">IFERROR(__xludf.DUMMYFUNCTION("""COMPUTED_VALUE"""),3777.35)</f>
        <v>3777.35</v>
      </c>
      <c r="F146" s="1">
        <f ca="1">IFERROR(__xludf.DUMMYFUNCTION("""COMPUTED_VALUE"""),523512)</f>
        <v>523512</v>
      </c>
    </row>
    <row r="147" spans="1:6" ht="15.75" customHeight="1">
      <c r="A147" s="10">
        <f ca="1">IFERROR(__xludf.DUMMYFUNCTION("""COMPUTED_VALUE"""),44040.6458333333)</f>
        <v>44040.645833333299</v>
      </c>
      <c r="B147" s="1">
        <f ca="1">IFERROR(__xludf.DUMMYFUNCTION("""COMPUTED_VALUE"""),3780.3)</f>
        <v>3780.3</v>
      </c>
      <c r="C147" s="1">
        <f ca="1">IFERROR(__xludf.DUMMYFUNCTION("""COMPUTED_VALUE"""),3830)</f>
        <v>3830</v>
      </c>
      <c r="D147" s="1">
        <f ca="1">IFERROR(__xludf.DUMMYFUNCTION("""COMPUTED_VALUE"""),3763.35)</f>
        <v>3763.35</v>
      </c>
      <c r="E147" s="1">
        <f ca="1">IFERROR(__xludf.DUMMYFUNCTION("""COMPUTED_VALUE"""),3774.75)</f>
        <v>3774.75</v>
      </c>
      <c r="F147" s="1">
        <f ca="1">IFERROR(__xludf.DUMMYFUNCTION("""COMPUTED_VALUE"""),599914)</f>
        <v>599914</v>
      </c>
    </row>
    <row r="148" spans="1:6" ht="15.75" customHeight="1">
      <c r="A148" s="10">
        <f ca="1">IFERROR(__xludf.DUMMYFUNCTION("""COMPUTED_VALUE"""),44041.6458333333)</f>
        <v>44041.645833333299</v>
      </c>
      <c r="B148" s="1">
        <f ca="1">IFERROR(__xludf.DUMMYFUNCTION("""COMPUTED_VALUE"""),3797.7)</f>
        <v>3797.7</v>
      </c>
      <c r="C148" s="1">
        <f ca="1">IFERROR(__xludf.DUMMYFUNCTION("""COMPUTED_VALUE"""),3853)</f>
        <v>3853</v>
      </c>
      <c r="D148" s="1">
        <f ca="1">IFERROR(__xludf.DUMMYFUNCTION("""COMPUTED_VALUE"""),3780)</f>
        <v>3780</v>
      </c>
      <c r="E148" s="1">
        <f ca="1">IFERROR(__xludf.DUMMYFUNCTION("""COMPUTED_VALUE"""),3794.7)</f>
        <v>3794.7</v>
      </c>
      <c r="F148" s="1">
        <f ca="1">IFERROR(__xludf.DUMMYFUNCTION("""COMPUTED_VALUE"""),785425)</f>
        <v>785425</v>
      </c>
    </row>
    <row r="149" spans="1:6" ht="15.75" customHeight="1">
      <c r="A149" s="10">
        <f ca="1">IFERROR(__xludf.DUMMYFUNCTION("""COMPUTED_VALUE"""),44042.6458333333)</f>
        <v>44042.645833333299</v>
      </c>
      <c r="B149" s="1">
        <f ca="1">IFERROR(__xludf.DUMMYFUNCTION("""COMPUTED_VALUE"""),3818.4)</f>
        <v>3818.4</v>
      </c>
      <c r="C149" s="1">
        <f ca="1">IFERROR(__xludf.DUMMYFUNCTION("""COMPUTED_VALUE"""),3874.4)</f>
        <v>3874.4</v>
      </c>
      <c r="D149" s="1">
        <f ca="1">IFERROR(__xludf.DUMMYFUNCTION("""COMPUTED_VALUE"""),3790.5)</f>
        <v>3790.5</v>
      </c>
      <c r="E149" s="1">
        <f ca="1">IFERROR(__xludf.DUMMYFUNCTION("""COMPUTED_VALUE"""),3805.95)</f>
        <v>3805.95</v>
      </c>
      <c r="F149" s="1">
        <f ca="1">IFERROR(__xludf.DUMMYFUNCTION("""COMPUTED_VALUE"""),855542)</f>
        <v>855542</v>
      </c>
    </row>
    <row r="150" spans="1:6" ht="15.75" customHeight="1">
      <c r="A150" s="10">
        <f ca="1">IFERROR(__xludf.DUMMYFUNCTION("""COMPUTED_VALUE"""),44043.6458333333)</f>
        <v>44043.645833333299</v>
      </c>
      <c r="B150" s="1">
        <f ca="1">IFERROR(__xludf.DUMMYFUNCTION("""COMPUTED_VALUE"""),3811)</f>
        <v>3811</v>
      </c>
      <c r="C150" s="1">
        <f ca="1">IFERROR(__xludf.DUMMYFUNCTION("""COMPUTED_VALUE"""),3860)</f>
        <v>3860</v>
      </c>
      <c r="D150" s="1">
        <f ca="1">IFERROR(__xludf.DUMMYFUNCTION("""COMPUTED_VALUE"""),3801.1)</f>
        <v>3801.1</v>
      </c>
      <c r="E150" s="1">
        <f ca="1">IFERROR(__xludf.DUMMYFUNCTION("""COMPUTED_VALUE"""),3823.6)</f>
        <v>3823.6</v>
      </c>
      <c r="F150" s="1">
        <f ca="1">IFERROR(__xludf.DUMMYFUNCTION("""COMPUTED_VALUE"""),681895)</f>
        <v>681895</v>
      </c>
    </row>
    <row r="151" spans="1:6" ht="15.75" customHeight="1">
      <c r="A151" s="10">
        <f ca="1">IFERROR(__xludf.DUMMYFUNCTION("""COMPUTED_VALUE"""),44046.6458333333)</f>
        <v>44046.645833333299</v>
      </c>
      <c r="B151" s="1">
        <f ca="1">IFERROR(__xludf.DUMMYFUNCTION("""COMPUTED_VALUE"""),3827)</f>
        <v>3827</v>
      </c>
      <c r="C151" s="1">
        <f ca="1">IFERROR(__xludf.DUMMYFUNCTION("""COMPUTED_VALUE"""),3849.9)</f>
        <v>3849.9</v>
      </c>
      <c r="D151" s="1">
        <f ca="1">IFERROR(__xludf.DUMMYFUNCTION("""COMPUTED_VALUE"""),3768.1)</f>
        <v>3768.1</v>
      </c>
      <c r="E151" s="1">
        <f ca="1">IFERROR(__xludf.DUMMYFUNCTION("""COMPUTED_VALUE"""),3776.2)</f>
        <v>3776.2</v>
      </c>
      <c r="F151" s="1">
        <f ca="1">IFERROR(__xludf.DUMMYFUNCTION("""COMPUTED_VALUE"""),369180)</f>
        <v>369180</v>
      </c>
    </row>
    <row r="152" spans="1:6" ht="15.75" customHeight="1">
      <c r="A152" s="10">
        <f ca="1">IFERROR(__xludf.DUMMYFUNCTION("""COMPUTED_VALUE"""),44047.6458333333)</f>
        <v>44047.645833333299</v>
      </c>
      <c r="B152" s="1">
        <f ca="1">IFERROR(__xludf.DUMMYFUNCTION("""COMPUTED_VALUE"""),3800)</f>
        <v>3800</v>
      </c>
      <c r="C152" s="1">
        <f ca="1">IFERROR(__xludf.DUMMYFUNCTION("""COMPUTED_VALUE"""),3855)</f>
        <v>3855</v>
      </c>
      <c r="D152" s="1">
        <f ca="1">IFERROR(__xludf.DUMMYFUNCTION("""COMPUTED_VALUE"""),3785)</f>
        <v>3785</v>
      </c>
      <c r="E152" s="1">
        <f ca="1">IFERROR(__xludf.DUMMYFUNCTION("""COMPUTED_VALUE"""),3817.6)</f>
        <v>3817.6</v>
      </c>
      <c r="F152" s="1">
        <f ca="1">IFERROR(__xludf.DUMMYFUNCTION("""COMPUTED_VALUE"""),642559)</f>
        <v>642559</v>
      </c>
    </row>
    <row r="153" spans="1:6" ht="15.75" customHeight="1">
      <c r="A153" s="10">
        <f ca="1">IFERROR(__xludf.DUMMYFUNCTION("""COMPUTED_VALUE"""),44048.6458333333)</f>
        <v>44048.645833333299</v>
      </c>
      <c r="B153" s="1">
        <f ca="1">IFERROR(__xludf.DUMMYFUNCTION("""COMPUTED_VALUE"""),3839.9)</f>
        <v>3839.9</v>
      </c>
      <c r="C153" s="1">
        <f ca="1">IFERROR(__xludf.DUMMYFUNCTION("""COMPUTED_VALUE"""),3873.55)</f>
        <v>3873.55</v>
      </c>
      <c r="D153" s="1">
        <f ca="1">IFERROR(__xludf.DUMMYFUNCTION("""COMPUTED_VALUE"""),3827.95)</f>
        <v>3827.95</v>
      </c>
      <c r="E153" s="1">
        <f ca="1">IFERROR(__xludf.DUMMYFUNCTION("""COMPUTED_VALUE"""),3849.95)</f>
        <v>3849.95</v>
      </c>
      <c r="F153" s="1">
        <f ca="1">IFERROR(__xludf.DUMMYFUNCTION("""COMPUTED_VALUE"""),569216)</f>
        <v>569216</v>
      </c>
    </row>
    <row r="154" spans="1:6" ht="15.75" customHeight="1">
      <c r="A154" s="10">
        <f ca="1">IFERROR(__xludf.DUMMYFUNCTION("""COMPUTED_VALUE"""),44049.6458333333)</f>
        <v>44049.645833333299</v>
      </c>
      <c r="B154" s="1">
        <f ca="1">IFERROR(__xludf.DUMMYFUNCTION("""COMPUTED_VALUE"""),3865)</f>
        <v>3865</v>
      </c>
      <c r="C154" s="1">
        <f ca="1">IFERROR(__xludf.DUMMYFUNCTION("""COMPUTED_VALUE"""),3912)</f>
        <v>3912</v>
      </c>
      <c r="D154" s="1">
        <f ca="1">IFERROR(__xludf.DUMMYFUNCTION("""COMPUTED_VALUE"""),3845)</f>
        <v>3845</v>
      </c>
      <c r="E154" s="1">
        <f ca="1">IFERROR(__xludf.DUMMYFUNCTION("""COMPUTED_VALUE"""),3857.65)</f>
        <v>3857.65</v>
      </c>
      <c r="F154" s="1">
        <f ca="1">IFERROR(__xludf.DUMMYFUNCTION("""COMPUTED_VALUE"""),786063)</f>
        <v>786063</v>
      </c>
    </row>
    <row r="155" spans="1:6" ht="15.75" customHeight="1">
      <c r="A155" s="10">
        <f ca="1">IFERROR(__xludf.DUMMYFUNCTION("""COMPUTED_VALUE"""),44050.6458333333)</f>
        <v>44050.645833333299</v>
      </c>
      <c r="B155" s="1">
        <f ca="1">IFERROR(__xludf.DUMMYFUNCTION("""COMPUTED_VALUE"""),3865)</f>
        <v>3865</v>
      </c>
      <c r="C155" s="1">
        <f ca="1">IFERROR(__xludf.DUMMYFUNCTION("""COMPUTED_VALUE"""),3945)</f>
        <v>3945</v>
      </c>
      <c r="D155" s="1">
        <f ca="1">IFERROR(__xludf.DUMMYFUNCTION("""COMPUTED_VALUE"""),3850)</f>
        <v>3850</v>
      </c>
      <c r="E155" s="1">
        <f ca="1">IFERROR(__xludf.DUMMYFUNCTION("""COMPUTED_VALUE"""),3934.8)</f>
        <v>3934.8</v>
      </c>
      <c r="F155" s="1">
        <f ca="1">IFERROR(__xludf.DUMMYFUNCTION("""COMPUTED_VALUE"""),1061884)</f>
        <v>1061884</v>
      </c>
    </row>
    <row r="156" spans="1:6" ht="15.75" customHeight="1">
      <c r="A156" s="10">
        <f ca="1">IFERROR(__xludf.DUMMYFUNCTION("""COMPUTED_VALUE"""),44053.6458333333)</f>
        <v>44053.645833333299</v>
      </c>
      <c r="B156" s="1">
        <f ca="1">IFERROR(__xludf.DUMMYFUNCTION("""COMPUTED_VALUE"""),3959.95)</f>
        <v>3959.95</v>
      </c>
      <c r="C156" s="1">
        <f ca="1">IFERROR(__xludf.DUMMYFUNCTION("""COMPUTED_VALUE"""),4005)</f>
        <v>4005</v>
      </c>
      <c r="D156" s="1">
        <f ca="1">IFERROR(__xludf.DUMMYFUNCTION("""COMPUTED_VALUE"""),3929)</f>
        <v>3929</v>
      </c>
      <c r="E156" s="1">
        <f ca="1">IFERROR(__xludf.DUMMYFUNCTION("""COMPUTED_VALUE"""),3942.8)</f>
        <v>3942.8</v>
      </c>
      <c r="F156" s="1">
        <f ca="1">IFERROR(__xludf.DUMMYFUNCTION("""COMPUTED_VALUE"""),826722)</f>
        <v>826722</v>
      </c>
    </row>
    <row r="157" spans="1:6" ht="15.75" customHeight="1">
      <c r="A157" s="10">
        <f ca="1">IFERROR(__xludf.DUMMYFUNCTION("""COMPUTED_VALUE"""),44054.6458333333)</f>
        <v>44054.645833333299</v>
      </c>
      <c r="B157" s="1">
        <f ca="1">IFERROR(__xludf.DUMMYFUNCTION("""COMPUTED_VALUE"""),3950)</f>
        <v>3950</v>
      </c>
      <c r="C157" s="1">
        <f ca="1">IFERROR(__xludf.DUMMYFUNCTION("""COMPUTED_VALUE"""),3970)</f>
        <v>3970</v>
      </c>
      <c r="D157" s="1">
        <f ca="1">IFERROR(__xludf.DUMMYFUNCTION("""COMPUTED_VALUE"""),3865)</f>
        <v>3865</v>
      </c>
      <c r="E157" s="1">
        <f ca="1">IFERROR(__xludf.DUMMYFUNCTION("""COMPUTED_VALUE"""),3879.55)</f>
        <v>3879.55</v>
      </c>
      <c r="F157" s="1">
        <f ca="1">IFERROR(__xludf.DUMMYFUNCTION("""COMPUTED_VALUE"""),422055)</f>
        <v>422055</v>
      </c>
    </row>
    <row r="158" spans="1:6" ht="15.75" customHeight="1">
      <c r="A158" s="10">
        <f ca="1">IFERROR(__xludf.DUMMYFUNCTION("""COMPUTED_VALUE"""),44055.6458333333)</f>
        <v>44055.645833333299</v>
      </c>
      <c r="B158" s="1">
        <f ca="1">IFERROR(__xludf.DUMMYFUNCTION("""COMPUTED_VALUE"""),3880.55)</f>
        <v>3880.55</v>
      </c>
      <c r="C158" s="1">
        <f ca="1">IFERROR(__xludf.DUMMYFUNCTION("""COMPUTED_VALUE"""),3885)</f>
        <v>3885</v>
      </c>
      <c r="D158" s="1">
        <f ca="1">IFERROR(__xludf.DUMMYFUNCTION("""COMPUTED_VALUE"""),3800)</f>
        <v>3800</v>
      </c>
      <c r="E158" s="1">
        <f ca="1">IFERROR(__xludf.DUMMYFUNCTION("""COMPUTED_VALUE"""),3809.75)</f>
        <v>3809.75</v>
      </c>
      <c r="F158" s="1">
        <f ca="1">IFERROR(__xludf.DUMMYFUNCTION("""COMPUTED_VALUE"""),619436)</f>
        <v>619436</v>
      </c>
    </row>
    <row r="159" spans="1:6" ht="15.75" customHeight="1">
      <c r="A159" s="10">
        <f ca="1">IFERROR(__xludf.DUMMYFUNCTION("""COMPUTED_VALUE"""),44056.6458333333)</f>
        <v>44056.645833333299</v>
      </c>
      <c r="B159" s="1">
        <f ca="1">IFERROR(__xludf.DUMMYFUNCTION("""COMPUTED_VALUE"""),3823.8)</f>
        <v>3823.8</v>
      </c>
      <c r="C159" s="1">
        <f ca="1">IFERROR(__xludf.DUMMYFUNCTION("""COMPUTED_VALUE"""),3857.85)</f>
        <v>3857.85</v>
      </c>
      <c r="D159" s="1">
        <f ca="1">IFERROR(__xludf.DUMMYFUNCTION("""COMPUTED_VALUE"""),3792.05)</f>
        <v>3792.05</v>
      </c>
      <c r="E159" s="1">
        <f ca="1">IFERROR(__xludf.DUMMYFUNCTION("""COMPUTED_VALUE"""),3808.25)</f>
        <v>3808.25</v>
      </c>
      <c r="F159" s="1">
        <f ca="1">IFERROR(__xludf.DUMMYFUNCTION("""COMPUTED_VALUE"""),513264)</f>
        <v>513264</v>
      </c>
    </row>
    <row r="160" spans="1:6" ht="15.75" customHeight="1">
      <c r="A160" s="10">
        <f ca="1">IFERROR(__xludf.DUMMYFUNCTION("""COMPUTED_VALUE"""),44057.6458333333)</f>
        <v>44057.645833333299</v>
      </c>
      <c r="B160" s="1">
        <f ca="1">IFERROR(__xludf.DUMMYFUNCTION("""COMPUTED_VALUE"""),3828)</f>
        <v>3828</v>
      </c>
      <c r="C160" s="1">
        <f ca="1">IFERROR(__xludf.DUMMYFUNCTION("""COMPUTED_VALUE"""),3840)</f>
        <v>3840</v>
      </c>
      <c r="D160" s="1">
        <f ca="1">IFERROR(__xludf.DUMMYFUNCTION("""COMPUTED_VALUE"""),3752)</f>
        <v>3752</v>
      </c>
      <c r="E160" s="1">
        <f ca="1">IFERROR(__xludf.DUMMYFUNCTION("""COMPUTED_VALUE"""),3801.35)</f>
        <v>3801.35</v>
      </c>
      <c r="F160" s="1">
        <f ca="1">IFERROR(__xludf.DUMMYFUNCTION("""COMPUTED_VALUE"""),537499)</f>
        <v>537499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custom" allowBlank="1" showDropDown="1" showErrorMessage="1" sqref="C2:D2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6" ht="15.75" customHeight="1">
      <c r="A1" s="1" t="s">
        <v>0</v>
      </c>
      <c r="C1" s="1" t="s">
        <v>1</v>
      </c>
      <c r="D1" s="1" t="s">
        <v>2</v>
      </c>
    </row>
    <row r="2" spans="1:6" ht="15.75" customHeight="1">
      <c r="A2" s="1" t="s">
        <v>178</v>
      </c>
      <c r="C2" s="2">
        <v>43466</v>
      </c>
      <c r="D2" s="2">
        <v>43831</v>
      </c>
    </row>
    <row r="3" spans="1:6" ht="15.75" customHeight="1"/>
    <row r="4" spans="1:6" ht="15.75" customHeight="1"/>
    <row r="5" spans="1:6" ht="15.75" customHeight="1">
      <c r="A5" s="1" t="str">
        <f ca="1">IFERROR(__xludf.DUMMYFUNCTION("GOOGLEFINANCE(A2,""all"",C2, D2, ""DAILY"")"),"Date")</f>
        <v>Date</v>
      </c>
      <c r="B5" s="1" t="str">
        <f ca="1">IFERROR(__xludf.DUMMYFUNCTION("""COMPUTED_VALUE"""),"Open")</f>
        <v>Open</v>
      </c>
      <c r="C5" s="1" t="str">
        <f ca="1">IFERROR(__xludf.DUMMYFUNCTION("""COMPUTED_VALUE"""),"High")</f>
        <v>High</v>
      </c>
      <c r="D5" s="1" t="str">
        <f ca="1">IFERROR(__xludf.DUMMYFUNCTION("""COMPUTED_VALUE"""),"Low")</f>
        <v>Low</v>
      </c>
      <c r="E5" s="1" t="str">
        <f ca="1">IFERROR(__xludf.DUMMYFUNCTION("""COMPUTED_VALUE"""),"Close")</f>
        <v>Close</v>
      </c>
      <c r="F5" s="1" t="str">
        <f ca="1">IFERROR(__xludf.DUMMYFUNCTION("""COMPUTED_VALUE"""),"Volume")</f>
        <v>Volume</v>
      </c>
    </row>
    <row r="6" spans="1:6" ht="15.75" customHeight="1">
      <c r="A6" s="10">
        <f ca="1">IFERROR(__xludf.DUMMYFUNCTION("""COMPUTED_VALUE"""),43467.6666666666)</f>
        <v>43467.666666666599</v>
      </c>
      <c r="B6" s="1">
        <f ca="1">IFERROR(__xludf.DUMMYFUNCTION("""COMPUTED_VALUE"""),1465.2)</f>
        <v>1465.2</v>
      </c>
      <c r="C6" s="1">
        <f ca="1">IFERROR(__xludf.DUMMYFUNCTION("""COMPUTED_VALUE"""),1553.36)</f>
        <v>1553.36</v>
      </c>
      <c r="D6" s="1">
        <f ca="1">IFERROR(__xludf.DUMMYFUNCTION("""COMPUTED_VALUE"""),1460.93)</f>
        <v>1460.93</v>
      </c>
      <c r="E6" s="1">
        <f ca="1">IFERROR(__xludf.DUMMYFUNCTION("""COMPUTED_VALUE"""),1539.13)</f>
        <v>1539.13</v>
      </c>
      <c r="F6" s="1">
        <f ca="1">IFERROR(__xludf.DUMMYFUNCTION("""COMPUTED_VALUE"""),7983103)</f>
        <v>7983103</v>
      </c>
    </row>
    <row r="7" spans="1:6" ht="15.75" customHeight="1">
      <c r="A7" s="10">
        <f ca="1">IFERROR(__xludf.DUMMYFUNCTION("""COMPUTED_VALUE"""),43468.6666666666)</f>
        <v>43468.666666666599</v>
      </c>
      <c r="B7" s="1">
        <f ca="1">IFERROR(__xludf.DUMMYFUNCTION("""COMPUTED_VALUE"""),1520.01)</f>
        <v>1520.01</v>
      </c>
      <c r="C7" s="1">
        <f ca="1">IFERROR(__xludf.DUMMYFUNCTION("""COMPUTED_VALUE"""),1538)</f>
        <v>1538</v>
      </c>
      <c r="D7" s="1">
        <f ca="1">IFERROR(__xludf.DUMMYFUNCTION("""COMPUTED_VALUE"""),1497.11)</f>
        <v>1497.11</v>
      </c>
      <c r="E7" s="1">
        <f ca="1">IFERROR(__xludf.DUMMYFUNCTION("""COMPUTED_VALUE"""),1500.28)</f>
        <v>1500.28</v>
      </c>
      <c r="F7" s="1">
        <f ca="1">IFERROR(__xludf.DUMMYFUNCTION("""COMPUTED_VALUE"""),6975572)</f>
        <v>6975572</v>
      </c>
    </row>
    <row r="8" spans="1:6" ht="15.75" customHeight="1">
      <c r="A8" s="10">
        <f ca="1">IFERROR(__xludf.DUMMYFUNCTION("""COMPUTED_VALUE"""),43469.6666666666)</f>
        <v>43469.666666666599</v>
      </c>
      <c r="B8" s="1">
        <f ca="1">IFERROR(__xludf.DUMMYFUNCTION("""COMPUTED_VALUE"""),1530)</f>
        <v>1530</v>
      </c>
      <c r="C8" s="1">
        <f ca="1">IFERROR(__xludf.DUMMYFUNCTION("""COMPUTED_VALUE"""),1594)</f>
        <v>1594</v>
      </c>
      <c r="D8" s="1">
        <f ca="1">IFERROR(__xludf.DUMMYFUNCTION("""COMPUTED_VALUE"""),1518.31)</f>
        <v>1518.31</v>
      </c>
      <c r="E8" s="1">
        <f ca="1">IFERROR(__xludf.DUMMYFUNCTION("""COMPUTED_VALUE"""),1575.39)</f>
        <v>1575.39</v>
      </c>
      <c r="F8" s="1">
        <f ca="1">IFERROR(__xludf.DUMMYFUNCTION("""COMPUTED_VALUE"""),9182575)</f>
        <v>9182575</v>
      </c>
    </row>
    <row r="9" spans="1:6" ht="15.75" customHeight="1">
      <c r="A9" s="10">
        <f ca="1">IFERROR(__xludf.DUMMYFUNCTION("""COMPUTED_VALUE"""),43472.6666666666)</f>
        <v>43472.666666666599</v>
      </c>
      <c r="B9" s="1">
        <f ca="1">IFERROR(__xludf.DUMMYFUNCTION("""COMPUTED_VALUE"""),1602.31)</f>
        <v>1602.31</v>
      </c>
      <c r="C9" s="1">
        <f ca="1">IFERROR(__xludf.DUMMYFUNCTION("""COMPUTED_VALUE"""),1634.56)</f>
        <v>1634.56</v>
      </c>
      <c r="D9" s="1">
        <f ca="1">IFERROR(__xludf.DUMMYFUNCTION("""COMPUTED_VALUE"""),1589.19)</f>
        <v>1589.19</v>
      </c>
      <c r="E9" s="1">
        <f ca="1">IFERROR(__xludf.DUMMYFUNCTION("""COMPUTED_VALUE"""),1629.51)</f>
        <v>1629.51</v>
      </c>
      <c r="F9" s="1">
        <f ca="1">IFERROR(__xludf.DUMMYFUNCTION("""COMPUTED_VALUE"""),7993213)</f>
        <v>7993213</v>
      </c>
    </row>
    <row r="10" spans="1:6" ht="15.75" customHeight="1">
      <c r="A10" s="10">
        <f ca="1">IFERROR(__xludf.DUMMYFUNCTION("""COMPUTED_VALUE"""),43473.6666666666)</f>
        <v>43473.666666666599</v>
      </c>
      <c r="B10" s="1">
        <f ca="1">IFERROR(__xludf.DUMMYFUNCTION("""COMPUTED_VALUE"""),1664.69)</f>
        <v>1664.69</v>
      </c>
      <c r="C10" s="1">
        <f ca="1">IFERROR(__xludf.DUMMYFUNCTION("""COMPUTED_VALUE"""),1676.61)</f>
        <v>1676.61</v>
      </c>
      <c r="D10" s="1">
        <f ca="1">IFERROR(__xludf.DUMMYFUNCTION("""COMPUTED_VALUE"""),1616.61)</f>
        <v>1616.61</v>
      </c>
      <c r="E10" s="1">
        <f ca="1">IFERROR(__xludf.DUMMYFUNCTION("""COMPUTED_VALUE"""),1656.58)</f>
        <v>1656.58</v>
      </c>
      <c r="F10" s="1">
        <f ca="1">IFERROR(__xludf.DUMMYFUNCTION("""COMPUTED_VALUE"""),8881428)</f>
        <v>8881428</v>
      </c>
    </row>
    <row r="11" spans="1:6" ht="15.75" customHeight="1">
      <c r="A11" s="10">
        <f ca="1">IFERROR(__xludf.DUMMYFUNCTION("""COMPUTED_VALUE"""),43474.6666666666)</f>
        <v>43474.666666666599</v>
      </c>
      <c r="B11" s="1">
        <f ca="1">IFERROR(__xludf.DUMMYFUNCTION("""COMPUTED_VALUE"""),1652.98)</f>
        <v>1652.98</v>
      </c>
      <c r="C11" s="1">
        <f ca="1">IFERROR(__xludf.DUMMYFUNCTION("""COMPUTED_VALUE"""),1667.8)</f>
        <v>1667.8</v>
      </c>
      <c r="D11" s="1">
        <f ca="1">IFERROR(__xludf.DUMMYFUNCTION("""COMPUTED_VALUE"""),1641.4)</f>
        <v>1641.4</v>
      </c>
      <c r="E11" s="1">
        <f ca="1">IFERROR(__xludf.DUMMYFUNCTION("""COMPUTED_VALUE"""),1659.42)</f>
        <v>1659.42</v>
      </c>
      <c r="F11" s="1">
        <f ca="1">IFERROR(__xludf.DUMMYFUNCTION("""COMPUTED_VALUE"""),6348801)</f>
        <v>6348801</v>
      </c>
    </row>
    <row r="12" spans="1:6" ht="15.75" customHeight="1">
      <c r="A12" s="10">
        <f ca="1">IFERROR(__xludf.DUMMYFUNCTION("""COMPUTED_VALUE"""),43475.6666666666)</f>
        <v>43475.666666666599</v>
      </c>
      <c r="B12" s="1">
        <f ca="1">IFERROR(__xludf.DUMMYFUNCTION("""COMPUTED_VALUE"""),1641.01)</f>
        <v>1641.01</v>
      </c>
      <c r="C12" s="1">
        <f ca="1">IFERROR(__xludf.DUMMYFUNCTION("""COMPUTED_VALUE"""),1663.25)</f>
        <v>1663.25</v>
      </c>
      <c r="D12" s="1">
        <f ca="1">IFERROR(__xludf.DUMMYFUNCTION("""COMPUTED_VALUE"""),1621.62)</f>
        <v>1621.62</v>
      </c>
      <c r="E12" s="1">
        <f ca="1">IFERROR(__xludf.DUMMYFUNCTION("""COMPUTED_VALUE"""),1656.22)</f>
        <v>1656.22</v>
      </c>
      <c r="F12" s="1">
        <f ca="1">IFERROR(__xludf.DUMMYFUNCTION("""COMPUTED_VALUE"""),6507693)</f>
        <v>6507693</v>
      </c>
    </row>
    <row r="13" spans="1:6" ht="15.75" customHeight="1">
      <c r="A13" s="10">
        <f ca="1">IFERROR(__xludf.DUMMYFUNCTION("""COMPUTED_VALUE"""),43476.6666666666)</f>
        <v>43476.666666666599</v>
      </c>
      <c r="B13" s="1">
        <f ca="1">IFERROR(__xludf.DUMMYFUNCTION("""COMPUTED_VALUE"""),1640.55)</f>
        <v>1640.55</v>
      </c>
      <c r="C13" s="1">
        <f ca="1">IFERROR(__xludf.DUMMYFUNCTION("""COMPUTED_VALUE"""),1660.29)</f>
        <v>1660.29</v>
      </c>
      <c r="D13" s="1">
        <f ca="1">IFERROR(__xludf.DUMMYFUNCTION("""COMPUTED_VALUE"""),1636.22)</f>
        <v>1636.22</v>
      </c>
      <c r="E13" s="1">
        <f ca="1">IFERROR(__xludf.DUMMYFUNCTION("""COMPUTED_VALUE"""),1640.56)</f>
        <v>1640.56</v>
      </c>
      <c r="F13" s="1">
        <f ca="1">IFERROR(__xludf.DUMMYFUNCTION("""COMPUTED_VALUE"""),4686222)</f>
        <v>4686222</v>
      </c>
    </row>
    <row r="14" spans="1:6" ht="15.75" customHeight="1">
      <c r="A14" s="10">
        <f ca="1">IFERROR(__xludf.DUMMYFUNCTION("""COMPUTED_VALUE"""),43479.6666666666)</f>
        <v>43479.666666666599</v>
      </c>
      <c r="B14" s="1">
        <f ca="1">IFERROR(__xludf.DUMMYFUNCTION("""COMPUTED_VALUE"""),1615)</f>
        <v>1615</v>
      </c>
      <c r="C14" s="1">
        <f ca="1">IFERROR(__xludf.DUMMYFUNCTION("""COMPUTED_VALUE"""),1648.2)</f>
        <v>1648.2</v>
      </c>
      <c r="D14" s="1">
        <f ca="1">IFERROR(__xludf.DUMMYFUNCTION("""COMPUTED_VALUE"""),1595.15)</f>
        <v>1595.15</v>
      </c>
      <c r="E14" s="1">
        <f ca="1">IFERROR(__xludf.DUMMYFUNCTION("""COMPUTED_VALUE"""),1617.21)</f>
        <v>1617.21</v>
      </c>
      <c r="F14" s="1">
        <f ca="1">IFERROR(__xludf.DUMMYFUNCTION("""COMPUTED_VALUE"""),6005888)</f>
        <v>6005888</v>
      </c>
    </row>
    <row r="15" spans="1:6" ht="15.75" customHeight="1">
      <c r="A15" s="10">
        <f ca="1">IFERROR(__xludf.DUMMYFUNCTION("""COMPUTED_VALUE"""),43480.6666666666)</f>
        <v>43480.666666666599</v>
      </c>
      <c r="B15" s="1">
        <f ca="1">IFERROR(__xludf.DUMMYFUNCTION("""COMPUTED_VALUE"""),1632)</f>
        <v>1632</v>
      </c>
      <c r="C15" s="1">
        <f ca="1">IFERROR(__xludf.DUMMYFUNCTION("""COMPUTED_VALUE"""),1675.16)</f>
        <v>1675.16</v>
      </c>
      <c r="D15" s="1">
        <f ca="1">IFERROR(__xludf.DUMMYFUNCTION("""COMPUTED_VALUE"""),1626.01)</f>
        <v>1626.01</v>
      </c>
      <c r="E15" s="1">
        <f ca="1">IFERROR(__xludf.DUMMYFUNCTION("""COMPUTED_VALUE"""),1674.56)</f>
        <v>1674.56</v>
      </c>
      <c r="F15" s="1">
        <f ca="1">IFERROR(__xludf.DUMMYFUNCTION("""COMPUTED_VALUE"""),5998510)</f>
        <v>5998510</v>
      </c>
    </row>
    <row r="16" spans="1:6" ht="15.75" customHeight="1">
      <c r="A16" s="10">
        <f ca="1">IFERROR(__xludf.DUMMYFUNCTION("""COMPUTED_VALUE"""),43481.6666666666)</f>
        <v>43481.666666666599</v>
      </c>
      <c r="B16" s="1">
        <f ca="1">IFERROR(__xludf.DUMMYFUNCTION("""COMPUTED_VALUE"""),1684.22)</f>
        <v>1684.22</v>
      </c>
      <c r="C16" s="1">
        <f ca="1">IFERROR(__xludf.DUMMYFUNCTION("""COMPUTED_VALUE"""),1705)</f>
        <v>1705</v>
      </c>
      <c r="D16" s="1">
        <f ca="1">IFERROR(__xludf.DUMMYFUNCTION("""COMPUTED_VALUE"""),1675.88)</f>
        <v>1675.88</v>
      </c>
      <c r="E16" s="1">
        <f ca="1">IFERROR(__xludf.DUMMYFUNCTION("""COMPUTED_VALUE"""),1683.78)</f>
        <v>1683.78</v>
      </c>
      <c r="F16" s="1">
        <f ca="1">IFERROR(__xludf.DUMMYFUNCTION("""COMPUTED_VALUE"""),6366864)</f>
        <v>6366864</v>
      </c>
    </row>
    <row r="17" spans="1:6" ht="15.75" customHeight="1">
      <c r="A17" s="10">
        <f ca="1">IFERROR(__xludf.DUMMYFUNCTION("""COMPUTED_VALUE"""),43482.6666666666)</f>
        <v>43482.666666666599</v>
      </c>
      <c r="B17" s="1">
        <f ca="1">IFERROR(__xludf.DUMMYFUNCTION("""COMPUTED_VALUE"""),1680)</f>
        <v>1680</v>
      </c>
      <c r="C17" s="1">
        <f ca="1">IFERROR(__xludf.DUMMYFUNCTION("""COMPUTED_VALUE"""),1700.17)</f>
        <v>1700.17</v>
      </c>
      <c r="D17" s="1">
        <f ca="1">IFERROR(__xludf.DUMMYFUNCTION("""COMPUTED_VALUE"""),1677.5)</f>
        <v>1677.5</v>
      </c>
      <c r="E17" s="1">
        <f ca="1">IFERROR(__xludf.DUMMYFUNCTION("""COMPUTED_VALUE"""),1693.22)</f>
        <v>1693.22</v>
      </c>
      <c r="F17" s="1">
        <f ca="1">IFERROR(__xludf.DUMMYFUNCTION("""COMPUTED_VALUE"""),4208875)</f>
        <v>4208875</v>
      </c>
    </row>
    <row r="18" spans="1:6" ht="15.75" customHeight="1">
      <c r="A18" s="10">
        <f ca="1">IFERROR(__xludf.DUMMYFUNCTION("""COMPUTED_VALUE"""),43483.6666666666)</f>
        <v>43483.666666666599</v>
      </c>
      <c r="B18" s="1">
        <f ca="1">IFERROR(__xludf.DUMMYFUNCTION("""COMPUTED_VALUE"""),1712)</f>
        <v>1712</v>
      </c>
      <c r="C18" s="1">
        <f ca="1">IFERROR(__xludf.DUMMYFUNCTION("""COMPUTED_VALUE"""),1716.2)</f>
        <v>1716.2</v>
      </c>
      <c r="D18" s="1">
        <f ca="1">IFERROR(__xludf.DUMMYFUNCTION("""COMPUTED_VALUE"""),1691.54)</f>
        <v>1691.54</v>
      </c>
      <c r="E18" s="1">
        <f ca="1">IFERROR(__xludf.DUMMYFUNCTION("""COMPUTED_VALUE"""),1696.2)</f>
        <v>1696.2</v>
      </c>
      <c r="F18" s="1">
        <f ca="1">IFERROR(__xludf.DUMMYFUNCTION("""COMPUTED_VALUE"""),6020503)</f>
        <v>6020503</v>
      </c>
    </row>
    <row r="19" spans="1:6" ht="15.75" customHeight="1">
      <c r="A19" s="10">
        <f ca="1">IFERROR(__xludf.DUMMYFUNCTION("""COMPUTED_VALUE"""),43487.6666666666)</f>
        <v>43487.666666666599</v>
      </c>
      <c r="B19" s="1">
        <f ca="1">IFERROR(__xludf.DUMMYFUNCTION("""COMPUTED_VALUE"""),1681)</f>
        <v>1681</v>
      </c>
      <c r="C19" s="1">
        <f ca="1">IFERROR(__xludf.DUMMYFUNCTION("""COMPUTED_VALUE"""),1681.87)</f>
        <v>1681.87</v>
      </c>
      <c r="D19" s="1">
        <f ca="1">IFERROR(__xludf.DUMMYFUNCTION("""COMPUTED_VALUE"""),1610.2)</f>
        <v>1610.2</v>
      </c>
      <c r="E19" s="1">
        <f ca="1">IFERROR(__xludf.DUMMYFUNCTION("""COMPUTED_VALUE"""),1632.17)</f>
        <v>1632.17</v>
      </c>
      <c r="F19" s="1">
        <f ca="1">IFERROR(__xludf.DUMMYFUNCTION("""COMPUTED_VALUE"""),6416796)</f>
        <v>6416796</v>
      </c>
    </row>
    <row r="20" spans="1:6" ht="15.75" customHeight="1">
      <c r="A20" s="10">
        <f ca="1">IFERROR(__xludf.DUMMYFUNCTION("""COMPUTED_VALUE"""),43488.6666666666)</f>
        <v>43488.666666666599</v>
      </c>
      <c r="B20" s="1">
        <f ca="1">IFERROR(__xludf.DUMMYFUNCTION("""COMPUTED_VALUE"""),1656)</f>
        <v>1656</v>
      </c>
      <c r="C20" s="1">
        <f ca="1">IFERROR(__xludf.DUMMYFUNCTION("""COMPUTED_VALUE"""),1657.43)</f>
        <v>1657.43</v>
      </c>
      <c r="D20" s="1">
        <f ca="1">IFERROR(__xludf.DUMMYFUNCTION("""COMPUTED_VALUE"""),1612)</f>
        <v>1612</v>
      </c>
      <c r="E20" s="1">
        <f ca="1">IFERROR(__xludf.DUMMYFUNCTION("""COMPUTED_VALUE"""),1640.02)</f>
        <v>1640.02</v>
      </c>
      <c r="F20" s="1">
        <f ca="1">IFERROR(__xludf.DUMMYFUNCTION("""COMPUTED_VALUE"""),5225212)</f>
        <v>5225212</v>
      </c>
    </row>
    <row r="21" spans="1:6" ht="15.75" customHeight="1">
      <c r="A21" s="10">
        <f ca="1">IFERROR(__xludf.DUMMYFUNCTION("""COMPUTED_VALUE"""),43489.6666666666)</f>
        <v>43489.666666666599</v>
      </c>
      <c r="B21" s="1">
        <f ca="1">IFERROR(__xludf.DUMMYFUNCTION("""COMPUTED_VALUE"""),1641.07)</f>
        <v>1641.07</v>
      </c>
      <c r="C21" s="1">
        <f ca="1">IFERROR(__xludf.DUMMYFUNCTION("""COMPUTED_VALUE"""),1657.26)</f>
        <v>1657.26</v>
      </c>
      <c r="D21" s="1">
        <f ca="1">IFERROR(__xludf.DUMMYFUNCTION("""COMPUTED_VALUE"""),1631.78)</f>
        <v>1631.78</v>
      </c>
      <c r="E21" s="1">
        <f ca="1">IFERROR(__xludf.DUMMYFUNCTION("""COMPUTED_VALUE"""),1654.93)</f>
        <v>1654.93</v>
      </c>
      <c r="F21" s="1">
        <f ca="1">IFERROR(__xludf.DUMMYFUNCTION("""COMPUTED_VALUE"""),4089943)</f>
        <v>4089943</v>
      </c>
    </row>
    <row r="22" spans="1:6" ht="15.75" customHeight="1">
      <c r="A22" s="10">
        <f ca="1">IFERROR(__xludf.DUMMYFUNCTION("""COMPUTED_VALUE"""),43490.6666666666)</f>
        <v>43490.666666666599</v>
      </c>
      <c r="B22" s="1">
        <f ca="1">IFERROR(__xludf.DUMMYFUNCTION("""COMPUTED_VALUE"""),1670.5)</f>
        <v>1670.5</v>
      </c>
      <c r="C22" s="1">
        <f ca="1">IFERROR(__xludf.DUMMYFUNCTION("""COMPUTED_VALUE"""),1683.48)</f>
        <v>1683.48</v>
      </c>
      <c r="D22" s="1">
        <f ca="1">IFERROR(__xludf.DUMMYFUNCTION("""COMPUTED_VALUE"""),1661.61)</f>
        <v>1661.61</v>
      </c>
      <c r="E22" s="1">
        <f ca="1">IFERROR(__xludf.DUMMYFUNCTION("""COMPUTED_VALUE"""),1670.57)</f>
        <v>1670.57</v>
      </c>
      <c r="F22" s="1">
        <f ca="1">IFERROR(__xludf.DUMMYFUNCTION("""COMPUTED_VALUE"""),4959679)</f>
        <v>4959679</v>
      </c>
    </row>
    <row r="23" spans="1:6" ht="15.75" customHeight="1">
      <c r="A23" s="10">
        <f ca="1">IFERROR(__xludf.DUMMYFUNCTION("""COMPUTED_VALUE"""),43493.6666666666)</f>
        <v>43493.666666666599</v>
      </c>
      <c r="B23" s="1">
        <f ca="1">IFERROR(__xludf.DUMMYFUNCTION("""COMPUTED_VALUE"""),1643.59)</f>
        <v>1643.59</v>
      </c>
      <c r="C23" s="1">
        <f ca="1">IFERROR(__xludf.DUMMYFUNCTION("""COMPUTED_VALUE"""),1645)</f>
        <v>1645</v>
      </c>
      <c r="D23" s="1">
        <f ca="1">IFERROR(__xludf.DUMMYFUNCTION("""COMPUTED_VALUE"""),1614.09)</f>
        <v>1614.09</v>
      </c>
      <c r="E23" s="1">
        <f ca="1">IFERROR(__xludf.DUMMYFUNCTION("""COMPUTED_VALUE"""),1637.89)</f>
        <v>1637.89</v>
      </c>
      <c r="F23" s="1">
        <f ca="1">IFERROR(__xludf.DUMMYFUNCTION("""COMPUTED_VALUE"""),4837711)</f>
        <v>4837711</v>
      </c>
    </row>
    <row r="24" spans="1:6" ht="15.75" customHeight="1">
      <c r="A24" s="10">
        <f ca="1">IFERROR(__xludf.DUMMYFUNCTION("""COMPUTED_VALUE"""),43494.6666666666)</f>
        <v>43494.666666666599</v>
      </c>
      <c r="B24" s="1">
        <f ca="1">IFERROR(__xludf.DUMMYFUNCTION("""COMPUTED_VALUE"""),1631.27)</f>
        <v>1631.27</v>
      </c>
      <c r="C24" s="1">
        <f ca="1">IFERROR(__xludf.DUMMYFUNCTION("""COMPUTED_VALUE"""),1632.38)</f>
        <v>1632.38</v>
      </c>
      <c r="D24" s="1">
        <f ca="1">IFERROR(__xludf.DUMMYFUNCTION("""COMPUTED_VALUE"""),1590.72)</f>
        <v>1590.72</v>
      </c>
      <c r="E24" s="1">
        <f ca="1">IFERROR(__xludf.DUMMYFUNCTION("""COMPUTED_VALUE"""),1593.88)</f>
        <v>1593.88</v>
      </c>
      <c r="F24" s="1">
        <f ca="1">IFERROR(__xludf.DUMMYFUNCTION("""COMPUTED_VALUE"""),4632782)</f>
        <v>4632782</v>
      </c>
    </row>
    <row r="25" spans="1:6" ht="15.75" customHeight="1">
      <c r="A25" s="10">
        <f ca="1">IFERROR(__xludf.DUMMYFUNCTION("""COMPUTED_VALUE"""),43495.6666666666)</f>
        <v>43495.666666666599</v>
      </c>
      <c r="B25" s="1">
        <f ca="1">IFERROR(__xludf.DUMMYFUNCTION("""COMPUTED_VALUE"""),1623)</f>
        <v>1623</v>
      </c>
      <c r="C25" s="1">
        <f ca="1">IFERROR(__xludf.DUMMYFUNCTION("""COMPUTED_VALUE"""),1676.95)</f>
        <v>1676.95</v>
      </c>
      <c r="D25" s="1">
        <f ca="1">IFERROR(__xludf.DUMMYFUNCTION("""COMPUTED_VALUE"""),1619.68)</f>
        <v>1619.68</v>
      </c>
      <c r="E25" s="1">
        <f ca="1">IFERROR(__xludf.DUMMYFUNCTION("""COMPUTED_VALUE"""),1670.43)</f>
        <v>1670.43</v>
      </c>
      <c r="F25" s="1">
        <f ca="1">IFERROR(__xludf.DUMMYFUNCTION("""COMPUTED_VALUE"""),5783822)</f>
        <v>5783822</v>
      </c>
    </row>
    <row r="26" spans="1:6" ht="15.75" customHeight="1">
      <c r="A26" s="10">
        <f ca="1">IFERROR(__xludf.DUMMYFUNCTION("""COMPUTED_VALUE"""),43496.6666666666)</f>
        <v>43496.666666666599</v>
      </c>
      <c r="B26" s="1">
        <f ca="1">IFERROR(__xludf.DUMMYFUNCTION("""COMPUTED_VALUE"""),1692.85)</f>
        <v>1692.85</v>
      </c>
      <c r="C26" s="1">
        <f ca="1">IFERROR(__xludf.DUMMYFUNCTION("""COMPUTED_VALUE"""),1736.41)</f>
        <v>1736.41</v>
      </c>
      <c r="D26" s="1">
        <f ca="1">IFERROR(__xludf.DUMMYFUNCTION("""COMPUTED_VALUE"""),1679.08)</f>
        <v>1679.08</v>
      </c>
      <c r="E26" s="1">
        <f ca="1">IFERROR(__xludf.DUMMYFUNCTION("""COMPUTED_VALUE"""),1718.73)</f>
        <v>1718.73</v>
      </c>
      <c r="F26" s="1">
        <f ca="1">IFERROR(__xludf.DUMMYFUNCTION("""COMPUTED_VALUE"""),10910338)</f>
        <v>10910338</v>
      </c>
    </row>
    <row r="27" spans="1:6" ht="15.75" customHeight="1">
      <c r="A27" s="10">
        <f ca="1">IFERROR(__xludf.DUMMYFUNCTION("""COMPUTED_VALUE"""),43497.6666666666)</f>
        <v>43497.666666666599</v>
      </c>
      <c r="B27" s="1">
        <f ca="1">IFERROR(__xludf.DUMMYFUNCTION("""COMPUTED_VALUE"""),1638.88)</f>
        <v>1638.88</v>
      </c>
      <c r="C27" s="1">
        <f ca="1">IFERROR(__xludf.DUMMYFUNCTION("""COMPUTED_VALUE"""),1673.06)</f>
        <v>1673.06</v>
      </c>
      <c r="D27" s="1">
        <f ca="1">IFERROR(__xludf.DUMMYFUNCTION("""COMPUTED_VALUE"""),1622.01)</f>
        <v>1622.01</v>
      </c>
      <c r="E27" s="1">
        <f ca="1">IFERROR(__xludf.DUMMYFUNCTION("""COMPUTED_VALUE"""),1626.23)</f>
        <v>1626.23</v>
      </c>
      <c r="F27" s="1">
        <f ca="1">IFERROR(__xludf.DUMMYFUNCTION("""COMPUTED_VALUE"""),11506213)</f>
        <v>11506213</v>
      </c>
    </row>
    <row r="28" spans="1:6" ht="15.75" customHeight="1">
      <c r="A28" s="10">
        <f ca="1">IFERROR(__xludf.DUMMYFUNCTION("""COMPUTED_VALUE"""),43500.6666666666)</f>
        <v>43500.666666666599</v>
      </c>
      <c r="B28" s="1">
        <f ca="1">IFERROR(__xludf.DUMMYFUNCTION("""COMPUTED_VALUE"""),1623)</f>
        <v>1623</v>
      </c>
      <c r="C28" s="1">
        <f ca="1">IFERROR(__xludf.DUMMYFUNCTION("""COMPUTED_VALUE"""),1649.63)</f>
        <v>1649.63</v>
      </c>
      <c r="D28" s="1">
        <f ca="1">IFERROR(__xludf.DUMMYFUNCTION("""COMPUTED_VALUE"""),1613.5)</f>
        <v>1613.5</v>
      </c>
      <c r="E28" s="1">
        <f ca="1">IFERROR(__xludf.DUMMYFUNCTION("""COMPUTED_VALUE"""),1633.31)</f>
        <v>1633.31</v>
      </c>
      <c r="F28" s="1">
        <f ca="1">IFERROR(__xludf.DUMMYFUNCTION("""COMPUTED_VALUE"""),4929187)</f>
        <v>4929187</v>
      </c>
    </row>
    <row r="29" spans="1:6" ht="15.75" customHeight="1">
      <c r="A29" s="10">
        <f ca="1">IFERROR(__xludf.DUMMYFUNCTION("""COMPUTED_VALUE"""),43501.6666666666)</f>
        <v>43501.666666666599</v>
      </c>
      <c r="B29" s="1">
        <f ca="1">IFERROR(__xludf.DUMMYFUNCTION("""COMPUTED_VALUE"""),1643.34)</f>
        <v>1643.34</v>
      </c>
      <c r="C29" s="1">
        <f ca="1">IFERROR(__xludf.DUMMYFUNCTION("""COMPUTED_VALUE"""),1665.26)</f>
        <v>1665.26</v>
      </c>
      <c r="D29" s="1">
        <f ca="1">IFERROR(__xludf.DUMMYFUNCTION("""COMPUTED_VALUE"""),1642.5)</f>
        <v>1642.5</v>
      </c>
      <c r="E29" s="1">
        <f ca="1">IFERROR(__xludf.DUMMYFUNCTION("""COMPUTED_VALUE"""),1658.81)</f>
        <v>1658.81</v>
      </c>
      <c r="F29" s="1">
        <f ca="1">IFERROR(__xludf.DUMMYFUNCTION("""COMPUTED_VALUE"""),4453105)</f>
        <v>4453105</v>
      </c>
    </row>
    <row r="30" spans="1:6" ht="15.75" customHeight="1">
      <c r="A30" s="10">
        <f ca="1">IFERROR(__xludf.DUMMYFUNCTION("""COMPUTED_VALUE"""),43502.6666666666)</f>
        <v>43502.666666666599</v>
      </c>
      <c r="B30" s="1">
        <f ca="1">IFERROR(__xludf.DUMMYFUNCTION("""COMPUTED_VALUE"""),1670.75)</f>
        <v>1670.75</v>
      </c>
      <c r="C30" s="1">
        <f ca="1">IFERROR(__xludf.DUMMYFUNCTION("""COMPUTED_VALUE"""),1672.26)</f>
        <v>1672.26</v>
      </c>
      <c r="D30" s="1">
        <f ca="1">IFERROR(__xludf.DUMMYFUNCTION("""COMPUTED_VALUE"""),1633.34)</f>
        <v>1633.34</v>
      </c>
      <c r="E30" s="1">
        <f ca="1">IFERROR(__xludf.DUMMYFUNCTION("""COMPUTED_VALUE"""),1640.26)</f>
        <v>1640.26</v>
      </c>
      <c r="F30" s="1">
        <f ca="1">IFERROR(__xludf.DUMMYFUNCTION("""COMPUTED_VALUE"""),3939883)</f>
        <v>3939883</v>
      </c>
    </row>
    <row r="31" spans="1:6" ht="15.75" customHeight="1">
      <c r="A31" s="10">
        <f ca="1">IFERROR(__xludf.DUMMYFUNCTION("""COMPUTED_VALUE"""),43503.6666666666)</f>
        <v>43503.666666666599</v>
      </c>
      <c r="B31" s="1">
        <f ca="1">IFERROR(__xludf.DUMMYFUNCTION("""COMPUTED_VALUE"""),1625)</f>
        <v>1625</v>
      </c>
      <c r="C31" s="1">
        <f ca="1">IFERROR(__xludf.DUMMYFUNCTION("""COMPUTED_VALUE"""),1625.54)</f>
        <v>1625.54</v>
      </c>
      <c r="D31" s="1">
        <f ca="1">IFERROR(__xludf.DUMMYFUNCTION("""COMPUTED_VALUE"""),1592.91)</f>
        <v>1592.91</v>
      </c>
      <c r="E31" s="1">
        <f ca="1">IFERROR(__xludf.DUMMYFUNCTION("""COMPUTED_VALUE"""),1614.37)</f>
        <v>1614.37</v>
      </c>
      <c r="F31" s="1">
        <f ca="1">IFERROR(__xludf.DUMMYFUNCTION("""COMPUTED_VALUE"""),4626589)</f>
        <v>4626589</v>
      </c>
    </row>
    <row r="32" spans="1:6" ht="15.75" customHeight="1">
      <c r="A32" s="10">
        <f ca="1">IFERROR(__xludf.DUMMYFUNCTION("""COMPUTED_VALUE"""),43504.6666666666)</f>
        <v>43504.666666666599</v>
      </c>
      <c r="B32" s="1">
        <f ca="1">IFERROR(__xludf.DUMMYFUNCTION("""COMPUTED_VALUE"""),1586)</f>
        <v>1586</v>
      </c>
      <c r="C32" s="1">
        <f ca="1">IFERROR(__xludf.DUMMYFUNCTION("""COMPUTED_VALUE"""),1588.59)</f>
        <v>1588.59</v>
      </c>
      <c r="D32" s="1">
        <f ca="1">IFERROR(__xludf.DUMMYFUNCTION("""COMPUTED_VALUE"""),1566.76)</f>
        <v>1566.76</v>
      </c>
      <c r="E32" s="1">
        <f ca="1">IFERROR(__xludf.DUMMYFUNCTION("""COMPUTED_VALUE"""),1588.22)</f>
        <v>1588.22</v>
      </c>
      <c r="F32" s="1">
        <f ca="1">IFERROR(__xludf.DUMMYFUNCTION("""COMPUTED_VALUE"""),5657457)</f>
        <v>5657457</v>
      </c>
    </row>
    <row r="33" spans="1:6" ht="15.75" customHeight="1">
      <c r="A33" s="10">
        <f ca="1">IFERROR(__xludf.DUMMYFUNCTION("""COMPUTED_VALUE"""),43507.6666666666)</f>
        <v>43507.666666666599</v>
      </c>
      <c r="B33" s="1">
        <f ca="1">IFERROR(__xludf.DUMMYFUNCTION("""COMPUTED_VALUE"""),1600.98)</f>
        <v>1600.98</v>
      </c>
      <c r="C33" s="1">
        <f ca="1">IFERROR(__xludf.DUMMYFUNCTION("""COMPUTED_VALUE"""),1609.29)</f>
        <v>1609.29</v>
      </c>
      <c r="D33" s="1">
        <f ca="1">IFERROR(__xludf.DUMMYFUNCTION("""COMPUTED_VALUE"""),1586)</f>
        <v>1586</v>
      </c>
      <c r="E33" s="1">
        <f ca="1">IFERROR(__xludf.DUMMYFUNCTION("""COMPUTED_VALUE"""),1591)</f>
        <v>1591</v>
      </c>
      <c r="F33" s="1">
        <f ca="1">IFERROR(__xludf.DUMMYFUNCTION("""COMPUTED_VALUE"""),3317328)</f>
        <v>3317328</v>
      </c>
    </row>
    <row r="34" spans="1:6" ht="15.75" customHeight="1">
      <c r="A34" s="10">
        <f ca="1">IFERROR(__xludf.DUMMYFUNCTION("""COMPUTED_VALUE"""),43508.6666666666)</f>
        <v>43508.666666666599</v>
      </c>
      <c r="B34" s="1">
        <f ca="1">IFERROR(__xludf.DUMMYFUNCTION("""COMPUTED_VALUE"""),1604)</f>
        <v>1604</v>
      </c>
      <c r="C34" s="1">
        <f ca="1">IFERROR(__xludf.DUMMYFUNCTION("""COMPUTED_VALUE"""),1639.4)</f>
        <v>1639.4</v>
      </c>
      <c r="D34" s="1">
        <f ca="1">IFERROR(__xludf.DUMMYFUNCTION("""COMPUTED_VALUE"""),1598.88)</f>
        <v>1598.88</v>
      </c>
      <c r="E34" s="1">
        <f ca="1">IFERROR(__xludf.DUMMYFUNCTION("""COMPUTED_VALUE"""),1638.01)</f>
        <v>1638.01</v>
      </c>
      <c r="F34" s="1">
        <f ca="1">IFERROR(__xludf.DUMMYFUNCTION("""COMPUTED_VALUE"""),4858604)</f>
        <v>4858604</v>
      </c>
    </row>
    <row r="35" spans="1:6" ht="15.75" customHeight="1">
      <c r="A35" s="10">
        <f ca="1">IFERROR(__xludf.DUMMYFUNCTION("""COMPUTED_VALUE"""),43509.6666666666)</f>
        <v>43509.666666666599</v>
      </c>
      <c r="B35" s="1">
        <f ca="1">IFERROR(__xludf.DUMMYFUNCTION("""COMPUTED_VALUE"""),1647)</f>
        <v>1647</v>
      </c>
      <c r="C35" s="1">
        <f ca="1">IFERROR(__xludf.DUMMYFUNCTION("""COMPUTED_VALUE"""),1656.38)</f>
        <v>1656.38</v>
      </c>
      <c r="D35" s="1">
        <f ca="1">IFERROR(__xludf.DUMMYFUNCTION("""COMPUTED_VALUE"""),1637.11)</f>
        <v>1637.11</v>
      </c>
      <c r="E35" s="1">
        <f ca="1">IFERROR(__xludf.DUMMYFUNCTION("""COMPUTED_VALUE"""),1640)</f>
        <v>1640</v>
      </c>
      <c r="F35" s="1">
        <f ca="1">IFERROR(__xludf.DUMMYFUNCTION("""COMPUTED_VALUE"""),3560321)</f>
        <v>3560321</v>
      </c>
    </row>
    <row r="36" spans="1:6" ht="15.75" customHeight="1">
      <c r="A36" s="10">
        <f ca="1">IFERROR(__xludf.DUMMYFUNCTION("""COMPUTED_VALUE"""),43510.6666666666)</f>
        <v>43510.666666666599</v>
      </c>
      <c r="B36" s="1">
        <f ca="1">IFERROR(__xludf.DUMMYFUNCTION("""COMPUTED_VALUE"""),1624.5)</f>
        <v>1624.5</v>
      </c>
      <c r="C36" s="1">
        <f ca="1">IFERROR(__xludf.DUMMYFUNCTION("""COMPUTED_VALUE"""),1637.9)</f>
        <v>1637.9</v>
      </c>
      <c r="D36" s="1">
        <f ca="1">IFERROR(__xludf.DUMMYFUNCTION("""COMPUTED_VALUE"""),1606.06)</f>
        <v>1606.06</v>
      </c>
      <c r="E36" s="1">
        <f ca="1">IFERROR(__xludf.DUMMYFUNCTION("""COMPUTED_VALUE"""),1622.65)</f>
        <v>1622.65</v>
      </c>
      <c r="F36" s="1">
        <f ca="1">IFERROR(__xludf.DUMMYFUNCTION("""COMPUTED_VALUE"""),4120524)</f>
        <v>4120524</v>
      </c>
    </row>
    <row r="37" spans="1:6" ht="15.75" customHeight="1">
      <c r="A37" s="10">
        <f ca="1">IFERROR(__xludf.DUMMYFUNCTION("""COMPUTED_VALUE"""),43511.6666666666)</f>
        <v>43511.666666666599</v>
      </c>
      <c r="B37" s="1">
        <f ca="1">IFERROR(__xludf.DUMMYFUNCTION("""COMPUTED_VALUE"""),1627.86)</f>
        <v>1627.86</v>
      </c>
      <c r="C37" s="1">
        <f ca="1">IFERROR(__xludf.DUMMYFUNCTION("""COMPUTED_VALUE"""),1628.91)</f>
        <v>1628.91</v>
      </c>
      <c r="D37" s="1">
        <f ca="1">IFERROR(__xludf.DUMMYFUNCTION("""COMPUTED_VALUE"""),1604.5)</f>
        <v>1604.5</v>
      </c>
      <c r="E37" s="1">
        <f ca="1">IFERROR(__xludf.DUMMYFUNCTION("""COMPUTED_VALUE"""),1607.95)</f>
        <v>1607.95</v>
      </c>
      <c r="F37" s="1">
        <f ca="1">IFERROR(__xludf.DUMMYFUNCTION("""COMPUTED_VALUE"""),4343893)</f>
        <v>4343893</v>
      </c>
    </row>
    <row r="38" spans="1:6" ht="15.75" customHeight="1">
      <c r="A38" s="10">
        <f ca="1">IFERROR(__xludf.DUMMYFUNCTION("""COMPUTED_VALUE"""),43515.6666666666)</f>
        <v>43515.666666666599</v>
      </c>
      <c r="B38" s="1">
        <f ca="1">IFERROR(__xludf.DUMMYFUNCTION("""COMPUTED_VALUE"""),1601)</f>
        <v>1601</v>
      </c>
      <c r="C38" s="1">
        <f ca="1">IFERROR(__xludf.DUMMYFUNCTION("""COMPUTED_VALUE"""),1634)</f>
        <v>1634</v>
      </c>
      <c r="D38" s="1">
        <f ca="1">IFERROR(__xludf.DUMMYFUNCTION("""COMPUTED_VALUE"""),1600.56)</f>
        <v>1600.56</v>
      </c>
      <c r="E38" s="1">
        <f ca="1">IFERROR(__xludf.DUMMYFUNCTION("""COMPUTED_VALUE"""),1627.58)</f>
        <v>1627.58</v>
      </c>
      <c r="F38" s="1">
        <f ca="1">IFERROR(__xludf.DUMMYFUNCTION("""COMPUTED_VALUE"""),3681656)</f>
        <v>3681656</v>
      </c>
    </row>
    <row r="39" spans="1:6" ht="15.75" customHeight="1">
      <c r="A39" s="10">
        <f ca="1">IFERROR(__xludf.DUMMYFUNCTION("""COMPUTED_VALUE"""),43516.6666666666)</f>
        <v>43516.666666666599</v>
      </c>
      <c r="B39" s="1">
        <f ca="1">IFERROR(__xludf.DUMMYFUNCTION("""COMPUTED_VALUE"""),1630)</f>
        <v>1630</v>
      </c>
      <c r="C39" s="1">
        <f ca="1">IFERROR(__xludf.DUMMYFUNCTION("""COMPUTED_VALUE"""),1634.93)</f>
        <v>1634.93</v>
      </c>
      <c r="D39" s="1">
        <f ca="1">IFERROR(__xludf.DUMMYFUNCTION("""COMPUTED_VALUE"""),1610.12)</f>
        <v>1610.12</v>
      </c>
      <c r="E39" s="1">
        <f ca="1">IFERROR(__xludf.DUMMYFUNCTION("""COMPUTED_VALUE"""),1622.1)</f>
        <v>1622.1</v>
      </c>
      <c r="F39" s="1">
        <f ca="1">IFERROR(__xludf.DUMMYFUNCTION("""COMPUTED_VALUE"""),3337589)</f>
        <v>3337589</v>
      </c>
    </row>
    <row r="40" spans="1:6" ht="15.75" customHeight="1">
      <c r="A40" s="10">
        <f ca="1">IFERROR(__xludf.DUMMYFUNCTION("""COMPUTED_VALUE"""),43517.6666666666)</f>
        <v>43517.666666666599</v>
      </c>
      <c r="B40" s="1">
        <f ca="1">IFERROR(__xludf.DUMMYFUNCTION("""COMPUTED_VALUE"""),1619.85)</f>
        <v>1619.85</v>
      </c>
      <c r="C40" s="1">
        <f ca="1">IFERROR(__xludf.DUMMYFUNCTION("""COMPUTED_VALUE"""),1623.56)</f>
        <v>1623.56</v>
      </c>
      <c r="D40" s="1">
        <f ca="1">IFERROR(__xludf.DUMMYFUNCTION("""COMPUTED_VALUE"""),1600.91)</f>
        <v>1600.91</v>
      </c>
      <c r="E40" s="1">
        <f ca="1">IFERROR(__xludf.DUMMYFUNCTION("""COMPUTED_VALUE"""),1619.44)</f>
        <v>1619.44</v>
      </c>
      <c r="F40" s="1">
        <f ca="1">IFERROR(__xludf.DUMMYFUNCTION("""COMPUTED_VALUE"""),3483392)</f>
        <v>3483392</v>
      </c>
    </row>
    <row r="41" spans="1:6" ht="15.75" customHeight="1">
      <c r="A41" s="10">
        <f ca="1">IFERROR(__xludf.DUMMYFUNCTION("""COMPUTED_VALUE"""),43518.6666666666)</f>
        <v>43518.666666666599</v>
      </c>
      <c r="B41" s="1">
        <f ca="1">IFERROR(__xludf.DUMMYFUNCTION("""COMPUTED_VALUE"""),1623.5)</f>
        <v>1623.5</v>
      </c>
      <c r="C41" s="1">
        <f ca="1">IFERROR(__xludf.DUMMYFUNCTION("""COMPUTED_VALUE"""),1634.94)</f>
        <v>1634.94</v>
      </c>
      <c r="D41" s="1">
        <f ca="1">IFERROR(__xludf.DUMMYFUNCTION("""COMPUTED_VALUE"""),1621.17)</f>
        <v>1621.17</v>
      </c>
      <c r="E41" s="1">
        <f ca="1">IFERROR(__xludf.DUMMYFUNCTION("""COMPUTED_VALUE"""),1631.56)</f>
        <v>1631.56</v>
      </c>
      <c r="F41" s="1">
        <f ca="1">IFERROR(__xludf.DUMMYFUNCTION("""COMPUTED_VALUE"""),3096191)</f>
        <v>3096191</v>
      </c>
    </row>
    <row r="42" spans="1:6" ht="15.75" customHeight="1">
      <c r="A42" s="10">
        <f ca="1">IFERROR(__xludf.DUMMYFUNCTION("""COMPUTED_VALUE"""),43521.6666666666)</f>
        <v>43521.666666666599</v>
      </c>
      <c r="B42" s="1">
        <f ca="1">IFERROR(__xludf.DUMMYFUNCTION("""COMPUTED_VALUE"""),1641.45)</f>
        <v>1641.45</v>
      </c>
      <c r="C42" s="1">
        <f ca="1">IFERROR(__xludf.DUMMYFUNCTION("""COMPUTED_VALUE"""),1654.6)</f>
        <v>1654.6</v>
      </c>
      <c r="D42" s="1">
        <f ca="1">IFERROR(__xludf.DUMMYFUNCTION("""COMPUTED_VALUE"""),1630.39)</f>
        <v>1630.39</v>
      </c>
      <c r="E42" s="1">
        <f ca="1">IFERROR(__xludf.DUMMYFUNCTION("""COMPUTED_VALUE"""),1633)</f>
        <v>1633</v>
      </c>
      <c r="F42" s="1">
        <f ca="1">IFERROR(__xludf.DUMMYFUNCTION("""COMPUTED_VALUE"""),3184462)</f>
        <v>3184462</v>
      </c>
    </row>
    <row r="43" spans="1:6" ht="15.75" customHeight="1">
      <c r="A43" s="10">
        <f ca="1">IFERROR(__xludf.DUMMYFUNCTION("""COMPUTED_VALUE"""),43522.6666666666)</f>
        <v>43522.666666666599</v>
      </c>
      <c r="B43" s="1">
        <f ca="1">IFERROR(__xludf.DUMMYFUNCTION("""COMPUTED_VALUE"""),1625.98)</f>
        <v>1625.98</v>
      </c>
      <c r="C43" s="1">
        <f ca="1">IFERROR(__xludf.DUMMYFUNCTION("""COMPUTED_VALUE"""),1639.99)</f>
        <v>1639.99</v>
      </c>
      <c r="D43" s="1">
        <f ca="1">IFERROR(__xludf.DUMMYFUNCTION("""COMPUTED_VALUE"""),1616.13)</f>
        <v>1616.13</v>
      </c>
      <c r="E43" s="1">
        <f ca="1">IFERROR(__xludf.DUMMYFUNCTION("""COMPUTED_VALUE"""),1636.4)</f>
        <v>1636.4</v>
      </c>
      <c r="F43" s="1">
        <f ca="1">IFERROR(__xludf.DUMMYFUNCTION("""COMPUTED_VALUE"""),2665815)</f>
        <v>2665815</v>
      </c>
    </row>
    <row r="44" spans="1:6" ht="15.75" customHeight="1">
      <c r="A44" s="10">
        <f ca="1">IFERROR(__xludf.DUMMYFUNCTION("""COMPUTED_VALUE"""),43523.6666666666)</f>
        <v>43523.666666666599</v>
      </c>
      <c r="B44" s="1">
        <f ca="1">IFERROR(__xludf.DUMMYFUNCTION("""COMPUTED_VALUE"""),1628.18)</f>
        <v>1628.18</v>
      </c>
      <c r="C44" s="1">
        <f ca="1">IFERROR(__xludf.DUMMYFUNCTION("""COMPUTED_VALUE"""),1641.81)</f>
        <v>1641.81</v>
      </c>
      <c r="D44" s="1">
        <f ca="1">IFERROR(__xludf.DUMMYFUNCTION("""COMPUTED_VALUE"""),1615.1)</f>
        <v>1615.1</v>
      </c>
      <c r="E44" s="1">
        <f ca="1">IFERROR(__xludf.DUMMYFUNCTION("""COMPUTED_VALUE"""),1641.09)</f>
        <v>1641.09</v>
      </c>
      <c r="F44" s="1">
        <f ca="1">IFERROR(__xludf.DUMMYFUNCTION("""COMPUTED_VALUE"""),3148824)</f>
        <v>3148824</v>
      </c>
    </row>
    <row r="45" spans="1:6" ht="15.75" customHeight="1">
      <c r="A45" s="10">
        <f ca="1">IFERROR(__xludf.DUMMYFUNCTION("""COMPUTED_VALUE"""),43524.6666666666)</f>
        <v>43524.666666666599</v>
      </c>
      <c r="B45" s="1">
        <f ca="1">IFERROR(__xludf.DUMMYFUNCTION("""COMPUTED_VALUE"""),1635.25)</f>
        <v>1635.25</v>
      </c>
      <c r="C45" s="1">
        <f ca="1">IFERROR(__xludf.DUMMYFUNCTION("""COMPUTED_VALUE"""),1651.77)</f>
        <v>1651.77</v>
      </c>
      <c r="D45" s="1">
        <f ca="1">IFERROR(__xludf.DUMMYFUNCTION("""COMPUTED_VALUE"""),1633.83)</f>
        <v>1633.83</v>
      </c>
      <c r="E45" s="1">
        <f ca="1">IFERROR(__xludf.DUMMYFUNCTION("""COMPUTED_VALUE"""),1639.83)</f>
        <v>1639.83</v>
      </c>
      <c r="F45" s="1">
        <f ca="1">IFERROR(__xludf.DUMMYFUNCTION("""COMPUTED_VALUE"""),3025891)</f>
        <v>3025891</v>
      </c>
    </row>
    <row r="46" spans="1:6" ht="15.75" customHeight="1">
      <c r="A46" s="10">
        <f ca="1">IFERROR(__xludf.DUMMYFUNCTION("""COMPUTED_VALUE"""),43525.6666666666)</f>
        <v>43525.666666666599</v>
      </c>
      <c r="B46" s="1">
        <f ca="1">IFERROR(__xludf.DUMMYFUNCTION("""COMPUTED_VALUE"""),1655.13)</f>
        <v>1655.13</v>
      </c>
      <c r="C46" s="1">
        <f ca="1">IFERROR(__xludf.DUMMYFUNCTION("""COMPUTED_VALUE"""),1674.26)</f>
        <v>1674.26</v>
      </c>
      <c r="D46" s="1">
        <f ca="1">IFERROR(__xludf.DUMMYFUNCTION("""COMPUTED_VALUE"""),1651)</f>
        <v>1651</v>
      </c>
      <c r="E46" s="1">
        <f ca="1">IFERROR(__xludf.DUMMYFUNCTION("""COMPUTED_VALUE"""),1671.73)</f>
        <v>1671.73</v>
      </c>
      <c r="F46" s="1">
        <f ca="1">IFERROR(__xludf.DUMMYFUNCTION("""COMPUTED_VALUE"""),4974877)</f>
        <v>4974877</v>
      </c>
    </row>
    <row r="47" spans="1:6" ht="15.75" customHeight="1">
      <c r="A47" s="10">
        <f ca="1">IFERROR(__xludf.DUMMYFUNCTION("""COMPUTED_VALUE"""),43528.6666666666)</f>
        <v>43528.666666666599</v>
      </c>
      <c r="B47" s="1">
        <f ca="1">IFERROR(__xludf.DUMMYFUNCTION("""COMPUTED_VALUE"""),1685)</f>
        <v>1685</v>
      </c>
      <c r="C47" s="1">
        <f ca="1">IFERROR(__xludf.DUMMYFUNCTION("""COMPUTED_VALUE"""),1709.43)</f>
        <v>1709.43</v>
      </c>
      <c r="D47" s="1">
        <f ca="1">IFERROR(__xludf.DUMMYFUNCTION("""COMPUTED_VALUE"""),1674.36)</f>
        <v>1674.36</v>
      </c>
      <c r="E47" s="1">
        <f ca="1">IFERROR(__xludf.DUMMYFUNCTION("""COMPUTED_VALUE"""),1696.17)</f>
        <v>1696.17</v>
      </c>
      <c r="F47" s="1">
        <f ca="1">IFERROR(__xludf.DUMMYFUNCTION("""COMPUTED_VALUE"""),6167358)</f>
        <v>6167358</v>
      </c>
    </row>
    <row r="48" spans="1:6" ht="15.75" customHeight="1">
      <c r="A48" s="10">
        <f ca="1">IFERROR(__xludf.DUMMYFUNCTION("""COMPUTED_VALUE"""),43529.6666666666)</f>
        <v>43529.666666666599</v>
      </c>
      <c r="B48" s="1">
        <f ca="1">IFERROR(__xludf.DUMMYFUNCTION("""COMPUTED_VALUE"""),1702.95)</f>
        <v>1702.95</v>
      </c>
      <c r="C48" s="1">
        <f ca="1">IFERROR(__xludf.DUMMYFUNCTION("""COMPUTED_VALUE"""),1707.8)</f>
        <v>1707.8</v>
      </c>
      <c r="D48" s="1">
        <f ca="1">IFERROR(__xludf.DUMMYFUNCTION("""COMPUTED_VALUE"""),1689.01)</f>
        <v>1689.01</v>
      </c>
      <c r="E48" s="1">
        <f ca="1">IFERROR(__xludf.DUMMYFUNCTION("""COMPUTED_VALUE"""),1692.43)</f>
        <v>1692.43</v>
      </c>
      <c r="F48" s="1">
        <f ca="1">IFERROR(__xludf.DUMMYFUNCTION("""COMPUTED_VALUE"""),3681522)</f>
        <v>3681522</v>
      </c>
    </row>
    <row r="49" spans="1:6" ht="15.75" customHeight="1">
      <c r="A49" s="10">
        <f ca="1">IFERROR(__xludf.DUMMYFUNCTION("""COMPUTED_VALUE"""),43530.6666666666)</f>
        <v>43530.666666666599</v>
      </c>
      <c r="B49" s="1">
        <f ca="1">IFERROR(__xludf.DUMMYFUNCTION("""COMPUTED_VALUE"""),1695.97)</f>
        <v>1695.97</v>
      </c>
      <c r="C49" s="1">
        <f ca="1">IFERROR(__xludf.DUMMYFUNCTION("""COMPUTED_VALUE"""),1697.75)</f>
        <v>1697.75</v>
      </c>
      <c r="D49" s="1">
        <f ca="1">IFERROR(__xludf.DUMMYFUNCTION("""COMPUTED_VALUE"""),1668.28)</f>
        <v>1668.28</v>
      </c>
      <c r="E49" s="1">
        <f ca="1">IFERROR(__xludf.DUMMYFUNCTION("""COMPUTED_VALUE"""),1668.95)</f>
        <v>1668.95</v>
      </c>
      <c r="F49" s="1">
        <f ca="1">IFERROR(__xludf.DUMMYFUNCTION("""COMPUTED_VALUE"""),3996001)</f>
        <v>3996001</v>
      </c>
    </row>
    <row r="50" spans="1:6" ht="15.75" customHeight="1">
      <c r="A50" s="10">
        <f ca="1">IFERROR(__xludf.DUMMYFUNCTION("""COMPUTED_VALUE"""),43531.6666666666)</f>
        <v>43531.666666666599</v>
      </c>
      <c r="B50" s="1">
        <f ca="1">IFERROR(__xludf.DUMMYFUNCTION("""COMPUTED_VALUE"""),1667.37)</f>
        <v>1667.37</v>
      </c>
      <c r="C50" s="1">
        <f ca="1">IFERROR(__xludf.DUMMYFUNCTION("""COMPUTED_VALUE"""),1669.75)</f>
        <v>1669.75</v>
      </c>
      <c r="D50" s="1">
        <f ca="1">IFERROR(__xludf.DUMMYFUNCTION("""COMPUTED_VALUE"""),1620.51)</f>
        <v>1620.51</v>
      </c>
      <c r="E50" s="1">
        <f ca="1">IFERROR(__xludf.DUMMYFUNCTION("""COMPUTED_VALUE"""),1625.95)</f>
        <v>1625.95</v>
      </c>
      <c r="F50" s="1">
        <f ca="1">IFERROR(__xludf.DUMMYFUNCTION("""COMPUTED_VALUE"""),4957017)</f>
        <v>4957017</v>
      </c>
    </row>
    <row r="51" spans="1:6" ht="15.75" customHeight="1">
      <c r="A51" s="10">
        <f ca="1">IFERROR(__xludf.DUMMYFUNCTION("""COMPUTED_VALUE"""),43532.6666666666)</f>
        <v>43532.666666666599</v>
      </c>
      <c r="B51" s="1">
        <f ca="1">IFERROR(__xludf.DUMMYFUNCTION("""COMPUTED_VALUE"""),1604.01)</f>
        <v>1604.01</v>
      </c>
      <c r="C51" s="1">
        <f ca="1">IFERROR(__xludf.DUMMYFUNCTION("""COMPUTED_VALUE"""),1622.72)</f>
        <v>1622.72</v>
      </c>
      <c r="D51" s="1">
        <f ca="1">IFERROR(__xludf.DUMMYFUNCTION("""COMPUTED_VALUE"""),1586.57)</f>
        <v>1586.57</v>
      </c>
      <c r="E51" s="1">
        <f ca="1">IFERROR(__xludf.DUMMYFUNCTION("""COMPUTED_VALUE"""),1620.8)</f>
        <v>1620.8</v>
      </c>
      <c r="F51" s="1">
        <f ca="1">IFERROR(__xludf.DUMMYFUNCTION("""COMPUTED_VALUE"""),4667014)</f>
        <v>4667014</v>
      </c>
    </row>
    <row r="52" spans="1:6" ht="15.75" customHeight="1">
      <c r="A52" s="10">
        <f ca="1">IFERROR(__xludf.DUMMYFUNCTION("""COMPUTED_VALUE"""),43535.6666666666)</f>
        <v>43535.666666666599</v>
      </c>
      <c r="B52" s="1">
        <f ca="1">IFERROR(__xludf.DUMMYFUNCTION("""COMPUTED_VALUE"""),1626.12)</f>
        <v>1626.12</v>
      </c>
      <c r="C52" s="1">
        <f ca="1">IFERROR(__xludf.DUMMYFUNCTION("""COMPUTED_VALUE"""),1672.29)</f>
        <v>1672.29</v>
      </c>
      <c r="D52" s="1">
        <f ca="1">IFERROR(__xludf.DUMMYFUNCTION("""COMPUTED_VALUE"""),1626.01)</f>
        <v>1626.01</v>
      </c>
      <c r="E52" s="1">
        <f ca="1">IFERROR(__xludf.DUMMYFUNCTION("""COMPUTED_VALUE"""),1670.62)</f>
        <v>1670.62</v>
      </c>
      <c r="F52" s="1">
        <f ca="1">IFERROR(__xludf.DUMMYFUNCTION("""COMPUTED_VALUE"""),3876352)</f>
        <v>3876352</v>
      </c>
    </row>
    <row r="53" spans="1:6" ht="15.75" customHeight="1">
      <c r="A53" s="10">
        <f ca="1">IFERROR(__xludf.DUMMYFUNCTION("""COMPUTED_VALUE"""),43536.6666666666)</f>
        <v>43536.666666666599</v>
      </c>
      <c r="B53" s="1">
        <f ca="1">IFERROR(__xludf.DUMMYFUNCTION("""COMPUTED_VALUE"""),1669)</f>
        <v>1669</v>
      </c>
      <c r="C53" s="1">
        <f ca="1">IFERROR(__xludf.DUMMYFUNCTION("""COMPUTED_VALUE"""),1684.27)</f>
        <v>1684.27</v>
      </c>
      <c r="D53" s="1">
        <f ca="1">IFERROR(__xludf.DUMMYFUNCTION("""COMPUTED_VALUE"""),1660.98)</f>
        <v>1660.98</v>
      </c>
      <c r="E53" s="1">
        <f ca="1">IFERROR(__xludf.DUMMYFUNCTION("""COMPUTED_VALUE"""),1673.1)</f>
        <v>1673.1</v>
      </c>
      <c r="F53" s="1">
        <f ca="1">IFERROR(__xludf.DUMMYFUNCTION("""COMPUTED_VALUE"""),3614498)</f>
        <v>3614498</v>
      </c>
    </row>
    <row r="54" spans="1:6" ht="15.75" customHeight="1">
      <c r="A54" s="10">
        <f ca="1">IFERROR(__xludf.DUMMYFUNCTION("""COMPUTED_VALUE"""),43537.6666666666)</f>
        <v>43537.666666666599</v>
      </c>
      <c r="B54" s="1">
        <f ca="1">IFERROR(__xludf.DUMMYFUNCTION("""COMPUTED_VALUE"""),1683)</f>
        <v>1683</v>
      </c>
      <c r="C54" s="1">
        <f ca="1">IFERROR(__xludf.DUMMYFUNCTION("""COMPUTED_VALUE"""),1700)</f>
        <v>1700</v>
      </c>
      <c r="D54" s="1">
        <f ca="1">IFERROR(__xludf.DUMMYFUNCTION("""COMPUTED_VALUE"""),1679.35)</f>
        <v>1679.35</v>
      </c>
      <c r="E54" s="1">
        <f ca="1">IFERROR(__xludf.DUMMYFUNCTION("""COMPUTED_VALUE"""),1690.81)</f>
        <v>1690.81</v>
      </c>
      <c r="F54" s="1">
        <f ca="1">IFERROR(__xludf.DUMMYFUNCTION("""COMPUTED_VALUE"""),3552041)</f>
        <v>3552041</v>
      </c>
    </row>
    <row r="55" spans="1:6" ht="15.75" customHeight="1">
      <c r="A55" s="10">
        <f ca="1">IFERROR(__xludf.DUMMYFUNCTION("""COMPUTED_VALUE"""),43538.6666666666)</f>
        <v>43538.666666666599</v>
      </c>
      <c r="B55" s="1">
        <f ca="1">IFERROR(__xludf.DUMMYFUNCTION("""COMPUTED_VALUE"""),1691.2)</f>
        <v>1691.2</v>
      </c>
      <c r="C55" s="1">
        <f ca="1">IFERROR(__xludf.DUMMYFUNCTION("""COMPUTED_VALUE"""),1702)</f>
        <v>1702</v>
      </c>
      <c r="D55" s="1">
        <f ca="1">IFERROR(__xludf.DUMMYFUNCTION("""COMPUTED_VALUE"""),1684.34)</f>
        <v>1684.34</v>
      </c>
      <c r="E55" s="1">
        <f ca="1">IFERROR(__xludf.DUMMYFUNCTION("""COMPUTED_VALUE"""),1686.22)</f>
        <v>1686.22</v>
      </c>
      <c r="F55" s="1">
        <f ca="1">IFERROR(__xludf.DUMMYFUNCTION("""COMPUTED_VALUE"""),2946618)</f>
        <v>2946618</v>
      </c>
    </row>
    <row r="56" spans="1:6" ht="15.75" customHeight="1">
      <c r="A56" s="10">
        <f ca="1">IFERROR(__xludf.DUMMYFUNCTION("""COMPUTED_VALUE"""),43539.6666666666)</f>
        <v>43539.666666666599</v>
      </c>
      <c r="B56" s="1">
        <f ca="1">IFERROR(__xludf.DUMMYFUNCTION("""COMPUTED_VALUE"""),1703)</f>
        <v>1703</v>
      </c>
      <c r="C56" s="1">
        <f ca="1">IFERROR(__xludf.DUMMYFUNCTION("""COMPUTED_VALUE"""),1718.8)</f>
        <v>1718.8</v>
      </c>
      <c r="D56" s="1">
        <f ca="1">IFERROR(__xludf.DUMMYFUNCTION("""COMPUTED_VALUE"""),1693.13)</f>
        <v>1693.13</v>
      </c>
      <c r="E56" s="1">
        <f ca="1">IFERROR(__xludf.DUMMYFUNCTION("""COMPUTED_VALUE"""),1712.36)</f>
        <v>1712.36</v>
      </c>
      <c r="F56" s="1">
        <f ca="1">IFERROR(__xludf.DUMMYFUNCTION("""COMPUTED_VALUE"""),7550870)</f>
        <v>7550870</v>
      </c>
    </row>
    <row r="57" spans="1:6" ht="15.75" customHeight="1">
      <c r="A57" s="10">
        <f ca="1">IFERROR(__xludf.DUMMYFUNCTION("""COMPUTED_VALUE"""),43542.6666666666)</f>
        <v>43542.666666666599</v>
      </c>
      <c r="B57" s="1">
        <f ca="1">IFERROR(__xludf.DUMMYFUNCTION("""COMPUTED_VALUE"""),1712.7)</f>
        <v>1712.7</v>
      </c>
      <c r="C57" s="1">
        <f ca="1">IFERROR(__xludf.DUMMYFUNCTION("""COMPUTED_VALUE"""),1750)</f>
        <v>1750</v>
      </c>
      <c r="D57" s="1">
        <f ca="1">IFERROR(__xludf.DUMMYFUNCTION("""COMPUTED_VALUE"""),1712.63)</f>
        <v>1712.63</v>
      </c>
      <c r="E57" s="1">
        <f ca="1">IFERROR(__xludf.DUMMYFUNCTION("""COMPUTED_VALUE"""),1742.15)</f>
        <v>1742.15</v>
      </c>
      <c r="F57" s="1">
        <f ca="1">IFERROR(__xludf.DUMMYFUNCTION("""COMPUTED_VALUE"""),5429058)</f>
        <v>5429058</v>
      </c>
    </row>
    <row r="58" spans="1:6" ht="15.75" customHeight="1">
      <c r="A58" s="10">
        <f ca="1">IFERROR(__xludf.DUMMYFUNCTION("""COMPUTED_VALUE"""),43543.6666666666)</f>
        <v>43543.666666666599</v>
      </c>
      <c r="B58" s="1">
        <f ca="1">IFERROR(__xludf.DUMMYFUNCTION("""COMPUTED_VALUE"""),1753.51)</f>
        <v>1753.51</v>
      </c>
      <c r="C58" s="1">
        <f ca="1">IFERROR(__xludf.DUMMYFUNCTION("""COMPUTED_VALUE"""),1784.16)</f>
        <v>1784.16</v>
      </c>
      <c r="D58" s="1">
        <f ca="1">IFERROR(__xludf.DUMMYFUNCTION("""COMPUTED_VALUE"""),1753.51)</f>
        <v>1753.51</v>
      </c>
      <c r="E58" s="1">
        <f ca="1">IFERROR(__xludf.DUMMYFUNCTION("""COMPUTED_VALUE"""),1761.85)</f>
        <v>1761.85</v>
      </c>
      <c r="F58" s="1">
        <f ca="1">IFERROR(__xludf.DUMMYFUNCTION("""COMPUTED_VALUE"""),6364161)</f>
        <v>6364161</v>
      </c>
    </row>
    <row r="59" spans="1:6" ht="15.75" customHeight="1">
      <c r="A59" s="10">
        <f ca="1">IFERROR(__xludf.DUMMYFUNCTION("""COMPUTED_VALUE"""),43544.6666666666)</f>
        <v>43544.666666666599</v>
      </c>
      <c r="B59" s="1">
        <f ca="1">IFERROR(__xludf.DUMMYFUNCTION("""COMPUTED_VALUE"""),1769.94)</f>
        <v>1769.94</v>
      </c>
      <c r="C59" s="1">
        <f ca="1">IFERROR(__xludf.DUMMYFUNCTION("""COMPUTED_VALUE"""),1799.5)</f>
        <v>1799.5</v>
      </c>
      <c r="D59" s="1">
        <f ca="1">IFERROR(__xludf.DUMMYFUNCTION("""COMPUTED_VALUE"""),1767.03)</f>
        <v>1767.03</v>
      </c>
      <c r="E59" s="1">
        <f ca="1">IFERROR(__xludf.DUMMYFUNCTION("""COMPUTED_VALUE"""),1797.27)</f>
        <v>1797.27</v>
      </c>
      <c r="F59" s="1">
        <f ca="1">IFERROR(__xludf.DUMMYFUNCTION("""COMPUTED_VALUE"""),6265633)</f>
        <v>6265633</v>
      </c>
    </row>
    <row r="60" spans="1:6" ht="15.75" customHeight="1">
      <c r="A60" s="10">
        <f ca="1">IFERROR(__xludf.DUMMYFUNCTION("""COMPUTED_VALUE"""),43545.6666666666)</f>
        <v>43545.666666666599</v>
      </c>
      <c r="B60" s="1">
        <f ca="1">IFERROR(__xludf.DUMMYFUNCTION("""COMPUTED_VALUE"""),1796.26)</f>
        <v>1796.26</v>
      </c>
      <c r="C60" s="1">
        <f ca="1">IFERROR(__xludf.DUMMYFUNCTION("""COMPUTED_VALUE"""),1823.75)</f>
        <v>1823.75</v>
      </c>
      <c r="D60" s="1">
        <f ca="1">IFERROR(__xludf.DUMMYFUNCTION("""COMPUTED_VALUE"""),1787.28)</f>
        <v>1787.28</v>
      </c>
      <c r="E60" s="1">
        <f ca="1">IFERROR(__xludf.DUMMYFUNCTION("""COMPUTED_VALUE"""),1819.26)</f>
        <v>1819.26</v>
      </c>
      <c r="F60" s="1">
        <f ca="1">IFERROR(__xludf.DUMMYFUNCTION("""COMPUTED_VALUE"""),5767797)</f>
        <v>5767797</v>
      </c>
    </row>
    <row r="61" spans="1:6" ht="15.75" customHeight="1">
      <c r="A61" s="10">
        <f ca="1">IFERROR(__xludf.DUMMYFUNCTION("""COMPUTED_VALUE"""),43546.6666666666)</f>
        <v>43546.666666666599</v>
      </c>
      <c r="B61" s="1">
        <f ca="1">IFERROR(__xludf.DUMMYFUNCTION("""COMPUTED_VALUE"""),1810.17)</f>
        <v>1810.17</v>
      </c>
      <c r="C61" s="1">
        <f ca="1">IFERROR(__xludf.DUMMYFUNCTION("""COMPUTED_VALUE"""),1818.98)</f>
        <v>1818.98</v>
      </c>
      <c r="D61" s="1">
        <f ca="1">IFERROR(__xludf.DUMMYFUNCTION("""COMPUTED_VALUE"""),1763.11)</f>
        <v>1763.11</v>
      </c>
      <c r="E61" s="1">
        <f ca="1">IFERROR(__xludf.DUMMYFUNCTION("""COMPUTED_VALUE"""),1764.77)</f>
        <v>1764.77</v>
      </c>
      <c r="F61" s="1">
        <f ca="1">IFERROR(__xludf.DUMMYFUNCTION("""COMPUTED_VALUE"""),6362983)</f>
        <v>6362983</v>
      </c>
    </row>
    <row r="62" spans="1:6" ht="15.75" customHeight="1">
      <c r="A62" s="10">
        <f ca="1">IFERROR(__xludf.DUMMYFUNCTION("""COMPUTED_VALUE"""),43549.6666666666)</f>
        <v>43549.666666666599</v>
      </c>
      <c r="B62" s="1">
        <f ca="1">IFERROR(__xludf.DUMMYFUNCTION("""COMPUTED_VALUE"""),1757.79)</f>
        <v>1757.79</v>
      </c>
      <c r="C62" s="1">
        <f ca="1">IFERROR(__xludf.DUMMYFUNCTION("""COMPUTED_VALUE"""),1782.68)</f>
        <v>1782.68</v>
      </c>
      <c r="D62" s="1">
        <f ca="1">IFERROR(__xludf.DUMMYFUNCTION("""COMPUTED_VALUE"""),1747.5)</f>
        <v>1747.5</v>
      </c>
      <c r="E62" s="1">
        <f ca="1">IFERROR(__xludf.DUMMYFUNCTION("""COMPUTED_VALUE"""),1774.26)</f>
        <v>1774.26</v>
      </c>
      <c r="F62" s="1">
        <f ca="1">IFERROR(__xludf.DUMMYFUNCTION("""COMPUTED_VALUE"""),5103803)</f>
        <v>5103803</v>
      </c>
    </row>
    <row r="63" spans="1:6" ht="15.75" customHeight="1">
      <c r="A63" s="10">
        <f ca="1">IFERROR(__xludf.DUMMYFUNCTION("""COMPUTED_VALUE"""),43550.6666666666)</f>
        <v>43550.666666666599</v>
      </c>
      <c r="B63" s="1">
        <f ca="1">IFERROR(__xludf.DUMMYFUNCTION("""COMPUTED_VALUE"""),1793)</f>
        <v>1793</v>
      </c>
      <c r="C63" s="1">
        <f ca="1">IFERROR(__xludf.DUMMYFUNCTION("""COMPUTED_VALUE"""),1805.77)</f>
        <v>1805.77</v>
      </c>
      <c r="D63" s="1">
        <f ca="1">IFERROR(__xludf.DUMMYFUNCTION("""COMPUTED_VALUE"""),1773.36)</f>
        <v>1773.36</v>
      </c>
      <c r="E63" s="1">
        <f ca="1">IFERROR(__xludf.DUMMYFUNCTION("""COMPUTED_VALUE"""),1783.76)</f>
        <v>1783.76</v>
      </c>
      <c r="F63" s="1">
        <f ca="1">IFERROR(__xludf.DUMMYFUNCTION("""COMPUTED_VALUE"""),4865880)</f>
        <v>4865880</v>
      </c>
    </row>
    <row r="64" spans="1:6" ht="15.75" customHeight="1">
      <c r="A64" s="10">
        <f ca="1">IFERROR(__xludf.DUMMYFUNCTION("""COMPUTED_VALUE"""),43551.6666666666)</f>
        <v>43551.666666666599</v>
      </c>
      <c r="B64" s="1">
        <f ca="1">IFERROR(__xludf.DUMMYFUNCTION("""COMPUTED_VALUE"""),1784.13)</f>
        <v>1784.13</v>
      </c>
      <c r="C64" s="1">
        <f ca="1">IFERROR(__xludf.DUMMYFUNCTION("""COMPUTED_VALUE"""),1787.5)</f>
        <v>1787.5</v>
      </c>
      <c r="D64" s="1">
        <f ca="1">IFERROR(__xludf.DUMMYFUNCTION("""COMPUTED_VALUE"""),1745.68)</f>
        <v>1745.68</v>
      </c>
      <c r="E64" s="1">
        <f ca="1">IFERROR(__xludf.DUMMYFUNCTION("""COMPUTED_VALUE"""),1765.7)</f>
        <v>1765.7</v>
      </c>
      <c r="F64" s="1">
        <f ca="1">IFERROR(__xludf.DUMMYFUNCTION("""COMPUTED_VALUE"""),4324801)</f>
        <v>4324801</v>
      </c>
    </row>
    <row r="65" spans="1:6" ht="15.75" customHeight="1">
      <c r="A65" s="10">
        <f ca="1">IFERROR(__xludf.DUMMYFUNCTION("""COMPUTED_VALUE"""),43552.6666666666)</f>
        <v>43552.666666666599</v>
      </c>
      <c r="B65" s="1">
        <f ca="1">IFERROR(__xludf.DUMMYFUNCTION("""COMPUTED_VALUE"""),1770)</f>
        <v>1770</v>
      </c>
      <c r="C65" s="1">
        <f ca="1">IFERROR(__xludf.DUMMYFUNCTION("""COMPUTED_VALUE"""),1777.93)</f>
        <v>1777.93</v>
      </c>
      <c r="D65" s="1">
        <f ca="1">IFERROR(__xludf.DUMMYFUNCTION("""COMPUTED_VALUE"""),1753.47)</f>
        <v>1753.47</v>
      </c>
      <c r="E65" s="1">
        <f ca="1">IFERROR(__xludf.DUMMYFUNCTION("""COMPUTED_VALUE"""),1773.42)</f>
        <v>1773.42</v>
      </c>
      <c r="F65" s="1">
        <f ca="1">IFERROR(__xludf.DUMMYFUNCTION("""COMPUTED_VALUE"""),3042958)</f>
        <v>3042958</v>
      </c>
    </row>
    <row r="66" spans="1:6" ht="15.75" customHeight="1">
      <c r="A66" s="10">
        <f ca="1">IFERROR(__xludf.DUMMYFUNCTION("""COMPUTED_VALUE"""),43553.6666666666)</f>
        <v>43553.666666666599</v>
      </c>
      <c r="B66" s="1">
        <f ca="1">IFERROR(__xludf.DUMMYFUNCTION("""COMPUTED_VALUE"""),1786.58)</f>
        <v>1786.58</v>
      </c>
      <c r="C66" s="1">
        <f ca="1">IFERROR(__xludf.DUMMYFUNCTION("""COMPUTED_VALUE"""),1792.86)</f>
        <v>1792.86</v>
      </c>
      <c r="D66" s="1">
        <f ca="1">IFERROR(__xludf.DUMMYFUNCTION("""COMPUTED_VALUE"""),1776.63)</f>
        <v>1776.63</v>
      </c>
      <c r="E66" s="1">
        <f ca="1">IFERROR(__xludf.DUMMYFUNCTION("""COMPUTED_VALUE"""),1780.75)</f>
        <v>1780.75</v>
      </c>
      <c r="F66" s="1">
        <f ca="1">IFERROR(__xludf.DUMMYFUNCTION("""COMPUTED_VALUE"""),3320793)</f>
        <v>3320793</v>
      </c>
    </row>
    <row r="67" spans="1:6" ht="15.75" customHeight="1">
      <c r="A67" s="10">
        <f ca="1">IFERROR(__xludf.DUMMYFUNCTION("""COMPUTED_VALUE"""),43556.6666666666)</f>
        <v>43556.666666666599</v>
      </c>
      <c r="B67" s="1">
        <f ca="1">IFERROR(__xludf.DUMMYFUNCTION("""COMPUTED_VALUE"""),1800.11)</f>
        <v>1800.11</v>
      </c>
      <c r="C67" s="1">
        <f ca="1">IFERROR(__xludf.DUMMYFUNCTION("""COMPUTED_VALUE"""),1815.67)</f>
        <v>1815.67</v>
      </c>
      <c r="D67" s="1">
        <f ca="1">IFERROR(__xludf.DUMMYFUNCTION("""COMPUTED_VALUE"""),1798.73)</f>
        <v>1798.73</v>
      </c>
      <c r="E67" s="1">
        <f ca="1">IFERROR(__xludf.DUMMYFUNCTION("""COMPUTED_VALUE"""),1814.19)</f>
        <v>1814.19</v>
      </c>
      <c r="F67" s="1">
        <f ca="1">IFERROR(__xludf.DUMMYFUNCTION("""COMPUTED_VALUE"""),4238752)</f>
        <v>4238752</v>
      </c>
    </row>
    <row r="68" spans="1:6" ht="15.75" customHeight="1">
      <c r="A68" s="10">
        <f ca="1">IFERROR(__xludf.DUMMYFUNCTION("""COMPUTED_VALUE"""),43557.6666666666)</f>
        <v>43557.666666666599</v>
      </c>
      <c r="B68" s="1">
        <f ca="1">IFERROR(__xludf.DUMMYFUNCTION("""COMPUTED_VALUE"""),1811.02)</f>
        <v>1811.02</v>
      </c>
      <c r="C68" s="1">
        <f ca="1">IFERROR(__xludf.DUMMYFUNCTION("""COMPUTED_VALUE"""),1820)</f>
        <v>1820</v>
      </c>
      <c r="D68" s="1">
        <f ca="1">IFERROR(__xludf.DUMMYFUNCTION("""COMPUTED_VALUE"""),1805.12)</f>
        <v>1805.12</v>
      </c>
      <c r="E68" s="1">
        <f ca="1">IFERROR(__xludf.DUMMYFUNCTION("""COMPUTED_VALUE"""),1813.98)</f>
        <v>1813.98</v>
      </c>
      <c r="F68" s="1">
        <f ca="1">IFERROR(__xludf.DUMMYFUNCTION("""COMPUTED_VALUE"""),3448115)</f>
        <v>3448115</v>
      </c>
    </row>
    <row r="69" spans="1:6" ht="15.75" customHeight="1">
      <c r="A69" s="10">
        <f ca="1">IFERROR(__xludf.DUMMYFUNCTION("""COMPUTED_VALUE"""),43558.6666666666)</f>
        <v>43558.666666666599</v>
      </c>
      <c r="B69" s="1">
        <f ca="1">IFERROR(__xludf.DUMMYFUNCTION("""COMPUTED_VALUE"""),1826.72)</f>
        <v>1826.72</v>
      </c>
      <c r="C69" s="1">
        <f ca="1">IFERROR(__xludf.DUMMYFUNCTION("""COMPUTED_VALUE"""),1830)</f>
        <v>1830</v>
      </c>
      <c r="D69" s="1">
        <f ca="1">IFERROR(__xludf.DUMMYFUNCTION("""COMPUTED_VALUE"""),1809.62)</f>
        <v>1809.62</v>
      </c>
      <c r="E69" s="1">
        <f ca="1">IFERROR(__xludf.DUMMYFUNCTION("""COMPUTED_VALUE"""),1820.7)</f>
        <v>1820.7</v>
      </c>
      <c r="F69" s="1">
        <f ca="1">IFERROR(__xludf.DUMMYFUNCTION("""COMPUTED_VALUE"""),3980590)</f>
        <v>3980590</v>
      </c>
    </row>
    <row r="70" spans="1:6" ht="15.75" customHeight="1">
      <c r="A70" s="10">
        <f ca="1">IFERROR(__xludf.DUMMYFUNCTION("""COMPUTED_VALUE"""),43559.6666666666)</f>
        <v>43559.666666666599</v>
      </c>
      <c r="B70" s="1">
        <f ca="1">IFERROR(__xludf.DUMMYFUNCTION("""COMPUTED_VALUE"""),1820.65)</f>
        <v>1820.65</v>
      </c>
      <c r="C70" s="1">
        <f ca="1">IFERROR(__xludf.DUMMYFUNCTION("""COMPUTED_VALUE"""),1828.75)</f>
        <v>1828.75</v>
      </c>
      <c r="D70" s="1">
        <f ca="1">IFERROR(__xludf.DUMMYFUNCTION("""COMPUTED_VALUE"""),1804.2)</f>
        <v>1804.2</v>
      </c>
      <c r="E70" s="1">
        <f ca="1">IFERROR(__xludf.DUMMYFUNCTION("""COMPUTED_VALUE"""),1818.86)</f>
        <v>1818.86</v>
      </c>
      <c r="F70" s="1">
        <f ca="1">IFERROR(__xludf.DUMMYFUNCTION("""COMPUTED_VALUE"""),3623867)</f>
        <v>3623867</v>
      </c>
    </row>
    <row r="71" spans="1:6" ht="15.75" customHeight="1">
      <c r="A71" s="10">
        <f ca="1">IFERROR(__xludf.DUMMYFUNCTION("""COMPUTED_VALUE"""),43560.6666666666)</f>
        <v>43560.666666666599</v>
      </c>
      <c r="B71" s="1">
        <f ca="1">IFERROR(__xludf.DUMMYFUNCTION("""COMPUTED_VALUE"""),1829)</f>
        <v>1829</v>
      </c>
      <c r="C71" s="1">
        <f ca="1">IFERROR(__xludf.DUMMYFUNCTION("""COMPUTED_VALUE"""),1838.58)</f>
        <v>1838.58</v>
      </c>
      <c r="D71" s="1">
        <f ca="1">IFERROR(__xludf.DUMMYFUNCTION("""COMPUTED_VALUE"""),1825.19)</f>
        <v>1825.19</v>
      </c>
      <c r="E71" s="1">
        <f ca="1">IFERROR(__xludf.DUMMYFUNCTION("""COMPUTED_VALUE"""),1837.28)</f>
        <v>1837.28</v>
      </c>
      <c r="F71" s="1">
        <f ca="1">IFERROR(__xludf.DUMMYFUNCTION("""COMPUTED_VALUE"""),3640476)</f>
        <v>3640476</v>
      </c>
    </row>
    <row r="72" spans="1:6" ht="15.75" customHeight="1">
      <c r="A72" s="10">
        <f ca="1">IFERROR(__xludf.DUMMYFUNCTION("""COMPUTED_VALUE"""),43563.6666666666)</f>
        <v>43563.666666666599</v>
      </c>
      <c r="B72" s="1">
        <f ca="1">IFERROR(__xludf.DUMMYFUNCTION("""COMPUTED_VALUE"""),1833.23)</f>
        <v>1833.23</v>
      </c>
      <c r="C72" s="1">
        <f ca="1">IFERROR(__xludf.DUMMYFUNCTION("""COMPUTED_VALUE"""),1850.2)</f>
        <v>1850.2</v>
      </c>
      <c r="D72" s="1">
        <f ca="1">IFERROR(__xludf.DUMMYFUNCTION("""COMPUTED_VALUE"""),1825.11)</f>
        <v>1825.11</v>
      </c>
      <c r="E72" s="1">
        <f ca="1">IFERROR(__xludf.DUMMYFUNCTION("""COMPUTED_VALUE"""),1849.86)</f>
        <v>1849.86</v>
      </c>
      <c r="F72" s="1">
        <f ca="1">IFERROR(__xludf.DUMMYFUNCTION("""COMPUTED_VALUE"""),3752841)</f>
        <v>3752841</v>
      </c>
    </row>
    <row r="73" spans="1:6" ht="15.75" customHeight="1">
      <c r="A73" s="10">
        <f ca="1">IFERROR(__xludf.DUMMYFUNCTION("""COMPUTED_VALUE"""),43564.6666666666)</f>
        <v>43564.666666666599</v>
      </c>
      <c r="B73" s="1">
        <f ca="1">IFERROR(__xludf.DUMMYFUNCTION("""COMPUTED_VALUE"""),1845.49)</f>
        <v>1845.49</v>
      </c>
      <c r="C73" s="1">
        <f ca="1">IFERROR(__xludf.DUMMYFUNCTION("""COMPUTED_VALUE"""),1853.09)</f>
        <v>1853.09</v>
      </c>
      <c r="D73" s="1">
        <f ca="1">IFERROR(__xludf.DUMMYFUNCTION("""COMPUTED_VALUE"""),1831.78)</f>
        <v>1831.78</v>
      </c>
      <c r="E73" s="1">
        <f ca="1">IFERROR(__xludf.DUMMYFUNCTION("""COMPUTED_VALUE"""),1835.84)</f>
        <v>1835.84</v>
      </c>
      <c r="F73" s="1">
        <f ca="1">IFERROR(__xludf.DUMMYFUNCTION("""COMPUTED_VALUE"""),3714368)</f>
        <v>3714368</v>
      </c>
    </row>
    <row r="74" spans="1:6" ht="15.75" customHeight="1">
      <c r="A74" s="10">
        <f ca="1">IFERROR(__xludf.DUMMYFUNCTION("""COMPUTED_VALUE"""),43565.6666666666)</f>
        <v>43565.666666666599</v>
      </c>
      <c r="B74" s="1">
        <f ca="1">IFERROR(__xludf.DUMMYFUNCTION("""COMPUTED_VALUE"""),1841)</f>
        <v>1841</v>
      </c>
      <c r="C74" s="1">
        <f ca="1">IFERROR(__xludf.DUMMYFUNCTION("""COMPUTED_VALUE"""),1848)</f>
        <v>1848</v>
      </c>
      <c r="D74" s="1">
        <f ca="1">IFERROR(__xludf.DUMMYFUNCTION("""COMPUTED_VALUE"""),1828.81)</f>
        <v>1828.81</v>
      </c>
      <c r="E74" s="1">
        <f ca="1">IFERROR(__xludf.DUMMYFUNCTION("""COMPUTED_VALUE"""),1847.33)</f>
        <v>1847.33</v>
      </c>
      <c r="F74" s="1">
        <f ca="1">IFERROR(__xludf.DUMMYFUNCTION("""COMPUTED_VALUE"""),2963973)</f>
        <v>2963973</v>
      </c>
    </row>
    <row r="75" spans="1:6" ht="15.75" customHeight="1">
      <c r="A75" s="10">
        <f ca="1">IFERROR(__xludf.DUMMYFUNCTION("""COMPUTED_VALUE"""),43566.6666666666)</f>
        <v>43566.666666666599</v>
      </c>
      <c r="B75" s="1">
        <f ca="1">IFERROR(__xludf.DUMMYFUNCTION("""COMPUTED_VALUE"""),1848.7)</f>
        <v>1848.7</v>
      </c>
      <c r="C75" s="1">
        <f ca="1">IFERROR(__xludf.DUMMYFUNCTION("""COMPUTED_VALUE"""),1849.95)</f>
        <v>1849.95</v>
      </c>
      <c r="D75" s="1">
        <f ca="1">IFERROR(__xludf.DUMMYFUNCTION("""COMPUTED_VALUE"""),1840.31)</f>
        <v>1840.31</v>
      </c>
      <c r="E75" s="1">
        <f ca="1">IFERROR(__xludf.DUMMYFUNCTION("""COMPUTED_VALUE"""),1844.07)</f>
        <v>1844.07</v>
      </c>
      <c r="F75" s="1">
        <f ca="1">IFERROR(__xludf.DUMMYFUNCTION("""COMPUTED_VALUE"""),2654842)</f>
        <v>2654842</v>
      </c>
    </row>
    <row r="76" spans="1:6" ht="15.75" customHeight="1">
      <c r="A76" s="10">
        <f ca="1">IFERROR(__xludf.DUMMYFUNCTION("""COMPUTED_VALUE"""),43567.6666666666)</f>
        <v>43567.666666666599</v>
      </c>
      <c r="B76" s="1">
        <f ca="1">IFERROR(__xludf.DUMMYFUNCTION("""COMPUTED_VALUE"""),1848.4)</f>
        <v>1848.4</v>
      </c>
      <c r="C76" s="1">
        <f ca="1">IFERROR(__xludf.DUMMYFUNCTION("""COMPUTED_VALUE"""),1851.5)</f>
        <v>1851.5</v>
      </c>
      <c r="D76" s="1">
        <f ca="1">IFERROR(__xludf.DUMMYFUNCTION("""COMPUTED_VALUE"""),1841.3)</f>
        <v>1841.3</v>
      </c>
      <c r="E76" s="1">
        <f ca="1">IFERROR(__xludf.DUMMYFUNCTION("""COMPUTED_VALUE"""),1843.06)</f>
        <v>1843.06</v>
      </c>
      <c r="F76" s="1">
        <f ca="1">IFERROR(__xludf.DUMMYFUNCTION("""COMPUTED_VALUE"""),3114413)</f>
        <v>3114413</v>
      </c>
    </row>
    <row r="77" spans="1:6" ht="15.75" customHeight="1">
      <c r="A77" s="10">
        <f ca="1">IFERROR(__xludf.DUMMYFUNCTION("""COMPUTED_VALUE"""),43570.6666666666)</f>
        <v>43570.666666666599</v>
      </c>
      <c r="B77" s="1">
        <f ca="1">IFERROR(__xludf.DUMMYFUNCTION("""COMPUTED_VALUE"""),1842)</f>
        <v>1842</v>
      </c>
      <c r="C77" s="1">
        <f ca="1">IFERROR(__xludf.DUMMYFUNCTION("""COMPUTED_VALUE"""),1846.85)</f>
        <v>1846.85</v>
      </c>
      <c r="D77" s="1">
        <f ca="1">IFERROR(__xludf.DUMMYFUNCTION("""COMPUTED_VALUE"""),1818.9)</f>
        <v>1818.9</v>
      </c>
      <c r="E77" s="1">
        <f ca="1">IFERROR(__xludf.DUMMYFUNCTION("""COMPUTED_VALUE"""),1844.87)</f>
        <v>1844.87</v>
      </c>
      <c r="F77" s="1">
        <f ca="1">IFERROR(__xludf.DUMMYFUNCTION("""COMPUTED_VALUE"""),3724423)</f>
        <v>3724423</v>
      </c>
    </row>
    <row r="78" spans="1:6" ht="15.75" customHeight="1">
      <c r="A78" s="10">
        <f ca="1">IFERROR(__xludf.DUMMYFUNCTION("""COMPUTED_VALUE"""),43571.6666666666)</f>
        <v>43571.666666666599</v>
      </c>
      <c r="B78" s="1">
        <f ca="1">IFERROR(__xludf.DUMMYFUNCTION("""COMPUTED_VALUE"""),1851.35)</f>
        <v>1851.35</v>
      </c>
      <c r="C78" s="1">
        <f ca="1">IFERROR(__xludf.DUMMYFUNCTION("""COMPUTED_VALUE"""),1869.77)</f>
        <v>1869.77</v>
      </c>
      <c r="D78" s="1">
        <f ca="1">IFERROR(__xludf.DUMMYFUNCTION("""COMPUTED_VALUE"""),1848)</f>
        <v>1848</v>
      </c>
      <c r="E78" s="1">
        <f ca="1">IFERROR(__xludf.DUMMYFUNCTION("""COMPUTED_VALUE"""),1863.04)</f>
        <v>1863.04</v>
      </c>
      <c r="F78" s="1">
        <f ca="1">IFERROR(__xludf.DUMMYFUNCTION("""COMPUTED_VALUE"""),3044618)</f>
        <v>3044618</v>
      </c>
    </row>
    <row r="79" spans="1:6" ht="15.75" customHeight="1">
      <c r="A79" s="10">
        <f ca="1">IFERROR(__xludf.DUMMYFUNCTION("""COMPUTED_VALUE"""),43572.6666666666)</f>
        <v>43572.666666666599</v>
      </c>
      <c r="B79" s="1">
        <f ca="1">IFERROR(__xludf.DUMMYFUNCTION("""COMPUTED_VALUE"""),1872.99)</f>
        <v>1872.99</v>
      </c>
      <c r="C79" s="1">
        <f ca="1">IFERROR(__xludf.DUMMYFUNCTION("""COMPUTED_VALUE"""),1876.47)</f>
        <v>1876.47</v>
      </c>
      <c r="D79" s="1">
        <f ca="1">IFERROR(__xludf.DUMMYFUNCTION("""COMPUTED_VALUE"""),1860.44)</f>
        <v>1860.44</v>
      </c>
      <c r="E79" s="1">
        <f ca="1">IFERROR(__xludf.DUMMYFUNCTION("""COMPUTED_VALUE"""),1864.82)</f>
        <v>1864.82</v>
      </c>
      <c r="F79" s="1">
        <f ca="1">IFERROR(__xludf.DUMMYFUNCTION("""COMPUTED_VALUE"""),2893517)</f>
        <v>2893517</v>
      </c>
    </row>
    <row r="80" spans="1:6" ht="15.75" customHeight="1">
      <c r="A80" s="10">
        <f ca="1">IFERROR(__xludf.DUMMYFUNCTION("""COMPUTED_VALUE"""),43573.6666666666)</f>
        <v>43573.666666666599</v>
      </c>
      <c r="B80" s="1">
        <f ca="1">IFERROR(__xludf.DUMMYFUNCTION("""COMPUTED_VALUE"""),1868.79)</f>
        <v>1868.79</v>
      </c>
      <c r="C80" s="1">
        <f ca="1">IFERROR(__xludf.DUMMYFUNCTION("""COMPUTED_VALUE"""),1870.82)</f>
        <v>1870.82</v>
      </c>
      <c r="D80" s="1">
        <f ca="1">IFERROR(__xludf.DUMMYFUNCTION("""COMPUTED_VALUE"""),1859.48)</f>
        <v>1859.48</v>
      </c>
      <c r="E80" s="1">
        <f ca="1">IFERROR(__xludf.DUMMYFUNCTION("""COMPUTED_VALUE"""),1861.69)</f>
        <v>1861.69</v>
      </c>
      <c r="F80" s="1">
        <f ca="1">IFERROR(__xludf.DUMMYFUNCTION("""COMPUTED_VALUE"""),2749882)</f>
        <v>2749882</v>
      </c>
    </row>
    <row r="81" spans="1:6" ht="15.75" customHeight="1">
      <c r="A81" s="10">
        <f ca="1">IFERROR(__xludf.DUMMYFUNCTION("""COMPUTED_VALUE"""),43577.6666666666)</f>
        <v>43577.666666666599</v>
      </c>
      <c r="B81" s="1">
        <f ca="1">IFERROR(__xludf.DUMMYFUNCTION("""COMPUTED_VALUE"""),1855.4)</f>
        <v>1855.4</v>
      </c>
      <c r="C81" s="1">
        <f ca="1">IFERROR(__xludf.DUMMYFUNCTION("""COMPUTED_VALUE"""),1888.42)</f>
        <v>1888.42</v>
      </c>
      <c r="D81" s="1">
        <f ca="1">IFERROR(__xludf.DUMMYFUNCTION("""COMPUTED_VALUE"""),1845.64)</f>
        <v>1845.64</v>
      </c>
      <c r="E81" s="1">
        <f ca="1">IFERROR(__xludf.DUMMYFUNCTION("""COMPUTED_VALUE"""),1887.31)</f>
        <v>1887.31</v>
      </c>
      <c r="F81" s="1">
        <f ca="1">IFERROR(__xludf.DUMMYFUNCTION("""COMPUTED_VALUE"""),3373807)</f>
        <v>3373807</v>
      </c>
    </row>
    <row r="82" spans="1:6" ht="15.75" customHeight="1">
      <c r="A82" s="10">
        <f ca="1">IFERROR(__xludf.DUMMYFUNCTION("""COMPUTED_VALUE"""),43578.6666666666)</f>
        <v>43578.666666666599</v>
      </c>
      <c r="B82" s="1">
        <f ca="1">IFERROR(__xludf.DUMMYFUNCTION("""COMPUTED_VALUE"""),1891.2)</f>
        <v>1891.2</v>
      </c>
      <c r="C82" s="1">
        <f ca="1">IFERROR(__xludf.DUMMYFUNCTION("""COMPUTED_VALUE"""),1929.26)</f>
        <v>1929.26</v>
      </c>
      <c r="D82" s="1">
        <f ca="1">IFERROR(__xludf.DUMMYFUNCTION("""COMPUTED_VALUE"""),1889.58)</f>
        <v>1889.58</v>
      </c>
      <c r="E82" s="1">
        <f ca="1">IFERROR(__xludf.DUMMYFUNCTION("""COMPUTED_VALUE"""),1923.77)</f>
        <v>1923.77</v>
      </c>
      <c r="F82" s="1">
        <f ca="1">IFERROR(__xludf.DUMMYFUNCTION("""COMPUTED_VALUE"""),4640441)</f>
        <v>4640441</v>
      </c>
    </row>
    <row r="83" spans="1:6" ht="15.75" customHeight="1">
      <c r="A83" s="10">
        <f ca="1">IFERROR(__xludf.DUMMYFUNCTION("""COMPUTED_VALUE"""),43579.6666666666)</f>
        <v>43579.666666666599</v>
      </c>
      <c r="B83" s="1">
        <f ca="1">IFERROR(__xludf.DUMMYFUNCTION("""COMPUTED_VALUE"""),1925)</f>
        <v>1925</v>
      </c>
      <c r="C83" s="1">
        <f ca="1">IFERROR(__xludf.DUMMYFUNCTION("""COMPUTED_VALUE"""),1929.69)</f>
        <v>1929.69</v>
      </c>
      <c r="D83" s="1">
        <f ca="1">IFERROR(__xludf.DUMMYFUNCTION("""COMPUTED_VALUE"""),1898.16)</f>
        <v>1898.16</v>
      </c>
      <c r="E83" s="1">
        <f ca="1">IFERROR(__xludf.DUMMYFUNCTION("""COMPUTED_VALUE"""),1901.75)</f>
        <v>1901.75</v>
      </c>
      <c r="F83" s="1">
        <f ca="1">IFERROR(__xludf.DUMMYFUNCTION("""COMPUTED_VALUE"""),3675781)</f>
        <v>3675781</v>
      </c>
    </row>
    <row r="84" spans="1:6" ht="15.75" customHeight="1">
      <c r="A84" s="10">
        <f ca="1">IFERROR(__xludf.DUMMYFUNCTION("""COMPUTED_VALUE"""),43580.6666666666)</f>
        <v>43580.666666666599</v>
      </c>
      <c r="B84" s="1">
        <f ca="1">IFERROR(__xludf.DUMMYFUNCTION("""COMPUTED_VALUE"""),1917)</f>
        <v>1917</v>
      </c>
      <c r="C84" s="1">
        <f ca="1">IFERROR(__xludf.DUMMYFUNCTION("""COMPUTED_VALUE"""),1922.45)</f>
        <v>1922.45</v>
      </c>
      <c r="D84" s="1">
        <f ca="1">IFERROR(__xludf.DUMMYFUNCTION("""COMPUTED_VALUE"""),1900.31)</f>
        <v>1900.31</v>
      </c>
      <c r="E84" s="1">
        <f ca="1">IFERROR(__xludf.DUMMYFUNCTION("""COMPUTED_VALUE"""),1902.25)</f>
        <v>1902.25</v>
      </c>
      <c r="F84" s="1">
        <f ca="1">IFERROR(__xludf.DUMMYFUNCTION("""COMPUTED_VALUE"""),6099101)</f>
        <v>6099101</v>
      </c>
    </row>
    <row r="85" spans="1:6" ht="15.75" customHeight="1">
      <c r="A85" s="10">
        <f ca="1">IFERROR(__xludf.DUMMYFUNCTION("""COMPUTED_VALUE"""),43581.6666666666)</f>
        <v>43581.666666666599</v>
      </c>
      <c r="B85" s="1">
        <f ca="1">IFERROR(__xludf.DUMMYFUNCTION("""COMPUTED_VALUE"""),1929)</f>
        <v>1929</v>
      </c>
      <c r="C85" s="1">
        <f ca="1">IFERROR(__xludf.DUMMYFUNCTION("""COMPUTED_VALUE"""),1951)</f>
        <v>1951</v>
      </c>
      <c r="D85" s="1">
        <f ca="1">IFERROR(__xludf.DUMMYFUNCTION("""COMPUTED_VALUE"""),1898)</f>
        <v>1898</v>
      </c>
      <c r="E85" s="1">
        <f ca="1">IFERROR(__xludf.DUMMYFUNCTION("""COMPUTED_VALUE"""),1950.63)</f>
        <v>1950.63</v>
      </c>
      <c r="F85" s="1">
        <f ca="1">IFERROR(__xludf.DUMMYFUNCTION("""COMPUTED_VALUE"""),8432563)</f>
        <v>8432563</v>
      </c>
    </row>
    <row r="86" spans="1:6" ht="15.75" customHeight="1">
      <c r="A86" s="10">
        <f ca="1">IFERROR(__xludf.DUMMYFUNCTION("""COMPUTED_VALUE"""),43584.6666666666)</f>
        <v>43584.666666666599</v>
      </c>
      <c r="B86" s="1">
        <f ca="1">IFERROR(__xludf.DUMMYFUNCTION("""COMPUTED_VALUE"""),1949)</f>
        <v>1949</v>
      </c>
      <c r="C86" s="1">
        <f ca="1">IFERROR(__xludf.DUMMYFUNCTION("""COMPUTED_VALUE"""),1956.34)</f>
        <v>1956.34</v>
      </c>
      <c r="D86" s="1">
        <f ca="1">IFERROR(__xludf.DUMMYFUNCTION("""COMPUTED_VALUE"""),1934.09)</f>
        <v>1934.09</v>
      </c>
      <c r="E86" s="1">
        <f ca="1">IFERROR(__xludf.DUMMYFUNCTION("""COMPUTED_VALUE"""),1938.43)</f>
        <v>1938.43</v>
      </c>
      <c r="F86" s="1">
        <f ca="1">IFERROR(__xludf.DUMMYFUNCTION("""COMPUTED_VALUE"""),4021255)</f>
        <v>4021255</v>
      </c>
    </row>
    <row r="87" spans="1:6" ht="15.75" customHeight="1">
      <c r="A87" s="10">
        <f ca="1">IFERROR(__xludf.DUMMYFUNCTION("""COMPUTED_VALUE"""),43585.6666666666)</f>
        <v>43585.666666666599</v>
      </c>
      <c r="B87" s="1">
        <f ca="1">IFERROR(__xludf.DUMMYFUNCTION("""COMPUTED_VALUE"""),1930.1)</f>
        <v>1930.1</v>
      </c>
      <c r="C87" s="1">
        <f ca="1">IFERROR(__xludf.DUMMYFUNCTION("""COMPUTED_VALUE"""),1935.71)</f>
        <v>1935.71</v>
      </c>
      <c r="D87" s="1">
        <f ca="1">IFERROR(__xludf.DUMMYFUNCTION("""COMPUTED_VALUE"""),1906.95)</f>
        <v>1906.95</v>
      </c>
      <c r="E87" s="1">
        <f ca="1">IFERROR(__xludf.DUMMYFUNCTION("""COMPUTED_VALUE"""),1926.52)</f>
        <v>1926.52</v>
      </c>
      <c r="F87" s="1">
        <f ca="1">IFERROR(__xludf.DUMMYFUNCTION("""COMPUTED_VALUE"""),3506007)</f>
        <v>3506007</v>
      </c>
    </row>
    <row r="88" spans="1:6" ht="15.75" customHeight="1">
      <c r="A88" s="10">
        <f ca="1">IFERROR(__xludf.DUMMYFUNCTION("""COMPUTED_VALUE"""),43586.6666666666)</f>
        <v>43586.666666666599</v>
      </c>
      <c r="B88" s="1">
        <f ca="1">IFERROR(__xludf.DUMMYFUNCTION("""COMPUTED_VALUE"""),1933.09)</f>
        <v>1933.09</v>
      </c>
      <c r="C88" s="1">
        <f ca="1">IFERROR(__xludf.DUMMYFUNCTION("""COMPUTED_VALUE"""),1943.64)</f>
        <v>1943.64</v>
      </c>
      <c r="D88" s="1">
        <f ca="1">IFERROR(__xludf.DUMMYFUNCTION("""COMPUTED_VALUE"""),1910.55)</f>
        <v>1910.55</v>
      </c>
      <c r="E88" s="1">
        <f ca="1">IFERROR(__xludf.DUMMYFUNCTION("""COMPUTED_VALUE"""),1911.52)</f>
        <v>1911.52</v>
      </c>
      <c r="F88" s="1">
        <f ca="1">IFERROR(__xludf.DUMMYFUNCTION("""COMPUTED_VALUE"""),3116964)</f>
        <v>3116964</v>
      </c>
    </row>
    <row r="89" spans="1:6" ht="15.75" customHeight="1">
      <c r="A89" s="10">
        <f ca="1">IFERROR(__xludf.DUMMYFUNCTION("""COMPUTED_VALUE"""),43587.6666666666)</f>
        <v>43587.666666666599</v>
      </c>
      <c r="B89" s="1">
        <f ca="1">IFERROR(__xludf.DUMMYFUNCTION("""COMPUTED_VALUE"""),1913.33)</f>
        <v>1913.33</v>
      </c>
      <c r="C89" s="1">
        <f ca="1">IFERROR(__xludf.DUMMYFUNCTION("""COMPUTED_VALUE"""),1921.55)</f>
        <v>1921.55</v>
      </c>
      <c r="D89" s="1">
        <f ca="1">IFERROR(__xludf.DUMMYFUNCTION("""COMPUTED_VALUE"""),1881.87)</f>
        <v>1881.87</v>
      </c>
      <c r="E89" s="1">
        <f ca="1">IFERROR(__xludf.DUMMYFUNCTION("""COMPUTED_VALUE"""),1900.82)</f>
        <v>1900.82</v>
      </c>
      <c r="F89" s="1">
        <f ca="1">IFERROR(__xludf.DUMMYFUNCTION("""COMPUTED_VALUE"""),3962915)</f>
        <v>3962915</v>
      </c>
    </row>
    <row r="90" spans="1:6" ht="15.75" customHeight="1">
      <c r="A90" s="10">
        <f ca="1">IFERROR(__xludf.DUMMYFUNCTION("""COMPUTED_VALUE"""),43588.6666666666)</f>
        <v>43588.666666666599</v>
      </c>
      <c r="B90" s="1">
        <f ca="1">IFERROR(__xludf.DUMMYFUNCTION("""COMPUTED_VALUE"""),1949)</f>
        <v>1949</v>
      </c>
      <c r="C90" s="1">
        <f ca="1">IFERROR(__xludf.DUMMYFUNCTION("""COMPUTED_VALUE"""),1964.4)</f>
        <v>1964.4</v>
      </c>
      <c r="D90" s="1">
        <f ca="1">IFERROR(__xludf.DUMMYFUNCTION("""COMPUTED_VALUE"""),1936)</f>
        <v>1936</v>
      </c>
      <c r="E90" s="1">
        <f ca="1">IFERROR(__xludf.DUMMYFUNCTION("""COMPUTED_VALUE"""),1962.46)</f>
        <v>1962.46</v>
      </c>
      <c r="F90" s="1">
        <f ca="1">IFERROR(__xludf.DUMMYFUNCTION("""COMPUTED_VALUE"""),6381564)</f>
        <v>6381564</v>
      </c>
    </row>
    <row r="91" spans="1:6" ht="15.75" customHeight="1">
      <c r="A91" s="10">
        <f ca="1">IFERROR(__xludf.DUMMYFUNCTION("""COMPUTED_VALUE"""),43591.6666666666)</f>
        <v>43591.666666666599</v>
      </c>
      <c r="B91" s="1">
        <f ca="1">IFERROR(__xludf.DUMMYFUNCTION("""COMPUTED_VALUE"""),1917.98)</f>
        <v>1917.98</v>
      </c>
      <c r="C91" s="1">
        <f ca="1">IFERROR(__xludf.DUMMYFUNCTION("""COMPUTED_VALUE"""),1959)</f>
        <v>1959</v>
      </c>
      <c r="D91" s="1">
        <f ca="1">IFERROR(__xludf.DUMMYFUNCTION("""COMPUTED_VALUE"""),1910.5)</f>
        <v>1910.5</v>
      </c>
      <c r="E91" s="1">
        <f ca="1">IFERROR(__xludf.DUMMYFUNCTION("""COMPUTED_VALUE"""),1950.55)</f>
        <v>1950.55</v>
      </c>
      <c r="F91" s="1">
        <f ca="1">IFERROR(__xludf.DUMMYFUNCTION("""COMPUTED_VALUE"""),5417841)</f>
        <v>5417841</v>
      </c>
    </row>
    <row r="92" spans="1:6" ht="15.75" customHeight="1">
      <c r="A92" s="10">
        <f ca="1">IFERROR(__xludf.DUMMYFUNCTION("""COMPUTED_VALUE"""),43592.6666666666)</f>
        <v>43592.666666666599</v>
      </c>
      <c r="B92" s="1">
        <f ca="1">IFERROR(__xludf.DUMMYFUNCTION("""COMPUTED_VALUE"""),1939.99)</f>
        <v>1939.99</v>
      </c>
      <c r="C92" s="1">
        <f ca="1">IFERROR(__xludf.DUMMYFUNCTION("""COMPUTED_VALUE"""),1949.1)</f>
        <v>1949.1</v>
      </c>
      <c r="D92" s="1">
        <f ca="1">IFERROR(__xludf.DUMMYFUNCTION("""COMPUTED_VALUE"""),1903.38)</f>
        <v>1903.38</v>
      </c>
      <c r="E92" s="1">
        <f ca="1">IFERROR(__xludf.DUMMYFUNCTION("""COMPUTED_VALUE"""),1921)</f>
        <v>1921</v>
      </c>
      <c r="F92" s="1">
        <f ca="1">IFERROR(__xludf.DUMMYFUNCTION("""COMPUTED_VALUE"""),5902134)</f>
        <v>5902134</v>
      </c>
    </row>
    <row r="93" spans="1:6" ht="15.75" customHeight="1">
      <c r="A93" s="10">
        <f ca="1">IFERROR(__xludf.DUMMYFUNCTION("""COMPUTED_VALUE"""),43593.6666666666)</f>
        <v>43593.666666666599</v>
      </c>
      <c r="B93" s="1">
        <f ca="1">IFERROR(__xludf.DUMMYFUNCTION("""COMPUTED_VALUE"""),1918.87)</f>
        <v>1918.87</v>
      </c>
      <c r="C93" s="1">
        <f ca="1">IFERROR(__xludf.DUMMYFUNCTION("""COMPUTED_VALUE"""),1935.37)</f>
        <v>1935.37</v>
      </c>
      <c r="D93" s="1">
        <f ca="1">IFERROR(__xludf.DUMMYFUNCTION("""COMPUTED_VALUE"""),1910)</f>
        <v>1910</v>
      </c>
      <c r="E93" s="1">
        <f ca="1">IFERROR(__xludf.DUMMYFUNCTION("""COMPUTED_VALUE"""),1917.77)</f>
        <v>1917.77</v>
      </c>
      <c r="F93" s="1">
        <f ca="1">IFERROR(__xludf.DUMMYFUNCTION("""COMPUTED_VALUE"""),4078568)</f>
        <v>4078568</v>
      </c>
    </row>
    <row r="94" spans="1:6" ht="15.75" customHeight="1">
      <c r="A94" s="10">
        <f ca="1">IFERROR(__xludf.DUMMYFUNCTION("""COMPUTED_VALUE"""),43594.6666666666)</f>
        <v>43594.666666666599</v>
      </c>
      <c r="B94" s="1">
        <f ca="1">IFERROR(__xludf.DUMMYFUNCTION("""COMPUTED_VALUE"""),1900)</f>
        <v>1900</v>
      </c>
      <c r="C94" s="1">
        <f ca="1">IFERROR(__xludf.DUMMYFUNCTION("""COMPUTED_VALUE"""),1909.4)</f>
        <v>1909.4</v>
      </c>
      <c r="D94" s="1">
        <f ca="1">IFERROR(__xludf.DUMMYFUNCTION("""COMPUTED_VALUE"""),1876)</f>
        <v>1876</v>
      </c>
      <c r="E94" s="1">
        <f ca="1">IFERROR(__xludf.DUMMYFUNCTION("""COMPUTED_VALUE"""),1899.87)</f>
        <v>1899.87</v>
      </c>
      <c r="F94" s="1">
        <f ca="1">IFERROR(__xludf.DUMMYFUNCTION("""COMPUTED_VALUE"""),5308263)</f>
        <v>5308263</v>
      </c>
    </row>
    <row r="95" spans="1:6" ht="15.75" customHeight="1">
      <c r="A95" s="10">
        <f ca="1">IFERROR(__xludf.DUMMYFUNCTION("""COMPUTED_VALUE"""),43595.6666666666)</f>
        <v>43595.666666666599</v>
      </c>
      <c r="B95" s="1">
        <f ca="1">IFERROR(__xludf.DUMMYFUNCTION("""COMPUTED_VALUE"""),1898)</f>
        <v>1898</v>
      </c>
      <c r="C95" s="1">
        <f ca="1">IFERROR(__xludf.DUMMYFUNCTION("""COMPUTED_VALUE"""),1903.79)</f>
        <v>1903.79</v>
      </c>
      <c r="D95" s="1">
        <f ca="1">IFERROR(__xludf.DUMMYFUNCTION("""COMPUTED_VALUE"""),1856)</f>
        <v>1856</v>
      </c>
      <c r="E95" s="1">
        <f ca="1">IFERROR(__xludf.DUMMYFUNCTION("""COMPUTED_VALUE"""),1889.98)</f>
        <v>1889.98</v>
      </c>
      <c r="F95" s="1">
        <f ca="1">IFERROR(__xludf.DUMMYFUNCTION("""COMPUTED_VALUE"""),5717994)</f>
        <v>5717994</v>
      </c>
    </row>
    <row r="96" spans="1:6" ht="15.75" customHeight="1">
      <c r="A96" s="10">
        <f ca="1">IFERROR(__xludf.DUMMYFUNCTION("""COMPUTED_VALUE"""),43598.6666666666)</f>
        <v>43598.666666666599</v>
      </c>
      <c r="B96" s="1">
        <f ca="1">IFERROR(__xludf.DUMMYFUNCTION("""COMPUTED_VALUE"""),1836.56)</f>
        <v>1836.56</v>
      </c>
      <c r="C96" s="1">
        <f ca="1">IFERROR(__xludf.DUMMYFUNCTION("""COMPUTED_VALUE"""),1846.54)</f>
        <v>1846.54</v>
      </c>
      <c r="D96" s="1">
        <f ca="1">IFERROR(__xludf.DUMMYFUNCTION("""COMPUTED_VALUE"""),1818)</f>
        <v>1818</v>
      </c>
      <c r="E96" s="1">
        <f ca="1">IFERROR(__xludf.DUMMYFUNCTION("""COMPUTED_VALUE"""),1822.68)</f>
        <v>1822.68</v>
      </c>
      <c r="F96" s="1">
        <f ca="1">IFERROR(__xludf.DUMMYFUNCTION("""COMPUTED_VALUE"""),5783410)</f>
        <v>5783410</v>
      </c>
    </row>
    <row r="97" spans="1:6" ht="15.75" customHeight="1">
      <c r="A97" s="10">
        <f ca="1">IFERROR(__xludf.DUMMYFUNCTION("""COMPUTED_VALUE"""),43599.6666666666)</f>
        <v>43599.666666666599</v>
      </c>
      <c r="B97" s="1">
        <f ca="1">IFERROR(__xludf.DUMMYFUNCTION("""COMPUTED_VALUE"""),1839.5)</f>
        <v>1839.5</v>
      </c>
      <c r="C97" s="1">
        <f ca="1">IFERROR(__xludf.DUMMYFUNCTION("""COMPUTED_VALUE"""),1852.44)</f>
        <v>1852.44</v>
      </c>
      <c r="D97" s="1">
        <f ca="1">IFERROR(__xludf.DUMMYFUNCTION("""COMPUTED_VALUE"""),1815.75)</f>
        <v>1815.75</v>
      </c>
      <c r="E97" s="1">
        <f ca="1">IFERROR(__xludf.DUMMYFUNCTION("""COMPUTED_VALUE"""),1840.12)</f>
        <v>1840.12</v>
      </c>
      <c r="F97" s="1">
        <f ca="1">IFERROR(__xludf.DUMMYFUNCTION("""COMPUTED_VALUE"""),4629107)</f>
        <v>4629107</v>
      </c>
    </row>
    <row r="98" spans="1:6" ht="15.75" customHeight="1">
      <c r="A98" s="10">
        <f ca="1">IFERROR(__xludf.DUMMYFUNCTION("""COMPUTED_VALUE"""),43600.6666666666)</f>
        <v>43600.666666666599</v>
      </c>
      <c r="B98" s="1">
        <f ca="1">IFERROR(__xludf.DUMMYFUNCTION("""COMPUTED_VALUE"""),1827.95)</f>
        <v>1827.95</v>
      </c>
      <c r="C98" s="1">
        <f ca="1">IFERROR(__xludf.DUMMYFUNCTION("""COMPUTED_VALUE"""),1874.43)</f>
        <v>1874.43</v>
      </c>
      <c r="D98" s="1">
        <f ca="1">IFERROR(__xludf.DUMMYFUNCTION("""COMPUTED_VALUE"""),1823)</f>
        <v>1823</v>
      </c>
      <c r="E98" s="1">
        <f ca="1">IFERROR(__xludf.DUMMYFUNCTION("""COMPUTED_VALUE"""),1871.15)</f>
        <v>1871.15</v>
      </c>
      <c r="F98" s="1">
        <f ca="1">IFERROR(__xludf.DUMMYFUNCTION("""COMPUTED_VALUE"""),4692642)</f>
        <v>4692642</v>
      </c>
    </row>
    <row r="99" spans="1:6" ht="15.75" customHeight="1">
      <c r="A99" s="10">
        <f ca="1">IFERROR(__xludf.DUMMYFUNCTION("""COMPUTED_VALUE"""),43601.6666666666)</f>
        <v>43601.666666666599</v>
      </c>
      <c r="B99" s="1">
        <f ca="1">IFERROR(__xludf.DUMMYFUNCTION("""COMPUTED_VALUE"""),1885.94)</f>
        <v>1885.94</v>
      </c>
      <c r="C99" s="1">
        <f ca="1">IFERROR(__xludf.DUMMYFUNCTION("""COMPUTED_VALUE"""),1917.51)</f>
        <v>1917.51</v>
      </c>
      <c r="D99" s="1">
        <f ca="1">IFERROR(__xludf.DUMMYFUNCTION("""COMPUTED_VALUE"""),1882.29)</f>
        <v>1882.29</v>
      </c>
      <c r="E99" s="1">
        <f ca="1">IFERROR(__xludf.DUMMYFUNCTION("""COMPUTED_VALUE"""),1907.57)</f>
        <v>1907.57</v>
      </c>
      <c r="F99" s="1">
        <f ca="1">IFERROR(__xludf.DUMMYFUNCTION("""COMPUTED_VALUE"""),4707822)</f>
        <v>4707822</v>
      </c>
    </row>
    <row r="100" spans="1:6" ht="15.75" customHeight="1">
      <c r="A100" s="10">
        <f ca="1">IFERROR(__xludf.DUMMYFUNCTION("""COMPUTED_VALUE"""),43602.6666666666)</f>
        <v>43602.666666666599</v>
      </c>
      <c r="B100" s="1">
        <f ca="1">IFERROR(__xludf.DUMMYFUNCTION("""COMPUTED_VALUE"""),1893.05)</f>
        <v>1893.05</v>
      </c>
      <c r="C100" s="1">
        <f ca="1">IFERROR(__xludf.DUMMYFUNCTION("""COMPUTED_VALUE"""),1910.53)</f>
        <v>1910.53</v>
      </c>
      <c r="D100" s="1">
        <f ca="1">IFERROR(__xludf.DUMMYFUNCTION("""COMPUTED_VALUE"""),1867.33)</f>
        <v>1867.33</v>
      </c>
      <c r="E100" s="1">
        <f ca="1">IFERROR(__xludf.DUMMYFUNCTION("""COMPUTED_VALUE"""),1869)</f>
        <v>1869</v>
      </c>
      <c r="F100" s="1">
        <f ca="1">IFERROR(__xludf.DUMMYFUNCTION("""COMPUTED_VALUE"""),4736618)</f>
        <v>4736618</v>
      </c>
    </row>
    <row r="101" spans="1:6" ht="15.75" customHeight="1">
      <c r="A101" s="10">
        <f ca="1">IFERROR(__xludf.DUMMYFUNCTION("""COMPUTED_VALUE"""),43605.6666666666)</f>
        <v>43605.666666666599</v>
      </c>
      <c r="B101" s="1">
        <f ca="1">IFERROR(__xludf.DUMMYFUNCTION("""COMPUTED_VALUE"""),1852.69)</f>
        <v>1852.69</v>
      </c>
      <c r="C101" s="1">
        <f ca="1">IFERROR(__xludf.DUMMYFUNCTION("""COMPUTED_VALUE"""),1867.78)</f>
        <v>1867.78</v>
      </c>
      <c r="D101" s="1">
        <f ca="1">IFERROR(__xludf.DUMMYFUNCTION("""COMPUTED_VALUE"""),1835.54)</f>
        <v>1835.54</v>
      </c>
      <c r="E101" s="1">
        <f ca="1">IFERROR(__xludf.DUMMYFUNCTION("""COMPUTED_VALUE"""),1858.97)</f>
        <v>1858.97</v>
      </c>
      <c r="F101" s="1">
        <f ca="1">IFERROR(__xludf.DUMMYFUNCTION("""COMPUTED_VALUE"""),3798198)</f>
        <v>3798198</v>
      </c>
    </row>
    <row r="102" spans="1:6" ht="15.75" customHeight="1">
      <c r="A102" s="10">
        <f ca="1">IFERROR(__xludf.DUMMYFUNCTION("""COMPUTED_VALUE"""),43606.6666666666)</f>
        <v>43606.666666666599</v>
      </c>
      <c r="B102" s="1">
        <f ca="1">IFERROR(__xludf.DUMMYFUNCTION("""COMPUTED_VALUE"""),1874.79)</f>
        <v>1874.79</v>
      </c>
      <c r="C102" s="1">
        <f ca="1">IFERROR(__xludf.DUMMYFUNCTION("""COMPUTED_VALUE"""),1879)</f>
        <v>1879</v>
      </c>
      <c r="D102" s="1">
        <f ca="1">IFERROR(__xludf.DUMMYFUNCTION("""COMPUTED_VALUE"""),1846)</f>
        <v>1846</v>
      </c>
      <c r="E102" s="1">
        <f ca="1">IFERROR(__xludf.DUMMYFUNCTION("""COMPUTED_VALUE"""),1857.52)</f>
        <v>1857.52</v>
      </c>
      <c r="F102" s="1">
        <f ca="1">IFERROR(__xludf.DUMMYFUNCTION("""COMPUTED_VALUE"""),4005122)</f>
        <v>4005122</v>
      </c>
    </row>
    <row r="103" spans="1:6" ht="15.75" customHeight="1">
      <c r="A103" s="10">
        <f ca="1">IFERROR(__xludf.DUMMYFUNCTION("""COMPUTED_VALUE"""),43607.6666666666)</f>
        <v>43607.666666666599</v>
      </c>
      <c r="B103" s="1">
        <f ca="1">IFERROR(__xludf.DUMMYFUNCTION("""COMPUTED_VALUE"""),1851.78)</f>
        <v>1851.78</v>
      </c>
      <c r="C103" s="1">
        <f ca="1">IFERROR(__xludf.DUMMYFUNCTION("""COMPUTED_VALUE"""),1871.49)</f>
        <v>1871.49</v>
      </c>
      <c r="D103" s="1">
        <f ca="1">IFERROR(__xludf.DUMMYFUNCTION("""COMPUTED_VALUE"""),1851)</f>
        <v>1851</v>
      </c>
      <c r="E103" s="1">
        <f ca="1">IFERROR(__xludf.DUMMYFUNCTION("""COMPUTED_VALUE"""),1859.68)</f>
        <v>1859.68</v>
      </c>
      <c r="F103" s="1">
        <f ca="1">IFERROR(__xludf.DUMMYFUNCTION("""COMPUTED_VALUE"""),2936601)</f>
        <v>2936601</v>
      </c>
    </row>
    <row r="104" spans="1:6" ht="15.75" customHeight="1">
      <c r="A104" s="10">
        <f ca="1">IFERROR(__xludf.DUMMYFUNCTION("""COMPUTED_VALUE"""),43608.6666666666)</f>
        <v>43608.666666666599</v>
      </c>
      <c r="B104" s="1">
        <f ca="1">IFERROR(__xludf.DUMMYFUNCTION("""COMPUTED_VALUE"""),1836.59)</f>
        <v>1836.59</v>
      </c>
      <c r="C104" s="1">
        <f ca="1">IFERROR(__xludf.DUMMYFUNCTION("""COMPUTED_VALUE"""),1844)</f>
        <v>1844</v>
      </c>
      <c r="D104" s="1">
        <f ca="1">IFERROR(__xludf.DUMMYFUNCTION("""COMPUTED_VALUE"""),1804.2)</f>
        <v>1804.2</v>
      </c>
      <c r="E104" s="1">
        <f ca="1">IFERROR(__xludf.DUMMYFUNCTION("""COMPUTED_VALUE"""),1815.48)</f>
        <v>1815.48</v>
      </c>
      <c r="F104" s="1">
        <f ca="1">IFERROR(__xludf.DUMMYFUNCTION("""COMPUTED_VALUE"""),4424265)</f>
        <v>4424265</v>
      </c>
    </row>
    <row r="105" spans="1:6" ht="15.75" customHeight="1">
      <c r="A105" s="10">
        <f ca="1">IFERROR(__xludf.DUMMYFUNCTION("""COMPUTED_VALUE"""),43609.6666666666)</f>
        <v>43609.666666666599</v>
      </c>
      <c r="B105" s="1">
        <f ca="1">IFERROR(__xludf.DUMMYFUNCTION("""COMPUTED_VALUE"""),1835.89)</f>
        <v>1835.89</v>
      </c>
      <c r="C105" s="1">
        <f ca="1">IFERROR(__xludf.DUMMYFUNCTION("""COMPUTED_VALUE"""),1841.76)</f>
        <v>1841.76</v>
      </c>
      <c r="D105" s="1">
        <f ca="1">IFERROR(__xludf.DUMMYFUNCTION("""COMPUTED_VALUE"""),1817.85)</f>
        <v>1817.85</v>
      </c>
      <c r="E105" s="1">
        <f ca="1">IFERROR(__xludf.DUMMYFUNCTION("""COMPUTED_VALUE"""),1823.28)</f>
        <v>1823.28</v>
      </c>
      <c r="F105" s="1">
        <f ca="1">IFERROR(__xludf.DUMMYFUNCTION("""COMPUTED_VALUE"""),3369673)</f>
        <v>3369673</v>
      </c>
    </row>
    <row r="106" spans="1:6" ht="15.75" customHeight="1">
      <c r="A106" s="10">
        <f ca="1">IFERROR(__xludf.DUMMYFUNCTION("""COMPUTED_VALUE"""),43613.6666666666)</f>
        <v>43613.666666666599</v>
      </c>
      <c r="B106" s="1">
        <f ca="1">IFERROR(__xludf.DUMMYFUNCTION("""COMPUTED_VALUE"""),1832.75)</f>
        <v>1832.75</v>
      </c>
      <c r="C106" s="1">
        <f ca="1">IFERROR(__xludf.DUMMYFUNCTION("""COMPUTED_VALUE"""),1849.27)</f>
        <v>1849.27</v>
      </c>
      <c r="D106" s="1">
        <f ca="1">IFERROR(__xludf.DUMMYFUNCTION("""COMPUTED_VALUE"""),1827.35)</f>
        <v>1827.35</v>
      </c>
      <c r="E106" s="1">
        <f ca="1">IFERROR(__xludf.DUMMYFUNCTION("""COMPUTED_VALUE"""),1836.43)</f>
        <v>1836.43</v>
      </c>
      <c r="F106" s="1">
        <f ca="1">IFERROR(__xludf.DUMMYFUNCTION("""COMPUTED_VALUE"""),3199965)</f>
        <v>3199965</v>
      </c>
    </row>
    <row r="107" spans="1:6" ht="15.75" customHeight="1">
      <c r="A107" s="10">
        <f ca="1">IFERROR(__xludf.DUMMYFUNCTION("""COMPUTED_VALUE"""),43614.6666666666)</f>
        <v>43614.666666666599</v>
      </c>
      <c r="B107" s="1">
        <f ca="1">IFERROR(__xludf.DUMMYFUNCTION("""COMPUTED_VALUE"""),1823.12)</f>
        <v>1823.12</v>
      </c>
      <c r="C107" s="1">
        <f ca="1">IFERROR(__xludf.DUMMYFUNCTION("""COMPUTED_VALUE"""),1830)</f>
        <v>1830</v>
      </c>
      <c r="D107" s="1">
        <f ca="1">IFERROR(__xludf.DUMMYFUNCTION("""COMPUTED_VALUE"""),1807.53)</f>
        <v>1807.53</v>
      </c>
      <c r="E107" s="1">
        <f ca="1">IFERROR(__xludf.DUMMYFUNCTION("""COMPUTED_VALUE"""),1819.19)</f>
        <v>1819.19</v>
      </c>
      <c r="F107" s="1">
        <f ca="1">IFERROR(__xludf.DUMMYFUNCTION("""COMPUTED_VALUE"""),4279025)</f>
        <v>4279025</v>
      </c>
    </row>
    <row r="108" spans="1:6" ht="15.75" customHeight="1">
      <c r="A108" s="10">
        <f ca="1">IFERROR(__xludf.DUMMYFUNCTION("""COMPUTED_VALUE"""),43615.6666666666)</f>
        <v>43615.666666666599</v>
      </c>
      <c r="B108" s="1">
        <f ca="1">IFERROR(__xludf.DUMMYFUNCTION("""COMPUTED_VALUE"""),1825.49)</f>
        <v>1825.49</v>
      </c>
      <c r="C108" s="1">
        <f ca="1">IFERROR(__xludf.DUMMYFUNCTION("""COMPUTED_VALUE"""),1829.47)</f>
        <v>1829.47</v>
      </c>
      <c r="D108" s="1">
        <f ca="1">IFERROR(__xludf.DUMMYFUNCTION("""COMPUTED_VALUE"""),1807.83)</f>
        <v>1807.83</v>
      </c>
      <c r="E108" s="1">
        <f ca="1">IFERROR(__xludf.DUMMYFUNCTION("""COMPUTED_VALUE"""),1816.32)</f>
        <v>1816.32</v>
      </c>
      <c r="F108" s="1">
        <f ca="1">IFERROR(__xludf.DUMMYFUNCTION("""COMPUTED_VALUE"""),3146850)</f>
        <v>3146850</v>
      </c>
    </row>
    <row r="109" spans="1:6" ht="15.75" customHeight="1">
      <c r="A109" s="10">
        <f ca="1">IFERROR(__xludf.DUMMYFUNCTION("""COMPUTED_VALUE"""),43616.6666666666)</f>
        <v>43616.666666666599</v>
      </c>
      <c r="B109" s="1">
        <f ca="1">IFERROR(__xludf.DUMMYFUNCTION("""COMPUTED_VALUE"""),1790.01)</f>
        <v>1790.01</v>
      </c>
      <c r="C109" s="1">
        <f ca="1">IFERROR(__xludf.DUMMYFUNCTION("""COMPUTED_VALUE"""),1795.59)</f>
        <v>1795.59</v>
      </c>
      <c r="D109" s="1">
        <f ca="1">IFERROR(__xludf.DUMMYFUNCTION("""COMPUTED_VALUE"""),1772.7)</f>
        <v>1772.7</v>
      </c>
      <c r="E109" s="1">
        <f ca="1">IFERROR(__xludf.DUMMYFUNCTION("""COMPUTED_VALUE"""),1775.07)</f>
        <v>1775.07</v>
      </c>
      <c r="F109" s="1">
        <f ca="1">IFERROR(__xludf.DUMMYFUNCTION("""COMPUTED_VALUE"""),4618819)</f>
        <v>4618819</v>
      </c>
    </row>
    <row r="110" spans="1:6" ht="15.75" customHeight="1">
      <c r="A110" s="10">
        <f ca="1">IFERROR(__xludf.DUMMYFUNCTION("""COMPUTED_VALUE"""),43619.6666666666)</f>
        <v>43619.666666666599</v>
      </c>
      <c r="B110" s="1">
        <f ca="1">IFERROR(__xludf.DUMMYFUNCTION("""COMPUTED_VALUE"""),1760.01)</f>
        <v>1760.01</v>
      </c>
      <c r="C110" s="1">
        <f ca="1">IFERROR(__xludf.DUMMYFUNCTION("""COMPUTED_VALUE"""),1766.29)</f>
        <v>1766.29</v>
      </c>
      <c r="D110" s="1">
        <f ca="1">IFERROR(__xludf.DUMMYFUNCTION("""COMPUTED_VALUE"""),1672)</f>
        <v>1672</v>
      </c>
      <c r="E110" s="1">
        <f ca="1">IFERROR(__xludf.DUMMYFUNCTION("""COMPUTED_VALUE"""),1692.69)</f>
        <v>1692.69</v>
      </c>
      <c r="F110" s="1">
        <f ca="1">IFERROR(__xludf.DUMMYFUNCTION("""COMPUTED_VALUE"""),9098708)</f>
        <v>9098708</v>
      </c>
    </row>
    <row r="111" spans="1:6" ht="15.75" customHeight="1">
      <c r="A111" s="10">
        <f ca="1">IFERROR(__xludf.DUMMYFUNCTION("""COMPUTED_VALUE"""),43620.6666666666)</f>
        <v>43620.666666666599</v>
      </c>
      <c r="B111" s="1">
        <f ca="1">IFERROR(__xludf.DUMMYFUNCTION("""COMPUTED_VALUE"""),1699.24)</f>
        <v>1699.24</v>
      </c>
      <c r="C111" s="1">
        <f ca="1">IFERROR(__xludf.DUMMYFUNCTION("""COMPUTED_VALUE"""),1730.82)</f>
        <v>1730.82</v>
      </c>
      <c r="D111" s="1">
        <f ca="1">IFERROR(__xludf.DUMMYFUNCTION("""COMPUTED_VALUE"""),1680.89)</f>
        <v>1680.89</v>
      </c>
      <c r="E111" s="1">
        <f ca="1">IFERROR(__xludf.DUMMYFUNCTION("""COMPUTED_VALUE"""),1729.56)</f>
        <v>1729.56</v>
      </c>
      <c r="F111" s="1">
        <f ca="1">IFERROR(__xludf.DUMMYFUNCTION("""COMPUTED_VALUE"""),5679121)</f>
        <v>5679121</v>
      </c>
    </row>
    <row r="112" spans="1:6" ht="15.75" customHeight="1">
      <c r="A112" s="10">
        <f ca="1">IFERROR(__xludf.DUMMYFUNCTION("""COMPUTED_VALUE"""),43621.6666666666)</f>
        <v>43621.666666666599</v>
      </c>
      <c r="B112" s="1">
        <f ca="1">IFERROR(__xludf.DUMMYFUNCTION("""COMPUTED_VALUE"""),1749.6)</f>
        <v>1749.6</v>
      </c>
      <c r="C112" s="1">
        <f ca="1">IFERROR(__xludf.DUMMYFUNCTION("""COMPUTED_VALUE"""),1752)</f>
        <v>1752</v>
      </c>
      <c r="D112" s="1">
        <f ca="1">IFERROR(__xludf.DUMMYFUNCTION("""COMPUTED_VALUE"""),1715.25)</f>
        <v>1715.25</v>
      </c>
      <c r="E112" s="1">
        <f ca="1">IFERROR(__xludf.DUMMYFUNCTION("""COMPUTED_VALUE"""),1738.5)</f>
        <v>1738.5</v>
      </c>
      <c r="F112" s="1">
        <f ca="1">IFERROR(__xludf.DUMMYFUNCTION("""COMPUTED_VALUE"""),4239782)</f>
        <v>4239782</v>
      </c>
    </row>
    <row r="113" spans="1:6" ht="15.75" customHeight="1">
      <c r="A113" s="10">
        <f ca="1">IFERROR(__xludf.DUMMYFUNCTION("""COMPUTED_VALUE"""),43622.6666666666)</f>
        <v>43622.666666666599</v>
      </c>
      <c r="B113" s="1">
        <f ca="1">IFERROR(__xludf.DUMMYFUNCTION("""COMPUTED_VALUE"""),1737.71)</f>
        <v>1737.71</v>
      </c>
      <c r="C113" s="1">
        <f ca="1">IFERROR(__xludf.DUMMYFUNCTION("""COMPUTED_VALUE"""),1760)</f>
        <v>1760</v>
      </c>
      <c r="D113" s="1">
        <f ca="1">IFERROR(__xludf.DUMMYFUNCTION("""COMPUTED_VALUE"""),1726.13)</f>
        <v>1726.13</v>
      </c>
      <c r="E113" s="1">
        <f ca="1">IFERROR(__xludf.DUMMYFUNCTION("""COMPUTED_VALUE"""),1754.36)</f>
        <v>1754.36</v>
      </c>
      <c r="F113" s="1">
        <f ca="1">IFERROR(__xludf.DUMMYFUNCTION("""COMPUTED_VALUE"""),3689272)</f>
        <v>3689272</v>
      </c>
    </row>
    <row r="114" spans="1:6" ht="15.75" customHeight="1">
      <c r="A114" s="10">
        <f ca="1">IFERROR(__xludf.DUMMYFUNCTION("""COMPUTED_VALUE"""),43623.6666666666)</f>
        <v>43623.666666666599</v>
      </c>
      <c r="B114" s="1">
        <f ca="1">IFERROR(__xludf.DUMMYFUNCTION("""COMPUTED_VALUE"""),1763.7)</f>
        <v>1763.7</v>
      </c>
      <c r="C114" s="1">
        <f ca="1">IFERROR(__xludf.DUMMYFUNCTION("""COMPUTED_VALUE"""),1806.25)</f>
        <v>1806.25</v>
      </c>
      <c r="D114" s="1">
        <f ca="1">IFERROR(__xludf.DUMMYFUNCTION("""COMPUTED_VALUE"""),1759.49)</f>
        <v>1759.49</v>
      </c>
      <c r="E114" s="1">
        <f ca="1">IFERROR(__xludf.DUMMYFUNCTION("""COMPUTED_VALUE"""),1804.03)</f>
        <v>1804.03</v>
      </c>
      <c r="F114" s="1">
        <f ca="1">IFERROR(__xludf.DUMMYFUNCTION("""COMPUTED_VALUE"""),4808246)</f>
        <v>4808246</v>
      </c>
    </row>
    <row r="115" spans="1:6" ht="15.75" customHeight="1">
      <c r="A115" s="10">
        <f ca="1">IFERROR(__xludf.DUMMYFUNCTION("""COMPUTED_VALUE"""),43626.6666666666)</f>
        <v>43626.666666666599</v>
      </c>
      <c r="B115" s="1">
        <f ca="1">IFERROR(__xludf.DUMMYFUNCTION("""COMPUTED_VALUE"""),1822)</f>
        <v>1822</v>
      </c>
      <c r="C115" s="1">
        <f ca="1">IFERROR(__xludf.DUMMYFUNCTION("""COMPUTED_VALUE"""),1884.87)</f>
        <v>1884.87</v>
      </c>
      <c r="D115" s="1">
        <f ca="1">IFERROR(__xludf.DUMMYFUNCTION("""COMPUTED_VALUE"""),1818)</f>
        <v>1818</v>
      </c>
      <c r="E115" s="1">
        <f ca="1">IFERROR(__xludf.DUMMYFUNCTION("""COMPUTED_VALUE"""),1860.63)</f>
        <v>1860.63</v>
      </c>
      <c r="F115" s="1">
        <f ca="1">IFERROR(__xludf.DUMMYFUNCTION("""COMPUTED_VALUE"""),5371007)</f>
        <v>5371007</v>
      </c>
    </row>
    <row r="116" spans="1:6" ht="15.75" customHeight="1">
      <c r="A116" s="10">
        <f ca="1">IFERROR(__xludf.DUMMYFUNCTION("""COMPUTED_VALUE"""),43627.6666666666)</f>
        <v>43627.666666666599</v>
      </c>
      <c r="B116" s="1">
        <f ca="1">IFERROR(__xludf.DUMMYFUNCTION("""COMPUTED_VALUE"""),1883.25)</f>
        <v>1883.25</v>
      </c>
      <c r="C116" s="1">
        <f ca="1">IFERROR(__xludf.DUMMYFUNCTION("""COMPUTED_VALUE"""),1893.7)</f>
        <v>1893.7</v>
      </c>
      <c r="D116" s="1">
        <f ca="1">IFERROR(__xludf.DUMMYFUNCTION("""COMPUTED_VALUE"""),1858)</f>
        <v>1858</v>
      </c>
      <c r="E116" s="1">
        <f ca="1">IFERROR(__xludf.DUMMYFUNCTION("""COMPUTED_VALUE"""),1863.7)</f>
        <v>1863.7</v>
      </c>
      <c r="F116" s="1">
        <f ca="1">IFERROR(__xludf.DUMMYFUNCTION("""COMPUTED_VALUE"""),4042694)</f>
        <v>4042694</v>
      </c>
    </row>
    <row r="117" spans="1:6" ht="15.75" customHeight="1">
      <c r="A117" s="10">
        <f ca="1">IFERROR(__xludf.DUMMYFUNCTION("""COMPUTED_VALUE"""),43628.6666666666)</f>
        <v>43628.666666666599</v>
      </c>
      <c r="B117" s="1">
        <f ca="1">IFERROR(__xludf.DUMMYFUNCTION("""COMPUTED_VALUE"""),1853.98)</f>
        <v>1853.98</v>
      </c>
      <c r="C117" s="1">
        <f ca="1">IFERROR(__xludf.DUMMYFUNCTION("""COMPUTED_VALUE"""),1865)</f>
        <v>1865</v>
      </c>
      <c r="D117" s="1">
        <f ca="1">IFERROR(__xludf.DUMMYFUNCTION("""COMPUTED_VALUE"""),1844.38)</f>
        <v>1844.38</v>
      </c>
      <c r="E117" s="1">
        <f ca="1">IFERROR(__xludf.DUMMYFUNCTION("""COMPUTED_VALUE"""),1855.32)</f>
        <v>1855.32</v>
      </c>
      <c r="F117" s="1">
        <f ca="1">IFERROR(__xludf.DUMMYFUNCTION("""COMPUTED_VALUE"""),2678335)</f>
        <v>2678335</v>
      </c>
    </row>
    <row r="118" spans="1:6" ht="15.75" customHeight="1">
      <c r="A118" s="10">
        <f ca="1">IFERROR(__xludf.DUMMYFUNCTION("""COMPUTED_VALUE"""),43629.6666666666)</f>
        <v>43629.666666666599</v>
      </c>
      <c r="B118" s="1">
        <f ca="1">IFERROR(__xludf.DUMMYFUNCTION("""COMPUTED_VALUE"""),1866.72)</f>
        <v>1866.72</v>
      </c>
      <c r="C118" s="1">
        <f ca="1">IFERROR(__xludf.DUMMYFUNCTION("""COMPUTED_VALUE"""),1883.09)</f>
        <v>1883.09</v>
      </c>
      <c r="D118" s="1">
        <f ca="1">IFERROR(__xludf.DUMMYFUNCTION("""COMPUTED_VALUE"""),1862.22)</f>
        <v>1862.22</v>
      </c>
      <c r="E118" s="1">
        <f ca="1">IFERROR(__xludf.DUMMYFUNCTION("""COMPUTED_VALUE"""),1870.3)</f>
        <v>1870.3</v>
      </c>
      <c r="F118" s="1">
        <f ca="1">IFERROR(__xludf.DUMMYFUNCTION("""COMPUTED_VALUE"""),2795810)</f>
        <v>2795810</v>
      </c>
    </row>
    <row r="119" spans="1:6" ht="15.75" customHeight="1">
      <c r="A119" s="10">
        <f ca="1">IFERROR(__xludf.DUMMYFUNCTION("""COMPUTED_VALUE"""),43630.6666666666)</f>
        <v>43630.666666666599</v>
      </c>
      <c r="B119" s="1">
        <f ca="1">IFERROR(__xludf.DUMMYFUNCTION("""COMPUTED_VALUE"""),1864)</f>
        <v>1864</v>
      </c>
      <c r="C119" s="1">
        <f ca="1">IFERROR(__xludf.DUMMYFUNCTION("""COMPUTED_VALUE"""),1876)</f>
        <v>1876</v>
      </c>
      <c r="D119" s="1">
        <f ca="1">IFERROR(__xludf.DUMMYFUNCTION("""COMPUTED_VALUE"""),1859)</f>
        <v>1859</v>
      </c>
      <c r="E119" s="1">
        <f ca="1">IFERROR(__xludf.DUMMYFUNCTION("""COMPUTED_VALUE"""),1869.67)</f>
        <v>1869.67</v>
      </c>
      <c r="F119" s="1">
        <f ca="1">IFERROR(__xludf.DUMMYFUNCTION("""COMPUTED_VALUE"""),2851163)</f>
        <v>2851163</v>
      </c>
    </row>
    <row r="120" spans="1:6" ht="15.75" customHeight="1">
      <c r="A120" s="10">
        <f ca="1">IFERROR(__xludf.DUMMYFUNCTION("""COMPUTED_VALUE"""),43633.6666666666)</f>
        <v>43633.666666666599</v>
      </c>
      <c r="B120" s="1">
        <f ca="1">IFERROR(__xludf.DUMMYFUNCTION("""COMPUTED_VALUE"""),1876.5)</f>
        <v>1876.5</v>
      </c>
      <c r="C120" s="1">
        <f ca="1">IFERROR(__xludf.DUMMYFUNCTION("""COMPUTED_VALUE"""),1895.69)</f>
        <v>1895.69</v>
      </c>
      <c r="D120" s="1">
        <f ca="1">IFERROR(__xludf.DUMMYFUNCTION("""COMPUTED_VALUE"""),1875.45)</f>
        <v>1875.45</v>
      </c>
      <c r="E120" s="1">
        <f ca="1">IFERROR(__xludf.DUMMYFUNCTION("""COMPUTED_VALUE"""),1886.03)</f>
        <v>1886.03</v>
      </c>
      <c r="F120" s="1">
        <f ca="1">IFERROR(__xludf.DUMMYFUNCTION("""COMPUTED_VALUE"""),2634342)</f>
        <v>2634342</v>
      </c>
    </row>
    <row r="121" spans="1:6" ht="15.75" customHeight="1">
      <c r="A121" s="10">
        <f ca="1">IFERROR(__xludf.DUMMYFUNCTION("""COMPUTED_VALUE"""),43634.6666666666)</f>
        <v>43634.666666666599</v>
      </c>
      <c r="B121" s="1">
        <f ca="1">IFERROR(__xludf.DUMMYFUNCTION("""COMPUTED_VALUE"""),1901.35)</f>
        <v>1901.35</v>
      </c>
      <c r="C121" s="1">
        <f ca="1">IFERROR(__xludf.DUMMYFUNCTION("""COMPUTED_VALUE"""),1921.67)</f>
        <v>1921.67</v>
      </c>
      <c r="D121" s="1">
        <f ca="1">IFERROR(__xludf.DUMMYFUNCTION("""COMPUTED_VALUE"""),1899.79)</f>
        <v>1899.79</v>
      </c>
      <c r="E121" s="1">
        <f ca="1">IFERROR(__xludf.DUMMYFUNCTION("""COMPUTED_VALUE"""),1901.37)</f>
        <v>1901.37</v>
      </c>
      <c r="F121" s="1">
        <f ca="1">IFERROR(__xludf.DUMMYFUNCTION("""COMPUTED_VALUE"""),3895728)</f>
        <v>3895728</v>
      </c>
    </row>
    <row r="122" spans="1:6" ht="15.75" customHeight="1">
      <c r="A122" s="10">
        <f ca="1">IFERROR(__xludf.DUMMYFUNCTION("""COMPUTED_VALUE"""),43635.6666666666)</f>
        <v>43635.666666666599</v>
      </c>
      <c r="B122" s="1">
        <f ca="1">IFERROR(__xludf.DUMMYFUNCTION("""COMPUTED_VALUE"""),1907.84)</f>
        <v>1907.84</v>
      </c>
      <c r="C122" s="1">
        <f ca="1">IFERROR(__xludf.DUMMYFUNCTION("""COMPUTED_VALUE"""),1919.58)</f>
        <v>1919.58</v>
      </c>
      <c r="D122" s="1">
        <f ca="1">IFERROR(__xludf.DUMMYFUNCTION("""COMPUTED_VALUE"""),1892.47)</f>
        <v>1892.47</v>
      </c>
      <c r="E122" s="1">
        <f ca="1">IFERROR(__xludf.DUMMYFUNCTION("""COMPUTED_VALUE"""),1908.79)</f>
        <v>1908.79</v>
      </c>
      <c r="F122" s="1">
        <f ca="1">IFERROR(__xludf.DUMMYFUNCTION("""COMPUTED_VALUE"""),2895347)</f>
        <v>2895347</v>
      </c>
    </row>
    <row r="123" spans="1:6" ht="15.75" customHeight="1">
      <c r="A123" s="10">
        <f ca="1">IFERROR(__xludf.DUMMYFUNCTION("""COMPUTED_VALUE"""),43636.6666666666)</f>
        <v>43636.666666666599</v>
      </c>
      <c r="B123" s="1">
        <f ca="1">IFERROR(__xludf.DUMMYFUNCTION("""COMPUTED_VALUE"""),1933.33)</f>
        <v>1933.33</v>
      </c>
      <c r="C123" s="1">
        <f ca="1">IFERROR(__xludf.DUMMYFUNCTION("""COMPUTED_VALUE"""),1935.2)</f>
        <v>1935.2</v>
      </c>
      <c r="D123" s="1">
        <f ca="1">IFERROR(__xludf.DUMMYFUNCTION("""COMPUTED_VALUE"""),1905.8)</f>
        <v>1905.8</v>
      </c>
      <c r="E123" s="1">
        <f ca="1">IFERROR(__xludf.DUMMYFUNCTION("""COMPUTED_VALUE"""),1918.19)</f>
        <v>1918.19</v>
      </c>
      <c r="F123" s="1">
        <f ca="1">IFERROR(__xludf.DUMMYFUNCTION("""COMPUTED_VALUE"""),3217153)</f>
        <v>3217153</v>
      </c>
    </row>
    <row r="124" spans="1:6" ht="15.75" customHeight="1">
      <c r="A124" s="10">
        <f ca="1">IFERROR(__xludf.DUMMYFUNCTION("""COMPUTED_VALUE"""),43637.6666666666)</f>
        <v>43637.666666666599</v>
      </c>
      <c r="B124" s="1">
        <f ca="1">IFERROR(__xludf.DUMMYFUNCTION("""COMPUTED_VALUE"""),1916.1)</f>
        <v>1916.1</v>
      </c>
      <c r="C124" s="1">
        <f ca="1">IFERROR(__xludf.DUMMYFUNCTION("""COMPUTED_VALUE"""),1925.95)</f>
        <v>1925.95</v>
      </c>
      <c r="D124" s="1">
        <f ca="1">IFERROR(__xludf.DUMMYFUNCTION("""COMPUTED_VALUE"""),1907.58)</f>
        <v>1907.58</v>
      </c>
      <c r="E124" s="1">
        <f ca="1">IFERROR(__xludf.DUMMYFUNCTION("""COMPUTED_VALUE"""),1911.3)</f>
        <v>1911.3</v>
      </c>
      <c r="F124" s="1">
        <f ca="1">IFERROR(__xludf.DUMMYFUNCTION("""COMPUTED_VALUE"""),3933576)</f>
        <v>3933576</v>
      </c>
    </row>
    <row r="125" spans="1:6" ht="15.75" customHeight="1">
      <c r="A125" s="10">
        <f ca="1">IFERROR(__xludf.DUMMYFUNCTION("""COMPUTED_VALUE"""),43640.6666666666)</f>
        <v>43640.666666666599</v>
      </c>
      <c r="B125" s="1">
        <f ca="1">IFERROR(__xludf.DUMMYFUNCTION("""COMPUTED_VALUE"""),1912.66)</f>
        <v>1912.66</v>
      </c>
      <c r="C125" s="1">
        <f ca="1">IFERROR(__xludf.DUMMYFUNCTION("""COMPUTED_VALUE"""),1916.86)</f>
        <v>1916.86</v>
      </c>
      <c r="D125" s="1">
        <f ca="1">IFERROR(__xludf.DUMMYFUNCTION("""COMPUTED_VALUE"""),1901.3)</f>
        <v>1901.3</v>
      </c>
      <c r="E125" s="1">
        <f ca="1">IFERROR(__xludf.DUMMYFUNCTION("""COMPUTED_VALUE"""),1913.9)</f>
        <v>1913.9</v>
      </c>
      <c r="F125" s="1">
        <f ca="1">IFERROR(__xludf.DUMMYFUNCTION("""COMPUTED_VALUE"""),2282969)</f>
        <v>2282969</v>
      </c>
    </row>
    <row r="126" spans="1:6" ht="15.75" customHeight="1">
      <c r="A126" s="10">
        <f ca="1">IFERROR(__xludf.DUMMYFUNCTION("""COMPUTED_VALUE"""),43641.6666666666)</f>
        <v>43641.666666666599</v>
      </c>
      <c r="B126" s="1">
        <f ca="1">IFERROR(__xludf.DUMMYFUNCTION("""COMPUTED_VALUE"""),1911.84)</f>
        <v>1911.84</v>
      </c>
      <c r="C126" s="1">
        <f ca="1">IFERROR(__xludf.DUMMYFUNCTION("""COMPUTED_VALUE"""),1916.39)</f>
        <v>1916.39</v>
      </c>
      <c r="D126" s="1">
        <f ca="1">IFERROR(__xludf.DUMMYFUNCTION("""COMPUTED_VALUE"""),1872.42)</f>
        <v>1872.42</v>
      </c>
      <c r="E126" s="1">
        <f ca="1">IFERROR(__xludf.DUMMYFUNCTION("""COMPUTED_VALUE"""),1878.27)</f>
        <v>1878.27</v>
      </c>
      <c r="F126" s="1">
        <f ca="1">IFERROR(__xludf.DUMMYFUNCTION("""COMPUTED_VALUE"""),3012347)</f>
        <v>3012347</v>
      </c>
    </row>
    <row r="127" spans="1:6" ht="15.75" customHeight="1">
      <c r="A127" s="10">
        <f ca="1">IFERROR(__xludf.DUMMYFUNCTION("""COMPUTED_VALUE"""),43642.6666666666)</f>
        <v>43642.666666666599</v>
      </c>
      <c r="B127" s="1">
        <f ca="1">IFERROR(__xludf.DUMMYFUNCTION("""COMPUTED_VALUE"""),1892.48)</f>
        <v>1892.48</v>
      </c>
      <c r="C127" s="1">
        <f ca="1">IFERROR(__xludf.DUMMYFUNCTION("""COMPUTED_VALUE"""),1903.8)</f>
        <v>1903.8</v>
      </c>
      <c r="D127" s="1">
        <f ca="1">IFERROR(__xludf.DUMMYFUNCTION("""COMPUTED_VALUE"""),1887.32)</f>
        <v>1887.32</v>
      </c>
      <c r="E127" s="1">
        <f ca="1">IFERROR(__xludf.DUMMYFUNCTION("""COMPUTED_VALUE"""),1897.83)</f>
        <v>1897.83</v>
      </c>
      <c r="F127" s="1">
        <f ca="1">IFERROR(__xludf.DUMMYFUNCTION("""COMPUTED_VALUE"""),2441910)</f>
        <v>2441910</v>
      </c>
    </row>
    <row r="128" spans="1:6" ht="15.75" customHeight="1">
      <c r="A128" s="10">
        <f ca="1">IFERROR(__xludf.DUMMYFUNCTION("""COMPUTED_VALUE"""),43643.6666666666)</f>
        <v>43643.666666666599</v>
      </c>
      <c r="B128" s="1">
        <f ca="1">IFERROR(__xludf.DUMMYFUNCTION("""COMPUTED_VALUE"""),1902)</f>
        <v>1902</v>
      </c>
      <c r="C128" s="1">
        <f ca="1">IFERROR(__xludf.DUMMYFUNCTION("""COMPUTED_VALUE"""),1911.24)</f>
        <v>1911.24</v>
      </c>
      <c r="D128" s="1">
        <f ca="1">IFERROR(__xludf.DUMMYFUNCTION("""COMPUTED_VALUE"""),1898.04)</f>
        <v>1898.04</v>
      </c>
      <c r="E128" s="1">
        <f ca="1">IFERROR(__xludf.DUMMYFUNCTION("""COMPUTED_VALUE"""),1904.28)</f>
        <v>1904.28</v>
      </c>
      <c r="F128" s="1">
        <f ca="1">IFERROR(__xludf.DUMMYFUNCTION("""COMPUTED_VALUE"""),2141721)</f>
        <v>2141721</v>
      </c>
    </row>
    <row r="129" spans="1:6" ht="15.75" customHeight="1">
      <c r="A129" s="10">
        <f ca="1">IFERROR(__xludf.DUMMYFUNCTION("""COMPUTED_VALUE"""),43644.6666666666)</f>
        <v>43644.666666666599</v>
      </c>
      <c r="B129" s="1">
        <f ca="1">IFERROR(__xludf.DUMMYFUNCTION("""COMPUTED_VALUE"""),1909.1)</f>
        <v>1909.1</v>
      </c>
      <c r="C129" s="1">
        <f ca="1">IFERROR(__xludf.DUMMYFUNCTION("""COMPUTED_VALUE"""),1912.94)</f>
        <v>1912.94</v>
      </c>
      <c r="D129" s="1">
        <f ca="1">IFERROR(__xludf.DUMMYFUNCTION("""COMPUTED_VALUE"""),1884)</f>
        <v>1884</v>
      </c>
      <c r="E129" s="1">
        <f ca="1">IFERROR(__xludf.DUMMYFUNCTION("""COMPUTED_VALUE"""),1893.63)</f>
        <v>1893.63</v>
      </c>
      <c r="F129" s="1">
        <f ca="1">IFERROR(__xludf.DUMMYFUNCTION("""COMPUTED_VALUE"""),3037358)</f>
        <v>3037358</v>
      </c>
    </row>
    <row r="130" spans="1:6" ht="15.75" customHeight="1">
      <c r="A130" s="10">
        <f ca="1">IFERROR(__xludf.DUMMYFUNCTION("""COMPUTED_VALUE"""),43647.6666666666)</f>
        <v>43647.666666666599</v>
      </c>
      <c r="B130" s="1">
        <f ca="1">IFERROR(__xludf.DUMMYFUNCTION("""COMPUTED_VALUE"""),1922.98)</f>
        <v>1922.98</v>
      </c>
      <c r="C130" s="1">
        <f ca="1">IFERROR(__xludf.DUMMYFUNCTION("""COMPUTED_VALUE"""),1929.82)</f>
        <v>1929.82</v>
      </c>
      <c r="D130" s="1">
        <f ca="1">IFERROR(__xludf.DUMMYFUNCTION("""COMPUTED_VALUE"""),1914.66)</f>
        <v>1914.66</v>
      </c>
      <c r="E130" s="1">
        <f ca="1">IFERROR(__xludf.DUMMYFUNCTION("""COMPUTED_VALUE"""),1922.19)</f>
        <v>1922.19</v>
      </c>
      <c r="F130" s="1">
        <f ca="1">IFERROR(__xludf.DUMMYFUNCTION("""COMPUTED_VALUE"""),3203347)</f>
        <v>3203347</v>
      </c>
    </row>
    <row r="131" spans="1:6" ht="15.75" customHeight="1">
      <c r="A131" s="10">
        <f ca="1">IFERROR(__xludf.DUMMYFUNCTION("""COMPUTED_VALUE"""),43648.6666666666)</f>
        <v>43648.666666666599</v>
      </c>
      <c r="B131" s="1">
        <f ca="1">IFERROR(__xludf.DUMMYFUNCTION("""COMPUTED_VALUE"""),1919.38)</f>
        <v>1919.38</v>
      </c>
      <c r="C131" s="1">
        <f ca="1">IFERROR(__xludf.DUMMYFUNCTION("""COMPUTED_VALUE"""),1934.79)</f>
        <v>1934.79</v>
      </c>
      <c r="D131" s="1">
        <f ca="1">IFERROR(__xludf.DUMMYFUNCTION("""COMPUTED_VALUE"""),1906.63)</f>
        <v>1906.63</v>
      </c>
      <c r="E131" s="1">
        <f ca="1">IFERROR(__xludf.DUMMYFUNCTION("""COMPUTED_VALUE"""),1934.31)</f>
        <v>1934.31</v>
      </c>
      <c r="F131" s="1">
        <f ca="1">IFERROR(__xludf.DUMMYFUNCTION("""COMPUTED_VALUE"""),2651299)</f>
        <v>2651299</v>
      </c>
    </row>
    <row r="132" spans="1:6" ht="15.75" customHeight="1">
      <c r="A132" s="10">
        <f ca="1">IFERROR(__xludf.DUMMYFUNCTION("""COMPUTED_VALUE"""),43649.5416666666)</f>
        <v>43649.541666666599</v>
      </c>
      <c r="B132" s="1">
        <f ca="1">IFERROR(__xludf.DUMMYFUNCTION("""COMPUTED_VALUE"""),1935.89)</f>
        <v>1935.89</v>
      </c>
      <c r="C132" s="1">
        <f ca="1">IFERROR(__xludf.DUMMYFUNCTION("""COMPUTED_VALUE"""),1941.59)</f>
        <v>1941.59</v>
      </c>
      <c r="D132" s="1">
        <f ca="1">IFERROR(__xludf.DUMMYFUNCTION("""COMPUTED_VALUE"""),1930.5)</f>
        <v>1930.5</v>
      </c>
      <c r="E132" s="1">
        <f ca="1">IFERROR(__xludf.DUMMYFUNCTION("""COMPUTED_VALUE"""),1939)</f>
        <v>1939</v>
      </c>
      <c r="F132" s="1">
        <f ca="1">IFERROR(__xludf.DUMMYFUNCTION("""COMPUTED_VALUE"""),1690294)</f>
        <v>1690294</v>
      </c>
    </row>
    <row r="133" spans="1:6" ht="15.75" customHeight="1">
      <c r="A133" s="10">
        <f ca="1">IFERROR(__xludf.DUMMYFUNCTION("""COMPUTED_VALUE"""),43651.6666666666)</f>
        <v>43651.666666666599</v>
      </c>
      <c r="B133" s="1">
        <f ca="1">IFERROR(__xludf.DUMMYFUNCTION("""COMPUTED_VALUE"""),1928.6)</f>
        <v>1928.6</v>
      </c>
      <c r="C133" s="1">
        <f ca="1">IFERROR(__xludf.DUMMYFUNCTION("""COMPUTED_VALUE"""),1945.9)</f>
        <v>1945.9</v>
      </c>
      <c r="D133" s="1">
        <f ca="1">IFERROR(__xludf.DUMMYFUNCTION("""COMPUTED_VALUE"""),1925.3)</f>
        <v>1925.3</v>
      </c>
      <c r="E133" s="1">
        <f ca="1">IFERROR(__xludf.DUMMYFUNCTION("""COMPUTED_VALUE"""),1942.91)</f>
        <v>1942.91</v>
      </c>
      <c r="F133" s="1">
        <f ca="1">IFERROR(__xludf.DUMMYFUNCTION("""COMPUTED_VALUE"""),2628359)</f>
        <v>2628359</v>
      </c>
    </row>
    <row r="134" spans="1:6" ht="15.75" customHeight="1">
      <c r="A134" s="10">
        <f ca="1">IFERROR(__xludf.DUMMYFUNCTION("""COMPUTED_VALUE"""),43654.6666666666)</f>
        <v>43654.666666666599</v>
      </c>
      <c r="B134" s="1">
        <f ca="1">IFERROR(__xludf.DUMMYFUNCTION("""COMPUTED_VALUE"""),1934.12)</f>
        <v>1934.12</v>
      </c>
      <c r="C134" s="1">
        <f ca="1">IFERROR(__xludf.DUMMYFUNCTION("""COMPUTED_VALUE"""),1956)</f>
        <v>1956</v>
      </c>
      <c r="D134" s="1">
        <f ca="1">IFERROR(__xludf.DUMMYFUNCTION("""COMPUTED_VALUE"""),1928.25)</f>
        <v>1928.25</v>
      </c>
      <c r="E134" s="1">
        <f ca="1">IFERROR(__xludf.DUMMYFUNCTION("""COMPUTED_VALUE"""),1952.32)</f>
        <v>1952.32</v>
      </c>
      <c r="F134" s="1">
        <f ca="1">IFERROR(__xludf.DUMMYFUNCTION("""COMPUTED_VALUE"""),2883371)</f>
        <v>2883371</v>
      </c>
    </row>
    <row r="135" spans="1:6" ht="15.75" customHeight="1">
      <c r="A135" s="10">
        <f ca="1">IFERROR(__xludf.DUMMYFUNCTION("""COMPUTED_VALUE"""),43655.6666666666)</f>
        <v>43655.666666666599</v>
      </c>
      <c r="B135" s="1">
        <f ca="1">IFERROR(__xludf.DUMMYFUNCTION("""COMPUTED_VALUE"""),1947.8)</f>
        <v>1947.8</v>
      </c>
      <c r="C135" s="1">
        <f ca="1">IFERROR(__xludf.DUMMYFUNCTION("""COMPUTED_VALUE"""),1990.01)</f>
        <v>1990.01</v>
      </c>
      <c r="D135" s="1">
        <f ca="1">IFERROR(__xludf.DUMMYFUNCTION("""COMPUTED_VALUE"""),1943.48)</f>
        <v>1943.48</v>
      </c>
      <c r="E135" s="1">
        <f ca="1">IFERROR(__xludf.DUMMYFUNCTION("""COMPUTED_VALUE"""),1988.3)</f>
        <v>1988.3</v>
      </c>
      <c r="F135" s="1">
        <f ca="1">IFERROR(__xludf.DUMMYFUNCTION("""COMPUTED_VALUE"""),4345698)</f>
        <v>4345698</v>
      </c>
    </row>
    <row r="136" spans="1:6" ht="15.75" customHeight="1">
      <c r="A136" s="10">
        <f ca="1">IFERROR(__xludf.DUMMYFUNCTION("""COMPUTED_VALUE"""),43656.6666666666)</f>
        <v>43656.666666666599</v>
      </c>
      <c r="B136" s="1">
        <f ca="1">IFERROR(__xludf.DUMMYFUNCTION("""COMPUTED_VALUE"""),1996.51)</f>
        <v>1996.51</v>
      </c>
      <c r="C136" s="1">
        <f ca="1">IFERROR(__xludf.DUMMYFUNCTION("""COMPUTED_VALUE"""),2024.94)</f>
        <v>2024.94</v>
      </c>
      <c r="D136" s="1">
        <f ca="1">IFERROR(__xludf.DUMMYFUNCTION("""COMPUTED_VALUE"""),1995.4)</f>
        <v>1995.4</v>
      </c>
      <c r="E136" s="1">
        <f ca="1">IFERROR(__xludf.DUMMYFUNCTION("""COMPUTED_VALUE"""),2017.41)</f>
        <v>2017.41</v>
      </c>
      <c r="F136" s="1">
        <f ca="1">IFERROR(__xludf.DUMMYFUNCTION("""COMPUTED_VALUE"""),4931902)</f>
        <v>4931902</v>
      </c>
    </row>
    <row r="137" spans="1:6" ht="15.75" customHeight="1">
      <c r="A137" s="10">
        <f ca="1">IFERROR(__xludf.DUMMYFUNCTION("""COMPUTED_VALUE"""),43657.6666666666)</f>
        <v>43657.666666666599</v>
      </c>
      <c r="B137" s="1">
        <f ca="1">IFERROR(__xludf.DUMMYFUNCTION("""COMPUTED_VALUE"""),2025.62)</f>
        <v>2025.62</v>
      </c>
      <c r="C137" s="1">
        <f ca="1">IFERROR(__xludf.DUMMYFUNCTION("""COMPUTED_VALUE"""),2035.8)</f>
        <v>2035.8</v>
      </c>
      <c r="D137" s="1">
        <f ca="1">IFERROR(__xludf.DUMMYFUNCTION("""COMPUTED_VALUE"""),1995.3)</f>
        <v>1995.3</v>
      </c>
      <c r="E137" s="1">
        <f ca="1">IFERROR(__xludf.DUMMYFUNCTION("""COMPUTED_VALUE"""),2001.07)</f>
        <v>2001.07</v>
      </c>
      <c r="F137" s="1">
        <f ca="1">IFERROR(__xludf.DUMMYFUNCTION("""COMPUTED_VALUE"""),4317766)</f>
        <v>4317766</v>
      </c>
    </row>
    <row r="138" spans="1:6" ht="15.75" customHeight="1">
      <c r="A138" s="10">
        <f ca="1">IFERROR(__xludf.DUMMYFUNCTION("""COMPUTED_VALUE"""),43658.6666666666)</f>
        <v>43658.666666666599</v>
      </c>
      <c r="B138" s="1">
        <f ca="1">IFERROR(__xludf.DUMMYFUNCTION("""COMPUTED_VALUE"""),2008.27)</f>
        <v>2008.27</v>
      </c>
      <c r="C138" s="1">
        <f ca="1">IFERROR(__xludf.DUMMYFUNCTION("""COMPUTED_VALUE"""),2017)</f>
        <v>2017</v>
      </c>
      <c r="D138" s="1">
        <f ca="1">IFERROR(__xludf.DUMMYFUNCTION("""COMPUTED_VALUE"""),2003.87)</f>
        <v>2003.87</v>
      </c>
      <c r="E138" s="1">
        <f ca="1">IFERROR(__xludf.DUMMYFUNCTION("""COMPUTED_VALUE"""),2011)</f>
        <v>2011</v>
      </c>
      <c r="F138" s="1">
        <f ca="1">IFERROR(__xludf.DUMMYFUNCTION("""COMPUTED_VALUE"""),2509297)</f>
        <v>2509297</v>
      </c>
    </row>
    <row r="139" spans="1:6" ht="15.75" customHeight="1">
      <c r="A139" s="10">
        <f ca="1">IFERROR(__xludf.DUMMYFUNCTION("""COMPUTED_VALUE"""),43661.6666666666)</f>
        <v>43661.666666666599</v>
      </c>
      <c r="B139" s="1">
        <f ca="1">IFERROR(__xludf.DUMMYFUNCTION("""COMPUTED_VALUE"""),2021.4)</f>
        <v>2021.4</v>
      </c>
      <c r="C139" s="1">
        <f ca="1">IFERROR(__xludf.DUMMYFUNCTION("""COMPUTED_VALUE"""),2022.9)</f>
        <v>2022.9</v>
      </c>
      <c r="D139" s="1">
        <f ca="1">IFERROR(__xludf.DUMMYFUNCTION("""COMPUTED_VALUE"""),2001.55)</f>
        <v>2001.55</v>
      </c>
      <c r="E139" s="1">
        <f ca="1">IFERROR(__xludf.DUMMYFUNCTION("""COMPUTED_VALUE"""),2020.99)</f>
        <v>2020.99</v>
      </c>
      <c r="F139" s="1">
        <f ca="1">IFERROR(__xludf.DUMMYFUNCTION("""COMPUTED_VALUE"""),2981343)</f>
        <v>2981343</v>
      </c>
    </row>
    <row r="140" spans="1:6" ht="15.75" customHeight="1">
      <c r="A140" s="10">
        <f ca="1">IFERROR(__xludf.DUMMYFUNCTION("""COMPUTED_VALUE"""),43662.6666666666)</f>
        <v>43662.666666666599</v>
      </c>
      <c r="B140" s="1">
        <f ca="1">IFERROR(__xludf.DUMMYFUNCTION("""COMPUTED_VALUE"""),2010.58)</f>
        <v>2010.58</v>
      </c>
      <c r="C140" s="1">
        <f ca="1">IFERROR(__xludf.DUMMYFUNCTION("""COMPUTED_VALUE"""),2026.32)</f>
        <v>2026.32</v>
      </c>
      <c r="D140" s="1">
        <f ca="1">IFERROR(__xludf.DUMMYFUNCTION("""COMPUTED_VALUE"""),2001.22)</f>
        <v>2001.22</v>
      </c>
      <c r="E140" s="1">
        <f ca="1">IFERROR(__xludf.DUMMYFUNCTION("""COMPUTED_VALUE"""),2009.9)</f>
        <v>2009.9</v>
      </c>
      <c r="F140" s="1">
        <f ca="1">IFERROR(__xludf.DUMMYFUNCTION("""COMPUTED_VALUE"""),2618198)</f>
        <v>2618198</v>
      </c>
    </row>
    <row r="141" spans="1:6" ht="15.75" customHeight="1">
      <c r="A141" s="10">
        <f ca="1">IFERROR(__xludf.DUMMYFUNCTION("""COMPUTED_VALUE"""),43663.6666666666)</f>
        <v>43663.666666666599</v>
      </c>
      <c r="B141" s="1">
        <f ca="1">IFERROR(__xludf.DUMMYFUNCTION("""COMPUTED_VALUE"""),2007.05)</f>
        <v>2007.05</v>
      </c>
      <c r="C141" s="1">
        <f ca="1">IFERROR(__xludf.DUMMYFUNCTION("""COMPUTED_VALUE"""),2012)</f>
        <v>2012</v>
      </c>
      <c r="D141" s="1">
        <f ca="1">IFERROR(__xludf.DUMMYFUNCTION("""COMPUTED_VALUE"""),1992.03)</f>
        <v>1992.03</v>
      </c>
      <c r="E141" s="1">
        <f ca="1">IFERROR(__xludf.DUMMYFUNCTION("""COMPUTED_VALUE"""),1992.03)</f>
        <v>1992.03</v>
      </c>
      <c r="F141" s="1">
        <f ca="1">IFERROR(__xludf.DUMMYFUNCTION("""COMPUTED_VALUE"""),2558809)</f>
        <v>2558809</v>
      </c>
    </row>
    <row r="142" spans="1:6" ht="15.75" customHeight="1">
      <c r="A142" s="10">
        <f ca="1">IFERROR(__xludf.DUMMYFUNCTION("""COMPUTED_VALUE"""),43664.6666666666)</f>
        <v>43664.666666666599</v>
      </c>
      <c r="B142" s="1">
        <f ca="1">IFERROR(__xludf.DUMMYFUNCTION("""COMPUTED_VALUE"""),1980.01)</f>
        <v>1980.01</v>
      </c>
      <c r="C142" s="1">
        <f ca="1">IFERROR(__xludf.DUMMYFUNCTION("""COMPUTED_VALUE"""),1987.5)</f>
        <v>1987.5</v>
      </c>
      <c r="D142" s="1">
        <f ca="1">IFERROR(__xludf.DUMMYFUNCTION("""COMPUTED_VALUE"""),1951.55)</f>
        <v>1951.55</v>
      </c>
      <c r="E142" s="1">
        <f ca="1">IFERROR(__xludf.DUMMYFUNCTION("""COMPUTED_VALUE"""),1977.9)</f>
        <v>1977.9</v>
      </c>
      <c r="F142" s="1">
        <f ca="1">IFERROR(__xludf.DUMMYFUNCTION("""COMPUTED_VALUE"""),3504252)</f>
        <v>3504252</v>
      </c>
    </row>
    <row r="143" spans="1:6" ht="15.75" customHeight="1">
      <c r="A143" s="10">
        <f ca="1">IFERROR(__xludf.DUMMYFUNCTION("""COMPUTED_VALUE"""),43665.6666666666)</f>
        <v>43665.666666666599</v>
      </c>
      <c r="B143" s="1">
        <f ca="1">IFERROR(__xludf.DUMMYFUNCTION("""COMPUTED_VALUE"""),1991.21)</f>
        <v>1991.21</v>
      </c>
      <c r="C143" s="1">
        <f ca="1">IFERROR(__xludf.DUMMYFUNCTION("""COMPUTED_VALUE"""),1996)</f>
        <v>1996</v>
      </c>
      <c r="D143" s="1">
        <f ca="1">IFERROR(__xludf.DUMMYFUNCTION("""COMPUTED_VALUE"""),1962.23)</f>
        <v>1962.23</v>
      </c>
      <c r="E143" s="1">
        <f ca="1">IFERROR(__xludf.DUMMYFUNCTION("""COMPUTED_VALUE"""),1964.52)</f>
        <v>1964.52</v>
      </c>
      <c r="F143" s="1">
        <f ca="1">IFERROR(__xludf.DUMMYFUNCTION("""COMPUTED_VALUE"""),3185612)</f>
        <v>3185612</v>
      </c>
    </row>
    <row r="144" spans="1:6" ht="15.75" customHeight="1">
      <c r="A144" s="10">
        <f ca="1">IFERROR(__xludf.DUMMYFUNCTION("""COMPUTED_VALUE"""),43668.6666666666)</f>
        <v>43668.666666666599</v>
      </c>
      <c r="B144" s="1">
        <f ca="1">IFERROR(__xludf.DUMMYFUNCTION("""COMPUTED_VALUE"""),1971.14)</f>
        <v>1971.14</v>
      </c>
      <c r="C144" s="1">
        <f ca="1">IFERROR(__xludf.DUMMYFUNCTION("""COMPUTED_VALUE"""),1989)</f>
        <v>1989</v>
      </c>
      <c r="D144" s="1">
        <f ca="1">IFERROR(__xludf.DUMMYFUNCTION("""COMPUTED_VALUE"""),1958.26)</f>
        <v>1958.26</v>
      </c>
      <c r="E144" s="1">
        <f ca="1">IFERROR(__xludf.DUMMYFUNCTION("""COMPUTED_VALUE"""),1985.63)</f>
        <v>1985.63</v>
      </c>
      <c r="F144" s="1">
        <f ca="1">IFERROR(__xludf.DUMMYFUNCTION("""COMPUTED_VALUE"""),2908111)</f>
        <v>2908111</v>
      </c>
    </row>
    <row r="145" spans="1:6" ht="15.75" customHeight="1">
      <c r="A145" s="10">
        <f ca="1">IFERROR(__xludf.DUMMYFUNCTION("""COMPUTED_VALUE"""),43669.6666666666)</f>
        <v>43669.666666666599</v>
      </c>
      <c r="B145" s="1">
        <f ca="1">IFERROR(__xludf.DUMMYFUNCTION("""COMPUTED_VALUE"""),1995.99)</f>
        <v>1995.99</v>
      </c>
      <c r="C145" s="1">
        <f ca="1">IFERROR(__xludf.DUMMYFUNCTION("""COMPUTED_VALUE"""),1997.79)</f>
        <v>1997.79</v>
      </c>
      <c r="D145" s="1">
        <f ca="1">IFERROR(__xludf.DUMMYFUNCTION("""COMPUTED_VALUE"""),1973.13)</f>
        <v>1973.13</v>
      </c>
      <c r="E145" s="1">
        <f ca="1">IFERROR(__xludf.DUMMYFUNCTION("""COMPUTED_VALUE"""),1994.49)</f>
        <v>1994.49</v>
      </c>
      <c r="F145" s="1">
        <f ca="1">IFERROR(__xludf.DUMMYFUNCTION("""COMPUTED_VALUE"""),2703480)</f>
        <v>2703480</v>
      </c>
    </row>
    <row r="146" spans="1:6" ht="15.75" customHeight="1">
      <c r="A146" s="10">
        <f ca="1">IFERROR(__xludf.DUMMYFUNCTION("""COMPUTED_VALUE"""),43670.6666666666)</f>
        <v>43670.666666666599</v>
      </c>
      <c r="B146" s="1">
        <f ca="1">IFERROR(__xludf.DUMMYFUNCTION("""COMPUTED_VALUE"""),1969.3)</f>
        <v>1969.3</v>
      </c>
      <c r="C146" s="1">
        <f ca="1">IFERROR(__xludf.DUMMYFUNCTION("""COMPUTED_VALUE"""),2001.3)</f>
        <v>2001.3</v>
      </c>
      <c r="D146" s="1">
        <f ca="1">IFERROR(__xludf.DUMMYFUNCTION("""COMPUTED_VALUE"""),1965.87)</f>
        <v>1965.87</v>
      </c>
      <c r="E146" s="1">
        <f ca="1">IFERROR(__xludf.DUMMYFUNCTION("""COMPUTED_VALUE"""),2000.81)</f>
        <v>2000.81</v>
      </c>
      <c r="F146" s="1">
        <f ca="1">IFERROR(__xludf.DUMMYFUNCTION("""COMPUTED_VALUE"""),2631300)</f>
        <v>2631300</v>
      </c>
    </row>
    <row r="147" spans="1:6" ht="15.75" customHeight="1">
      <c r="A147" s="10">
        <f ca="1">IFERROR(__xludf.DUMMYFUNCTION("""COMPUTED_VALUE"""),43671.6666666666)</f>
        <v>43671.666666666599</v>
      </c>
      <c r="B147" s="1">
        <f ca="1">IFERROR(__xludf.DUMMYFUNCTION("""COMPUTED_VALUE"""),2001)</f>
        <v>2001</v>
      </c>
      <c r="C147" s="1">
        <f ca="1">IFERROR(__xludf.DUMMYFUNCTION("""COMPUTED_VALUE"""),2001.2)</f>
        <v>2001.2</v>
      </c>
      <c r="D147" s="1">
        <f ca="1">IFERROR(__xludf.DUMMYFUNCTION("""COMPUTED_VALUE"""),1972.72)</f>
        <v>1972.72</v>
      </c>
      <c r="E147" s="1">
        <f ca="1">IFERROR(__xludf.DUMMYFUNCTION("""COMPUTED_VALUE"""),1973.82)</f>
        <v>1973.82</v>
      </c>
      <c r="F147" s="1">
        <f ca="1">IFERROR(__xludf.DUMMYFUNCTION("""COMPUTED_VALUE"""),4136461)</f>
        <v>4136461</v>
      </c>
    </row>
    <row r="148" spans="1:6" ht="15.75" customHeight="1">
      <c r="A148" s="10">
        <f ca="1">IFERROR(__xludf.DUMMYFUNCTION("""COMPUTED_VALUE"""),43672.6666666666)</f>
        <v>43672.666666666599</v>
      </c>
      <c r="B148" s="1">
        <f ca="1">IFERROR(__xludf.DUMMYFUNCTION("""COMPUTED_VALUE"""),1942)</f>
        <v>1942</v>
      </c>
      <c r="C148" s="1">
        <f ca="1">IFERROR(__xludf.DUMMYFUNCTION("""COMPUTED_VALUE"""),1950.9)</f>
        <v>1950.9</v>
      </c>
      <c r="D148" s="1">
        <f ca="1">IFERROR(__xludf.DUMMYFUNCTION("""COMPUTED_VALUE"""),1924.51)</f>
        <v>1924.51</v>
      </c>
      <c r="E148" s="1">
        <f ca="1">IFERROR(__xludf.DUMMYFUNCTION("""COMPUTED_VALUE"""),1943.05)</f>
        <v>1943.05</v>
      </c>
      <c r="F148" s="1">
        <f ca="1">IFERROR(__xludf.DUMMYFUNCTION("""COMPUTED_VALUE"""),4927143)</f>
        <v>4927143</v>
      </c>
    </row>
    <row r="149" spans="1:6" ht="15.75" customHeight="1">
      <c r="A149" s="10">
        <f ca="1">IFERROR(__xludf.DUMMYFUNCTION("""COMPUTED_VALUE"""),43675.6666666666)</f>
        <v>43675.666666666599</v>
      </c>
      <c r="B149" s="1">
        <f ca="1">IFERROR(__xludf.DUMMYFUNCTION("""COMPUTED_VALUE"""),1930)</f>
        <v>1930</v>
      </c>
      <c r="C149" s="1">
        <f ca="1">IFERROR(__xludf.DUMMYFUNCTION("""COMPUTED_VALUE"""),1932.23)</f>
        <v>1932.23</v>
      </c>
      <c r="D149" s="1">
        <f ca="1">IFERROR(__xludf.DUMMYFUNCTION("""COMPUTED_VALUE"""),1890.54)</f>
        <v>1890.54</v>
      </c>
      <c r="E149" s="1">
        <f ca="1">IFERROR(__xludf.DUMMYFUNCTION("""COMPUTED_VALUE"""),1912.45)</f>
        <v>1912.45</v>
      </c>
      <c r="F149" s="1">
        <f ca="1">IFERROR(__xludf.DUMMYFUNCTION("""COMPUTED_VALUE"""),4493190)</f>
        <v>4493190</v>
      </c>
    </row>
    <row r="150" spans="1:6" ht="15.75" customHeight="1">
      <c r="A150" s="10">
        <f ca="1">IFERROR(__xludf.DUMMYFUNCTION("""COMPUTED_VALUE"""),43676.6666666666)</f>
        <v>43676.666666666599</v>
      </c>
      <c r="B150" s="1">
        <f ca="1">IFERROR(__xludf.DUMMYFUNCTION("""COMPUTED_VALUE"""),1891.12)</f>
        <v>1891.12</v>
      </c>
      <c r="C150" s="1">
        <f ca="1">IFERROR(__xludf.DUMMYFUNCTION("""COMPUTED_VALUE"""),1909.89)</f>
        <v>1909.89</v>
      </c>
      <c r="D150" s="1">
        <f ca="1">IFERROR(__xludf.DUMMYFUNCTION("""COMPUTED_VALUE"""),1883.48)</f>
        <v>1883.48</v>
      </c>
      <c r="E150" s="1">
        <f ca="1">IFERROR(__xludf.DUMMYFUNCTION("""COMPUTED_VALUE"""),1898.53)</f>
        <v>1898.53</v>
      </c>
      <c r="F150" s="1">
        <f ca="1">IFERROR(__xludf.DUMMYFUNCTION("""COMPUTED_VALUE"""),2910888)</f>
        <v>2910888</v>
      </c>
    </row>
    <row r="151" spans="1:6" ht="15.75" customHeight="1">
      <c r="A151" s="10">
        <f ca="1">IFERROR(__xludf.DUMMYFUNCTION("""COMPUTED_VALUE"""),43677.6666666666)</f>
        <v>43677.666666666599</v>
      </c>
      <c r="B151" s="1">
        <f ca="1">IFERROR(__xludf.DUMMYFUNCTION("""COMPUTED_VALUE"""),1898.11)</f>
        <v>1898.11</v>
      </c>
      <c r="C151" s="1">
        <f ca="1">IFERROR(__xludf.DUMMYFUNCTION("""COMPUTED_VALUE"""),1899.55)</f>
        <v>1899.55</v>
      </c>
      <c r="D151" s="1">
        <f ca="1">IFERROR(__xludf.DUMMYFUNCTION("""COMPUTED_VALUE"""),1849.44)</f>
        <v>1849.44</v>
      </c>
      <c r="E151" s="1">
        <f ca="1">IFERROR(__xludf.DUMMYFUNCTION("""COMPUTED_VALUE"""),1866.78)</f>
        <v>1866.78</v>
      </c>
      <c r="F151" s="1">
        <f ca="1">IFERROR(__xludf.DUMMYFUNCTION("""COMPUTED_VALUE"""),4470727)</f>
        <v>4470727</v>
      </c>
    </row>
    <row r="152" spans="1:6" ht="15.75" customHeight="1">
      <c r="A152" s="10">
        <f ca="1">IFERROR(__xludf.DUMMYFUNCTION("""COMPUTED_VALUE"""),43678.6666666666)</f>
        <v>43678.666666666599</v>
      </c>
      <c r="B152" s="1">
        <f ca="1">IFERROR(__xludf.DUMMYFUNCTION("""COMPUTED_VALUE"""),1871.72)</f>
        <v>1871.72</v>
      </c>
      <c r="C152" s="1">
        <f ca="1">IFERROR(__xludf.DUMMYFUNCTION("""COMPUTED_VALUE"""),1897.92)</f>
        <v>1897.92</v>
      </c>
      <c r="D152" s="1">
        <f ca="1">IFERROR(__xludf.DUMMYFUNCTION("""COMPUTED_VALUE"""),1844.01)</f>
        <v>1844.01</v>
      </c>
      <c r="E152" s="1">
        <f ca="1">IFERROR(__xludf.DUMMYFUNCTION("""COMPUTED_VALUE"""),1855.32)</f>
        <v>1855.32</v>
      </c>
      <c r="F152" s="1">
        <f ca="1">IFERROR(__xludf.DUMMYFUNCTION("""COMPUTED_VALUE"""),4713311)</f>
        <v>4713311</v>
      </c>
    </row>
    <row r="153" spans="1:6" ht="15.75" customHeight="1">
      <c r="A153" s="10">
        <f ca="1">IFERROR(__xludf.DUMMYFUNCTION("""COMPUTED_VALUE"""),43679.6666666666)</f>
        <v>43679.666666666599</v>
      </c>
      <c r="B153" s="1">
        <f ca="1">IFERROR(__xludf.DUMMYFUNCTION("""COMPUTED_VALUE"""),1845.07)</f>
        <v>1845.07</v>
      </c>
      <c r="C153" s="1">
        <f ca="1">IFERROR(__xludf.DUMMYFUNCTION("""COMPUTED_VALUE"""),1846.36)</f>
        <v>1846.36</v>
      </c>
      <c r="D153" s="1">
        <f ca="1">IFERROR(__xludf.DUMMYFUNCTION("""COMPUTED_VALUE"""),1808.02)</f>
        <v>1808.02</v>
      </c>
      <c r="E153" s="1">
        <f ca="1">IFERROR(__xludf.DUMMYFUNCTION("""COMPUTED_VALUE"""),1823.24)</f>
        <v>1823.24</v>
      </c>
      <c r="F153" s="1">
        <f ca="1">IFERROR(__xludf.DUMMYFUNCTION("""COMPUTED_VALUE"""),4956225)</f>
        <v>4956225</v>
      </c>
    </row>
    <row r="154" spans="1:6" ht="15.75" customHeight="1">
      <c r="A154" s="10">
        <f ca="1">IFERROR(__xludf.DUMMYFUNCTION("""COMPUTED_VALUE"""),43682.6666666666)</f>
        <v>43682.666666666599</v>
      </c>
      <c r="B154" s="1">
        <f ca="1">IFERROR(__xludf.DUMMYFUNCTION("""COMPUTED_VALUE"""),1770.22)</f>
        <v>1770.22</v>
      </c>
      <c r="C154" s="1">
        <f ca="1">IFERROR(__xludf.DUMMYFUNCTION("""COMPUTED_VALUE"""),1788.67)</f>
        <v>1788.67</v>
      </c>
      <c r="D154" s="1">
        <f ca="1">IFERROR(__xludf.DUMMYFUNCTION("""COMPUTED_VALUE"""),1748.78)</f>
        <v>1748.78</v>
      </c>
      <c r="E154" s="1">
        <f ca="1">IFERROR(__xludf.DUMMYFUNCTION("""COMPUTED_VALUE"""),1765.13)</f>
        <v>1765.13</v>
      </c>
      <c r="F154" s="1">
        <f ca="1">IFERROR(__xludf.DUMMYFUNCTION("""COMPUTED_VALUE"""),6058212)</f>
        <v>6058212</v>
      </c>
    </row>
    <row r="155" spans="1:6" ht="15.75" customHeight="1">
      <c r="A155" s="10">
        <f ca="1">IFERROR(__xludf.DUMMYFUNCTION("""COMPUTED_VALUE"""),43683.6666666666)</f>
        <v>43683.666666666599</v>
      </c>
      <c r="B155" s="1">
        <f ca="1">IFERROR(__xludf.DUMMYFUNCTION("""COMPUTED_VALUE"""),1792.23)</f>
        <v>1792.23</v>
      </c>
      <c r="C155" s="1">
        <f ca="1">IFERROR(__xludf.DUMMYFUNCTION("""COMPUTED_VALUE"""),1793.77)</f>
        <v>1793.77</v>
      </c>
      <c r="D155" s="1">
        <f ca="1">IFERROR(__xludf.DUMMYFUNCTION("""COMPUTED_VALUE"""),1753.4)</f>
        <v>1753.4</v>
      </c>
      <c r="E155" s="1">
        <f ca="1">IFERROR(__xludf.DUMMYFUNCTION("""COMPUTED_VALUE"""),1787.83)</f>
        <v>1787.83</v>
      </c>
      <c r="F155" s="1">
        <f ca="1">IFERROR(__xludf.DUMMYFUNCTION("""COMPUTED_VALUE"""),5070258)</f>
        <v>5070258</v>
      </c>
    </row>
    <row r="156" spans="1:6" ht="15.75" customHeight="1">
      <c r="A156" s="10">
        <f ca="1">IFERROR(__xludf.DUMMYFUNCTION("""COMPUTED_VALUE"""),43684.6666666666)</f>
        <v>43684.666666666599</v>
      </c>
      <c r="B156" s="1">
        <f ca="1">IFERROR(__xludf.DUMMYFUNCTION("""COMPUTED_VALUE"""),1773.99)</f>
        <v>1773.99</v>
      </c>
      <c r="C156" s="1">
        <f ca="1">IFERROR(__xludf.DUMMYFUNCTION("""COMPUTED_VALUE"""),1798.93)</f>
        <v>1798.93</v>
      </c>
      <c r="D156" s="1">
        <f ca="1">IFERROR(__xludf.DUMMYFUNCTION("""COMPUTED_VALUE"""),1757)</f>
        <v>1757</v>
      </c>
      <c r="E156" s="1">
        <f ca="1">IFERROR(__xludf.DUMMYFUNCTION("""COMPUTED_VALUE"""),1793.4)</f>
        <v>1793.4</v>
      </c>
      <c r="F156" s="1">
        <f ca="1">IFERROR(__xludf.DUMMYFUNCTION("""COMPUTED_VALUE"""),4526884)</f>
        <v>4526884</v>
      </c>
    </row>
    <row r="157" spans="1:6" ht="15.75" customHeight="1">
      <c r="A157" s="10">
        <f ca="1">IFERROR(__xludf.DUMMYFUNCTION("""COMPUTED_VALUE"""),43685.6666666666)</f>
        <v>43685.666666666599</v>
      </c>
      <c r="B157" s="1">
        <f ca="1">IFERROR(__xludf.DUMMYFUNCTION("""COMPUTED_VALUE"""),1806)</f>
        <v>1806</v>
      </c>
      <c r="C157" s="1">
        <f ca="1">IFERROR(__xludf.DUMMYFUNCTION("""COMPUTED_VALUE"""),1834.26)</f>
        <v>1834.26</v>
      </c>
      <c r="D157" s="1">
        <f ca="1">IFERROR(__xludf.DUMMYFUNCTION("""COMPUTED_VALUE"""),1798.11)</f>
        <v>1798.11</v>
      </c>
      <c r="E157" s="1">
        <f ca="1">IFERROR(__xludf.DUMMYFUNCTION("""COMPUTED_VALUE"""),1832.89)</f>
        <v>1832.89</v>
      </c>
      <c r="F157" s="1">
        <f ca="1">IFERROR(__xludf.DUMMYFUNCTION("""COMPUTED_VALUE"""),3701242)</f>
        <v>3701242</v>
      </c>
    </row>
    <row r="158" spans="1:6" ht="15.75" customHeight="1">
      <c r="A158" s="10">
        <f ca="1">IFERROR(__xludf.DUMMYFUNCTION("""COMPUTED_VALUE"""),43686.6666666666)</f>
        <v>43686.666666666599</v>
      </c>
      <c r="B158" s="1">
        <f ca="1">IFERROR(__xludf.DUMMYFUNCTION("""COMPUTED_VALUE"""),1828.95)</f>
        <v>1828.95</v>
      </c>
      <c r="C158" s="1">
        <f ca="1">IFERROR(__xludf.DUMMYFUNCTION("""COMPUTED_VALUE"""),1831.09)</f>
        <v>1831.09</v>
      </c>
      <c r="D158" s="1">
        <f ca="1">IFERROR(__xludf.DUMMYFUNCTION("""COMPUTED_VALUE"""),1802.22)</f>
        <v>1802.22</v>
      </c>
      <c r="E158" s="1">
        <f ca="1">IFERROR(__xludf.DUMMYFUNCTION("""COMPUTED_VALUE"""),1807.58)</f>
        <v>1807.58</v>
      </c>
      <c r="F158" s="1">
        <f ca="1">IFERROR(__xludf.DUMMYFUNCTION("""COMPUTED_VALUE"""),2879770)</f>
        <v>2879770</v>
      </c>
    </row>
    <row r="159" spans="1:6" ht="15.75" customHeight="1">
      <c r="A159" s="10">
        <f ca="1">IFERROR(__xludf.DUMMYFUNCTION("""COMPUTED_VALUE"""),43689.6666666666)</f>
        <v>43689.666666666599</v>
      </c>
      <c r="B159" s="1">
        <f ca="1">IFERROR(__xludf.DUMMYFUNCTION("""COMPUTED_VALUE"""),1795.99)</f>
        <v>1795.99</v>
      </c>
      <c r="C159" s="1">
        <f ca="1">IFERROR(__xludf.DUMMYFUNCTION("""COMPUTED_VALUE"""),1800.98)</f>
        <v>1800.98</v>
      </c>
      <c r="D159" s="1">
        <f ca="1">IFERROR(__xludf.DUMMYFUNCTION("""COMPUTED_VALUE"""),1777)</f>
        <v>1777</v>
      </c>
      <c r="E159" s="1">
        <f ca="1">IFERROR(__xludf.DUMMYFUNCTION("""COMPUTED_VALUE"""),1784.92)</f>
        <v>1784.92</v>
      </c>
      <c r="F159" s="1">
        <f ca="1">IFERROR(__xludf.DUMMYFUNCTION("""COMPUTED_VALUE"""),2905498)</f>
        <v>2905498</v>
      </c>
    </row>
    <row r="160" spans="1:6" ht="15.75" customHeight="1">
      <c r="A160" s="10">
        <f ca="1">IFERROR(__xludf.DUMMYFUNCTION("""COMPUTED_VALUE"""),43690.6666666666)</f>
        <v>43690.666666666599</v>
      </c>
      <c r="B160" s="1">
        <f ca="1">IFERROR(__xludf.DUMMYFUNCTION("""COMPUTED_VALUE"""),1783)</f>
        <v>1783</v>
      </c>
      <c r="C160" s="1">
        <f ca="1">IFERROR(__xludf.DUMMYFUNCTION("""COMPUTED_VALUE"""),1831.74)</f>
        <v>1831.74</v>
      </c>
      <c r="D160" s="1">
        <f ca="1">IFERROR(__xludf.DUMMYFUNCTION("""COMPUTED_VALUE"""),1780)</f>
        <v>1780</v>
      </c>
      <c r="E160" s="1">
        <f ca="1">IFERROR(__xludf.DUMMYFUNCTION("""COMPUTED_VALUE"""),1824.34)</f>
        <v>1824.34</v>
      </c>
      <c r="F160" s="1">
        <f ca="1">IFERROR(__xludf.DUMMYFUNCTION("""COMPUTED_VALUE"""),4075021)</f>
        <v>4075021</v>
      </c>
    </row>
    <row r="161" spans="1:6" ht="15.75" customHeight="1">
      <c r="A161" s="10">
        <f ca="1">IFERROR(__xludf.DUMMYFUNCTION("""COMPUTED_VALUE"""),43691.6666666666)</f>
        <v>43691.666666666599</v>
      </c>
      <c r="B161" s="1">
        <f ca="1">IFERROR(__xludf.DUMMYFUNCTION("""COMPUTED_VALUE"""),1793.01)</f>
        <v>1793.01</v>
      </c>
      <c r="C161" s="1">
        <f ca="1">IFERROR(__xludf.DUMMYFUNCTION("""COMPUTED_VALUE"""),1795.65)</f>
        <v>1795.65</v>
      </c>
      <c r="D161" s="1">
        <f ca="1">IFERROR(__xludf.DUMMYFUNCTION("""COMPUTED_VALUE"""),1757.22)</f>
        <v>1757.22</v>
      </c>
      <c r="E161" s="1">
        <f ca="1">IFERROR(__xludf.DUMMYFUNCTION("""COMPUTED_VALUE"""),1762.96)</f>
        <v>1762.96</v>
      </c>
      <c r="F161" s="1">
        <f ca="1">IFERROR(__xludf.DUMMYFUNCTION("""COMPUTED_VALUE"""),4893649)</f>
        <v>4893649</v>
      </c>
    </row>
    <row r="162" spans="1:6" ht="15.75" customHeight="1">
      <c r="A162" s="10">
        <f ca="1">IFERROR(__xludf.DUMMYFUNCTION("""COMPUTED_VALUE"""),43692.6666666666)</f>
        <v>43692.666666666599</v>
      </c>
      <c r="B162" s="1">
        <f ca="1">IFERROR(__xludf.DUMMYFUNCTION("""COMPUTED_VALUE"""),1781.99)</f>
        <v>1781.99</v>
      </c>
      <c r="C162" s="1">
        <f ca="1">IFERROR(__xludf.DUMMYFUNCTION("""COMPUTED_VALUE"""),1788)</f>
        <v>1788</v>
      </c>
      <c r="D162" s="1">
        <f ca="1">IFERROR(__xludf.DUMMYFUNCTION("""COMPUTED_VALUE"""),1761.96)</f>
        <v>1761.96</v>
      </c>
      <c r="E162" s="1">
        <f ca="1">IFERROR(__xludf.DUMMYFUNCTION("""COMPUTED_VALUE"""),1776.12)</f>
        <v>1776.12</v>
      </c>
      <c r="F162" s="1">
        <f ca="1">IFERROR(__xludf.DUMMYFUNCTION("""COMPUTED_VALUE"""),3809948)</f>
        <v>3809948</v>
      </c>
    </row>
    <row r="163" spans="1:6" ht="15.75" customHeight="1">
      <c r="A163" s="10">
        <f ca="1">IFERROR(__xludf.DUMMYFUNCTION("""COMPUTED_VALUE"""),43693.6666666666)</f>
        <v>43693.666666666599</v>
      </c>
      <c r="B163" s="1">
        <f ca="1">IFERROR(__xludf.DUMMYFUNCTION("""COMPUTED_VALUE"""),1792.89)</f>
        <v>1792.89</v>
      </c>
      <c r="C163" s="1">
        <f ca="1">IFERROR(__xludf.DUMMYFUNCTION("""COMPUTED_VALUE"""),1802.91)</f>
        <v>1802.91</v>
      </c>
      <c r="D163" s="1">
        <f ca="1">IFERROR(__xludf.DUMMYFUNCTION("""COMPUTED_VALUE"""),1784.55)</f>
        <v>1784.55</v>
      </c>
      <c r="E163" s="1">
        <f ca="1">IFERROR(__xludf.DUMMYFUNCTION("""COMPUTED_VALUE"""),1792.57)</f>
        <v>1792.57</v>
      </c>
      <c r="F163" s="1">
        <f ca="1">IFERROR(__xludf.DUMMYFUNCTION("""COMPUTED_VALUE"""),3054240)</f>
        <v>3054240</v>
      </c>
    </row>
    <row r="164" spans="1:6" ht="15.75" customHeight="1">
      <c r="A164" s="10">
        <f ca="1">IFERROR(__xludf.DUMMYFUNCTION("""COMPUTED_VALUE"""),43696.6666666666)</f>
        <v>43696.666666666599</v>
      </c>
      <c r="B164" s="1">
        <f ca="1">IFERROR(__xludf.DUMMYFUNCTION("""COMPUTED_VALUE"""),1818.08)</f>
        <v>1818.08</v>
      </c>
      <c r="C164" s="1">
        <f ca="1">IFERROR(__xludf.DUMMYFUNCTION("""COMPUTED_VALUE"""),1826)</f>
        <v>1826</v>
      </c>
      <c r="D164" s="1">
        <f ca="1">IFERROR(__xludf.DUMMYFUNCTION("""COMPUTED_VALUE"""),1812.61)</f>
        <v>1812.61</v>
      </c>
      <c r="E164" s="1">
        <f ca="1">IFERROR(__xludf.DUMMYFUNCTION("""COMPUTED_VALUE"""),1816.12)</f>
        <v>1816.12</v>
      </c>
      <c r="F164" s="1">
        <f ca="1">IFERROR(__xludf.DUMMYFUNCTION("""COMPUTED_VALUE"""),2820303)</f>
        <v>2820303</v>
      </c>
    </row>
    <row r="165" spans="1:6" ht="15.75" customHeight="1">
      <c r="A165" s="10">
        <f ca="1">IFERROR(__xludf.DUMMYFUNCTION("""COMPUTED_VALUE"""),43697.6666666666)</f>
        <v>43697.666666666599</v>
      </c>
      <c r="B165" s="1">
        <f ca="1">IFERROR(__xludf.DUMMYFUNCTION("""COMPUTED_VALUE"""),1814.5)</f>
        <v>1814.5</v>
      </c>
      <c r="C165" s="1">
        <f ca="1">IFERROR(__xludf.DUMMYFUNCTION("""COMPUTED_VALUE"""),1816.82)</f>
        <v>1816.82</v>
      </c>
      <c r="D165" s="1">
        <f ca="1">IFERROR(__xludf.DUMMYFUNCTION("""COMPUTED_VALUE"""),1799.88)</f>
        <v>1799.88</v>
      </c>
      <c r="E165" s="1">
        <f ca="1">IFERROR(__xludf.DUMMYFUNCTION("""COMPUTED_VALUE"""),1801.38)</f>
        <v>1801.38</v>
      </c>
      <c r="F165" s="1">
        <f ca="1">IFERROR(__xludf.DUMMYFUNCTION("""COMPUTED_VALUE"""),1932835)</f>
        <v>1932835</v>
      </c>
    </row>
    <row r="166" spans="1:6" ht="15.75" customHeight="1">
      <c r="A166" s="10">
        <f ca="1">IFERROR(__xludf.DUMMYFUNCTION("""COMPUTED_VALUE"""),43698.6666666666)</f>
        <v>43698.666666666599</v>
      </c>
      <c r="B166" s="1">
        <f ca="1">IFERROR(__xludf.DUMMYFUNCTION("""COMPUTED_VALUE"""),1819.39)</f>
        <v>1819.39</v>
      </c>
      <c r="C166" s="1">
        <f ca="1">IFERROR(__xludf.DUMMYFUNCTION("""COMPUTED_VALUE"""),1829.58)</f>
        <v>1829.58</v>
      </c>
      <c r="D166" s="1">
        <f ca="1">IFERROR(__xludf.DUMMYFUNCTION("""COMPUTED_VALUE"""),1815)</f>
        <v>1815</v>
      </c>
      <c r="E166" s="1">
        <f ca="1">IFERROR(__xludf.DUMMYFUNCTION("""COMPUTED_VALUE"""),1823.54)</f>
        <v>1823.54</v>
      </c>
      <c r="F166" s="1">
        <f ca="1">IFERROR(__xludf.DUMMYFUNCTION("""COMPUTED_VALUE"""),2039231)</f>
        <v>2039231</v>
      </c>
    </row>
    <row r="167" spans="1:6" ht="15.75" customHeight="1">
      <c r="A167" s="10">
        <f ca="1">IFERROR(__xludf.DUMMYFUNCTION("""COMPUTED_VALUE"""),43699.6666666666)</f>
        <v>43699.666666666599</v>
      </c>
      <c r="B167" s="1">
        <f ca="1">IFERROR(__xludf.DUMMYFUNCTION("""COMPUTED_VALUE"""),1828)</f>
        <v>1828</v>
      </c>
      <c r="C167" s="1">
        <f ca="1">IFERROR(__xludf.DUMMYFUNCTION("""COMPUTED_VALUE"""),1829.41)</f>
        <v>1829.41</v>
      </c>
      <c r="D167" s="1">
        <f ca="1">IFERROR(__xludf.DUMMYFUNCTION("""COMPUTED_VALUE"""),1800.1)</f>
        <v>1800.1</v>
      </c>
      <c r="E167" s="1">
        <f ca="1">IFERROR(__xludf.DUMMYFUNCTION("""COMPUTED_VALUE"""),1805.6)</f>
        <v>1805.6</v>
      </c>
      <c r="F167" s="1">
        <f ca="1">IFERROR(__xludf.DUMMYFUNCTION("""COMPUTED_VALUE"""),2658388)</f>
        <v>2658388</v>
      </c>
    </row>
    <row r="168" spans="1:6" ht="15.75" customHeight="1">
      <c r="A168" s="10">
        <f ca="1">IFERROR(__xludf.DUMMYFUNCTION("""COMPUTED_VALUE"""),43700.6666666666)</f>
        <v>43700.666666666599</v>
      </c>
      <c r="B168" s="1">
        <f ca="1">IFERROR(__xludf.DUMMYFUNCTION("""COMPUTED_VALUE"""),1793.03)</f>
        <v>1793.03</v>
      </c>
      <c r="C168" s="1">
        <f ca="1">IFERROR(__xludf.DUMMYFUNCTION("""COMPUTED_VALUE"""),1804.9)</f>
        <v>1804.9</v>
      </c>
      <c r="D168" s="1">
        <f ca="1">IFERROR(__xludf.DUMMYFUNCTION("""COMPUTED_VALUE"""),1745.23)</f>
        <v>1745.23</v>
      </c>
      <c r="E168" s="1">
        <f ca="1">IFERROR(__xludf.DUMMYFUNCTION("""COMPUTED_VALUE"""),1749.62)</f>
        <v>1749.62</v>
      </c>
      <c r="F168" s="1">
        <f ca="1">IFERROR(__xludf.DUMMYFUNCTION("""COMPUTED_VALUE"""),5277898)</f>
        <v>5277898</v>
      </c>
    </row>
    <row r="169" spans="1:6" ht="15.75" customHeight="1">
      <c r="A169" s="10">
        <f ca="1">IFERROR(__xludf.DUMMYFUNCTION("""COMPUTED_VALUE"""),43703.6666666666)</f>
        <v>43703.666666666599</v>
      </c>
      <c r="B169" s="1">
        <f ca="1">IFERROR(__xludf.DUMMYFUNCTION("""COMPUTED_VALUE"""),1766.91)</f>
        <v>1766.91</v>
      </c>
      <c r="C169" s="1">
        <f ca="1">IFERROR(__xludf.DUMMYFUNCTION("""COMPUTED_VALUE"""),1770)</f>
        <v>1770</v>
      </c>
      <c r="D169" s="1">
        <f ca="1">IFERROR(__xludf.DUMMYFUNCTION("""COMPUTED_VALUE"""),1743.51)</f>
        <v>1743.51</v>
      </c>
      <c r="E169" s="1">
        <f ca="1">IFERROR(__xludf.DUMMYFUNCTION("""COMPUTED_VALUE"""),1768.87)</f>
        <v>1768.87</v>
      </c>
      <c r="F169" s="1">
        <f ca="1">IFERROR(__xludf.DUMMYFUNCTION("""COMPUTED_VALUE"""),3085320)</f>
        <v>3085320</v>
      </c>
    </row>
    <row r="170" spans="1:6" ht="15.75" customHeight="1">
      <c r="A170" s="10">
        <f ca="1">IFERROR(__xludf.DUMMYFUNCTION("""COMPUTED_VALUE"""),43704.6666666666)</f>
        <v>43704.666666666599</v>
      </c>
      <c r="B170" s="1">
        <f ca="1">IFERROR(__xludf.DUMMYFUNCTION("""COMPUTED_VALUE"""),1775.73)</f>
        <v>1775.73</v>
      </c>
      <c r="C170" s="1">
        <f ca="1">IFERROR(__xludf.DUMMYFUNCTION("""COMPUTED_VALUE"""),1779.4)</f>
        <v>1779.4</v>
      </c>
      <c r="D170" s="1">
        <f ca="1">IFERROR(__xludf.DUMMYFUNCTION("""COMPUTED_VALUE"""),1746.68)</f>
        <v>1746.68</v>
      </c>
      <c r="E170" s="1">
        <f ca="1">IFERROR(__xludf.DUMMYFUNCTION("""COMPUTED_VALUE"""),1761.83)</f>
        <v>1761.83</v>
      </c>
      <c r="F170" s="1">
        <f ca="1">IFERROR(__xludf.DUMMYFUNCTION("""COMPUTED_VALUE"""),3027245)</f>
        <v>3027245</v>
      </c>
    </row>
    <row r="171" spans="1:6" ht="15.75" customHeight="1">
      <c r="A171" s="10">
        <f ca="1">IFERROR(__xludf.DUMMYFUNCTION("""COMPUTED_VALUE"""),43705.6666666666)</f>
        <v>43705.666666666599</v>
      </c>
      <c r="B171" s="1">
        <f ca="1">IFERROR(__xludf.DUMMYFUNCTION("""COMPUTED_VALUE"""),1755)</f>
        <v>1755</v>
      </c>
      <c r="C171" s="1">
        <f ca="1">IFERROR(__xludf.DUMMYFUNCTION("""COMPUTED_VALUE"""),1767.86)</f>
        <v>1767.86</v>
      </c>
      <c r="D171" s="1">
        <f ca="1">IFERROR(__xludf.DUMMYFUNCTION("""COMPUTED_VALUE"""),1744.05)</f>
        <v>1744.05</v>
      </c>
      <c r="E171" s="1">
        <f ca="1">IFERROR(__xludf.DUMMYFUNCTION("""COMPUTED_VALUE"""),1764.25)</f>
        <v>1764.25</v>
      </c>
      <c r="F171" s="1">
        <f ca="1">IFERROR(__xludf.DUMMYFUNCTION("""COMPUTED_VALUE"""),2421893)</f>
        <v>2421893</v>
      </c>
    </row>
    <row r="172" spans="1:6" ht="15.75" customHeight="1">
      <c r="A172" s="10">
        <f ca="1">IFERROR(__xludf.DUMMYFUNCTION("""COMPUTED_VALUE"""),43706.6666666666)</f>
        <v>43706.666666666599</v>
      </c>
      <c r="B172" s="1">
        <f ca="1">IFERROR(__xludf.DUMMYFUNCTION("""COMPUTED_VALUE"""),1783)</f>
        <v>1783</v>
      </c>
      <c r="C172" s="1">
        <f ca="1">IFERROR(__xludf.DUMMYFUNCTION("""COMPUTED_VALUE"""),1798.55)</f>
        <v>1798.55</v>
      </c>
      <c r="D172" s="1">
        <f ca="1">IFERROR(__xludf.DUMMYFUNCTION("""COMPUTED_VALUE"""),1777.25)</f>
        <v>1777.25</v>
      </c>
      <c r="E172" s="1">
        <f ca="1">IFERROR(__xludf.DUMMYFUNCTION("""COMPUTED_VALUE"""),1786.4)</f>
        <v>1786.4</v>
      </c>
      <c r="F172" s="1">
        <f ca="1">IFERROR(__xludf.DUMMYFUNCTION("""COMPUTED_VALUE"""),3018012)</f>
        <v>3018012</v>
      </c>
    </row>
    <row r="173" spans="1:6" ht="15.75" customHeight="1">
      <c r="A173" s="10">
        <f ca="1">IFERROR(__xludf.DUMMYFUNCTION("""COMPUTED_VALUE"""),43707.6666666666)</f>
        <v>43707.666666666599</v>
      </c>
      <c r="B173" s="1">
        <f ca="1">IFERROR(__xludf.DUMMYFUNCTION("""COMPUTED_VALUE"""),1797.49)</f>
        <v>1797.49</v>
      </c>
      <c r="C173" s="1">
        <f ca="1">IFERROR(__xludf.DUMMYFUNCTION("""COMPUTED_VALUE"""),1799.74)</f>
        <v>1799.74</v>
      </c>
      <c r="D173" s="1">
        <f ca="1">IFERROR(__xludf.DUMMYFUNCTION("""COMPUTED_VALUE"""),1764.57)</f>
        <v>1764.57</v>
      </c>
      <c r="E173" s="1">
        <f ca="1">IFERROR(__xludf.DUMMYFUNCTION("""COMPUTED_VALUE"""),1776.29)</f>
        <v>1776.29</v>
      </c>
      <c r="F173" s="1">
        <f ca="1">IFERROR(__xludf.DUMMYFUNCTION("""COMPUTED_VALUE"""),3064147)</f>
        <v>3064147</v>
      </c>
    </row>
    <row r="174" spans="1:6" ht="15.75" customHeight="1">
      <c r="A174" s="10">
        <f ca="1">IFERROR(__xludf.DUMMYFUNCTION("""COMPUTED_VALUE"""),43711.6666666666)</f>
        <v>43711.666666666599</v>
      </c>
      <c r="B174" s="1">
        <f ca="1">IFERROR(__xludf.DUMMYFUNCTION("""COMPUTED_VALUE"""),1770)</f>
        <v>1770</v>
      </c>
      <c r="C174" s="1">
        <f ca="1">IFERROR(__xludf.DUMMYFUNCTION("""COMPUTED_VALUE"""),1800.8)</f>
        <v>1800.8</v>
      </c>
      <c r="D174" s="1">
        <f ca="1">IFERROR(__xludf.DUMMYFUNCTION("""COMPUTED_VALUE"""),1768)</f>
        <v>1768</v>
      </c>
      <c r="E174" s="1">
        <f ca="1">IFERROR(__xludf.DUMMYFUNCTION("""COMPUTED_VALUE"""),1789.84)</f>
        <v>1789.84</v>
      </c>
      <c r="F174" s="1">
        <f ca="1">IFERROR(__xludf.DUMMYFUNCTION("""COMPUTED_VALUE"""),3546859)</f>
        <v>3546859</v>
      </c>
    </row>
    <row r="175" spans="1:6" ht="15.75" customHeight="1">
      <c r="A175" s="10">
        <f ca="1">IFERROR(__xludf.DUMMYFUNCTION("""COMPUTED_VALUE"""),43712.6666666666)</f>
        <v>43712.666666666599</v>
      </c>
      <c r="B175" s="1">
        <f ca="1">IFERROR(__xludf.DUMMYFUNCTION("""COMPUTED_VALUE"""),1805)</f>
        <v>1805</v>
      </c>
      <c r="C175" s="1">
        <f ca="1">IFERROR(__xludf.DUMMYFUNCTION("""COMPUTED_VALUE"""),1807.63)</f>
        <v>1807.63</v>
      </c>
      <c r="D175" s="1">
        <f ca="1">IFERROR(__xludf.DUMMYFUNCTION("""COMPUTED_VALUE"""),1796.23)</f>
        <v>1796.23</v>
      </c>
      <c r="E175" s="1">
        <f ca="1">IFERROR(__xludf.DUMMYFUNCTION("""COMPUTED_VALUE"""),1800.62)</f>
        <v>1800.62</v>
      </c>
      <c r="F175" s="1">
        <f ca="1">IFERROR(__xludf.DUMMYFUNCTION("""COMPUTED_VALUE"""),2326228)</f>
        <v>2326228</v>
      </c>
    </row>
    <row r="176" spans="1:6" ht="15.75" customHeight="1">
      <c r="A176" s="10">
        <f ca="1">IFERROR(__xludf.DUMMYFUNCTION("""COMPUTED_VALUE"""),43713.6666666666)</f>
        <v>43713.666666666599</v>
      </c>
      <c r="B176" s="1">
        <f ca="1">IFERROR(__xludf.DUMMYFUNCTION("""COMPUTED_VALUE"""),1821.95)</f>
        <v>1821.95</v>
      </c>
      <c r="C176" s="1">
        <f ca="1">IFERROR(__xludf.DUMMYFUNCTION("""COMPUTED_VALUE"""),1842)</f>
        <v>1842</v>
      </c>
      <c r="D176" s="1">
        <f ca="1">IFERROR(__xludf.DUMMYFUNCTION("""COMPUTED_VALUE"""),1815.58)</f>
        <v>1815.58</v>
      </c>
      <c r="E176" s="1">
        <f ca="1">IFERROR(__xludf.DUMMYFUNCTION("""COMPUTED_VALUE"""),1840.72)</f>
        <v>1840.72</v>
      </c>
      <c r="F176" s="1">
        <f ca="1">IFERROR(__xludf.DUMMYFUNCTION("""COMPUTED_VALUE"""),3325189)</f>
        <v>3325189</v>
      </c>
    </row>
    <row r="177" spans="1:6" ht="15.75" customHeight="1">
      <c r="A177" s="10">
        <f ca="1">IFERROR(__xludf.DUMMYFUNCTION("""COMPUTED_VALUE"""),43714.6666666666)</f>
        <v>43714.666666666599</v>
      </c>
      <c r="B177" s="1">
        <f ca="1">IFERROR(__xludf.DUMMYFUNCTION("""COMPUTED_VALUE"""),1838.22)</f>
        <v>1838.22</v>
      </c>
      <c r="C177" s="1">
        <f ca="1">IFERROR(__xludf.DUMMYFUNCTION("""COMPUTED_VALUE"""),1840.65)</f>
        <v>1840.65</v>
      </c>
      <c r="D177" s="1">
        <f ca="1">IFERROR(__xludf.DUMMYFUNCTION("""COMPUTED_VALUE"""),1826.4)</f>
        <v>1826.4</v>
      </c>
      <c r="E177" s="1">
        <f ca="1">IFERROR(__xludf.DUMMYFUNCTION("""COMPUTED_VALUE"""),1833.51)</f>
        <v>1833.51</v>
      </c>
      <c r="F177" s="1">
        <f ca="1">IFERROR(__xludf.DUMMYFUNCTION("""COMPUTED_VALUE"""),2496933)</f>
        <v>2496933</v>
      </c>
    </row>
    <row r="178" spans="1:6" ht="15.75" customHeight="1">
      <c r="A178" s="10">
        <f ca="1">IFERROR(__xludf.DUMMYFUNCTION("""COMPUTED_VALUE"""),43717.6666666666)</f>
        <v>43717.666666666599</v>
      </c>
      <c r="B178" s="1">
        <f ca="1">IFERROR(__xludf.DUMMYFUNCTION("""COMPUTED_VALUE"""),1841)</f>
        <v>1841</v>
      </c>
      <c r="C178" s="1">
        <f ca="1">IFERROR(__xludf.DUMMYFUNCTION("""COMPUTED_VALUE"""),1850)</f>
        <v>1850</v>
      </c>
      <c r="D178" s="1">
        <f ca="1">IFERROR(__xludf.DUMMYFUNCTION("""COMPUTED_VALUE"""),1824.61)</f>
        <v>1824.61</v>
      </c>
      <c r="E178" s="1">
        <f ca="1">IFERROR(__xludf.DUMMYFUNCTION("""COMPUTED_VALUE"""),1831.35)</f>
        <v>1831.35</v>
      </c>
      <c r="F178" s="1">
        <f ca="1">IFERROR(__xludf.DUMMYFUNCTION("""COMPUTED_VALUE"""),2999515)</f>
        <v>2999515</v>
      </c>
    </row>
    <row r="179" spans="1:6" ht="15.75" customHeight="1">
      <c r="A179" s="10">
        <f ca="1">IFERROR(__xludf.DUMMYFUNCTION("""COMPUTED_VALUE"""),43718.6666666666)</f>
        <v>43718.666666666599</v>
      </c>
      <c r="B179" s="1">
        <f ca="1">IFERROR(__xludf.DUMMYFUNCTION("""COMPUTED_VALUE"""),1822.75)</f>
        <v>1822.75</v>
      </c>
      <c r="C179" s="1">
        <f ca="1">IFERROR(__xludf.DUMMYFUNCTION("""COMPUTED_VALUE"""),1825.81)</f>
        <v>1825.81</v>
      </c>
      <c r="D179" s="1">
        <f ca="1">IFERROR(__xludf.DUMMYFUNCTION("""COMPUTED_VALUE"""),1805.34)</f>
        <v>1805.34</v>
      </c>
      <c r="E179" s="1">
        <f ca="1">IFERROR(__xludf.DUMMYFUNCTION("""COMPUTED_VALUE"""),1820.55)</f>
        <v>1820.55</v>
      </c>
      <c r="F179" s="1">
        <f ca="1">IFERROR(__xludf.DUMMYFUNCTION("""COMPUTED_VALUE"""),2613879)</f>
        <v>2613879</v>
      </c>
    </row>
    <row r="180" spans="1:6" ht="15.75" customHeight="1">
      <c r="A180" s="10">
        <f ca="1">IFERROR(__xludf.DUMMYFUNCTION("""COMPUTED_VALUE"""),43719.6666666666)</f>
        <v>43719.666666666599</v>
      </c>
      <c r="B180" s="1">
        <f ca="1">IFERROR(__xludf.DUMMYFUNCTION("""COMPUTED_VALUE"""),1812.14)</f>
        <v>1812.14</v>
      </c>
      <c r="C180" s="1">
        <f ca="1">IFERROR(__xludf.DUMMYFUNCTION("""COMPUTED_VALUE"""),1833.42)</f>
        <v>1833.42</v>
      </c>
      <c r="D180" s="1">
        <f ca="1">IFERROR(__xludf.DUMMYFUNCTION("""COMPUTED_VALUE"""),1809.08)</f>
        <v>1809.08</v>
      </c>
      <c r="E180" s="1">
        <f ca="1">IFERROR(__xludf.DUMMYFUNCTION("""COMPUTED_VALUE"""),1822.99)</f>
        <v>1822.99</v>
      </c>
      <c r="F180" s="1">
        <f ca="1">IFERROR(__xludf.DUMMYFUNCTION("""COMPUTED_VALUE"""),2432767)</f>
        <v>2432767</v>
      </c>
    </row>
    <row r="181" spans="1:6" ht="15.75" customHeight="1">
      <c r="A181" s="10">
        <f ca="1">IFERROR(__xludf.DUMMYFUNCTION("""COMPUTED_VALUE"""),43720.6666666666)</f>
        <v>43720.666666666599</v>
      </c>
      <c r="B181" s="1">
        <f ca="1">IFERROR(__xludf.DUMMYFUNCTION("""COMPUTED_VALUE"""),1837.63)</f>
        <v>1837.63</v>
      </c>
      <c r="C181" s="1">
        <f ca="1">IFERROR(__xludf.DUMMYFUNCTION("""COMPUTED_VALUE"""),1853.66)</f>
        <v>1853.66</v>
      </c>
      <c r="D181" s="1">
        <f ca="1">IFERROR(__xludf.DUMMYFUNCTION("""COMPUTED_VALUE"""),1834.28)</f>
        <v>1834.28</v>
      </c>
      <c r="E181" s="1">
        <f ca="1">IFERROR(__xludf.DUMMYFUNCTION("""COMPUTED_VALUE"""),1843.55)</f>
        <v>1843.55</v>
      </c>
      <c r="F181" s="1">
        <f ca="1">IFERROR(__xludf.DUMMYFUNCTION("""COMPUTED_VALUE"""),2823505)</f>
        <v>2823505</v>
      </c>
    </row>
    <row r="182" spans="1:6" ht="15.75" customHeight="1">
      <c r="A182" s="10">
        <f ca="1">IFERROR(__xludf.DUMMYFUNCTION("""COMPUTED_VALUE"""),43721.6666666666)</f>
        <v>43721.666666666599</v>
      </c>
      <c r="B182" s="1">
        <f ca="1">IFERROR(__xludf.DUMMYFUNCTION("""COMPUTED_VALUE"""),1842.01)</f>
        <v>1842.01</v>
      </c>
      <c r="C182" s="1">
        <f ca="1">IFERROR(__xludf.DUMMYFUNCTION("""COMPUTED_VALUE"""),1846.12)</f>
        <v>1846.12</v>
      </c>
      <c r="D182" s="1">
        <f ca="1">IFERROR(__xludf.DUMMYFUNCTION("""COMPUTED_VALUE"""),1835.17)</f>
        <v>1835.17</v>
      </c>
      <c r="E182" s="1">
        <f ca="1">IFERROR(__xludf.DUMMYFUNCTION("""COMPUTED_VALUE"""),1839.34)</f>
        <v>1839.34</v>
      </c>
      <c r="F182" s="1">
        <f ca="1">IFERROR(__xludf.DUMMYFUNCTION("""COMPUTED_VALUE"""),1971317)</f>
        <v>1971317</v>
      </c>
    </row>
    <row r="183" spans="1:6" ht="15.75" customHeight="1">
      <c r="A183" s="10">
        <f ca="1">IFERROR(__xludf.DUMMYFUNCTION("""COMPUTED_VALUE"""),43724.6666666666)</f>
        <v>43724.666666666599</v>
      </c>
      <c r="B183" s="1">
        <f ca="1">IFERROR(__xludf.DUMMYFUNCTION("""COMPUTED_VALUE"""),1824.02)</f>
        <v>1824.02</v>
      </c>
      <c r="C183" s="1">
        <f ca="1">IFERROR(__xludf.DUMMYFUNCTION("""COMPUTED_VALUE"""),1825.69)</f>
        <v>1825.69</v>
      </c>
      <c r="D183" s="1">
        <f ca="1">IFERROR(__xludf.DUMMYFUNCTION("""COMPUTED_VALUE"""),1800.2)</f>
        <v>1800.2</v>
      </c>
      <c r="E183" s="1">
        <f ca="1">IFERROR(__xludf.DUMMYFUNCTION("""COMPUTED_VALUE"""),1807.84)</f>
        <v>1807.84</v>
      </c>
      <c r="F183" s="1">
        <f ca="1">IFERROR(__xludf.DUMMYFUNCTION("""COMPUTED_VALUE"""),3675473)</f>
        <v>3675473</v>
      </c>
    </row>
    <row r="184" spans="1:6" ht="15.75" customHeight="1">
      <c r="A184" s="10">
        <f ca="1">IFERROR(__xludf.DUMMYFUNCTION("""COMPUTED_VALUE"""),43725.6666666666)</f>
        <v>43725.666666666599</v>
      </c>
      <c r="B184" s="1">
        <f ca="1">IFERROR(__xludf.DUMMYFUNCTION("""COMPUTED_VALUE"""),1807.08)</f>
        <v>1807.08</v>
      </c>
      <c r="C184" s="1">
        <f ca="1">IFERROR(__xludf.DUMMYFUNCTION("""COMPUTED_VALUE"""),1823.99)</f>
        <v>1823.99</v>
      </c>
      <c r="D184" s="1">
        <f ca="1">IFERROR(__xludf.DUMMYFUNCTION("""COMPUTED_VALUE"""),1804.1)</f>
        <v>1804.1</v>
      </c>
      <c r="E184" s="1">
        <f ca="1">IFERROR(__xludf.DUMMYFUNCTION("""COMPUTED_VALUE"""),1822.55)</f>
        <v>1822.55</v>
      </c>
      <c r="F184" s="1">
        <f ca="1">IFERROR(__xludf.DUMMYFUNCTION("""COMPUTED_VALUE"""),2033058)</f>
        <v>2033058</v>
      </c>
    </row>
    <row r="185" spans="1:6" ht="15.75" customHeight="1">
      <c r="A185" s="10">
        <f ca="1">IFERROR(__xludf.DUMMYFUNCTION("""COMPUTED_VALUE"""),43726.6666666666)</f>
        <v>43726.666666666599</v>
      </c>
      <c r="B185" s="1">
        <f ca="1">IFERROR(__xludf.DUMMYFUNCTION("""COMPUTED_VALUE"""),1817.04)</f>
        <v>1817.04</v>
      </c>
      <c r="C185" s="1">
        <f ca="1">IFERROR(__xludf.DUMMYFUNCTION("""COMPUTED_VALUE"""),1822.06)</f>
        <v>1822.06</v>
      </c>
      <c r="D185" s="1">
        <f ca="1">IFERROR(__xludf.DUMMYFUNCTION("""COMPUTED_VALUE"""),1795.5)</f>
        <v>1795.5</v>
      </c>
      <c r="E185" s="1">
        <f ca="1">IFERROR(__xludf.DUMMYFUNCTION("""COMPUTED_VALUE"""),1817.46)</f>
        <v>1817.46</v>
      </c>
      <c r="F185" s="1">
        <f ca="1">IFERROR(__xludf.DUMMYFUNCTION("""COMPUTED_VALUE"""),2536012)</f>
        <v>2536012</v>
      </c>
    </row>
    <row r="186" spans="1:6" ht="15.75" customHeight="1">
      <c r="A186" s="10">
        <f ca="1">IFERROR(__xludf.DUMMYFUNCTION("""COMPUTED_VALUE"""),43727.6666666666)</f>
        <v>43727.666666666599</v>
      </c>
      <c r="B186" s="1">
        <f ca="1">IFERROR(__xludf.DUMMYFUNCTION("""COMPUTED_VALUE"""),1821.02)</f>
        <v>1821.02</v>
      </c>
      <c r="C186" s="1">
        <f ca="1">IFERROR(__xludf.DUMMYFUNCTION("""COMPUTED_VALUE"""),1832.57)</f>
        <v>1832.57</v>
      </c>
      <c r="D186" s="1">
        <f ca="1">IFERROR(__xludf.DUMMYFUNCTION("""COMPUTED_VALUE"""),1817.9)</f>
        <v>1817.9</v>
      </c>
      <c r="E186" s="1">
        <f ca="1">IFERROR(__xludf.DUMMYFUNCTION("""COMPUTED_VALUE"""),1821.5)</f>
        <v>1821.5</v>
      </c>
      <c r="F186" s="1">
        <f ca="1">IFERROR(__xludf.DUMMYFUNCTION("""COMPUTED_VALUE"""),2078335)</f>
        <v>2078335</v>
      </c>
    </row>
    <row r="187" spans="1:6" ht="15.75" customHeight="1">
      <c r="A187" s="10">
        <f ca="1">IFERROR(__xludf.DUMMYFUNCTION("""COMPUTED_VALUE"""),43728.6666666666)</f>
        <v>43728.666666666599</v>
      </c>
      <c r="B187" s="1">
        <f ca="1">IFERROR(__xludf.DUMMYFUNCTION("""COMPUTED_VALUE"""),1821.71)</f>
        <v>1821.71</v>
      </c>
      <c r="C187" s="1">
        <f ca="1">IFERROR(__xludf.DUMMYFUNCTION("""COMPUTED_VALUE"""),1830.63)</f>
        <v>1830.63</v>
      </c>
      <c r="D187" s="1">
        <f ca="1">IFERROR(__xludf.DUMMYFUNCTION("""COMPUTED_VALUE"""),1780.92)</f>
        <v>1780.92</v>
      </c>
      <c r="E187" s="1">
        <f ca="1">IFERROR(__xludf.DUMMYFUNCTION("""COMPUTED_VALUE"""),1794.16)</f>
        <v>1794.16</v>
      </c>
      <c r="F187" s="1">
        <f ca="1">IFERROR(__xludf.DUMMYFUNCTION("""COMPUTED_VALUE"""),5555839)</f>
        <v>5555839</v>
      </c>
    </row>
    <row r="188" spans="1:6" ht="15.75" customHeight="1">
      <c r="A188" s="10">
        <f ca="1">IFERROR(__xludf.DUMMYFUNCTION("""COMPUTED_VALUE"""),43731.6666666666)</f>
        <v>43731.666666666599</v>
      </c>
      <c r="B188" s="1">
        <f ca="1">IFERROR(__xludf.DUMMYFUNCTION("""COMPUTED_VALUE"""),1777)</f>
        <v>1777</v>
      </c>
      <c r="C188" s="1">
        <f ca="1">IFERROR(__xludf.DUMMYFUNCTION("""COMPUTED_VALUE"""),1792.7)</f>
        <v>1792.7</v>
      </c>
      <c r="D188" s="1">
        <f ca="1">IFERROR(__xludf.DUMMYFUNCTION("""COMPUTED_VALUE"""),1767.32)</f>
        <v>1767.32</v>
      </c>
      <c r="E188" s="1">
        <f ca="1">IFERROR(__xludf.DUMMYFUNCTION("""COMPUTED_VALUE"""),1785.3)</f>
        <v>1785.3</v>
      </c>
      <c r="F188" s="1">
        <f ca="1">IFERROR(__xludf.DUMMYFUNCTION("""COMPUTED_VALUE"""),3139142)</f>
        <v>3139142</v>
      </c>
    </row>
    <row r="189" spans="1:6" ht="15.75" customHeight="1">
      <c r="A189" s="10">
        <f ca="1">IFERROR(__xludf.DUMMYFUNCTION("""COMPUTED_VALUE"""),43732.6666666666)</f>
        <v>43732.666666666599</v>
      </c>
      <c r="B189" s="1">
        <f ca="1">IFERROR(__xludf.DUMMYFUNCTION("""COMPUTED_VALUE"""),1790.61)</f>
        <v>1790.61</v>
      </c>
      <c r="C189" s="1">
        <f ca="1">IFERROR(__xludf.DUMMYFUNCTION("""COMPUTED_VALUE"""),1795.71)</f>
        <v>1795.71</v>
      </c>
      <c r="D189" s="1">
        <f ca="1">IFERROR(__xludf.DUMMYFUNCTION("""COMPUTED_VALUE"""),1735.55)</f>
        <v>1735.55</v>
      </c>
      <c r="E189" s="1">
        <f ca="1">IFERROR(__xludf.DUMMYFUNCTION("""COMPUTED_VALUE"""),1741.61)</f>
        <v>1741.61</v>
      </c>
      <c r="F189" s="1">
        <f ca="1">IFERROR(__xludf.DUMMYFUNCTION("""COMPUTED_VALUE"""),4637901)</f>
        <v>4637901</v>
      </c>
    </row>
    <row r="190" spans="1:6" ht="15.75" customHeight="1">
      <c r="A190" s="10">
        <f ca="1">IFERROR(__xludf.DUMMYFUNCTION("""COMPUTED_VALUE"""),43733.6666666666)</f>
        <v>43733.666666666599</v>
      </c>
      <c r="B190" s="1">
        <f ca="1">IFERROR(__xludf.DUMMYFUNCTION("""COMPUTED_VALUE"""),1747.36)</f>
        <v>1747.36</v>
      </c>
      <c r="C190" s="1">
        <f ca="1">IFERROR(__xludf.DUMMYFUNCTION("""COMPUTED_VALUE"""),1773)</f>
        <v>1773</v>
      </c>
      <c r="D190" s="1">
        <f ca="1">IFERROR(__xludf.DUMMYFUNCTION("""COMPUTED_VALUE"""),1723)</f>
        <v>1723</v>
      </c>
      <c r="E190" s="1">
        <f ca="1">IFERROR(__xludf.DUMMYFUNCTION("""COMPUTED_VALUE"""),1768.33)</f>
        <v>1768.33</v>
      </c>
      <c r="F190" s="1">
        <f ca="1">IFERROR(__xludf.DUMMYFUNCTION("""COMPUTED_VALUE"""),3531098)</f>
        <v>3531098</v>
      </c>
    </row>
    <row r="191" spans="1:6" ht="15.75" customHeight="1">
      <c r="A191" s="10">
        <f ca="1">IFERROR(__xludf.DUMMYFUNCTION("""COMPUTED_VALUE"""),43734.6666666666)</f>
        <v>43734.666666666599</v>
      </c>
      <c r="B191" s="1">
        <f ca="1">IFERROR(__xludf.DUMMYFUNCTION("""COMPUTED_VALUE"""),1762.79)</f>
        <v>1762.79</v>
      </c>
      <c r="C191" s="1">
        <f ca="1">IFERROR(__xludf.DUMMYFUNCTION("""COMPUTED_VALUE"""),1763.37)</f>
        <v>1763.37</v>
      </c>
      <c r="D191" s="1">
        <f ca="1">IFERROR(__xludf.DUMMYFUNCTION("""COMPUTED_VALUE"""),1731.5)</f>
        <v>1731.5</v>
      </c>
      <c r="E191" s="1">
        <f ca="1">IFERROR(__xludf.DUMMYFUNCTION("""COMPUTED_VALUE"""),1739.84)</f>
        <v>1739.84</v>
      </c>
      <c r="F191" s="1">
        <f ca="1">IFERROR(__xludf.DUMMYFUNCTION("""COMPUTED_VALUE"""),3571952)</f>
        <v>3571952</v>
      </c>
    </row>
    <row r="192" spans="1:6" ht="15.75" customHeight="1">
      <c r="A192" s="10">
        <f ca="1">IFERROR(__xludf.DUMMYFUNCTION("""COMPUTED_VALUE"""),43735.6666666666)</f>
        <v>43735.666666666599</v>
      </c>
      <c r="B192" s="1">
        <f ca="1">IFERROR(__xludf.DUMMYFUNCTION("""COMPUTED_VALUE"""),1748)</f>
        <v>1748</v>
      </c>
      <c r="C192" s="1">
        <f ca="1">IFERROR(__xludf.DUMMYFUNCTION("""COMPUTED_VALUE"""),1749.12)</f>
        <v>1749.12</v>
      </c>
      <c r="D192" s="1">
        <f ca="1">IFERROR(__xludf.DUMMYFUNCTION("""COMPUTED_VALUE"""),1713.82)</f>
        <v>1713.82</v>
      </c>
      <c r="E192" s="1">
        <f ca="1">IFERROR(__xludf.DUMMYFUNCTION("""COMPUTED_VALUE"""),1725.45)</f>
        <v>1725.45</v>
      </c>
      <c r="F192" s="1">
        <f ca="1">IFERROR(__xludf.DUMMYFUNCTION("""COMPUTED_VALUE"""),3948029)</f>
        <v>3948029</v>
      </c>
    </row>
    <row r="193" spans="1:6" ht="15.75" customHeight="1">
      <c r="A193" s="10">
        <f ca="1">IFERROR(__xludf.DUMMYFUNCTION("""COMPUTED_VALUE"""),43738.6666666666)</f>
        <v>43738.666666666599</v>
      </c>
      <c r="B193" s="1">
        <f ca="1">IFERROR(__xludf.DUMMYFUNCTION("""COMPUTED_VALUE"""),1726.99)</f>
        <v>1726.99</v>
      </c>
      <c r="C193" s="1">
        <f ca="1">IFERROR(__xludf.DUMMYFUNCTION("""COMPUTED_VALUE"""),1737.46)</f>
        <v>1737.46</v>
      </c>
      <c r="D193" s="1">
        <f ca="1">IFERROR(__xludf.DUMMYFUNCTION("""COMPUTED_VALUE"""),1709.22)</f>
        <v>1709.22</v>
      </c>
      <c r="E193" s="1">
        <f ca="1">IFERROR(__xludf.DUMMYFUNCTION("""COMPUTED_VALUE"""),1735.91)</f>
        <v>1735.91</v>
      </c>
      <c r="F193" s="1">
        <f ca="1">IFERROR(__xludf.DUMMYFUNCTION("""COMPUTED_VALUE"""),2760768)</f>
        <v>2760768</v>
      </c>
    </row>
    <row r="194" spans="1:6" ht="15.75" customHeight="1">
      <c r="A194" s="10">
        <f ca="1">IFERROR(__xludf.DUMMYFUNCTION("""COMPUTED_VALUE"""),43739.6666666666)</f>
        <v>43739.666666666599</v>
      </c>
      <c r="B194" s="1">
        <f ca="1">IFERROR(__xludf.DUMMYFUNCTION("""COMPUTED_VALUE"""),1746)</f>
        <v>1746</v>
      </c>
      <c r="C194" s="1">
        <f ca="1">IFERROR(__xludf.DUMMYFUNCTION("""COMPUTED_VALUE"""),1755.6)</f>
        <v>1755.6</v>
      </c>
      <c r="D194" s="1">
        <f ca="1">IFERROR(__xludf.DUMMYFUNCTION("""COMPUTED_VALUE"""),1728.41)</f>
        <v>1728.41</v>
      </c>
      <c r="E194" s="1">
        <f ca="1">IFERROR(__xludf.DUMMYFUNCTION("""COMPUTED_VALUE"""),1735.65)</f>
        <v>1735.65</v>
      </c>
      <c r="F194" s="1">
        <f ca="1">IFERROR(__xludf.DUMMYFUNCTION("""COMPUTED_VALUE"""),3170460)</f>
        <v>3170460</v>
      </c>
    </row>
    <row r="195" spans="1:6" ht="15.75" customHeight="1">
      <c r="A195" s="10">
        <f ca="1">IFERROR(__xludf.DUMMYFUNCTION("""COMPUTED_VALUE"""),43740.6666666666)</f>
        <v>43740.666666666599</v>
      </c>
      <c r="B195" s="1">
        <f ca="1">IFERROR(__xludf.DUMMYFUNCTION("""COMPUTED_VALUE"""),1727.74)</f>
        <v>1727.74</v>
      </c>
      <c r="C195" s="1">
        <f ca="1">IFERROR(__xludf.DUMMYFUNCTION("""COMPUTED_VALUE"""),1728.89)</f>
        <v>1728.89</v>
      </c>
      <c r="D195" s="1">
        <f ca="1">IFERROR(__xludf.DUMMYFUNCTION("""COMPUTED_VALUE"""),1705)</f>
        <v>1705</v>
      </c>
      <c r="E195" s="1">
        <f ca="1">IFERROR(__xludf.DUMMYFUNCTION("""COMPUTED_VALUE"""),1713.23)</f>
        <v>1713.23</v>
      </c>
      <c r="F195" s="1">
        <f ca="1">IFERROR(__xludf.DUMMYFUNCTION("""COMPUTED_VALUE"""),3338476)</f>
        <v>3338476</v>
      </c>
    </row>
    <row r="196" spans="1:6" ht="15.75" customHeight="1">
      <c r="A196" s="10">
        <f ca="1">IFERROR(__xludf.DUMMYFUNCTION("""COMPUTED_VALUE"""),43741.6666666666)</f>
        <v>43741.666666666599</v>
      </c>
      <c r="B196" s="1">
        <f ca="1">IFERROR(__xludf.DUMMYFUNCTION("""COMPUTED_VALUE"""),1713)</f>
        <v>1713</v>
      </c>
      <c r="C196" s="1">
        <f ca="1">IFERROR(__xludf.DUMMYFUNCTION("""COMPUTED_VALUE"""),1725)</f>
        <v>1725</v>
      </c>
      <c r="D196" s="1">
        <f ca="1">IFERROR(__xludf.DUMMYFUNCTION("""COMPUTED_VALUE"""),1685.06)</f>
        <v>1685.06</v>
      </c>
      <c r="E196" s="1">
        <f ca="1">IFERROR(__xludf.DUMMYFUNCTION("""COMPUTED_VALUE"""),1724.42)</f>
        <v>1724.42</v>
      </c>
      <c r="F196" s="1">
        <f ca="1">IFERROR(__xludf.DUMMYFUNCTION("""COMPUTED_VALUE"""),3624371)</f>
        <v>3624371</v>
      </c>
    </row>
    <row r="197" spans="1:6" ht="15.75" customHeight="1">
      <c r="A197" s="10">
        <f ca="1">IFERROR(__xludf.DUMMYFUNCTION("""COMPUTED_VALUE"""),43742.6666666666)</f>
        <v>43742.666666666599</v>
      </c>
      <c r="B197" s="1">
        <f ca="1">IFERROR(__xludf.DUMMYFUNCTION("""COMPUTED_VALUE"""),1726.02)</f>
        <v>1726.02</v>
      </c>
      <c r="C197" s="1">
        <f ca="1">IFERROR(__xludf.DUMMYFUNCTION("""COMPUTED_VALUE"""),1740.58)</f>
        <v>1740.58</v>
      </c>
      <c r="D197" s="1">
        <f ca="1">IFERROR(__xludf.DUMMYFUNCTION("""COMPUTED_VALUE"""),1719.23)</f>
        <v>1719.23</v>
      </c>
      <c r="E197" s="1">
        <f ca="1">IFERROR(__xludf.DUMMYFUNCTION("""COMPUTED_VALUE"""),1739.65)</f>
        <v>1739.65</v>
      </c>
      <c r="F197" s="1">
        <f ca="1">IFERROR(__xludf.DUMMYFUNCTION("""COMPUTED_VALUE"""),2489277)</f>
        <v>2489277</v>
      </c>
    </row>
    <row r="198" spans="1:6" ht="15.75" customHeight="1">
      <c r="A198" s="10">
        <f ca="1">IFERROR(__xludf.DUMMYFUNCTION("""COMPUTED_VALUE"""),43745.6666666666)</f>
        <v>43745.666666666599</v>
      </c>
      <c r="B198" s="1">
        <f ca="1">IFERROR(__xludf.DUMMYFUNCTION("""COMPUTED_VALUE"""),1731.63)</f>
        <v>1731.63</v>
      </c>
      <c r="C198" s="1">
        <f ca="1">IFERROR(__xludf.DUMMYFUNCTION("""COMPUTED_VALUE"""),1747.83)</f>
        <v>1747.83</v>
      </c>
      <c r="D198" s="1">
        <f ca="1">IFERROR(__xludf.DUMMYFUNCTION("""COMPUTED_VALUE"""),1723.7)</f>
        <v>1723.7</v>
      </c>
      <c r="E198" s="1">
        <f ca="1">IFERROR(__xludf.DUMMYFUNCTION("""COMPUTED_VALUE"""),1732.66)</f>
        <v>1732.66</v>
      </c>
      <c r="F198" s="1">
        <f ca="1">IFERROR(__xludf.DUMMYFUNCTION("""COMPUTED_VALUE"""),2187598)</f>
        <v>2187598</v>
      </c>
    </row>
    <row r="199" spans="1:6" ht="15.75" customHeight="1">
      <c r="A199" s="10">
        <f ca="1">IFERROR(__xludf.DUMMYFUNCTION("""COMPUTED_VALUE"""),43746.6666666666)</f>
        <v>43746.666666666599</v>
      </c>
      <c r="B199" s="1">
        <f ca="1">IFERROR(__xludf.DUMMYFUNCTION("""COMPUTED_VALUE"""),1722.49)</f>
        <v>1722.49</v>
      </c>
      <c r="C199" s="1">
        <f ca="1">IFERROR(__xludf.DUMMYFUNCTION("""COMPUTED_VALUE"""),1727)</f>
        <v>1727</v>
      </c>
      <c r="D199" s="1">
        <f ca="1">IFERROR(__xludf.DUMMYFUNCTION("""COMPUTED_VALUE"""),1705)</f>
        <v>1705</v>
      </c>
      <c r="E199" s="1">
        <f ca="1">IFERROR(__xludf.DUMMYFUNCTION("""COMPUTED_VALUE"""),1705.51)</f>
        <v>1705.51</v>
      </c>
      <c r="F199" s="1">
        <f ca="1">IFERROR(__xludf.DUMMYFUNCTION("""COMPUTED_VALUE"""),2626840)</f>
        <v>2626840</v>
      </c>
    </row>
    <row r="200" spans="1:6" ht="15.75" customHeight="1">
      <c r="A200" s="10">
        <f ca="1">IFERROR(__xludf.DUMMYFUNCTION("""COMPUTED_VALUE"""),43747.6666666666)</f>
        <v>43747.666666666599</v>
      </c>
      <c r="B200" s="1">
        <f ca="1">IFERROR(__xludf.DUMMYFUNCTION("""COMPUTED_VALUE"""),1719.61)</f>
        <v>1719.61</v>
      </c>
      <c r="C200" s="1">
        <f ca="1">IFERROR(__xludf.DUMMYFUNCTION("""COMPUTED_VALUE"""),1729.95)</f>
        <v>1729.95</v>
      </c>
      <c r="D200" s="1">
        <f ca="1">IFERROR(__xludf.DUMMYFUNCTION("""COMPUTED_VALUE"""),1714.36)</f>
        <v>1714.36</v>
      </c>
      <c r="E200" s="1">
        <f ca="1">IFERROR(__xludf.DUMMYFUNCTION("""COMPUTED_VALUE"""),1721.99)</f>
        <v>1721.99</v>
      </c>
      <c r="F200" s="1">
        <f ca="1">IFERROR(__xludf.DUMMYFUNCTION("""COMPUTED_VALUE"""),2089335)</f>
        <v>2089335</v>
      </c>
    </row>
    <row r="201" spans="1:6" ht="15.75" customHeight="1">
      <c r="A201" s="10">
        <f ca="1">IFERROR(__xludf.DUMMYFUNCTION("""COMPUTED_VALUE"""),43748.6666666666)</f>
        <v>43748.666666666599</v>
      </c>
      <c r="B201" s="1">
        <f ca="1">IFERROR(__xludf.DUMMYFUNCTION("""COMPUTED_VALUE"""),1725.24)</f>
        <v>1725.24</v>
      </c>
      <c r="C201" s="1">
        <f ca="1">IFERROR(__xludf.DUMMYFUNCTION("""COMPUTED_VALUE"""),1738.29)</f>
        <v>1738.29</v>
      </c>
      <c r="D201" s="1">
        <f ca="1">IFERROR(__xludf.DUMMYFUNCTION("""COMPUTED_VALUE"""),1713.75)</f>
        <v>1713.75</v>
      </c>
      <c r="E201" s="1">
        <f ca="1">IFERROR(__xludf.DUMMYFUNCTION("""COMPUTED_VALUE"""),1720.26)</f>
        <v>1720.26</v>
      </c>
      <c r="F201" s="1">
        <f ca="1">IFERROR(__xludf.DUMMYFUNCTION("""COMPUTED_VALUE"""),2721531)</f>
        <v>2721531</v>
      </c>
    </row>
    <row r="202" spans="1:6" ht="15.75" customHeight="1">
      <c r="A202" s="10">
        <f ca="1">IFERROR(__xludf.DUMMYFUNCTION("""COMPUTED_VALUE"""),43749.6666666666)</f>
        <v>43749.666666666599</v>
      </c>
      <c r="B202" s="1">
        <f ca="1">IFERROR(__xludf.DUMMYFUNCTION("""COMPUTED_VALUE"""),1742.92)</f>
        <v>1742.92</v>
      </c>
      <c r="C202" s="1">
        <f ca="1">IFERROR(__xludf.DUMMYFUNCTION("""COMPUTED_VALUE"""),1745.45)</f>
        <v>1745.45</v>
      </c>
      <c r="D202" s="1">
        <f ca="1">IFERROR(__xludf.DUMMYFUNCTION("""COMPUTED_VALUE"""),1729.86)</f>
        <v>1729.86</v>
      </c>
      <c r="E202" s="1">
        <f ca="1">IFERROR(__xludf.DUMMYFUNCTION("""COMPUTED_VALUE"""),1731.92)</f>
        <v>1731.92</v>
      </c>
      <c r="F202" s="1">
        <f ca="1">IFERROR(__xludf.DUMMYFUNCTION("""COMPUTED_VALUE"""),3279534)</f>
        <v>3279534</v>
      </c>
    </row>
    <row r="203" spans="1:6" ht="15.75" customHeight="1">
      <c r="A203" s="10">
        <f ca="1">IFERROR(__xludf.DUMMYFUNCTION("""COMPUTED_VALUE"""),43752.6666666666)</f>
        <v>43752.666666666599</v>
      </c>
      <c r="B203" s="1">
        <f ca="1">IFERROR(__xludf.DUMMYFUNCTION("""COMPUTED_VALUE"""),1728.91)</f>
        <v>1728.91</v>
      </c>
      <c r="C203" s="1">
        <f ca="1">IFERROR(__xludf.DUMMYFUNCTION("""COMPUTED_VALUE"""),1741.89)</f>
        <v>1741.89</v>
      </c>
      <c r="D203" s="1">
        <f ca="1">IFERROR(__xludf.DUMMYFUNCTION("""COMPUTED_VALUE"""),1722)</f>
        <v>1722</v>
      </c>
      <c r="E203" s="1">
        <f ca="1">IFERROR(__xludf.DUMMYFUNCTION("""COMPUTED_VALUE"""),1736.43)</f>
        <v>1736.43</v>
      </c>
      <c r="F203" s="1">
        <f ca="1">IFERROR(__xludf.DUMMYFUNCTION("""COMPUTED_VALUE"""),1928898)</f>
        <v>1928898</v>
      </c>
    </row>
    <row r="204" spans="1:6" ht="15.75" customHeight="1">
      <c r="A204" s="10">
        <f ca="1">IFERROR(__xludf.DUMMYFUNCTION("""COMPUTED_VALUE"""),43753.6666666666)</f>
        <v>43753.666666666599</v>
      </c>
      <c r="B204" s="1">
        <f ca="1">IFERROR(__xludf.DUMMYFUNCTION("""COMPUTED_VALUE"""),1742.14)</f>
        <v>1742.14</v>
      </c>
      <c r="C204" s="1">
        <f ca="1">IFERROR(__xludf.DUMMYFUNCTION("""COMPUTED_VALUE"""),1776.45)</f>
        <v>1776.45</v>
      </c>
      <c r="D204" s="1">
        <f ca="1">IFERROR(__xludf.DUMMYFUNCTION("""COMPUTED_VALUE"""),1740.62)</f>
        <v>1740.62</v>
      </c>
      <c r="E204" s="1">
        <f ca="1">IFERROR(__xludf.DUMMYFUNCTION("""COMPUTED_VALUE"""),1767.38)</f>
        <v>1767.38</v>
      </c>
      <c r="F204" s="1">
        <f ca="1">IFERROR(__xludf.DUMMYFUNCTION("""COMPUTED_VALUE"""),3129244)</f>
        <v>3129244</v>
      </c>
    </row>
    <row r="205" spans="1:6" ht="15.75" customHeight="1">
      <c r="A205" s="10">
        <f ca="1">IFERROR(__xludf.DUMMYFUNCTION("""COMPUTED_VALUE"""),43754.6666666666)</f>
        <v>43754.666666666599</v>
      </c>
      <c r="B205" s="1">
        <f ca="1">IFERROR(__xludf.DUMMYFUNCTION("""COMPUTED_VALUE"""),1773.33)</f>
        <v>1773.33</v>
      </c>
      <c r="C205" s="1">
        <f ca="1">IFERROR(__xludf.DUMMYFUNCTION("""COMPUTED_VALUE"""),1786.24)</f>
        <v>1786.24</v>
      </c>
      <c r="D205" s="1">
        <f ca="1">IFERROR(__xludf.DUMMYFUNCTION("""COMPUTED_VALUE"""),1770.52)</f>
        <v>1770.52</v>
      </c>
      <c r="E205" s="1">
        <f ca="1">IFERROR(__xludf.DUMMYFUNCTION("""COMPUTED_VALUE"""),1777.43)</f>
        <v>1777.43</v>
      </c>
      <c r="F205" s="1">
        <f ca="1">IFERROR(__xludf.DUMMYFUNCTION("""COMPUTED_VALUE"""),2804068)</f>
        <v>2804068</v>
      </c>
    </row>
    <row r="206" spans="1:6" ht="15.75" customHeight="1">
      <c r="A206" s="10">
        <f ca="1">IFERROR(__xludf.DUMMYFUNCTION("""COMPUTED_VALUE"""),43755.6666666666)</f>
        <v>43755.666666666599</v>
      </c>
      <c r="B206" s="1">
        <f ca="1">IFERROR(__xludf.DUMMYFUNCTION("""COMPUTED_VALUE"""),1796.49)</f>
        <v>1796.49</v>
      </c>
      <c r="C206" s="1">
        <f ca="1">IFERROR(__xludf.DUMMYFUNCTION("""COMPUTED_VALUE"""),1798.85)</f>
        <v>1798.85</v>
      </c>
      <c r="D206" s="1">
        <f ca="1">IFERROR(__xludf.DUMMYFUNCTION("""COMPUTED_VALUE"""),1782.02)</f>
        <v>1782.02</v>
      </c>
      <c r="E206" s="1">
        <f ca="1">IFERROR(__xludf.DUMMYFUNCTION("""COMPUTED_VALUE"""),1787.48)</f>
        <v>1787.48</v>
      </c>
      <c r="F206" s="1">
        <f ca="1">IFERROR(__xludf.DUMMYFUNCTION("""COMPUTED_VALUE"""),2713773)</f>
        <v>2713773</v>
      </c>
    </row>
    <row r="207" spans="1:6" ht="15.75" customHeight="1">
      <c r="A207" s="10">
        <f ca="1">IFERROR(__xludf.DUMMYFUNCTION("""COMPUTED_VALUE"""),43756.6666666666)</f>
        <v>43756.666666666599</v>
      </c>
      <c r="B207" s="1">
        <f ca="1">IFERROR(__xludf.DUMMYFUNCTION("""COMPUTED_VALUE"""),1787.8)</f>
        <v>1787.8</v>
      </c>
      <c r="C207" s="1">
        <f ca="1">IFERROR(__xludf.DUMMYFUNCTION("""COMPUTED_VALUE"""),1793.98)</f>
        <v>1793.98</v>
      </c>
      <c r="D207" s="1">
        <f ca="1">IFERROR(__xludf.DUMMYFUNCTION("""COMPUTED_VALUE"""),1749.2)</f>
        <v>1749.2</v>
      </c>
      <c r="E207" s="1">
        <f ca="1">IFERROR(__xludf.DUMMYFUNCTION("""COMPUTED_VALUE"""),1757.51)</f>
        <v>1757.51</v>
      </c>
      <c r="F207" s="1">
        <f ca="1">IFERROR(__xludf.DUMMYFUNCTION("""COMPUTED_VALUE"""),3366091)</f>
        <v>3366091</v>
      </c>
    </row>
    <row r="208" spans="1:6" ht="15.75" customHeight="1">
      <c r="A208" s="10">
        <f ca="1">IFERROR(__xludf.DUMMYFUNCTION("""COMPUTED_VALUE"""),43759.6666666666)</f>
        <v>43759.666666666599</v>
      </c>
      <c r="B208" s="1">
        <f ca="1">IFERROR(__xludf.DUMMYFUNCTION("""COMPUTED_VALUE"""),1769.66)</f>
        <v>1769.66</v>
      </c>
      <c r="C208" s="1">
        <f ca="1">IFERROR(__xludf.DUMMYFUNCTION("""COMPUTED_VALUE"""),1785.88)</f>
        <v>1785.88</v>
      </c>
      <c r="D208" s="1">
        <f ca="1">IFERROR(__xludf.DUMMYFUNCTION("""COMPUTED_VALUE"""),1765)</f>
        <v>1765</v>
      </c>
      <c r="E208" s="1">
        <f ca="1">IFERROR(__xludf.DUMMYFUNCTION("""COMPUTED_VALUE"""),1785.66)</f>
        <v>1785.66</v>
      </c>
      <c r="F208" s="1">
        <f ca="1">IFERROR(__xludf.DUMMYFUNCTION("""COMPUTED_VALUE"""),2224902)</f>
        <v>2224902</v>
      </c>
    </row>
    <row r="209" spans="1:6" ht="15.75" customHeight="1">
      <c r="A209" s="10">
        <f ca="1">IFERROR(__xludf.DUMMYFUNCTION("""COMPUTED_VALUE"""),43760.6666666666)</f>
        <v>43760.666666666599</v>
      </c>
      <c r="B209" s="1">
        <f ca="1">IFERROR(__xludf.DUMMYFUNCTION("""COMPUTED_VALUE"""),1788.15)</f>
        <v>1788.15</v>
      </c>
      <c r="C209" s="1">
        <f ca="1">IFERROR(__xludf.DUMMYFUNCTION("""COMPUTED_VALUE"""),1789.78)</f>
        <v>1789.78</v>
      </c>
      <c r="D209" s="1">
        <f ca="1">IFERROR(__xludf.DUMMYFUNCTION("""COMPUTED_VALUE"""),1762)</f>
        <v>1762</v>
      </c>
      <c r="E209" s="1">
        <f ca="1">IFERROR(__xludf.DUMMYFUNCTION("""COMPUTED_VALUE"""),1765.73)</f>
        <v>1765.73</v>
      </c>
      <c r="F209" s="1">
        <f ca="1">IFERROR(__xludf.DUMMYFUNCTION("""COMPUTED_VALUE"""),2234425)</f>
        <v>2234425</v>
      </c>
    </row>
    <row r="210" spans="1:6" ht="15.75" customHeight="1">
      <c r="A210" s="10">
        <f ca="1">IFERROR(__xludf.DUMMYFUNCTION("""COMPUTED_VALUE"""),43761.6666666666)</f>
        <v>43761.666666666599</v>
      </c>
      <c r="B210" s="1">
        <f ca="1">IFERROR(__xludf.DUMMYFUNCTION("""COMPUTED_VALUE"""),1761.3)</f>
        <v>1761.3</v>
      </c>
      <c r="C210" s="1">
        <f ca="1">IFERROR(__xludf.DUMMYFUNCTION("""COMPUTED_VALUE"""),1770.05)</f>
        <v>1770.05</v>
      </c>
      <c r="D210" s="1">
        <f ca="1">IFERROR(__xludf.DUMMYFUNCTION("""COMPUTED_VALUE"""),1742)</f>
        <v>1742</v>
      </c>
      <c r="E210" s="1">
        <f ca="1">IFERROR(__xludf.DUMMYFUNCTION("""COMPUTED_VALUE"""),1762.17)</f>
        <v>1762.17</v>
      </c>
      <c r="F210" s="1">
        <f ca="1">IFERROR(__xludf.DUMMYFUNCTION("""COMPUTED_VALUE"""),2190380)</f>
        <v>2190380</v>
      </c>
    </row>
    <row r="211" spans="1:6" ht="15.75" customHeight="1">
      <c r="A211" s="10">
        <f ca="1">IFERROR(__xludf.DUMMYFUNCTION("""COMPUTED_VALUE"""),43762.6666666666)</f>
        <v>43762.666666666599</v>
      </c>
      <c r="B211" s="1">
        <f ca="1">IFERROR(__xludf.DUMMYFUNCTION("""COMPUTED_VALUE"""),1771.09)</f>
        <v>1771.09</v>
      </c>
      <c r="C211" s="1">
        <f ca="1">IFERROR(__xludf.DUMMYFUNCTION("""COMPUTED_VALUE"""),1788.34)</f>
        <v>1788.34</v>
      </c>
      <c r="D211" s="1">
        <f ca="1">IFERROR(__xludf.DUMMYFUNCTION("""COMPUTED_VALUE"""),1760.27)</f>
        <v>1760.27</v>
      </c>
      <c r="E211" s="1">
        <f ca="1">IFERROR(__xludf.DUMMYFUNCTION("""COMPUTED_VALUE"""),1780.78)</f>
        <v>1780.78</v>
      </c>
      <c r="F211" s="1">
        <f ca="1">IFERROR(__xludf.DUMMYFUNCTION("""COMPUTED_VALUE"""),5204350)</f>
        <v>5204350</v>
      </c>
    </row>
    <row r="212" spans="1:6" ht="15.75" customHeight="1">
      <c r="A212" s="10">
        <f ca="1">IFERROR(__xludf.DUMMYFUNCTION("""COMPUTED_VALUE"""),43763.6666666666)</f>
        <v>43763.666666666599</v>
      </c>
      <c r="B212" s="1">
        <f ca="1">IFERROR(__xludf.DUMMYFUNCTION("""COMPUTED_VALUE"""),1697.55)</f>
        <v>1697.55</v>
      </c>
      <c r="C212" s="1">
        <f ca="1">IFERROR(__xludf.DUMMYFUNCTION("""COMPUTED_VALUE"""),1764.21)</f>
        <v>1764.21</v>
      </c>
      <c r="D212" s="1">
        <f ca="1">IFERROR(__xludf.DUMMYFUNCTION("""COMPUTED_VALUE"""),1695)</f>
        <v>1695</v>
      </c>
      <c r="E212" s="1">
        <f ca="1">IFERROR(__xludf.DUMMYFUNCTION("""COMPUTED_VALUE"""),1761.33)</f>
        <v>1761.33</v>
      </c>
      <c r="F212" s="1">
        <f ca="1">IFERROR(__xludf.DUMMYFUNCTION("""COMPUTED_VALUE"""),9626402)</f>
        <v>9626402</v>
      </c>
    </row>
    <row r="213" spans="1:6" ht="15.75" customHeight="1">
      <c r="A213" s="10">
        <f ca="1">IFERROR(__xludf.DUMMYFUNCTION("""COMPUTED_VALUE"""),43766.6666666666)</f>
        <v>43766.666666666599</v>
      </c>
      <c r="B213" s="1">
        <f ca="1">IFERROR(__xludf.DUMMYFUNCTION("""COMPUTED_VALUE"""),1748.06)</f>
        <v>1748.06</v>
      </c>
      <c r="C213" s="1">
        <f ca="1">IFERROR(__xludf.DUMMYFUNCTION("""COMPUTED_VALUE"""),1778.7)</f>
        <v>1778.7</v>
      </c>
      <c r="D213" s="1">
        <f ca="1">IFERROR(__xludf.DUMMYFUNCTION("""COMPUTED_VALUE"""),1742.5)</f>
        <v>1742.5</v>
      </c>
      <c r="E213" s="1">
        <f ca="1">IFERROR(__xludf.DUMMYFUNCTION("""COMPUTED_VALUE"""),1777.08)</f>
        <v>1777.08</v>
      </c>
      <c r="F213" s="1">
        <f ca="1">IFERROR(__xludf.DUMMYFUNCTION("""COMPUTED_VALUE"""),3708851)</f>
        <v>3708851</v>
      </c>
    </row>
    <row r="214" spans="1:6" ht="15.75" customHeight="1">
      <c r="A214" s="10">
        <f ca="1">IFERROR(__xludf.DUMMYFUNCTION("""COMPUTED_VALUE"""),43767.6666666666)</f>
        <v>43767.666666666599</v>
      </c>
      <c r="B214" s="1">
        <f ca="1">IFERROR(__xludf.DUMMYFUNCTION("""COMPUTED_VALUE"""),1774.81)</f>
        <v>1774.81</v>
      </c>
      <c r="C214" s="1">
        <f ca="1">IFERROR(__xludf.DUMMYFUNCTION("""COMPUTED_VALUE"""),1777)</f>
        <v>1777</v>
      </c>
      <c r="D214" s="1">
        <f ca="1">IFERROR(__xludf.DUMMYFUNCTION("""COMPUTED_VALUE"""),1755.81)</f>
        <v>1755.81</v>
      </c>
      <c r="E214" s="1">
        <f ca="1">IFERROR(__xludf.DUMMYFUNCTION("""COMPUTED_VALUE"""),1762.71)</f>
        <v>1762.71</v>
      </c>
      <c r="F214" s="1">
        <f ca="1">IFERROR(__xludf.DUMMYFUNCTION("""COMPUTED_VALUE"""),2276855)</f>
        <v>2276855</v>
      </c>
    </row>
    <row r="215" spans="1:6" ht="15.75" customHeight="1">
      <c r="A215" s="10">
        <f ca="1">IFERROR(__xludf.DUMMYFUNCTION("""COMPUTED_VALUE"""),43768.6666666666)</f>
        <v>43768.666666666599</v>
      </c>
      <c r="B215" s="1">
        <f ca="1">IFERROR(__xludf.DUMMYFUNCTION("""COMPUTED_VALUE"""),1760.24)</f>
        <v>1760.24</v>
      </c>
      <c r="C215" s="1">
        <f ca="1">IFERROR(__xludf.DUMMYFUNCTION("""COMPUTED_VALUE"""),1782.38)</f>
        <v>1782.38</v>
      </c>
      <c r="D215" s="1">
        <f ca="1">IFERROR(__xludf.DUMMYFUNCTION("""COMPUTED_VALUE"""),1759.12)</f>
        <v>1759.12</v>
      </c>
      <c r="E215" s="1">
        <f ca="1">IFERROR(__xludf.DUMMYFUNCTION("""COMPUTED_VALUE"""),1779.99)</f>
        <v>1779.99</v>
      </c>
      <c r="F215" s="1">
        <f ca="1">IFERROR(__xludf.DUMMYFUNCTION("""COMPUTED_VALUE"""),2449405)</f>
        <v>2449405</v>
      </c>
    </row>
    <row r="216" spans="1:6" ht="15.75" customHeight="1">
      <c r="A216" s="10">
        <f ca="1">IFERROR(__xludf.DUMMYFUNCTION("""COMPUTED_VALUE"""),43769.6666666666)</f>
        <v>43769.666666666599</v>
      </c>
      <c r="B216" s="1">
        <f ca="1">IFERROR(__xludf.DUMMYFUNCTION("""COMPUTED_VALUE"""),1775.99)</f>
        <v>1775.99</v>
      </c>
      <c r="C216" s="1">
        <f ca="1">IFERROR(__xludf.DUMMYFUNCTION("""COMPUTED_VALUE"""),1792)</f>
        <v>1792</v>
      </c>
      <c r="D216" s="1">
        <f ca="1">IFERROR(__xludf.DUMMYFUNCTION("""COMPUTED_VALUE"""),1771.48)</f>
        <v>1771.48</v>
      </c>
      <c r="E216" s="1">
        <f ca="1">IFERROR(__xludf.DUMMYFUNCTION("""COMPUTED_VALUE"""),1776.66)</f>
        <v>1776.66</v>
      </c>
      <c r="F216" s="1">
        <f ca="1">IFERROR(__xludf.DUMMYFUNCTION("""COMPUTED_VALUE"""),2781185)</f>
        <v>2781185</v>
      </c>
    </row>
    <row r="217" spans="1:6" ht="15.75" customHeight="1">
      <c r="A217" s="10">
        <f ca="1">IFERROR(__xludf.DUMMYFUNCTION("""COMPUTED_VALUE"""),43770.6666666666)</f>
        <v>43770.666666666599</v>
      </c>
      <c r="B217" s="1">
        <f ca="1">IFERROR(__xludf.DUMMYFUNCTION("""COMPUTED_VALUE"""),1788.01)</f>
        <v>1788.01</v>
      </c>
      <c r="C217" s="1">
        <f ca="1">IFERROR(__xludf.DUMMYFUNCTION("""COMPUTED_VALUE"""),1797.45)</f>
        <v>1797.45</v>
      </c>
      <c r="D217" s="1">
        <f ca="1">IFERROR(__xludf.DUMMYFUNCTION("""COMPUTED_VALUE"""),1785.21)</f>
        <v>1785.21</v>
      </c>
      <c r="E217" s="1">
        <f ca="1">IFERROR(__xludf.DUMMYFUNCTION("""COMPUTED_VALUE"""),1791.44)</f>
        <v>1791.44</v>
      </c>
      <c r="F217" s="1">
        <f ca="1">IFERROR(__xludf.DUMMYFUNCTION("""COMPUTED_VALUE"""),2790354)</f>
        <v>2790354</v>
      </c>
    </row>
    <row r="218" spans="1:6" ht="15.75" customHeight="1">
      <c r="A218" s="10">
        <f ca="1">IFERROR(__xludf.DUMMYFUNCTION("""COMPUTED_VALUE"""),43773.6666666666)</f>
        <v>43773.666666666599</v>
      </c>
      <c r="B218" s="1">
        <f ca="1">IFERROR(__xludf.DUMMYFUNCTION("""COMPUTED_VALUE"""),1801.01)</f>
        <v>1801.01</v>
      </c>
      <c r="C218" s="1">
        <f ca="1">IFERROR(__xludf.DUMMYFUNCTION("""COMPUTED_VALUE"""),1815.06)</f>
        <v>1815.06</v>
      </c>
      <c r="D218" s="1">
        <f ca="1">IFERROR(__xludf.DUMMYFUNCTION("""COMPUTED_VALUE"""),1801.01)</f>
        <v>1801.01</v>
      </c>
      <c r="E218" s="1">
        <f ca="1">IFERROR(__xludf.DUMMYFUNCTION("""COMPUTED_VALUE"""),1804.66)</f>
        <v>1804.66</v>
      </c>
      <c r="F218" s="1">
        <f ca="1">IFERROR(__xludf.DUMMYFUNCTION("""COMPUTED_VALUE"""),2771922)</f>
        <v>2771922</v>
      </c>
    </row>
    <row r="219" spans="1:6" ht="15.75" customHeight="1">
      <c r="A219" s="10">
        <f ca="1">IFERROR(__xludf.DUMMYFUNCTION("""COMPUTED_VALUE"""),43774.6666666666)</f>
        <v>43774.666666666599</v>
      </c>
      <c r="B219" s="1">
        <f ca="1">IFERROR(__xludf.DUMMYFUNCTION("""COMPUTED_VALUE"""),1809.16)</f>
        <v>1809.16</v>
      </c>
      <c r="C219" s="1">
        <f ca="1">IFERROR(__xludf.DUMMYFUNCTION("""COMPUTED_VALUE"""),1810.25)</f>
        <v>1810.25</v>
      </c>
      <c r="D219" s="1">
        <f ca="1">IFERROR(__xludf.DUMMYFUNCTION("""COMPUTED_VALUE"""),1794)</f>
        <v>1794</v>
      </c>
      <c r="E219" s="1">
        <f ca="1">IFERROR(__xludf.DUMMYFUNCTION("""COMPUTED_VALUE"""),1801.71)</f>
        <v>1801.71</v>
      </c>
      <c r="F219" s="1">
        <f ca="1">IFERROR(__xludf.DUMMYFUNCTION("""COMPUTED_VALUE"""),1885543)</f>
        <v>1885543</v>
      </c>
    </row>
    <row r="220" spans="1:6" ht="15.75" customHeight="1">
      <c r="A220" s="10">
        <f ca="1">IFERROR(__xludf.DUMMYFUNCTION("""COMPUTED_VALUE"""),43775.6666666666)</f>
        <v>43775.666666666599</v>
      </c>
      <c r="B220" s="1">
        <f ca="1">IFERROR(__xludf.DUMMYFUNCTION("""COMPUTED_VALUE"""),1801)</f>
        <v>1801</v>
      </c>
      <c r="C220" s="1">
        <f ca="1">IFERROR(__xludf.DUMMYFUNCTION("""COMPUTED_VALUE"""),1802.5)</f>
        <v>1802.5</v>
      </c>
      <c r="D220" s="1">
        <f ca="1">IFERROR(__xludf.DUMMYFUNCTION("""COMPUTED_VALUE"""),1788.58)</f>
        <v>1788.58</v>
      </c>
      <c r="E220" s="1">
        <f ca="1">IFERROR(__xludf.DUMMYFUNCTION("""COMPUTED_VALUE"""),1795.77)</f>
        <v>1795.77</v>
      </c>
      <c r="F220" s="1">
        <f ca="1">IFERROR(__xludf.DUMMYFUNCTION("""COMPUTED_VALUE"""),2029783)</f>
        <v>2029783</v>
      </c>
    </row>
    <row r="221" spans="1:6" ht="15.75" customHeight="1">
      <c r="A221" s="10">
        <f ca="1">IFERROR(__xludf.DUMMYFUNCTION("""COMPUTED_VALUE"""),43776.6666666666)</f>
        <v>43776.666666666599</v>
      </c>
      <c r="B221" s="1">
        <f ca="1">IFERROR(__xludf.DUMMYFUNCTION("""COMPUTED_VALUE"""),1803.76)</f>
        <v>1803.76</v>
      </c>
      <c r="C221" s="1">
        <f ca="1">IFERROR(__xludf.DUMMYFUNCTION("""COMPUTED_VALUE"""),1805.9)</f>
        <v>1805.9</v>
      </c>
      <c r="D221" s="1">
        <f ca="1">IFERROR(__xludf.DUMMYFUNCTION("""COMPUTED_VALUE"""),1783.48)</f>
        <v>1783.48</v>
      </c>
      <c r="E221" s="1">
        <f ca="1">IFERROR(__xludf.DUMMYFUNCTION("""COMPUTED_VALUE"""),1788.2)</f>
        <v>1788.2</v>
      </c>
      <c r="F221" s="1">
        <f ca="1">IFERROR(__xludf.DUMMYFUNCTION("""COMPUTED_VALUE"""),2651086)</f>
        <v>2651086</v>
      </c>
    </row>
    <row r="222" spans="1:6" ht="15.75" customHeight="1">
      <c r="A222" s="10">
        <f ca="1">IFERROR(__xludf.DUMMYFUNCTION("""COMPUTED_VALUE"""),43777.6666666666)</f>
        <v>43777.666666666599</v>
      </c>
      <c r="B222" s="1">
        <f ca="1">IFERROR(__xludf.DUMMYFUNCTION("""COMPUTED_VALUE"""),1787.89)</f>
        <v>1787.89</v>
      </c>
      <c r="C222" s="1">
        <f ca="1">IFERROR(__xludf.DUMMYFUNCTION("""COMPUTED_VALUE"""),1789.88)</f>
        <v>1789.88</v>
      </c>
      <c r="D222" s="1">
        <f ca="1">IFERROR(__xludf.DUMMYFUNCTION("""COMPUTED_VALUE"""),1774.04)</f>
        <v>1774.04</v>
      </c>
      <c r="E222" s="1">
        <f ca="1">IFERROR(__xludf.DUMMYFUNCTION("""COMPUTED_VALUE"""),1785.88)</f>
        <v>1785.88</v>
      </c>
      <c r="F222" s="1">
        <f ca="1">IFERROR(__xludf.DUMMYFUNCTION("""COMPUTED_VALUE"""),2126198)</f>
        <v>2126198</v>
      </c>
    </row>
    <row r="223" spans="1:6" ht="15.75" customHeight="1">
      <c r="A223" s="10">
        <f ca="1">IFERROR(__xludf.DUMMYFUNCTION("""COMPUTED_VALUE"""),43780.6666666666)</f>
        <v>43780.666666666599</v>
      </c>
      <c r="B223" s="1">
        <f ca="1">IFERROR(__xludf.DUMMYFUNCTION("""COMPUTED_VALUE"""),1778)</f>
        <v>1778</v>
      </c>
      <c r="C223" s="1">
        <f ca="1">IFERROR(__xludf.DUMMYFUNCTION("""COMPUTED_VALUE"""),1780)</f>
        <v>1780</v>
      </c>
      <c r="D223" s="1">
        <f ca="1">IFERROR(__xludf.DUMMYFUNCTION("""COMPUTED_VALUE"""),1767.13)</f>
        <v>1767.13</v>
      </c>
      <c r="E223" s="1">
        <f ca="1">IFERROR(__xludf.DUMMYFUNCTION("""COMPUTED_VALUE"""),1771.65)</f>
        <v>1771.65</v>
      </c>
      <c r="F223" s="1">
        <f ca="1">IFERROR(__xludf.DUMMYFUNCTION("""COMPUTED_VALUE"""),1947810)</f>
        <v>1947810</v>
      </c>
    </row>
    <row r="224" spans="1:6" ht="15.75" customHeight="1">
      <c r="A224" s="10">
        <f ca="1">IFERROR(__xludf.DUMMYFUNCTION("""COMPUTED_VALUE"""),43781.6666666666)</f>
        <v>43781.666666666599</v>
      </c>
      <c r="B224" s="1">
        <f ca="1">IFERROR(__xludf.DUMMYFUNCTION("""COMPUTED_VALUE"""),1774.66)</f>
        <v>1774.66</v>
      </c>
      <c r="C224" s="1">
        <f ca="1">IFERROR(__xludf.DUMMYFUNCTION("""COMPUTED_VALUE"""),1786.22)</f>
        <v>1786.22</v>
      </c>
      <c r="D224" s="1">
        <f ca="1">IFERROR(__xludf.DUMMYFUNCTION("""COMPUTED_VALUE"""),1771.91)</f>
        <v>1771.91</v>
      </c>
      <c r="E224" s="1">
        <f ca="1">IFERROR(__xludf.DUMMYFUNCTION("""COMPUTED_VALUE"""),1778)</f>
        <v>1778</v>
      </c>
      <c r="F224" s="1">
        <f ca="1">IFERROR(__xludf.DUMMYFUNCTION("""COMPUTED_VALUE"""),2038925)</f>
        <v>2038925</v>
      </c>
    </row>
    <row r="225" spans="1:6" ht="15.75" customHeight="1">
      <c r="A225" s="10">
        <f ca="1">IFERROR(__xludf.DUMMYFUNCTION("""COMPUTED_VALUE"""),43782.6666666666)</f>
        <v>43782.666666666599</v>
      </c>
      <c r="B225" s="1">
        <f ca="1">IFERROR(__xludf.DUMMYFUNCTION("""COMPUTED_VALUE"""),1773.39)</f>
        <v>1773.39</v>
      </c>
      <c r="C225" s="1">
        <f ca="1">IFERROR(__xludf.DUMMYFUNCTION("""COMPUTED_VALUE"""),1775)</f>
        <v>1775</v>
      </c>
      <c r="D225" s="1">
        <f ca="1">IFERROR(__xludf.DUMMYFUNCTION("""COMPUTED_VALUE"""),1747.32)</f>
        <v>1747.32</v>
      </c>
      <c r="E225" s="1">
        <f ca="1">IFERROR(__xludf.DUMMYFUNCTION("""COMPUTED_VALUE"""),1753.11)</f>
        <v>1753.11</v>
      </c>
      <c r="F225" s="1">
        <f ca="1">IFERROR(__xludf.DUMMYFUNCTION("""COMPUTED_VALUE"""),2926892)</f>
        <v>2926892</v>
      </c>
    </row>
    <row r="226" spans="1:6" ht="15.75" customHeight="1">
      <c r="A226" s="10">
        <f ca="1">IFERROR(__xludf.DUMMYFUNCTION("""COMPUTED_VALUE"""),43783.6666666666)</f>
        <v>43783.666666666599</v>
      </c>
      <c r="B226" s="1">
        <f ca="1">IFERROR(__xludf.DUMMYFUNCTION("""COMPUTED_VALUE"""),1751.43)</f>
        <v>1751.43</v>
      </c>
      <c r="C226" s="1">
        <f ca="1">IFERROR(__xludf.DUMMYFUNCTION("""COMPUTED_VALUE"""),1766.59)</f>
        <v>1766.59</v>
      </c>
      <c r="D226" s="1">
        <f ca="1">IFERROR(__xludf.DUMMYFUNCTION("""COMPUTED_VALUE"""),1749.56)</f>
        <v>1749.56</v>
      </c>
      <c r="E226" s="1">
        <f ca="1">IFERROR(__xludf.DUMMYFUNCTION("""COMPUTED_VALUE"""),1754.6)</f>
        <v>1754.6</v>
      </c>
      <c r="F226" s="1">
        <f ca="1">IFERROR(__xludf.DUMMYFUNCTION("""COMPUTED_VALUE"""),2269417)</f>
        <v>2269417</v>
      </c>
    </row>
    <row r="227" spans="1:6" ht="15.75" customHeight="1">
      <c r="A227" s="10">
        <f ca="1">IFERROR(__xludf.DUMMYFUNCTION("""COMPUTED_VALUE"""),43784.6666666666)</f>
        <v>43784.666666666599</v>
      </c>
      <c r="B227" s="1">
        <f ca="1">IFERROR(__xludf.DUMMYFUNCTION("""COMPUTED_VALUE"""),1760.05)</f>
        <v>1760.05</v>
      </c>
      <c r="C227" s="1">
        <f ca="1">IFERROR(__xludf.DUMMYFUNCTION("""COMPUTED_VALUE"""),1761.68)</f>
        <v>1761.68</v>
      </c>
      <c r="D227" s="1">
        <f ca="1">IFERROR(__xludf.DUMMYFUNCTION("""COMPUTED_VALUE"""),1732.86)</f>
        <v>1732.86</v>
      </c>
      <c r="E227" s="1">
        <f ca="1">IFERROR(__xludf.DUMMYFUNCTION("""COMPUTED_VALUE"""),1739.49)</f>
        <v>1739.49</v>
      </c>
      <c r="F227" s="1">
        <f ca="1">IFERROR(__xludf.DUMMYFUNCTION("""COMPUTED_VALUE"""),3931141)</f>
        <v>3931141</v>
      </c>
    </row>
    <row r="228" spans="1:6" ht="15.75" customHeight="1">
      <c r="A228" s="10">
        <f ca="1">IFERROR(__xludf.DUMMYFUNCTION("""COMPUTED_VALUE"""),43787.6666666666)</f>
        <v>43787.666666666599</v>
      </c>
      <c r="B228" s="1">
        <f ca="1">IFERROR(__xludf.DUMMYFUNCTION("""COMPUTED_VALUE"""),1738.3)</f>
        <v>1738.3</v>
      </c>
      <c r="C228" s="1">
        <f ca="1">IFERROR(__xludf.DUMMYFUNCTION("""COMPUTED_VALUE"""),1753.7)</f>
        <v>1753.7</v>
      </c>
      <c r="D228" s="1">
        <f ca="1">IFERROR(__xludf.DUMMYFUNCTION("""COMPUTED_VALUE"""),1722.71)</f>
        <v>1722.71</v>
      </c>
      <c r="E228" s="1">
        <f ca="1">IFERROR(__xludf.DUMMYFUNCTION("""COMPUTED_VALUE"""),1752.53)</f>
        <v>1752.53</v>
      </c>
      <c r="F228" s="1">
        <f ca="1">IFERROR(__xludf.DUMMYFUNCTION("""COMPUTED_VALUE"""),2841907)</f>
        <v>2841907</v>
      </c>
    </row>
    <row r="229" spans="1:6" ht="15.75" customHeight="1">
      <c r="A229" s="10">
        <f ca="1">IFERROR(__xludf.DUMMYFUNCTION("""COMPUTED_VALUE"""),43788.6666666666)</f>
        <v>43788.666666666599</v>
      </c>
      <c r="B229" s="1">
        <f ca="1">IFERROR(__xludf.DUMMYFUNCTION("""COMPUTED_VALUE"""),1756.99)</f>
        <v>1756.99</v>
      </c>
      <c r="C229" s="1">
        <f ca="1">IFERROR(__xludf.DUMMYFUNCTION("""COMPUTED_VALUE"""),1760.68)</f>
        <v>1760.68</v>
      </c>
      <c r="D229" s="1">
        <f ca="1">IFERROR(__xludf.DUMMYFUNCTION("""COMPUTED_VALUE"""),1743.03)</f>
        <v>1743.03</v>
      </c>
      <c r="E229" s="1">
        <f ca="1">IFERROR(__xludf.DUMMYFUNCTION("""COMPUTED_VALUE"""),1752.79)</f>
        <v>1752.79</v>
      </c>
      <c r="F229" s="1">
        <f ca="1">IFERROR(__xludf.DUMMYFUNCTION("""COMPUTED_VALUE"""),2274535)</f>
        <v>2274535</v>
      </c>
    </row>
    <row r="230" spans="1:6" ht="15.75" customHeight="1">
      <c r="A230" s="10">
        <f ca="1">IFERROR(__xludf.DUMMYFUNCTION("""COMPUTED_VALUE"""),43789.6666666666)</f>
        <v>43789.666666666599</v>
      </c>
      <c r="B230" s="1">
        <f ca="1">IFERROR(__xludf.DUMMYFUNCTION("""COMPUTED_VALUE"""),1749.14)</f>
        <v>1749.14</v>
      </c>
      <c r="C230" s="1">
        <f ca="1">IFERROR(__xludf.DUMMYFUNCTION("""COMPUTED_VALUE"""),1762.52)</f>
        <v>1762.52</v>
      </c>
      <c r="D230" s="1">
        <f ca="1">IFERROR(__xludf.DUMMYFUNCTION("""COMPUTED_VALUE"""),1734.12)</f>
        <v>1734.12</v>
      </c>
      <c r="E230" s="1">
        <f ca="1">IFERROR(__xludf.DUMMYFUNCTION("""COMPUTED_VALUE"""),1745.53)</f>
        <v>1745.53</v>
      </c>
      <c r="F230" s="1">
        <f ca="1">IFERROR(__xludf.DUMMYFUNCTION("""COMPUTED_VALUE"""),2793759)</f>
        <v>2793759</v>
      </c>
    </row>
    <row r="231" spans="1:6" ht="15.75" customHeight="1">
      <c r="A231" s="10">
        <f ca="1">IFERROR(__xludf.DUMMYFUNCTION("""COMPUTED_VALUE"""),43790.6666666666)</f>
        <v>43790.666666666599</v>
      </c>
      <c r="B231" s="1">
        <f ca="1">IFERROR(__xludf.DUMMYFUNCTION("""COMPUTED_VALUE"""),1743)</f>
        <v>1743</v>
      </c>
      <c r="C231" s="1">
        <f ca="1">IFERROR(__xludf.DUMMYFUNCTION("""COMPUTED_VALUE"""),1746.87)</f>
        <v>1746.87</v>
      </c>
      <c r="D231" s="1">
        <f ca="1">IFERROR(__xludf.DUMMYFUNCTION("""COMPUTED_VALUE"""),1730.36)</f>
        <v>1730.36</v>
      </c>
      <c r="E231" s="1">
        <f ca="1">IFERROR(__xludf.DUMMYFUNCTION("""COMPUTED_VALUE"""),1734.71)</f>
        <v>1734.71</v>
      </c>
      <c r="F231" s="1">
        <f ca="1">IFERROR(__xludf.DUMMYFUNCTION("""COMPUTED_VALUE"""),2662938)</f>
        <v>2662938</v>
      </c>
    </row>
    <row r="232" spans="1:6" ht="15.75" customHeight="1">
      <c r="A232" s="10">
        <f ca="1">IFERROR(__xludf.DUMMYFUNCTION("""COMPUTED_VALUE"""),43791.6666666666)</f>
        <v>43791.666666666599</v>
      </c>
      <c r="B232" s="1">
        <f ca="1">IFERROR(__xludf.DUMMYFUNCTION("""COMPUTED_VALUE"""),1739.02)</f>
        <v>1739.02</v>
      </c>
      <c r="C232" s="1">
        <f ca="1">IFERROR(__xludf.DUMMYFUNCTION("""COMPUTED_VALUE"""),1746.43)</f>
        <v>1746.43</v>
      </c>
      <c r="D232" s="1">
        <f ca="1">IFERROR(__xludf.DUMMYFUNCTION("""COMPUTED_VALUE"""),1731)</f>
        <v>1731</v>
      </c>
      <c r="E232" s="1">
        <f ca="1">IFERROR(__xludf.DUMMYFUNCTION("""COMPUTED_VALUE"""),1745.72)</f>
        <v>1745.72</v>
      </c>
      <c r="F232" s="1">
        <f ca="1">IFERROR(__xludf.DUMMYFUNCTION("""COMPUTED_VALUE"""),2479081)</f>
        <v>2479081</v>
      </c>
    </row>
    <row r="233" spans="1:6" ht="15.75" customHeight="1">
      <c r="A233" s="10">
        <f ca="1">IFERROR(__xludf.DUMMYFUNCTION("""COMPUTED_VALUE"""),43794.6666666666)</f>
        <v>43794.666666666599</v>
      </c>
      <c r="B233" s="1">
        <f ca="1">IFERROR(__xludf.DUMMYFUNCTION("""COMPUTED_VALUE"""),1753.25)</f>
        <v>1753.25</v>
      </c>
      <c r="C233" s="1">
        <f ca="1">IFERROR(__xludf.DUMMYFUNCTION("""COMPUTED_VALUE"""),1777.42)</f>
        <v>1777.42</v>
      </c>
      <c r="D233" s="1">
        <f ca="1">IFERROR(__xludf.DUMMYFUNCTION("""COMPUTED_VALUE"""),1753.24)</f>
        <v>1753.24</v>
      </c>
      <c r="E233" s="1">
        <f ca="1">IFERROR(__xludf.DUMMYFUNCTION("""COMPUTED_VALUE"""),1773.84)</f>
        <v>1773.84</v>
      </c>
      <c r="F233" s="1">
        <f ca="1">IFERROR(__xludf.DUMMYFUNCTION("""COMPUTED_VALUE"""),3489467)</f>
        <v>3489467</v>
      </c>
    </row>
    <row r="234" spans="1:6" ht="15.75" customHeight="1">
      <c r="A234" s="10">
        <f ca="1">IFERROR(__xludf.DUMMYFUNCTION("""COMPUTED_VALUE"""),43795.6666666666)</f>
        <v>43795.666666666599</v>
      </c>
      <c r="B234" s="1">
        <f ca="1">IFERROR(__xludf.DUMMYFUNCTION("""COMPUTED_VALUE"""),1779.92)</f>
        <v>1779.92</v>
      </c>
      <c r="C234" s="1">
        <f ca="1">IFERROR(__xludf.DUMMYFUNCTION("""COMPUTED_VALUE"""),1797.03)</f>
        <v>1797.03</v>
      </c>
      <c r="D234" s="1">
        <f ca="1">IFERROR(__xludf.DUMMYFUNCTION("""COMPUTED_VALUE"""),1778.35)</f>
        <v>1778.35</v>
      </c>
      <c r="E234" s="1">
        <f ca="1">IFERROR(__xludf.DUMMYFUNCTION("""COMPUTED_VALUE"""),1796.94)</f>
        <v>1796.94</v>
      </c>
      <c r="F234" s="1">
        <f ca="1">IFERROR(__xludf.DUMMYFUNCTION("""COMPUTED_VALUE"""),3190428)</f>
        <v>3190428</v>
      </c>
    </row>
    <row r="235" spans="1:6" ht="15.75" customHeight="1">
      <c r="A235" s="10">
        <f ca="1">IFERROR(__xludf.DUMMYFUNCTION("""COMPUTED_VALUE"""),43796.6666666666)</f>
        <v>43796.666666666599</v>
      </c>
      <c r="B235" s="1">
        <f ca="1">IFERROR(__xludf.DUMMYFUNCTION("""COMPUTED_VALUE"""),1801)</f>
        <v>1801</v>
      </c>
      <c r="C235" s="1">
        <f ca="1">IFERROR(__xludf.DUMMYFUNCTION("""COMPUTED_VALUE"""),1824.5)</f>
        <v>1824.5</v>
      </c>
      <c r="D235" s="1">
        <f ca="1">IFERROR(__xludf.DUMMYFUNCTION("""COMPUTED_VALUE"""),1797.31)</f>
        <v>1797.31</v>
      </c>
      <c r="E235" s="1">
        <f ca="1">IFERROR(__xludf.DUMMYFUNCTION("""COMPUTED_VALUE"""),1818.51)</f>
        <v>1818.51</v>
      </c>
      <c r="F235" s="1">
        <f ca="1">IFERROR(__xludf.DUMMYFUNCTION("""COMPUTED_VALUE"""),3035846)</f>
        <v>3035846</v>
      </c>
    </row>
    <row r="236" spans="1:6" ht="15.75" customHeight="1">
      <c r="A236" s="10">
        <f ca="1">IFERROR(__xludf.DUMMYFUNCTION("""COMPUTED_VALUE"""),43798.5416666666)</f>
        <v>43798.541666666599</v>
      </c>
      <c r="B236" s="1">
        <f ca="1">IFERROR(__xludf.DUMMYFUNCTION("""COMPUTED_VALUE"""),1817.78)</f>
        <v>1817.78</v>
      </c>
      <c r="C236" s="1">
        <f ca="1">IFERROR(__xludf.DUMMYFUNCTION("""COMPUTED_VALUE"""),1824.69)</f>
        <v>1824.69</v>
      </c>
      <c r="D236" s="1">
        <f ca="1">IFERROR(__xludf.DUMMYFUNCTION("""COMPUTED_VALUE"""),1800.79)</f>
        <v>1800.79</v>
      </c>
      <c r="E236" s="1">
        <f ca="1">IFERROR(__xludf.DUMMYFUNCTION("""COMPUTED_VALUE"""),1800.8)</f>
        <v>1800.8</v>
      </c>
      <c r="F236" s="1">
        <f ca="1">IFERROR(__xludf.DUMMYFUNCTION("""COMPUTED_VALUE"""),1923440)</f>
        <v>1923440</v>
      </c>
    </row>
    <row r="237" spans="1:6" ht="15.75" customHeight="1">
      <c r="A237" s="10">
        <f ca="1">IFERROR(__xludf.DUMMYFUNCTION("""COMPUTED_VALUE"""),43801.6666666666)</f>
        <v>43801.666666666599</v>
      </c>
      <c r="B237" s="1">
        <f ca="1">IFERROR(__xludf.DUMMYFUNCTION("""COMPUTED_VALUE"""),1804.4)</f>
        <v>1804.4</v>
      </c>
      <c r="C237" s="1">
        <f ca="1">IFERROR(__xludf.DUMMYFUNCTION("""COMPUTED_VALUE"""),1805.55)</f>
        <v>1805.55</v>
      </c>
      <c r="D237" s="1">
        <f ca="1">IFERROR(__xludf.DUMMYFUNCTION("""COMPUTED_VALUE"""),1762.68)</f>
        <v>1762.68</v>
      </c>
      <c r="E237" s="1">
        <f ca="1">IFERROR(__xludf.DUMMYFUNCTION("""COMPUTED_VALUE"""),1781.6)</f>
        <v>1781.6</v>
      </c>
      <c r="F237" s="1">
        <f ca="1">IFERROR(__xludf.DUMMYFUNCTION("""COMPUTED_VALUE"""),3931750)</f>
        <v>3931750</v>
      </c>
    </row>
    <row r="238" spans="1:6" ht="15.75" customHeight="1">
      <c r="A238" s="10">
        <f ca="1">IFERROR(__xludf.DUMMYFUNCTION("""COMPUTED_VALUE"""),43802.6666666666)</f>
        <v>43802.666666666599</v>
      </c>
      <c r="B238" s="1">
        <f ca="1">IFERROR(__xludf.DUMMYFUNCTION("""COMPUTED_VALUE"""),1760)</f>
        <v>1760</v>
      </c>
      <c r="C238" s="1">
        <f ca="1">IFERROR(__xludf.DUMMYFUNCTION("""COMPUTED_VALUE"""),1772.87)</f>
        <v>1772.87</v>
      </c>
      <c r="D238" s="1">
        <f ca="1">IFERROR(__xludf.DUMMYFUNCTION("""COMPUTED_VALUE"""),1747.23)</f>
        <v>1747.23</v>
      </c>
      <c r="E238" s="1">
        <f ca="1">IFERROR(__xludf.DUMMYFUNCTION("""COMPUTED_VALUE"""),1769.96)</f>
        <v>1769.96</v>
      </c>
      <c r="F238" s="1">
        <f ca="1">IFERROR(__xludf.DUMMYFUNCTION("""COMPUTED_VALUE"""),3529582)</f>
        <v>3529582</v>
      </c>
    </row>
    <row r="239" spans="1:6" ht="15.75" customHeight="1">
      <c r="A239" s="10">
        <f ca="1">IFERROR(__xludf.DUMMYFUNCTION("""COMPUTED_VALUE"""),43803.6666666666)</f>
        <v>43803.666666666599</v>
      </c>
      <c r="B239" s="1">
        <f ca="1">IFERROR(__xludf.DUMMYFUNCTION("""COMPUTED_VALUE"""),1774.01)</f>
        <v>1774.01</v>
      </c>
      <c r="C239" s="1">
        <f ca="1">IFERROR(__xludf.DUMMYFUNCTION("""COMPUTED_VALUE"""),1789.09)</f>
        <v>1789.09</v>
      </c>
      <c r="D239" s="1">
        <f ca="1">IFERROR(__xludf.DUMMYFUNCTION("""COMPUTED_VALUE"""),1760.22)</f>
        <v>1760.22</v>
      </c>
      <c r="E239" s="1">
        <f ca="1">IFERROR(__xludf.DUMMYFUNCTION("""COMPUTED_VALUE"""),1760.69)</f>
        <v>1760.69</v>
      </c>
      <c r="F239" s="1">
        <f ca="1">IFERROR(__xludf.DUMMYFUNCTION("""COMPUTED_VALUE"""),2680700)</f>
        <v>2680700</v>
      </c>
    </row>
    <row r="240" spans="1:6" ht="15.75" customHeight="1">
      <c r="A240" s="10">
        <f ca="1">IFERROR(__xludf.DUMMYFUNCTION("""COMPUTED_VALUE"""),43804.6666666666)</f>
        <v>43804.666666666599</v>
      </c>
      <c r="B240" s="1">
        <f ca="1">IFERROR(__xludf.DUMMYFUNCTION("""COMPUTED_VALUE"""),1763.5)</f>
        <v>1763.5</v>
      </c>
      <c r="C240" s="1">
        <f ca="1">IFERROR(__xludf.DUMMYFUNCTION("""COMPUTED_VALUE"""),1763.5)</f>
        <v>1763.5</v>
      </c>
      <c r="D240" s="1">
        <f ca="1">IFERROR(__xludf.DUMMYFUNCTION("""COMPUTED_VALUE"""),1740)</f>
        <v>1740</v>
      </c>
      <c r="E240" s="1">
        <f ca="1">IFERROR(__xludf.DUMMYFUNCTION("""COMPUTED_VALUE"""),1740.48)</f>
        <v>1740.48</v>
      </c>
      <c r="F240" s="1">
        <f ca="1">IFERROR(__xludf.DUMMYFUNCTION("""COMPUTED_VALUE"""),2827852)</f>
        <v>2827852</v>
      </c>
    </row>
    <row r="241" spans="1:6" ht="15.75" customHeight="1">
      <c r="A241" s="10">
        <f ca="1">IFERROR(__xludf.DUMMYFUNCTION("""COMPUTED_VALUE"""),43805.6666666666)</f>
        <v>43805.666666666599</v>
      </c>
      <c r="B241" s="1">
        <f ca="1">IFERROR(__xludf.DUMMYFUNCTION("""COMPUTED_VALUE"""),1751.2)</f>
        <v>1751.2</v>
      </c>
      <c r="C241" s="1">
        <f ca="1">IFERROR(__xludf.DUMMYFUNCTION("""COMPUTED_VALUE"""),1754.4)</f>
        <v>1754.4</v>
      </c>
      <c r="D241" s="1">
        <f ca="1">IFERROR(__xludf.DUMMYFUNCTION("""COMPUTED_VALUE"""),1740.13)</f>
        <v>1740.13</v>
      </c>
      <c r="E241" s="1">
        <f ca="1">IFERROR(__xludf.DUMMYFUNCTION("""COMPUTED_VALUE"""),1751.6)</f>
        <v>1751.6</v>
      </c>
      <c r="F241" s="1">
        <f ca="1">IFERROR(__xludf.DUMMYFUNCTION("""COMPUTED_VALUE"""),3119979)</f>
        <v>3119979</v>
      </c>
    </row>
    <row r="242" spans="1:6" ht="15.75" customHeight="1">
      <c r="A242" s="10">
        <f ca="1">IFERROR(__xludf.DUMMYFUNCTION("""COMPUTED_VALUE"""),43808.6666666666)</f>
        <v>43808.666666666599</v>
      </c>
      <c r="B242" s="1">
        <f ca="1">IFERROR(__xludf.DUMMYFUNCTION("""COMPUTED_VALUE"""),1750.66)</f>
        <v>1750.66</v>
      </c>
      <c r="C242" s="1">
        <f ca="1">IFERROR(__xludf.DUMMYFUNCTION("""COMPUTED_VALUE"""),1766.89)</f>
        <v>1766.89</v>
      </c>
      <c r="D242" s="1">
        <f ca="1">IFERROR(__xludf.DUMMYFUNCTION("""COMPUTED_VALUE"""),1745.61)</f>
        <v>1745.61</v>
      </c>
      <c r="E242" s="1">
        <f ca="1">IFERROR(__xludf.DUMMYFUNCTION("""COMPUTED_VALUE"""),1749.51)</f>
        <v>1749.51</v>
      </c>
      <c r="F242" s="1">
        <f ca="1">IFERROR(__xludf.DUMMYFUNCTION("""COMPUTED_VALUE"""),2502489)</f>
        <v>2502489</v>
      </c>
    </row>
    <row r="243" spans="1:6" ht="15.75" customHeight="1">
      <c r="A243" s="10">
        <f ca="1">IFERROR(__xludf.DUMMYFUNCTION("""COMPUTED_VALUE"""),43809.6666666666)</f>
        <v>43809.666666666599</v>
      </c>
      <c r="B243" s="1">
        <f ca="1">IFERROR(__xludf.DUMMYFUNCTION("""COMPUTED_VALUE"""),1747.4)</f>
        <v>1747.4</v>
      </c>
      <c r="C243" s="1">
        <f ca="1">IFERROR(__xludf.DUMMYFUNCTION("""COMPUTED_VALUE"""),1750.67)</f>
        <v>1750.67</v>
      </c>
      <c r="D243" s="1">
        <f ca="1">IFERROR(__xludf.DUMMYFUNCTION("""COMPUTED_VALUE"""),1735)</f>
        <v>1735</v>
      </c>
      <c r="E243" s="1">
        <f ca="1">IFERROR(__xludf.DUMMYFUNCTION("""COMPUTED_VALUE"""),1739.21)</f>
        <v>1739.21</v>
      </c>
      <c r="F243" s="1">
        <f ca="1">IFERROR(__xludf.DUMMYFUNCTION("""COMPUTED_VALUE"""),2515644)</f>
        <v>2515644</v>
      </c>
    </row>
    <row r="244" spans="1:6" ht="15.75" customHeight="1">
      <c r="A244" s="10">
        <f ca="1">IFERROR(__xludf.DUMMYFUNCTION("""COMPUTED_VALUE"""),43810.6666666666)</f>
        <v>43810.666666666599</v>
      </c>
      <c r="B244" s="1">
        <f ca="1">IFERROR(__xludf.DUMMYFUNCTION("""COMPUTED_VALUE"""),1741.67)</f>
        <v>1741.67</v>
      </c>
      <c r="C244" s="1">
        <f ca="1">IFERROR(__xludf.DUMMYFUNCTION("""COMPUTED_VALUE"""),1750)</f>
        <v>1750</v>
      </c>
      <c r="D244" s="1">
        <f ca="1">IFERROR(__xludf.DUMMYFUNCTION("""COMPUTED_VALUE"""),1735.71)</f>
        <v>1735.71</v>
      </c>
      <c r="E244" s="1">
        <f ca="1">IFERROR(__xludf.DUMMYFUNCTION("""COMPUTED_VALUE"""),1748.72)</f>
        <v>1748.72</v>
      </c>
      <c r="F244" s="1">
        <f ca="1">IFERROR(__xludf.DUMMYFUNCTION("""COMPUTED_VALUE"""),2101318)</f>
        <v>2101318</v>
      </c>
    </row>
    <row r="245" spans="1:6" ht="15.75" customHeight="1">
      <c r="A245" s="10">
        <f ca="1">IFERROR(__xludf.DUMMYFUNCTION("""COMPUTED_VALUE"""),43811.6666666666)</f>
        <v>43811.666666666599</v>
      </c>
      <c r="B245" s="1">
        <f ca="1">IFERROR(__xludf.DUMMYFUNCTION("""COMPUTED_VALUE"""),1750)</f>
        <v>1750</v>
      </c>
      <c r="C245" s="1">
        <f ca="1">IFERROR(__xludf.DUMMYFUNCTION("""COMPUTED_VALUE"""),1764)</f>
        <v>1764</v>
      </c>
      <c r="D245" s="1">
        <f ca="1">IFERROR(__xludf.DUMMYFUNCTION("""COMPUTED_VALUE"""),1745.44)</f>
        <v>1745.44</v>
      </c>
      <c r="E245" s="1">
        <f ca="1">IFERROR(__xludf.DUMMYFUNCTION("""COMPUTED_VALUE"""),1760.33)</f>
        <v>1760.33</v>
      </c>
      <c r="F245" s="1">
        <f ca="1">IFERROR(__xludf.DUMMYFUNCTION("""COMPUTED_VALUE"""),3103949)</f>
        <v>3103949</v>
      </c>
    </row>
    <row r="246" spans="1:6" ht="15.75" customHeight="1">
      <c r="A246" s="10">
        <f ca="1">IFERROR(__xludf.DUMMYFUNCTION("""COMPUTED_VALUE"""),43812.6666666666)</f>
        <v>43812.666666666599</v>
      </c>
      <c r="B246" s="1">
        <f ca="1">IFERROR(__xludf.DUMMYFUNCTION("""COMPUTED_VALUE"""),1765)</f>
        <v>1765</v>
      </c>
      <c r="C246" s="1">
        <f ca="1">IFERROR(__xludf.DUMMYFUNCTION("""COMPUTED_VALUE"""),1768.99)</f>
        <v>1768.99</v>
      </c>
      <c r="D246" s="1">
        <f ca="1">IFERROR(__xludf.DUMMYFUNCTION("""COMPUTED_VALUE"""),1755)</f>
        <v>1755</v>
      </c>
      <c r="E246" s="1">
        <f ca="1">IFERROR(__xludf.DUMMYFUNCTION("""COMPUTED_VALUE"""),1760.94)</f>
        <v>1760.94</v>
      </c>
      <c r="F246" s="1">
        <f ca="1">IFERROR(__xludf.DUMMYFUNCTION("""COMPUTED_VALUE"""),2747909)</f>
        <v>2747909</v>
      </c>
    </row>
    <row r="247" spans="1:6" ht="15.75" customHeight="1">
      <c r="A247" s="10">
        <f ca="1">IFERROR(__xludf.DUMMYFUNCTION("""COMPUTED_VALUE"""),43815.6666666666)</f>
        <v>43815.666666666599</v>
      </c>
      <c r="B247" s="1">
        <f ca="1">IFERROR(__xludf.DUMMYFUNCTION("""COMPUTED_VALUE"""),1767)</f>
        <v>1767</v>
      </c>
      <c r="C247" s="1">
        <f ca="1">IFERROR(__xludf.DUMMYFUNCTION("""COMPUTED_VALUE"""),1769.5)</f>
        <v>1769.5</v>
      </c>
      <c r="D247" s="1">
        <f ca="1">IFERROR(__xludf.DUMMYFUNCTION("""COMPUTED_VALUE"""),1757.05)</f>
        <v>1757.05</v>
      </c>
      <c r="E247" s="1">
        <f ca="1">IFERROR(__xludf.DUMMYFUNCTION("""COMPUTED_VALUE"""),1769.21)</f>
        <v>1769.21</v>
      </c>
      <c r="F247" s="1">
        <f ca="1">IFERROR(__xludf.DUMMYFUNCTION("""COMPUTED_VALUE"""),3149345)</f>
        <v>3149345</v>
      </c>
    </row>
    <row r="248" spans="1:6" ht="15.75" customHeight="1">
      <c r="A248" s="10">
        <f ca="1">IFERROR(__xludf.DUMMYFUNCTION("""COMPUTED_VALUE"""),43816.6666666666)</f>
        <v>43816.666666666599</v>
      </c>
      <c r="B248" s="1">
        <f ca="1">IFERROR(__xludf.DUMMYFUNCTION("""COMPUTED_VALUE"""),1778.01)</f>
        <v>1778.01</v>
      </c>
      <c r="C248" s="1">
        <f ca="1">IFERROR(__xludf.DUMMYFUNCTION("""COMPUTED_VALUE"""),1792)</f>
        <v>1792</v>
      </c>
      <c r="D248" s="1">
        <f ca="1">IFERROR(__xludf.DUMMYFUNCTION("""COMPUTED_VALUE"""),1777.39)</f>
        <v>1777.39</v>
      </c>
      <c r="E248" s="1">
        <f ca="1">IFERROR(__xludf.DUMMYFUNCTION("""COMPUTED_VALUE"""),1790.66)</f>
        <v>1790.66</v>
      </c>
      <c r="F248" s="1">
        <f ca="1">IFERROR(__xludf.DUMMYFUNCTION("""COMPUTED_VALUE"""),3646697)</f>
        <v>3646697</v>
      </c>
    </row>
    <row r="249" spans="1:6" ht="15.75" customHeight="1">
      <c r="A249" s="10">
        <f ca="1">IFERROR(__xludf.DUMMYFUNCTION("""COMPUTED_VALUE"""),43817.6666666666)</f>
        <v>43817.666666666599</v>
      </c>
      <c r="B249" s="1">
        <f ca="1">IFERROR(__xludf.DUMMYFUNCTION("""COMPUTED_VALUE"""),1795.02)</f>
        <v>1795.02</v>
      </c>
      <c r="C249" s="1">
        <f ca="1">IFERROR(__xludf.DUMMYFUNCTION("""COMPUTED_VALUE"""),1798.2)</f>
        <v>1798.2</v>
      </c>
      <c r="D249" s="1">
        <f ca="1">IFERROR(__xludf.DUMMYFUNCTION("""COMPUTED_VALUE"""),1782.36)</f>
        <v>1782.36</v>
      </c>
      <c r="E249" s="1">
        <f ca="1">IFERROR(__xludf.DUMMYFUNCTION("""COMPUTED_VALUE"""),1784.03)</f>
        <v>1784.03</v>
      </c>
      <c r="F249" s="1">
        <f ca="1">IFERROR(__xludf.DUMMYFUNCTION("""COMPUTED_VALUE"""),3352187)</f>
        <v>3352187</v>
      </c>
    </row>
    <row r="250" spans="1:6" ht="15.75" customHeight="1">
      <c r="A250" s="10">
        <f ca="1">IFERROR(__xludf.DUMMYFUNCTION("""COMPUTED_VALUE"""),43818.6666666666)</f>
        <v>43818.666666666599</v>
      </c>
      <c r="B250" s="1">
        <f ca="1">IFERROR(__xludf.DUMMYFUNCTION("""COMPUTED_VALUE"""),1780.5)</f>
        <v>1780.5</v>
      </c>
      <c r="C250" s="1">
        <f ca="1">IFERROR(__xludf.DUMMYFUNCTION("""COMPUTED_VALUE"""),1792.99)</f>
        <v>1792.99</v>
      </c>
      <c r="D250" s="1">
        <f ca="1">IFERROR(__xludf.DUMMYFUNCTION("""COMPUTED_VALUE"""),1774.06)</f>
        <v>1774.06</v>
      </c>
      <c r="E250" s="1">
        <f ca="1">IFERROR(__xludf.DUMMYFUNCTION("""COMPUTED_VALUE"""),1792.28)</f>
        <v>1792.28</v>
      </c>
      <c r="F250" s="1">
        <f ca="1">IFERROR(__xludf.DUMMYFUNCTION("""COMPUTED_VALUE"""),2738320)</f>
        <v>2738320</v>
      </c>
    </row>
    <row r="251" spans="1:6" ht="15.75" customHeight="1">
      <c r="A251" s="10">
        <f ca="1">IFERROR(__xludf.DUMMYFUNCTION("""COMPUTED_VALUE"""),43819.6666666666)</f>
        <v>43819.666666666599</v>
      </c>
      <c r="B251" s="1">
        <f ca="1">IFERROR(__xludf.DUMMYFUNCTION("""COMPUTED_VALUE"""),1799.62)</f>
        <v>1799.62</v>
      </c>
      <c r="C251" s="1">
        <f ca="1">IFERROR(__xludf.DUMMYFUNCTION("""COMPUTED_VALUE"""),1802.97)</f>
        <v>1802.97</v>
      </c>
      <c r="D251" s="1">
        <f ca="1">IFERROR(__xludf.DUMMYFUNCTION("""COMPUTED_VALUE"""),1782.45)</f>
        <v>1782.45</v>
      </c>
      <c r="E251" s="1">
        <f ca="1">IFERROR(__xludf.DUMMYFUNCTION("""COMPUTED_VALUE"""),1786.5)</f>
        <v>1786.5</v>
      </c>
      <c r="F251" s="1">
        <f ca="1">IFERROR(__xludf.DUMMYFUNCTION("""COMPUTED_VALUE"""),5152460)</f>
        <v>5152460</v>
      </c>
    </row>
    <row r="252" spans="1:6" ht="15.75" customHeight="1">
      <c r="A252" s="10">
        <f ca="1">IFERROR(__xludf.DUMMYFUNCTION("""COMPUTED_VALUE"""),43822.6666666666)</f>
        <v>43822.666666666599</v>
      </c>
      <c r="B252" s="1">
        <f ca="1">IFERROR(__xludf.DUMMYFUNCTION("""COMPUTED_VALUE"""),1788.26)</f>
        <v>1788.26</v>
      </c>
      <c r="C252" s="1">
        <f ca="1">IFERROR(__xludf.DUMMYFUNCTION("""COMPUTED_VALUE"""),1793)</f>
        <v>1793</v>
      </c>
      <c r="D252" s="1">
        <f ca="1">IFERROR(__xludf.DUMMYFUNCTION("""COMPUTED_VALUE"""),1784.51)</f>
        <v>1784.51</v>
      </c>
      <c r="E252" s="1">
        <f ca="1">IFERROR(__xludf.DUMMYFUNCTION("""COMPUTED_VALUE"""),1793)</f>
        <v>1793</v>
      </c>
      <c r="F252" s="1">
        <f ca="1">IFERROR(__xludf.DUMMYFUNCTION("""COMPUTED_VALUE"""),2137493)</f>
        <v>2137493</v>
      </c>
    </row>
    <row r="253" spans="1:6" ht="15.75" customHeight="1">
      <c r="A253" s="10">
        <f ca="1">IFERROR(__xludf.DUMMYFUNCTION("""COMPUTED_VALUE"""),43823.5416666666)</f>
        <v>43823.541666666599</v>
      </c>
      <c r="B253" s="1">
        <f ca="1">IFERROR(__xludf.DUMMYFUNCTION("""COMPUTED_VALUE"""),1793.81)</f>
        <v>1793.81</v>
      </c>
      <c r="C253" s="1">
        <f ca="1">IFERROR(__xludf.DUMMYFUNCTION("""COMPUTED_VALUE"""),1795.57)</f>
        <v>1795.57</v>
      </c>
      <c r="D253" s="1">
        <f ca="1">IFERROR(__xludf.DUMMYFUNCTION("""COMPUTED_VALUE"""),1787.58)</f>
        <v>1787.58</v>
      </c>
      <c r="E253" s="1">
        <f ca="1">IFERROR(__xludf.DUMMYFUNCTION("""COMPUTED_VALUE"""),1789.21)</f>
        <v>1789.21</v>
      </c>
      <c r="F253" s="1">
        <f ca="1">IFERROR(__xludf.DUMMYFUNCTION("""COMPUTED_VALUE"""),881337)</f>
        <v>881337</v>
      </c>
    </row>
    <row r="254" spans="1:6" ht="15.75" customHeight="1">
      <c r="A254" s="10">
        <f ca="1">IFERROR(__xludf.DUMMYFUNCTION("""COMPUTED_VALUE"""),43825.6666666666)</f>
        <v>43825.666666666599</v>
      </c>
      <c r="B254" s="1">
        <f ca="1">IFERROR(__xludf.DUMMYFUNCTION("""COMPUTED_VALUE"""),1801.01)</f>
        <v>1801.01</v>
      </c>
      <c r="C254" s="1">
        <f ca="1">IFERROR(__xludf.DUMMYFUNCTION("""COMPUTED_VALUE"""),1870.46)</f>
        <v>1870.46</v>
      </c>
      <c r="D254" s="1">
        <f ca="1">IFERROR(__xludf.DUMMYFUNCTION("""COMPUTED_VALUE"""),1799.5)</f>
        <v>1799.5</v>
      </c>
      <c r="E254" s="1">
        <f ca="1">IFERROR(__xludf.DUMMYFUNCTION("""COMPUTED_VALUE"""),1868.77)</f>
        <v>1868.77</v>
      </c>
      <c r="F254" s="1">
        <f ca="1">IFERROR(__xludf.DUMMYFUNCTION("""COMPUTED_VALUE"""),6024608)</f>
        <v>6024608</v>
      </c>
    </row>
    <row r="255" spans="1:6" ht="15.75" customHeight="1">
      <c r="A255" s="10">
        <f ca="1">IFERROR(__xludf.DUMMYFUNCTION("""COMPUTED_VALUE"""),43826.6666666666)</f>
        <v>43826.666666666599</v>
      </c>
      <c r="B255" s="1">
        <f ca="1">IFERROR(__xludf.DUMMYFUNCTION("""COMPUTED_VALUE"""),1882.92)</f>
        <v>1882.92</v>
      </c>
      <c r="C255" s="1">
        <f ca="1">IFERROR(__xludf.DUMMYFUNCTION("""COMPUTED_VALUE"""),1901.4)</f>
        <v>1901.4</v>
      </c>
      <c r="D255" s="1">
        <f ca="1">IFERROR(__xludf.DUMMYFUNCTION("""COMPUTED_VALUE"""),1866.01)</f>
        <v>1866.01</v>
      </c>
      <c r="E255" s="1">
        <f ca="1">IFERROR(__xludf.DUMMYFUNCTION("""COMPUTED_VALUE"""),1869.8)</f>
        <v>1869.8</v>
      </c>
      <c r="F255" s="1">
        <f ca="1">IFERROR(__xludf.DUMMYFUNCTION("""COMPUTED_VALUE"""),6188754)</f>
        <v>6188754</v>
      </c>
    </row>
    <row r="256" spans="1:6" ht="15.75" customHeight="1">
      <c r="A256" s="10">
        <f ca="1">IFERROR(__xludf.DUMMYFUNCTION("""COMPUTED_VALUE"""),43829.6666666666)</f>
        <v>43829.666666666599</v>
      </c>
      <c r="B256" s="1">
        <f ca="1">IFERROR(__xludf.DUMMYFUNCTION("""COMPUTED_VALUE"""),1874)</f>
        <v>1874</v>
      </c>
      <c r="C256" s="1">
        <f ca="1">IFERROR(__xludf.DUMMYFUNCTION("""COMPUTED_VALUE"""),1884)</f>
        <v>1884</v>
      </c>
      <c r="D256" s="1">
        <f ca="1">IFERROR(__xludf.DUMMYFUNCTION("""COMPUTED_VALUE"""),1840.62)</f>
        <v>1840.62</v>
      </c>
      <c r="E256" s="1">
        <f ca="1">IFERROR(__xludf.DUMMYFUNCTION("""COMPUTED_VALUE"""),1846.89)</f>
        <v>1846.89</v>
      </c>
      <c r="F256" s="1">
        <f ca="1">IFERROR(__xludf.DUMMYFUNCTION("""COMPUTED_VALUE"""),3677306)</f>
        <v>3677306</v>
      </c>
    </row>
    <row r="257" spans="1:6" ht="15.75" customHeight="1">
      <c r="A257" s="10">
        <f ca="1">IFERROR(__xludf.DUMMYFUNCTION("""COMPUTED_VALUE"""),43830.6666666666)</f>
        <v>43830.666666666599</v>
      </c>
      <c r="B257" s="1">
        <f ca="1">IFERROR(__xludf.DUMMYFUNCTION("""COMPUTED_VALUE"""),1842)</f>
        <v>1842</v>
      </c>
      <c r="C257" s="1">
        <f ca="1">IFERROR(__xludf.DUMMYFUNCTION("""COMPUTED_VALUE"""),1853.26)</f>
        <v>1853.26</v>
      </c>
      <c r="D257" s="1">
        <f ca="1">IFERROR(__xludf.DUMMYFUNCTION("""COMPUTED_VALUE"""),1832.23)</f>
        <v>1832.23</v>
      </c>
      <c r="E257" s="1">
        <f ca="1">IFERROR(__xludf.DUMMYFUNCTION("""COMPUTED_VALUE"""),1847.84)</f>
        <v>1847.84</v>
      </c>
      <c r="F257" s="1">
        <f ca="1">IFERROR(__xludf.DUMMYFUNCTION("""COMPUTED_VALUE"""),2510380)</f>
        <v>2510380</v>
      </c>
    </row>
    <row r="258" spans="1:6" ht="15.75" customHeight="1"/>
    <row r="259" spans="1:6" ht="15.75" customHeight="1"/>
    <row r="260" spans="1:6" ht="15.75" customHeight="1"/>
    <row r="261" spans="1:6" ht="15.75" customHeight="1"/>
    <row r="262" spans="1:6" ht="15.75" customHeight="1"/>
    <row r="263" spans="1:6" ht="15.75" customHeight="1"/>
    <row r="264" spans="1:6" ht="15.75" customHeight="1"/>
    <row r="265" spans="1:6" ht="15.75" customHeight="1"/>
    <row r="266" spans="1:6" ht="15.75" customHeight="1"/>
    <row r="267" spans="1:6" ht="15.75" customHeight="1"/>
    <row r="268" spans="1:6" ht="15.75" customHeight="1"/>
    <row r="269" spans="1:6" ht="15.75" customHeight="1"/>
    <row r="270" spans="1:6" ht="15.75" customHeight="1"/>
    <row r="271" spans="1:6" ht="15.75" customHeight="1"/>
    <row r="272" spans="1: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custom" allowBlank="1" showDropDown="1" showErrorMessage="1" sqref="C2:D2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6" ht="15.75" customHeight="1">
      <c r="A1" s="1" t="s">
        <v>0</v>
      </c>
      <c r="C1" s="1" t="s">
        <v>1</v>
      </c>
      <c r="D1" s="1" t="s">
        <v>2</v>
      </c>
    </row>
    <row r="2" spans="1:6" ht="15.75" customHeight="1">
      <c r="A2" s="17" t="s">
        <v>179</v>
      </c>
      <c r="C2" s="2">
        <v>43831</v>
      </c>
      <c r="D2" s="2">
        <v>44059</v>
      </c>
    </row>
    <row r="3" spans="1:6" ht="15.75" customHeight="1"/>
    <row r="4" spans="1:6" ht="15.75" customHeight="1"/>
    <row r="5" spans="1:6" ht="15.75" customHeight="1">
      <c r="A5" s="1" t="str">
        <f ca="1">IFERROR(__xludf.DUMMYFUNCTION("GOOGLEFINANCE(A2,""all"",C2, D2, ""DAILY"")"),"Date")</f>
        <v>Date</v>
      </c>
      <c r="B5" s="1" t="str">
        <f ca="1">IFERROR(__xludf.DUMMYFUNCTION("""COMPUTED_VALUE"""),"Open")</f>
        <v>Open</v>
      </c>
      <c r="C5" s="1" t="str">
        <f ca="1">IFERROR(__xludf.DUMMYFUNCTION("""COMPUTED_VALUE"""),"High")</f>
        <v>High</v>
      </c>
      <c r="D5" s="1" t="str">
        <f ca="1">IFERROR(__xludf.DUMMYFUNCTION("""COMPUTED_VALUE"""),"Low")</f>
        <v>Low</v>
      </c>
      <c r="E5" s="1" t="str">
        <f ca="1">IFERROR(__xludf.DUMMYFUNCTION("""COMPUTED_VALUE"""),"Close")</f>
        <v>Close</v>
      </c>
      <c r="F5" s="1" t="str">
        <f ca="1">IFERROR(__xludf.DUMMYFUNCTION("""COMPUTED_VALUE"""),"Volume")</f>
        <v>Volume</v>
      </c>
    </row>
    <row r="6" spans="1:6" ht="15.75" customHeight="1">
      <c r="A6" s="10">
        <f ca="1">IFERROR(__xludf.DUMMYFUNCTION("""COMPUTED_VALUE"""),43832.6458333333)</f>
        <v>43832.645833333299</v>
      </c>
      <c r="B6" s="1">
        <f ca="1">IFERROR(__xludf.DUMMYFUNCTION("""COMPUTED_VALUE"""),46.8)</f>
        <v>46.8</v>
      </c>
      <c r="C6" s="1">
        <f ca="1">IFERROR(__xludf.DUMMYFUNCTION("""COMPUTED_VALUE"""),48.5)</f>
        <v>48.5</v>
      </c>
      <c r="D6" s="1">
        <f ca="1">IFERROR(__xludf.DUMMYFUNCTION("""COMPUTED_VALUE"""),46.4)</f>
        <v>46.4</v>
      </c>
      <c r="E6" s="1">
        <f ca="1">IFERROR(__xludf.DUMMYFUNCTION("""COMPUTED_VALUE"""),47.35)</f>
        <v>47.35</v>
      </c>
      <c r="F6" s="1">
        <f ca="1">IFERROR(__xludf.DUMMYFUNCTION("""COMPUTED_VALUE"""),122242838)</f>
        <v>122242838</v>
      </c>
    </row>
    <row r="7" spans="1:6" ht="15.75" customHeight="1">
      <c r="A7" s="10">
        <f ca="1">IFERROR(__xludf.DUMMYFUNCTION("""COMPUTED_VALUE"""),43833.6458333333)</f>
        <v>43833.645833333299</v>
      </c>
      <c r="B7" s="1">
        <f ca="1">IFERROR(__xludf.DUMMYFUNCTION("""COMPUTED_VALUE"""),47.35)</f>
        <v>47.35</v>
      </c>
      <c r="C7" s="1">
        <f ca="1">IFERROR(__xludf.DUMMYFUNCTION("""COMPUTED_VALUE"""),48.25)</f>
        <v>48.25</v>
      </c>
      <c r="D7" s="1">
        <f ca="1">IFERROR(__xludf.DUMMYFUNCTION("""COMPUTED_VALUE"""),46.85)</f>
        <v>46.85</v>
      </c>
      <c r="E7" s="1">
        <f ca="1">IFERROR(__xludf.DUMMYFUNCTION("""COMPUTED_VALUE"""),47.1)</f>
        <v>47.1</v>
      </c>
      <c r="F7" s="1">
        <f ca="1">IFERROR(__xludf.DUMMYFUNCTION("""COMPUTED_VALUE"""),94827592)</f>
        <v>94827592</v>
      </c>
    </row>
    <row r="8" spans="1:6" ht="15.75" customHeight="1">
      <c r="A8" s="10">
        <f ca="1">IFERROR(__xludf.DUMMYFUNCTION("""COMPUTED_VALUE"""),43836.6458333333)</f>
        <v>43836.645833333299</v>
      </c>
      <c r="B8" s="1">
        <f ca="1">IFERROR(__xludf.DUMMYFUNCTION("""COMPUTED_VALUE"""),46.75)</f>
        <v>46.75</v>
      </c>
      <c r="C8" s="1">
        <f ca="1">IFERROR(__xludf.DUMMYFUNCTION("""COMPUTED_VALUE"""),46.75)</f>
        <v>46.75</v>
      </c>
      <c r="D8" s="1">
        <f ca="1">IFERROR(__xludf.DUMMYFUNCTION("""COMPUTED_VALUE"""),45)</f>
        <v>45</v>
      </c>
      <c r="E8" s="1">
        <f ca="1">IFERROR(__xludf.DUMMYFUNCTION("""COMPUTED_VALUE"""),45.15)</f>
        <v>45.15</v>
      </c>
      <c r="F8" s="1">
        <f ca="1">IFERROR(__xludf.DUMMYFUNCTION("""COMPUTED_VALUE"""),102880221)</f>
        <v>102880221</v>
      </c>
    </row>
    <row r="9" spans="1:6" ht="15.75" customHeight="1">
      <c r="A9" s="10">
        <f ca="1">IFERROR(__xludf.DUMMYFUNCTION("""COMPUTED_VALUE"""),43837.6458333333)</f>
        <v>43837.645833333299</v>
      </c>
      <c r="B9" s="1">
        <f ca="1">IFERROR(__xludf.DUMMYFUNCTION("""COMPUTED_VALUE"""),45.7)</f>
        <v>45.7</v>
      </c>
      <c r="C9" s="1">
        <f ca="1">IFERROR(__xludf.DUMMYFUNCTION("""COMPUTED_VALUE"""),46.4)</f>
        <v>46.4</v>
      </c>
      <c r="D9" s="1">
        <f ca="1">IFERROR(__xludf.DUMMYFUNCTION("""COMPUTED_VALUE"""),43.95)</f>
        <v>43.95</v>
      </c>
      <c r="E9" s="1">
        <f ca="1">IFERROR(__xludf.DUMMYFUNCTION("""COMPUTED_VALUE"""),45.05)</f>
        <v>45.05</v>
      </c>
      <c r="F9" s="1">
        <f ca="1">IFERROR(__xludf.DUMMYFUNCTION("""COMPUTED_VALUE"""),111094678)</f>
        <v>111094678</v>
      </c>
    </row>
    <row r="10" spans="1:6" ht="15.75" customHeight="1">
      <c r="A10" s="10">
        <f ca="1">IFERROR(__xludf.DUMMYFUNCTION("""COMPUTED_VALUE"""),43838.6458333333)</f>
        <v>43838.645833333299</v>
      </c>
      <c r="B10" s="1">
        <f ca="1">IFERROR(__xludf.DUMMYFUNCTION("""COMPUTED_VALUE"""),46.25)</f>
        <v>46.25</v>
      </c>
      <c r="C10" s="1">
        <f ca="1">IFERROR(__xludf.DUMMYFUNCTION("""COMPUTED_VALUE"""),47.2)</f>
        <v>47.2</v>
      </c>
      <c r="D10" s="1">
        <f ca="1">IFERROR(__xludf.DUMMYFUNCTION("""COMPUTED_VALUE"""),45.3)</f>
        <v>45.3</v>
      </c>
      <c r="E10" s="1">
        <f ca="1">IFERROR(__xludf.DUMMYFUNCTION("""COMPUTED_VALUE"""),46.05)</f>
        <v>46.05</v>
      </c>
      <c r="F10" s="1">
        <f ca="1">IFERROR(__xludf.DUMMYFUNCTION("""COMPUTED_VALUE"""),140074287)</f>
        <v>140074287</v>
      </c>
    </row>
    <row r="11" spans="1:6" ht="15.75" customHeight="1">
      <c r="A11" s="10">
        <f ca="1">IFERROR(__xludf.DUMMYFUNCTION("""COMPUTED_VALUE"""),43839.6458333333)</f>
        <v>43839.645833333299</v>
      </c>
      <c r="B11" s="1">
        <f ca="1">IFERROR(__xludf.DUMMYFUNCTION("""COMPUTED_VALUE"""),47)</f>
        <v>47</v>
      </c>
      <c r="C11" s="1">
        <f ca="1">IFERROR(__xludf.DUMMYFUNCTION("""COMPUTED_VALUE"""),48.5)</f>
        <v>48.5</v>
      </c>
      <c r="D11" s="1">
        <f ca="1">IFERROR(__xludf.DUMMYFUNCTION("""COMPUTED_VALUE"""),46.3)</f>
        <v>46.3</v>
      </c>
      <c r="E11" s="1">
        <f ca="1">IFERROR(__xludf.DUMMYFUNCTION("""COMPUTED_VALUE"""),47.3)</f>
        <v>47.3</v>
      </c>
      <c r="F11" s="1">
        <f ca="1">IFERROR(__xludf.DUMMYFUNCTION("""COMPUTED_VALUE"""),152025694)</f>
        <v>152025694</v>
      </c>
    </row>
    <row r="12" spans="1:6" ht="15.75" customHeight="1">
      <c r="A12" s="10">
        <f ca="1">IFERROR(__xludf.DUMMYFUNCTION("""COMPUTED_VALUE"""),43840.6458333333)</f>
        <v>43840.645833333299</v>
      </c>
      <c r="B12" s="1">
        <f ca="1">IFERROR(__xludf.DUMMYFUNCTION("""COMPUTED_VALUE"""),47.95)</f>
        <v>47.95</v>
      </c>
      <c r="C12" s="1">
        <f ca="1">IFERROR(__xludf.DUMMYFUNCTION("""COMPUTED_VALUE"""),48.35)</f>
        <v>48.35</v>
      </c>
      <c r="D12" s="1">
        <f ca="1">IFERROR(__xludf.DUMMYFUNCTION("""COMPUTED_VALUE"""),43.8)</f>
        <v>43.8</v>
      </c>
      <c r="E12" s="1">
        <f ca="1">IFERROR(__xludf.DUMMYFUNCTION("""COMPUTED_VALUE"""),44.75)</f>
        <v>44.75</v>
      </c>
      <c r="F12" s="1">
        <f ca="1">IFERROR(__xludf.DUMMYFUNCTION("""COMPUTED_VALUE"""),303072426)</f>
        <v>303072426</v>
      </c>
    </row>
    <row r="13" spans="1:6" ht="15.75" customHeight="1">
      <c r="A13" s="10">
        <f ca="1">IFERROR(__xludf.DUMMYFUNCTION("""COMPUTED_VALUE"""),43843.6458333333)</f>
        <v>43843.645833333299</v>
      </c>
      <c r="B13" s="1">
        <f ca="1">IFERROR(__xludf.DUMMYFUNCTION("""COMPUTED_VALUE"""),43.4)</f>
        <v>43.4</v>
      </c>
      <c r="C13" s="1">
        <f ca="1">IFERROR(__xludf.DUMMYFUNCTION("""COMPUTED_VALUE"""),43.9)</f>
        <v>43.9</v>
      </c>
      <c r="D13" s="1">
        <f ca="1">IFERROR(__xludf.DUMMYFUNCTION("""COMPUTED_VALUE"""),41.05)</f>
        <v>41.05</v>
      </c>
      <c r="E13" s="1">
        <f ca="1">IFERROR(__xludf.DUMMYFUNCTION("""COMPUTED_VALUE"""),42.1)</f>
        <v>42.1</v>
      </c>
      <c r="F13" s="1">
        <f ca="1">IFERROR(__xludf.DUMMYFUNCTION("""COMPUTED_VALUE"""),194734026)</f>
        <v>194734026</v>
      </c>
    </row>
    <row r="14" spans="1:6" ht="15.75" customHeight="1">
      <c r="A14" s="10">
        <f ca="1">IFERROR(__xludf.DUMMYFUNCTION("""COMPUTED_VALUE"""),43844.6458333333)</f>
        <v>43844.645833333299</v>
      </c>
      <c r="B14" s="1">
        <f ca="1">IFERROR(__xludf.DUMMYFUNCTION("""COMPUTED_VALUE"""),41.75)</f>
        <v>41.75</v>
      </c>
      <c r="C14" s="1">
        <f ca="1">IFERROR(__xludf.DUMMYFUNCTION("""COMPUTED_VALUE"""),41.75)</f>
        <v>41.75</v>
      </c>
      <c r="D14" s="1">
        <f ca="1">IFERROR(__xludf.DUMMYFUNCTION("""COMPUTED_VALUE"""),36.55)</f>
        <v>36.549999999999997</v>
      </c>
      <c r="E14" s="1">
        <f ca="1">IFERROR(__xludf.DUMMYFUNCTION("""COMPUTED_VALUE"""),38.55)</f>
        <v>38.549999999999997</v>
      </c>
      <c r="F14" s="1">
        <f ca="1">IFERROR(__xludf.DUMMYFUNCTION("""COMPUTED_VALUE"""),314975429)</f>
        <v>314975429</v>
      </c>
    </row>
    <row r="15" spans="1:6" ht="15.75" customHeight="1">
      <c r="A15" s="10">
        <f ca="1">IFERROR(__xludf.DUMMYFUNCTION("""COMPUTED_VALUE"""),43845.6458333333)</f>
        <v>43845.645833333299</v>
      </c>
      <c r="B15" s="1">
        <f ca="1">IFERROR(__xludf.DUMMYFUNCTION("""COMPUTED_VALUE"""),38.45)</f>
        <v>38.450000000000003</v>
      </c>
      <c r="C15" s="1">
        <f ca="1">IFERROR(__xludf.DUMMYFUNCTION("""COMPUTED_VALUE"""),41.1)</f>
        <v>41.1</v>
      </c>
      <c r="D15" s="1">
        <f ca="1">IFERROR(__xludf.DUMMYFUNCTION("""COMPUTED_VALUE"""),36.65)</f>
        <v>36.65</v>
      </c>
      <c r="E15" s="1">
        <f ca="1">IFERROR(__xludf.DUMMYFUNCTION("""COMPUTED_VALUE"""),39.75)</f>
        <v>39.75</v>
      </c>
      <c r="F15" s="1">
        <f ca="1">IFERROR(__xludf.DUMMYFUNCTION("""COMPUTED_VALUE"""),400694734)</f>
        <v>400694734</v>
      </c>
    </row>
    <row r="16" spans="1:6" ht="15.75" customHeight="1">
      <c r="A16" s="10">
        <f ca="1">IFERROR(__xludf.DUMMYFUNCTION("""COMPUTED_VALUE"""),43846.6458333333)</f>
        <v>43846.645833333299</v>
      </c>
      <c r="B16" s="1">
        <f ca="1">IFERROR(__xludf.DUMMYFUNCTION("""COMPUTED_VALUE"""),40.15)</f>
        <v>40.15</v>
      </c>
      <c r="C16" s="1">
        <f ca="1">IFERROR(__xludf.DUMMYFUNCTION("""COMPUTED_VALUE"""),40.9)</f>
        <v>40.9</v>
      </c>
      <c r="D16" s="1">
        <f ca="1">IFERROR(__xludf.DUMMYFUNCTION("""COMPUTED_VALUE"""),39.75)</f>
        <v>39.75</v>
      </c>
      <c r="E16" s="1">
        <f ca="1">IFERROR(__xludf.DUMMYFUNCTION("""COMPUTED_VALUE"""),39.95)</f>
        <v>39.950000000000003</v>
      </c>
      <c r="F16" s="1">
        <f ca="1">IFERROR(__xludf.DUMMYFUNCTION("""COMPUTED_VALUE"""),126354618)</f>
        <v>126354618</v>
      </c>
    </row>
    <row r="17" spans="1:6" ht="15.75" customHeight="1">
      <c r="A17" s="10">
        <f ca="1">IFERROR(__xludf.DUMMYFUNCTION("""COMPUTED_VALUE"""),43847.6458333333)</f>
        <v>43847.645833333299</v>
      </c>
      <c r="B17" s="1">
        <f ca="1">IFERROR(__xludf.DUMMYFUNCTION("""COMPUTED_VALUE"""),37.6)</f>
        <v>37.6</v>
      </c>
      <c r="C17" s="1">
        <f ca="1">IFERROR(__xludf.DUMMYFUNCTION("""COMPUTED_VALUE"""),39.55)</f>
        <v>39.549999999999997</v>
      </c>
      <c r="D17" s="1">
        <f ca="1">IFERROR(__xludf.DUMMYFUNCTION("""COMPUTED_VALUE"""),37)</f>
        <v>37</v>
      </c>
      <c r="E17" s="1">
        <f ca="1">IFERROR(__xludf.DUMMYFUNCTION("""COMPUTED_VALUE"""),39.25)</f>
        <v>39.25</v>
      </c>
      <c r="F17" s="1">
        <f ca="1">IFERROR(__xludf.DUMMYFUNCTION("""COMPUTED_VALUE"""),125635833)</f>
        <v>125635833</v>
      </c>
    </row>
    <row r="18" spans="1:6" ht="15.75" customHeight="1">
      <c r="A18" s="10">
        <f ca="1">IFERROR(__xludf.DUMMYFUNCTION("""COMPUTED_VALUE"""),43850.6458333333)</f>
        <v>43850.645833333299</v>
      </c>
      <c r="B18" s="1">
        <f ca="1">IFERROR(__xludf.DUMMYFUNCTION("""COMPUTED_VALUE"""),39.5)</f>
        <v>39.5</v>
      </c>
      <c r="C18" s="1">
        <f ca="1">IFERROR(__xludf.DUMMYFUNCTION("""COMPUTED_VALUE"""),40.2)</f>
        <v>40.200000000000003</v>
      </c>
      <c r="D18" s="1">
        <f ca="1">IFERROR(__xludf.DUMMYFUNCTION("""COMPUTED_VALUE"""),38.45)</f>
        <v>38.450000000000003</v>
      </c>
      <c r="E18" s="1">
        <f ca="1">IFERROR(__xludf.DUMMYFUNCTION("""COMPUTED_VALUE"""),38.65)</f>
        <v>38.65</v>
      </c>
      <c r="F18" s="1">
        <f ca="1">IFERROR(__xludf.DUMMYFUNCTION("""COMPUTED_VALUE"""),89703186)</f>
        <v>89703186</v>
      </c>
    </row>
    <row r="19" spans="1:6" ht="15.75" customHeight="1">
      <c r="A19" s="10">
        <f ca="1">IFERROR(__xludf.DUMMYFUNCTION("""COMPUTED_VALUE"""),43851.6458333333)</f>
        <v>43851.645833333299</v>
      </c>
      <c r="B19" s="1">
        <f ca="1">IFERROR(__xludf.DUMMYFUNCTION("""COMPUTED_VALUE"""),38.6)</f>
        <v>38.6</v>
      </c>
      <c r="C19" s="1">
        <f ca="1">IFERROR(__xludf.DUMMYFUNCTION("""COMPUTED_VALUE"""),39.2)</f>
        <v>39.200000000000003</v>
      </c>
      <c r="D19" s="1">
        <f ca="1">IFERROR(__xludf.DUMMYFUNCTION("""COMPUTED_VALUE"""),38.1)</f>
        <v>38.1</v>
      </c>
      <c r="E19" s="1">
        <f ca="1">IFERROR(__xludf.DUMMYFUNCTION("""COMPUTED_VALUE"""),38.35)</f>
        <v>38.35</v>
      </c>
      <c r="F19" s="1">
        <f ca="1">IFERROR(__xludf.DUMMYFUNCTION("""COMPUTED_VALUE"""),67215936)</f>
        <v>67215936</v>
      </c>
    </row>
    <row r="20" spans="1:6" ht="15.75" customHeight="1">
      <c r="A20" s="10">
        <f ca="1">IFERROR(__xludf.DUMMYFUNCTION("""COMPUTED_VALUE"""),43852.6458333333)</f>
        <v>43852.645833333299</v>
      </c>
      <c r="B20" s="1">
        <f ca="1">IFERROR(__xludf.DUMMYFUNCTION("""COMPUTED_VALUE"""),38.7)</f>
        <v>38.700000000000003</v>
      </c>
      <c r="C20" s="1">
        <f ca="1">IFERROR(__xludf.DUMMYFUNCTION("""COMPUTED_VALUE"""),39)</f>
        <v>39</v>
      </c>
      <c r="D20" s="1">
        <f ca="1">IFERROR(__xludf.DUMMYFUNCTION("""COMPUTED_VALUE"""),38)</f>
        <v>38</v>
      </c>
      <c r="E20" s="1">
        <f ca="1">IFERROR(__xludf.DUMMYFUNCTION("""COMPUTED_VALUE"""),38.45)</f>
        <v>38.450000000000003</v>
      </c>
      <c r="F20" s="1">
        <f ca="1">IFERROR(__xludf.DUMMYFUNCTION("""COMPUTED_VALUE"""),62400795)</f>
        <v>62400795</v>
      </c>
    </row>
    <row r="21" spans="1:6" ht="15.75" customHeight="1">
      <c r="A21" s="10">
        <f ca="1">IFERROR(__xludf.DUMMYFUNCTION("""COMPUTED_VALUE"""),43853.6458333333)</f>
        <v>43853.645833333299</v>
      </c>
      <c r="B21" s="1">
        <f ca="1">IFERROR(__xludf.DUMMYFUNCTION("""COMPUTED_VALUE"""),38.55)</f>
        <v>38.549999999999997</v>
      </c>
      <c r="C21" s="1">
        <f ca="1">IFERROR(__xludf.DUMMYFUNCTION("""COMPUTED_VALUE"""),41.4)</f>
        <v>41.4</v>
      </c>
      <c r="D21" s="1">
        <f ca="1">IFERROR(__xludf.DUMMYFUNCTION("""COMPUTED_VALUE"""),38.35)</f>
        <v>38.35</v>
      </c>
      <c r="E21" s="1">
        <f ca="1">IFERROR(__xludf.DUMMYFUNCTION("""COMPUTED_VALUE"""),40.95)</f>
        <v>40.950000000000003</v>
      </c>
      <c r="F21" s="1">
        <f ca="1">IFERROR(__xludf.DUMMYFUNCTION("""COMPUTED_VALUE"""),178774952)</f>
        <v>178774952</v>
      </c>
    </row>
    <row r="22" spans="1:6" ht="15.75" customHeight="1">
      <c r="A22" s="10">
        <f ca="1">IFERROR(__xludf.DUMMYFUNCTION("""COMPUTED_VALUE"""),43854.6458333333)</f>
        <v>43854.645833333299</v>
      </c>
      <c r="B22" s="1">
        <f ca="1">IFERROR(__xludf.DUMMYFUNCTION("""COMPUTED_VALUE"""),41.2)</f>
        <v>41.2</v>
      </c>
      <c r="C22" s="1">
        <f ca="1">IFERROR(__xludf.DUMMYFUNCTION("""COMPUTED_VALUE"""),45)</f>
        <v>45</v>
      </c>
      <c r="D22" s="1">
        <f ca="1">IFERROR(__xludf.DUMMYFUNCTION("""COMPUTED_VALUE"""),41.1)</f>
        <v>41.1</v>
      </c>
      <c r="E22" s="1">
        <f ca="1">IFERROR(__xludf.DUMMYFUNCTION("""COMPUTED_VALUE"""),42.8)</f>
        <v>42.8</v>
      </c>
      <c r="F22" s="1">
        <f ca="1">IFERROR(__xludf.DUMMYFUNCTION("""COMPUTED_VALUE"""),289854100)</f>
        <v>289854100</v>
      </c>
    </row>
    <row r="23" spans="1:6" ht="15.75" customHeight="1">
      <c r="A23" s="10">
        <f ca="1">IFERROR(__xludf.DUMMYFUNCTION("""COMPUTED_VALUE"""),43857.6458333333)</f>
        <v>43857.645833333299</v>
      </c>
      <c r="B23" s="1">
        <f ca="1">IFERROR(__xludf.DUMMYFUNCTION("""COMPUTED_VALUE"""),42.3)</f>
        <v>42.3</v>
      </c>
      <c r="C23" s="1">
        <f ca="1">IFERROR(__xludf.DUMMYFUNCTION("""COMPUTED_VALUE"""),43.45)</f>
        <v>43.45</v>
      </c>
      <c r="D23" s="1">
        <f ca="1">IFERROR(__xludf.DUMMYFUNCTION("""COMPUTED_VALUE"""),41.85)</f>
        <v>41.85</v>
      </c>
      <c r="E23" s="1">
        <f ca="1">IFERROR(__xludf.DUMMYFUNCTION("""COMPUTED_VALUE"""),42.4)</f>
        <v>42.4</v>
      </c>
      <c r="F23" s="1">
        <f ca="1">IFERROR(__xludf.DUMMYFUNCTION("""COMPUTED_VALUE"""),134241973)</f>
        <v>134241973</v>
      </c>
    </row>
    <row r="24" spans="1:6" ht="15.75" customHeight="1">
      <c r="A24" s="10">
        <f ca="1">IFERROR(__xludf.DUMMYFUNCTION("""COMPUTED_VALUE"""),43858.6458333333)</f>
        <v>43858.645833333299</v>
      </c>
      <c r="B24" s="1">
        <f ca="1">IFERROR(__xludf.DUMMYFUNCTION("""COMPUTED_VALUE"""),42.5)</f>
        <v>42.5</v>
      </c>
      <c r="C24" s="1">
        <f ca="1">IFERROR(__xludf.DUMMYFUNCTION("""COMPUTED_VALUE"""),43.3)</f>
        <v>43.3</v>
      </c>
      <c r="D24" s="1">
        <f ca="1">IFERROR(__xludf.DUMMYFUNCTION("""COMPUTED_VALUE"""),41.25)</f>
        <v>41.25</v>
      </c>
      <c r="E24" s="1">
        <f ca="1">IFERROR(__xludf.DUMMYFUNCTION("""COMPUTED_VALUE"""),41.65)</f>
        <v>41.65</v>
      </c>
      <c r="F24" s="1">
        <f ca="1">IFERROR(__xludf.DUMMYFUNCTION("""COMPUTED_VALUE"""),106167368)</f>
        <v>106167368</v>
      </c>
    </row>
    <row r="25" spans="1:6" ht="15.75" customHeight="1">
      <c r="A25" s="10">
        <f ca="1">IFERROR(__xludf.DUMMYFUNCTION("""COMPUTED_VALUE"""),43859.6458333333)</f>
        <v>43859.645833333299</v>
      </c>
      <c r="B25" s="1">
        <f ca="1">IFERROR(__xludf.DUMMYFUNCTION("""COMPUTED_VALUE"""),41.85)</f>
        <v>41.85</v>
      </c>
      <c r="C25" s="1">
        <f ca="1">IFERROR(__xludf.DUMMYFUNCTION("""COMPUTED_VALUE"""),42.35)</f>
        <v>42.35</v>
      </c>
      <c r="D25" s="1">
        <f ca="1">IFERROR(__xludf.DUMMYFUNCTION("""COMPUTED_VALUE"""),41)</f>
        <v>41</v>
      </c>
      <c r="E25" s="1">
        <f ca="1">IFERROR(__xludf.DUMMYFUNCTION("""COMPUTED_VALUE"""),41.2)</f>
        <v>41.2</v>
      </c>
      <c r="F25" s="1">
        <f ca="1">IFERROR(__xludf.DUMMYFUNCTION("""COMPUTED_VALUE"""),141475654)</f>
        <v>141475654</v>
      </c>
    </row>
    <row r="26" spans="1:6" ht="15.75" customHeight="1">
      <c r="A26" s="10">
        <f ca="1">IFERROR(__xludf.DUMMYFUNCTION("""COMPUTED_VALUE"""),43860.6458333333)</f>
        <v>43860.645833333299</v>
      </c>
      <c r="B26" s="1">
        <f ca="1">IFERROR(__xludf.DUMMYFUNCTION("""COMPUTED_VALUE"""),40.8)</f>
        <v>40.799999999999997</v>
      </c>
      <c r="C26" s="1">
        <f ca="1">IFERROR(__xludf.DUMMYFUNCTION("""COMPUTED_VALUE"""),40.85)</f>
        <v>40.85</v>
      </c>
      <c r="D26" s="1">
        <f ca="1">IFERROR(__xludf.DUMMYFUNCTION("""COMPUTED_VALUE"""),38.55)</f>
        <v>38.549999999999997</v>
      </c>
      <c r="E26" s="1">
        <f ca="1">IFERROR(__xludf.DUMMYFUNCTION("""COMPUTED_VALUE"""),39.05)</f>
        <v>39.049999999999997</v>
      </c>
      <c r="F26" s="1">
        <f ca="1">IFERROR(__xludf.DUMMYFUNCTION("""COMPUTED_VALUE"""),150556233)</f>
        <v>150556233</v>
      </c>
    </row>
    <row r="27" spans="1:6" ht="15.75" customHeight="1">
      <c r="A27" s="10">
        <f ca="1">IFERROR(__xludf.DUMMYFUNCTION("""COMPUTED_VALUE"""),43861.6458333333)</f>
        <v>43861.645833333299</v>
      </c>
      <c r="B27" s="1">
        <f ca="1">IFERROR(__xludf.DUMMYFUNCTION("""COMPUTED_VALUE"""),39.3)</f>
        <v>39.299999999999997</v>
      </c>
      <c r="C27" s="1">
        <f ca="1">IFERROR(__xludf.DUMMYFUNCTION("""COMPUTED_VALUE"""),40.2)</f>
        <v>40.200000000000003</v>
      </c>
      <c r="D27" s="1">
        <f ca="1">IFERROR(__xludf.DUMMYFUNCTION("""COMPUTED_VALUE"""),38.7)</f>
        <v>38.700000000000003</v>
      </c>
      <c r="E27" s="1">
        <f ca="1">IFERROR(__xludf.DUMMYFUNCTION("""COMPUTED_VALUE"""),39.25)</f>
        <v>39.25</v>
      </c>
      <c r="F27" s="1">
        <f ca="1">IFERROR(__xludf.DUMMYFUNCTION("""COMPUTED_VALUE"""),117636393)</f>
        <v>117636393</v>
      </c>
    </row>
    <row r="28" spans="1:6" ht="15.75" customHeight="1">
      <c r="A28" s="10">
        <f ca="1">IFERROR(__xludf.DUMMYFUNCTION("""COMPUTED_VALUE"""),43862.7083333333)</f>
        <v>43862.708333333299</v>
      </c>
      <c r="B28" s="1">
        <f ca="1">IFERROR(__xludf.DUMMYFUNCTION("""COMPUTED_VALUE"""),39.15)</f>
        <v>39.15</v>
      </c>
      <c r="C28" s="1">
        <f ca="1">IFERROR(__xludf.DUMMYFUNCTION("""COMPUTED_VALUE"""),40.2)</f>
        <v>40.200000000000003</v>
      </c>
      <c r="D28" s="1">
        <f ca="1">IFERROR(__xludf.DUMMYFUNCTION("""COMPUTED_VALUE"""),37.6)</f>
        <v>37.6</v>
      </c>
      <c r="E28" s="1">
        <f ca="1">IFERROR(__xludf.DUMMYFUNCTION("""COMPUTED_VALUE"""),37.65)</f>
        <v>37.65</v>
      </c>
      <c r="F28" s="1">
        <f ca="1">IFERROR(__xludf.DUMMYFUNCTION("""COMPUTED_VALUE"""),99394268)</f>
        <v>99394268</v>
      </c>
    </row>
    <row r="29" spans="1:6" ht="15.75" customHeight="1">
      <c r="A29" s="10">
        <f ca="1">IFERROR(__xludf.DUMMYFUNCTION("""COMPUTED_VALUE"""),43864.6458333333)</f>
        <v>43864.645833333299</v>
      </c>
      <c r="B29" s="1">
        <f ca="1">IFERROR(__xludf.DUMMYFUNCTION("""COMPUTED_VALUE"""),37.95)</f>
        <v>37.950000000000003</v>
      </c>
      <c r="C29" s="1">
        <f ca="1">IFERROR(__xludf.DUMMYFUNCTION("""COMPUTED_VALUE"""),38.4)</f>
        <v>38.4</v>
      </c>
      <c r="D29" s="1">
        <f ca="1">IFERROR(__xludf.DUMMYFUNCTION("""COMPUTED_VALUE"""),35.7)</f>
        <v>35.700000000000003</v>
      </c>
      <c r="E29" s="1">
        <f ca="1">IFERROR(__xludf.DUMMYFUNCTION("""COMPUTED_VALUE"""),36)</f>
        <v>36</v>
      </c>
      <c r="F29" s="1">
        <f ca="1">IFERROR(__xludf.DUMMYFUNCTION("""COMPUTED_VALUE"""),148030362)</f>
        <v>148030362</v>
      </c>
    </row>
    <row r="30" spans="1:6" ht="15.75" customHeight="1">
      <c r="A30" s="10">
        <f ca="1">IFERROR(__xludf.DUMMYFUNCTION("""COMPUTED_VALUE"""),43865.6458333333)</f>
        <v>43865.645833333299</v>
      </c>
      <c r="B30" s="1">
        <f ca="1">IFERROR(__xludf.DUMMYFUNCTION("""COMPUTED_VALUE"""),36.15)</f>
        <v>36.15</v>
      </c>
      <c r="C30" s="1">
        <f ca="1">IFERROR(__xludf.DUMMYFUNCTION("""COMPUTED_VALUE"""),36.4)</f>
        <v>36.4</v>
      </c>
      <c r="D30" s="1">
        <f ca="1">IFERROR(__xludf.DUMMYFUNCTION("""COMPUTED_VALUE"""),34.45)</f>
        <v>34.450000000000003</v>
      </c>
      <c r="E30" s="1">
        <f ca="1">IFERROR(__xludf.DUMMYFUNCTION("""COMPUTED_VALUE"""),34.95)</f>
        <v>34.950000000000003</v>
      </c>
      <c r="F30" s="1">
        <f ca="1">IFERROR(__xludf.DUMMYFUNCTION("""COMPUTED_VALUE"""),138230643)</f>
        <v>138230643</v>
      </c>
    </row>
    <row r="31" spans="1:6" ht="15.75" customHeight="1">
      <c r="A31" s="10">
        <f ca="1">IFERROR(__xludf.DUMMYFUNCTION("""COMPUTED_VALUE"""),43866.6458333333)</f>
        <v>43866.645833333299</v>
      </c>
      <c r="B31" s="1">
        <f ca="1">IFERROR(__xludf.DUMMYFUNCTION("""COMPUTED_VALUE"""),35.1)</f>
        <v>35.1</v>
      </c>
      <c r="C31" s="1">
        <f ca="1">IFERROR(__xludf.DUMMYFUNCTION("""COMPUTED_VALUE"""),39.7)</f>
        <v>39.700000000000003</v>
      </c>
      <c r="D31" s="1">
        <f ca="1">IFERROR(__xludf.DUMMYFUNCTION("""COMPUTED_VALUE"""),34.05)</f>
        <v>34.049999999999997</v>
      </c>
      <c r="E31" s="1">
        <f ca="1">IFERROR(__xludf.DUMMYFUNCTION("""COMPUTED_VALUE"""),37.6)</f>
        <v>37.6</v>
      </c>
      <c r="F31" s="1">
        <f ca="1">IFERROR(__xludf.DUMMYFUNCTION("""COMPUTED_VALUE"""),281100614)</f>
        <v>281100614</v>
      </c>
    </row>
    <row r="32" spans="1:6" ht="15.75" customHeight="1">
      <c r="A32" s="10">
        <f ca="1">IFERROR(__xludf.DUMMYFUNCTION("""COMPUTED_VALUE"""),43867.6458333333)</f>
        <v>43867.645833333299</v>
      </c>
      <c r="B32" s="1">
        <f ca="1">IFERROR(__xludf.DUMMYFUNCTION("""COMPUTED_VALUE"""),37.9)</f>
        <v>37.9</v>
      </c>
      <c r="C32" s="1">
        <f ca="1">IFERROR(__xludf.DUMMYFUNCTION("""COMPUTED_VALUE"""),39.5)</f>
        <v>39.5</v>
      </c>
      <c r="D32" s="1">
        <f ca="1">IFERROR(__xludf.DUMMYFUNCTION("""COMPUTED_VALUE"""),37.8)</f>
        <v>37.799999999999997</v>
      </c>
      <c r="E32" s="1">
        <f ca="1">IFERROR(__xludf.DUMMYFUNCTION("""COMPUTED_VALUE"""),38.55)</f>
        <v>38.549999999999997</v>
      </c>
      <c r="F32" s="1">
        <f ca="1">IFERROR(__xludf.DUMMYFUNCTION("""COMPUTED_VALUE"""),135268292)</f>
        <v>135268292</v>
      </c>
    </row>
    <row r="33" spans="1:6" ht="15.75" customHeight="1">
      <c r="A33" s="10">
        <f ca="1">IFERROR(__xludf.DUMMYFUNCTION("""COMPUTED_VALUE"""),43868.6458333333)</f>
        <v>43868.645833333299</v>
      </c>
      <c r="B33" s="1">
        <f ca="1">IFERROR(__xludf.DUMMYFUNCTION("""COMPUTED_VALUE"""),38.8)</f>
        <v>38.799999999999997</v>
      </c>
      <c r="C33" s="1">
        <f ca="1">IFERROR(__xludf.DUMMYFUNCTION("""COMPUTED_VALUE"""),39.95)</f>
        <v>39.950000000000003</v>
      </c>
      <c r="D33" s="1">
        <f ca="1">IFERROR(__xludf.DUMMYFUNCTION("""COMPUTED_VALUE"""),38.15)</f>
        <v>38.15</v>
      </c>
      <c r="E33" s="1">
        <f ca="1">IFERROR(__xludf.DUMMYFUNCTION("""COMPUTED_VALUE"""),38.7)</f>
        <v>38.700000000000003</v>
      </c>
      <c r="F33" s="1">
        <f ca="1">IFERROR(__xludf.DUMMYFUNCTION("""COMPUTED_VALUE"""),127163152)</f>
        <v>127163152</v>
      </c>
    </row>
    <row r="34" spans="1:6" ht="15.75" customHeight="1">
      <c r="A34" s="10">
        <f ca="1">IFERROR(__xludf.DUMMYFUNCTION("""COMPUTED_VALUE"""),43871.6458333333)</f>
        <v>43871.645833333299</v>
      </c>
      <c r="B34" s="1">
        <f ca="1">IFERROR(__xludf.DUMMYFUNCTION("""COMPUTED_VALUE"""),40)</f>
        <v>40</v>
      </c>
      <c r="C34" s="1">
        <f ca="1">IFERROR(__xludf.DUMMYFUNCTION("""COMPUTED_VALUE"""),40.75)</f>
        <v>40.75</v>
      </c>
      <c r="D34" s="1">
        <f ca="1">IFERROR(__xludf.DUMMYFUNCTION("""COMPUTED_VALUE"""),37.1)</f>
        <v>37.1</v>
      </c>
      <c r="E34" s="1">
        <f ca="1">IFERROR(__xludf.DUMMYFUNCTION("""COMPUTED_VALUE"""),37.55)</f>
        <v>37.549999999999997</v>
      </c>
      <c r="F34" s="1">
        <f ca="1">IFERROR(__xludf.DUMMYFUNCTION("""COMPUTED_VALUE"""),142245961)</f>
        <v>142245961</v>
      </c>
    </row>
    <row r="35" spans="1:6" ht="15.75" customHeight="1">
      <c r="A35" s="10">
        <f ca="1">IFERROR(__xludf.DUMMYFUNCTION("""COMPUTED_VALUE"""),43872.6458333333)</f>
        <v>43872.645833333299</v>
      </c>
      <c r="B35" s="1">
        <f ca="1">IFERROR(__xludf.DUMMYFUNCTION("""COMPUTED_VALUE"""),37.75)</f>
        <v>37.75</v>
      </c>
      <c r="C35" s="1">
        <f ca="1">IFERROR(__xludf.DUMMYFUNCTION("""COMPUTED_VALUE"""),38.1)</f>
        <v>38.1</v>
      </c>
      <c r="D35" s="1">
        <f ca="1">IFERROR(__xludf.DUMMYFUNCTION("""COMPUTED_VALUE"""),36.7)</f>
        <v>36.700000000000003</v>
      </c>
      <c r="E35" s="1">
        <f ca="1">IFERROR(__xludf.DUMMYFUNCTION("""COMPUTED_VALUE"""),36.85)</f>
        <v>36.85</v>
      </c>
      <c r="F35" s="1">
        <f ca="1">IFERROR(__xludf.DUMMYFUNCTION("""COMPUTED_VALUE"""),96791648)</f>
        <v>96791648</v>
      </c>
    </row>
    <row r="36" spans="1:6" ht="15.75" customHeight="1">
      <c r="A36" s="10">
        <f ca="1">IFERROR(__xludf.DUMMYFUNCTION("""COMPUTED_VALUE"""),43873.6458333333)</f>
        <v>43873.645833333299</v>
      </c>
      <c r="B36" s="1">
        <f ca="1">IFERROR(__xludf.DUMMYFUNCTION("""COMPUTED_VALUE"""),36.75)</f>
        <v>36.75</v>
      </c>
      <c r="C36" s="1">
        <f ca="1">IFERROR(__xludf.DUMMYFUNCTION("""COMPUTED_VALUE"""),36.75)</f>
        <v>36.75</v>
      </c>
      <c r="D36" s="1">
        <f ca="1">IFERROR(__xludf.DUMMYFUNCTION("""COMPUTED_VALUE"""),35.05)</f>
        <v>35.049999999999997</v>
      </c>
      <c r="E36" s="1">
        <f ca="1">IFERROR(__xludf.DUMMYFUNCTION("""COMPUTED_VALUE"""),35.2)</f>
        <v>35.200000000000003</v>
      </c>
      <c r="F36" s="1">
        <f ca="1">IFERROR(__xludf.DUMMYFUNCTION("""COMPUTED_VALUE"""),101372754)</f>
        <v>101372754</v>
      </c>
    </row>
    <row r="37" spans="1:6" ht="15.75" customHeight="1">
      <c r="A37" s="10">
        <f ca="1">IFERROR(__xludf.DUMMYFUNCTION("""COMPUTED_VALUE"""),43874.6458333333)</f>
        <v>43874.645833333299</v>
      </c>
      <c r="B37" s="1">
        <f ca="1">IFERROR(__xludf.DUMMYFUNCTION("""COMPUTED_VALUE"""),36.95)</f>
        <v>36.950000000000003</v>
      </c>
      <c r="C37" s="1">
        <f ca="1">IFERROR(__xludf.DUMMYFUNCTION("""COMPUTED_VALUE"""),38)</f>
        <v>38</v>
      </c>
      <c r="D37" s="1">
        <f ca="1">IFERROR(__xludf.DUMMYFUNCTION("""COMPUTED_VALUE"""),36)</f>
        <v>36</v>
      </c>
      <c r="E37" s="1">
        <f ca="1">IFERROR(__xludf.DUMMYFUNCTION("""COMPUTED_VALUE"""),37.2)</f>
        <v>37.200000000000003</v>
      </c>
      <c r="F37" s="1">
        <f ca="1">IFERROR(__xludf.DUMMYFUNCTION("""COMPUTED_VALUE"""),168339964)</f>
        <v>168339964</v>
      </c>
    </row>
    <row r="38" spans="1:6" ht="15.75" customHeight="1">
      <c r="A38" s="10">
        <f ca="1">IFERROR(__xludf.DUMMYFUNCTION("""COMPUTED_VALUE"""),43875.6458333333)</f>
        <v>43875.645833333299</v>
      </c>
      <c r="B38" s="1">
        <f ca="1">IFERROR(__xludf.DUMMYFUNCTION("""COMPUTED_VALUE"""),37.5)</f>
        <v>37.5</v>
      </c>
      <c r="C38" s="1">
        <f ca="1">IFERROR(__xludf.DUMMYFUNCTION("""COMPUTED_VALUE"""),40.2)</f>
        <v>40.200000000000003</v>
      </c>
      <c r="D38" s="1">
        <f ca="1">IFERROR(__xludf.DUMMYFUNCTION("""COMPUTED_VALUE"""),37.5)</f>
        <v>37.5</v>
      </c>
      <c r="E38" s="1">
        <f ca="1">IFERROR(__xludf.DUMMYFUNCTION("""COMPUTED_VALUE"""),38.9)</f>
        <v>38.9</v>
      </c>
      <c r="F38" s="1">
        <f ca="1">IFERROR(__xludf.DUMMYFUNCTION("""COMPUTED_VALUE"""),187898337)</f>
        <v>187898337</v>
      </c>
    </row>
    <row r="39" spans="1:6" ht="15.75" customHeight="1">
      <c r="A39" s="10">
        <f ca="1">IFERROR(__xludf.DUMMYFUNCTION("""COMPUTED_VALUE"""),43878.6458333333)</f>
        <v>43878.645833333299</v>
      </c>
      <c r="B39" s="1">
        <f ca="1">IFERROR(__xludf.DUMMYFUNCTION("""COMPUTED_VALUE"""),39.5)</f>
        <v>39.5</v>
      </c>
      <c r="C39" s="1">
        <f ca="1">IFERROR(__xludf.DUMMYFUNCTION("""COMPUTED_VALUE"""),40.1)</f>
        <v>40.1</v>
      </c>
      <c r="D39" s="1">
        <f ca="1">IFERROR(__xludf.DUMMYFUNCTION("""COMPUTED_VALUE"""),36.6)</f>
        <v>36.6</v>
      </c>
      <c r="E39" s="1">
        <f ca="1">IFERROR(__xludf.DUMMYFUNCTION("""COMPUTED_VALUE"""),37.15)</f>
        <v>37.15</v>
      </c>
      <c r="F39" s="1">
        <f ca="1">IFERROR(__xludf.DUMMYFUNCTION("""COMPUTED_VALUE"""),116075992)</f>
        <v>116075992</v>
      </c>
    </row>
    <row r="40" spans="1:6" ht="15.75" customHeight="1">
      <c r="A40" s="10">
        <f ca="1">IFERROR(__xludf.DUMMYFUNCTION("""COMPUTED_VALUE"""),43879.6458333333)</f>
        <v>43879.645833333299</v>
      </c>
      <c r="B40" s="1">
        <f ca="1">IFERROR(__xludf.DUMMYFUNCTION("""COMPUTED_VALUE"""),37.35)</f>
        <v>37.35</v>
      </c>
      <c r="C40" s="1">
        <f ca="1">IFERROR(__xludf.DUMMYFUNCTION("""COMPUTED_VALUE"""),37.5)</f>
        <v>37.5</v>
      </c>
      <c r="D40" s="1">
        <f ca="1">IFERROR(__xludf.DUMMYFUNCTION("""COMPUTED_VALUE"""),33.65)</f>
        <v>33.65</v>
      </c>
      <c r="E40" s="1">
        <f ca="1">IFERROR(__xludf.DUMMYFUNCTION("""COMPUTED_VALUE"""),35.05)</f>
        <v>35.049999999999997</v>
      </c>
      <c r="F40" s="1">
        <f ca="1">IFERROR(__xludf.DUMMYFUNCTION("""COMPUTED_VALUE"""),229070225)</f>
        <v>229070225</v>
      </c>
    </row>
    <row r="41" spans="1:6" ht="15.75" customHeight="1">
      <c r="A41" s="10">
        <f ca="1">IFERROR(__xludf.DUMMYFUNCTION("""COMPUTED_VALUE"""),43880.6458333333)</f>
        <v>43880.645833333299</v>
      </c>
      <c r="B41" s="1">
        <f ca="1">IFERROR(__xludf.DUMMYFUNCTION("""COMPUTED_VALUE"""),34)</f>
        <v>34</v>
      </c>
      <c r="C41" s="1">
        <f ca="1">IFERROR(__xludf.DUMMYFUNCTION("""COMPUTED_VALUE"""),36.2)</f>
        <v>36.200000000000003</v>
      </c>
      <c r="D41" s="1">
        <f ca="1">IFERROR(__xludf.DUMMYFUNCTION("""COMPUTED_VALUE"""),33.6)</f>
        <v>33.6</v>
      </c>
      <c r="E41" s="1">
        <f ca="1">IFERROR(__xludf.DUMMYFUNCTION("""COMPUTED_VALUE"""),35.3)</f>
        <v>35.299999999999997</v>
      </c>
      <c r="F41" s="1">
        <f ca="1">IFERROR(__xludf.DUMMYFUNCTION("""COMPUTED_VALUE"""),127701131)</f>
        <v>127701131</v>
      </c>
    </row>
    <row r="42" spans="1:6" ht="15.75" customHeight="1">
      <c r="A42" s="10">
        <f ca="1">IFERROR(__xludf.DUMMYFUNCTION("""COMPUTED_VALUE"""),43881.6458333333)</f>
        <v>43881.645833333299</v>
      </c>
      <c r="B42" s="1">
        <f ca="1">IFERROR(__xludf.DUMMYFUNCTION("""COMPUTED_VALUE"""),35.3)</f>
        <v>35.299999999999997</v>
      </c>
      <c r="C42" s="1">
        <f ca="1">IFERROR(__xludf.DUMMYFUNCTION("""COMPUTED_VALUE"""),36.5)</f>
        <v>36.5</v>
      </c>
      <c r="D42" s="1">
        <f ca="1">IFERROR(__xludf.DUMMYFUNCTION("""COMPUTED_VALUE"""),34.65)</f>
        <v>34.65</v>
      </c>
      <c r="E42" s="1">
        <f ca="1">IFERROR(__xludf.DUMMYFUNCTION("""COMPUTED_VALUE"""),35.45)</f>
        <v>35.450000000000003</v>
      </c>
      <c r="F42" s="1">
        <f ca="1">IFERROR(__xludf.DUMMYFUNCTION("""COMPUTED_VALUE"""),119436898)</f>
        <v>119436898</v>
      </c>
    </row>
    <row r="43" spans="1:6" ht="15.75" customHeight="1">
      <c r="A43" s="10">
        <f ca="1">IFERROR(__xludf.DUMMYFUNCTION("""COMPUTED_VALUE"""),43885.6458333333)</f>
        <v>43885.645833333299</v>
      </c>
      <c r="B43" s="1">
        <f ca="1">IFERROR(__xludf.DUMMYFUNCTION("""COMPUTED_VALUE"""),35.5)</f>
        <v>35.5</v>
      </c>
      <c r="C43" s="1">
        <f ca="1">IFERROR(__xludf.DUMMYFUNCTION("""COMPUTED_VALUE"""),35.9)</f>
        <v>35.9</v>
      </c>
      <c r="D43" s="1">
        <f ca="1">IFERROR(__xludf.DUMMYFUNCTION("""COMPUTED_VALUE"""),34.15)</f>
        <v>34.15</v>
      </c>
      <c r="E43" s="1">
        <f ca="1">IFERROR(__xludf.DUMMYFUNCTION("""COMPUTED_VALUE"""),34.95)</f>
        <v>34.950000000000003</v>
      </c>
      <c r="F43" s="1">
        <f ca="1">IFERROR(__xludf.DUMMYFUNCTION("""COMPUTED_VALUE"""),105851722)</f>
        <v>105851722</v>
      </c>
    </row>
    <row r="44" spans="1:6" ht="15.75" customHeight="1">
      <c r="A44" s="10">
        <f ca="1">IFERROR(__xludf.DUMMYFUNCTION("""COMPUTED_VALUE"""),43886.6458333333)</f>
        <v>43886.645833333299</v>
      </c>
      <c r="B44" s="1">
        <f ca="1">IFERROR(__xludf.DUMMYFUNCTION("""COMPUTED_VALUE"""),35.25)</f>
        <v>35.25</v>
      </c>
      <c r="C44" s="1">
        <f ca="1">IFERROR(__xludf.DUMMYFUNCTION("""COMPUTED_VALUE"""),36)</f>
        <v>36</v>
      </c>
      <c r="D44" s="1">
        <f ca="1">IFERROR(__xludf.DUMMYFUNCTION("""COMPUTED_VALUE"""),34.75)</f>
        <v>34.75</v>
      </c>
      <c r="E44" s="1">
        <f ca="1">IFERROR(__xludf.DUMMYFUNCTION("""COMPUTED_VALUE"""),35.15)</f>
        <v>35.15</v>
      </c>
      <c r="F44" s="1">
        <f ca="1">IFERROR(__xludf.DUMMYFUNCTION("""COMPUTED_VALUE"""),88184594)</f>
        <v>88184594</v>
      </c>
    </row>
    <row r="45" spans="1:6" ht="15.75" customHeight="1">
      <c r="A45" s="10">
        <f ca="1">IFERROR(__xludf.DUMMYFUNCTION("""COMPUTED_VALUE"""),43887.6458333333)</f>
        <v>43887.645833333299</v>
      </c>
      <c r="B45" s="1">
        <f ca="1">IFERROR(__xludf.DUMMYFUNCTION("""COMPUTED_VALUE"""),34.9)</f>
        <v>34.9</v>
      </c>
      <c r="C45" s="1">
        <f ca="1">IFERROR(__xludf.DUMMYFUNCTION("""COMPUTED_VALUE"""),37.05)</f>
        <v>37.049999999999997</v>
      </c>
      <c r="D45" s="1">
        <f ca="1">IFERROR(__xludf.DUMMYFUNCTION("""COMPUTED_VALUE"""),34.45)</f>
        <v>34.450000000000003</v>
      </c>
      <c r="E45" s="1">
        <f ca="1">IFERROR(__xludf.DUMMYFUNCTION("""COMPUTED_VALUE"""),36.55)</f>
        <v>36.549999999999997</v>
      </c>
      <c r="F45" s="1">
        <f ca="1">IFERROR(__xludf.DUMMYFUNCTION("""COMPUTED_VALUE"""),149229469)</f>
        <v>149229469</v>
      </c>
    </row>
    <row r="46" spans="1:6" ht="15.75" customHeight="1">
      <c r="A46" s="10">
        <f ca="1">IFERROR(__xludf.DUMMYFUNCTION("""COMPUTED_VALUE"""),43888.6458333333)</f>
        <v>43888.645833333299</v>
      </c>
      <c r="B46" s="1">
        <f ca="1">IFERROR(__xludf.DUMMYFUNCTION("""COMPUTED_VALUE"""),37.3)</f>
        <v>37.299999999999997</v>
      </c>
      <c r="C46" s="1">
        <f ca="1">IFERROR(__xludf.DUMMYFUNCTION("""COMPUTED_VALUE"""),37.95)</f>
        <v>37.950000000000003</v>
      </c>
      <c r="D46" s="1">
        <f ca="1">IFERROR(__xludf.DUMMYFUNCTION("""COMPUTED_VALUE"""),36)</f>
        <v>36</v>
      </c>
      <c r="E46" s="1">
        <f ca="1">IFERROR(__xludf.DUMMYFUNCTION("""COMPUTED_VALUE"""),36.8)</f>
        <v>36.799999999999997</v>
      </c>
      <c r="F46" s="1">
        <f ca="1">IFERROR(__xludf.DUMMYFUNCTION("""COMPUTED_VALUE"""),164315370)</f>
        <v>164315370</v>
      </c>
    </row>
    <row r="47" spans="1:6" ht="15.75" customHeight="1">
      <c r="A47" s="10">
        <f ca="1">IFERROR(__xludf.DUMMYFUNCTION("""COMPUTED_VALUE"""),43889.6458333333)</f>
        <v>43889.645833333299</v>
      </c>
      <c r="B47" s="1">
        <f ca="1">IFERROR(__xludf.DUMMYFUNCTION("""COMPUTED_VALUE"""),35.15)</f>
        <v>35.15</v>
      </c>
      <c r="C47" s="1">
        <f ca="1">IFERROR(__xludf.DUMMYFUNCTION("""COMPUTED_VALUE"""),35.85)</f>
        <v>35.85</v>
      </c>
      <c r="D47" s="1">
        <f ca="1">IFERROR(__xludf.DUMMYFUNCTION("""COMPUTED_VALUE"""),34.3)</f>
        <v>34.299999999999997</v>
      </c>
      <c r="E47" s="1">
        <f ca="1">IFERROR(__xludf.DUMMYFUNCTION("""COMPUTED_VALUE"""),34.6)</f>
        <v>34.6</v>
      </c>
      <c r="F47" s="1">
        <f ca="1">IFERROR(__xludf.DUMMYFUNCTION("""COMPUTED_VALUE"""),141720001)</f>
        <v>141720001</v>
      </c>
    </row>
    <row r="48" spans="1:6" ht="15.75" customHeight="1">
      <c r="A48" s="10">
        <f ca="1">IFERROR(__xludf.DUMMYFUNCTION("""COMPUTED_VALUE"""),43892.6458333333)</f>
        <v>43892.645833333299</v>
      </c>
      <c r="B48" s="1">
        <f ca="1">IFERROR(__xludf.DUMMYFUNCTION("""COMPUTED_VALUE"""),35.2)</f>
        <v>35.200000000000003</v>
      </c>
      <c r="C48" s="1">
        <f ca="1">IFERROR(__xludf.DUMMYFUNCTION("""COMPUTED_VALUE"""),35.55)</f>
        <v>35.549999999999997</v>
      </c>
      <c r="D48" s="1">
        <f ca="1">IFERROR(__xludf.DUMMYFUNCTION("""COMPUTED_VALUE"""),29.8)</f>
        <v>29.8</v>
      </c>
      <c r="E48" s="1">
        <f ca="1">IFERROR(__xludf.DUMMYFUNCTION("""COMPUTED_VALUE"""),31.55)</f>
        <v>31.55</v>
      </c>
      <c r="F48" s="1">
        <f ca="1">IFERROR(__xludf.DUMMYFUNCTION("""COMPUTED_VALUE"""),127750922)</f>
        <v>127750922</v>
      </c>
    </row>
    <row r="49" spans="1:6" ht="15.75" customHeight="1">
      <c r="A49" s="10">
        <f ca="1">IFERROR(__xludf.DUMMYFUNCTION("""COMPUTED_VALUE"""),43893.6458333333)</f>
        <v>43893.645833333299</v>
      </c>
      <c r="B49" s="1">
        <f ca="1">IFERROR(__xludf.DUMMYFUNCTION("""COMPUTED_VALUE"""),32.45)</f>
        <v>32.450000000000003</v>
      </c>
      <c r="C49" s="1">
        <f ca="1">IFERROR(__xludf.DUMMYFUNCTION("""COMPUTED_VALUE"""),33.3)</f>
        <v>33.299999999999997</v>
      </c>
      <c r="D49" s="1">
        <f ca="1">IFERROR(__xludf.DUMMYFUNCTION("""COMPUTED_VALUE"""),30.5)</f>
        <v>30.5</v>
      </c>
      <c r="E49" s="1">
        <f ca="1">IFERROR(__xludf.DUMMYFUNCTION("""COMPUTED_VALUE"""),31.2)</f>
        <v>31.2</v>
      </c>
      <c r="F49" s="1">
        <f ca="1">IFERROR(__xludf.DUMMYFUNCTION("""COMPUTED_VALUE"""),164268356)</f>
        <v>164268356</v>
      </c>
    </row>
    <row r="50" spans="1:6" ht="15.75" customHeight="1">
      <c r="A50" s="10">
        <f ca="1">IFERROR(__xludf.DUMMYFUNCTION("""COMPUTED_VALUE"""),43894.6458333333)</f>
        <v>43894.645833333299</v>
      </c>
      <c r="B50" s="1">
        <f ca="1">IFERROR(__xludf.DUMMYFUNCTION("""COMPUTED_VALUE"""),31.5)</f>
        <v>31.5</v>
      </c>
      <c r="C50" s="1">
        <f ca="1">IFERROR(__xludf.DUMMYFUNCTION("""COMPUTED_VALUE"""),31.7)</f>
        <v>31.7</v>
      </c>
      <c r="D50" s="1">
        <f ca="1">IFERROR(__xludf.DUMMYFUNCTION("""COMPUTED_VALUE"""),28.7)</f>
        <v>28.7</v>
      </c>
      <c r="E50" s="1">
        <f ca="1">IFERROR(__xludf.DUMMYFUNCTION("""COMPUTED_VALUE"""),29.3)</f>
        <v>29.3</v>
      </c>
      <c r="F50" s="1">
        <f ca="1">IFERROR(__xludf.DUMMYFUNCTION("""COMPUTED_VALUE"""),202851281)</f>
        <v>202851281</v>
      </c>
    </row>
    <row r="51" spans="1:6" ht="15.75" customHeight="1">
      <c r="A51" s="10">
        <f ca="1">IFERROR(__xludf.DUMMYFUNCTION("""COMPUTED_VALUE"""),43895.6458333333)</f>
        <v>43895.645833333299</v>
      </c>
      <c r="B51" s="1">
        <f ca="1">IFERROR(__xludf.DUMMYFUNCTION("""COMPUTED_VALUE"""),29.4)</f>
        <v>29.4</v>
      </c>
      <c r="C51" s="1">
        <f ca="1">IFERROR(__xludf.DUMMYFUNCTION("""COMPUTED_VALUE"""),37.85)</f>
        <v>37.85</v>
      </c>
      <c r="D51" s="1">
        <f ca="1">IFERROR(__xludf.DUMMYFUNCTION("""COMPUTED_VALUE"""),28)</f>
        <v>28</v>
      </c>
      <c r="E51" s="1">
        <f ca="1">IFERROR(__xludf.DUMMYFUNCTION("""COMPUTED_VALUE"""),36.8)</f>
        <v>36.799999999999997</v>
      </c>
      <c r="F51" s="1">
        <f ca="1">IFERROR(__xludf.DUMMYFUNCTION("""COMPUTED_VALUE"""),784703310)</f>
        <v>784703310</v>
      </c>
    </row>
    <row r="52" spans="1:6" ht="15.75" customHeight="1">
      <c r="A52" s="10">
        <f ca="1">IFERROR(__xludf.DUMMYFUNCTION("""COMPUTED_VALUE"""),43896.6458333333)</f>
        <v>43896.645833333299</v>
      </c>
      <c r="B52" s="1">
        <f ca="1">IFERROR(__xludf.DUMMYFUNCTION("""COMPUTED_VALUE"""),33.15)</f>
        <v>33.15</v>
      </c>
      <c r="C52" s="1">
        <f ca="1">IFERROR(__xludf.DUMMYFUNCTION("""COMPUTED_VALUE"""),33.15)</f>
        <v>33.15</v>
      </c>
      <c r="D52" s="1">
        <f ca="1">IFERROR(__xludf.DUMMYFUNCTION("""COMPUTED_VALUE"""),5.65)</f>
        <v>5.65</v>
      </c>
      <c r="E52" s="1">
        <f ca="1">IFERROR(__xludf.DUMMYFUNCTION("""COMPUTED_VALUE"""),16.15)</f>
        <v>16.149999999999999</v>
      </c>
      <c r="F52" s="1">
        <f ca="1">IFERROR(__xludf.DUMMYFUNCTION("""COMPUTED_VALUE"""),191175895)</f>
        <v>191175895</v>
      </c>
    </row>
    <row r="53" spans="1:6" ht="15.75" customHeight="1">
      <c r="A53" s="10">
        <f ca="1">IFERROR(__xludf.DUMMYFUNCTION("""COMPUTED_VALUE"""),43899.6458333333)</f>
        <v>43899.645833333299</v>
      </c>
      <c r="B53" s="1">
        <f ca="1">IFERROR(__xludf.DUMMYFUNCTION("""COMPUTED_VALUE"""),17)</f>
        <v>17</v>
      </c>
      <c r="C53" s="1">
        <f ca="1">IFERROR(__xludf.DUMMYFUNCTION("""COMPUTED_VALUE"""),22.8)</f>
        <v>22.8</v>
      </c>
      <c r="D53" s="1">
        <f ca="1">IFERROR(__xludf.DUMMYFUNCTION("""COMPUTED_VALUE"""),16.2)</f>
        <v>16.2</v>
      </c>
      <c r="E53" s="1">
        <f ca="1">IFERROR(__xludf.DUMMYFUNCTION("""COMPUTED_VALUE"""),21.25)</f>
        <v>21.25</v>
      </c>
      <c r="F53" s="1">
        <f ca="1">IFERROR(__xludf.DUMMYFUNCTION("""COMPUTED_VALUE"""),727571816)</f>
        <v>727571816</v>
      </c>
    </row>
    <row r="54" spans="1:6" ht="15.75" customHeight="1">
      <c r="A54" s="10">
        <f ca="1">IFERROR(__xludf.DUMMYFUNCTION("""COMPUTED_VALUE"""),43901.6458333333)</f>
        <v>43901.645833333299</v>
      </c>
      <c r="B54" s="1">
        <f ca="1">IFERROR(__xludf.DUMMYFUNCTION("""COMPUTED_VALUE"""),23.35)</f>
        <v>23.35</v>
      </c>
      <c r="C54" s="1">
        <f ca="1">IFERROR(__xludf.DUMMYFUNCTION("""COMPUTED_VALUE"""),29.6)</f>
        <v>29.6</v>
      </c>
      <c r="D54" s="1">
        <f ca="1">IFERROR(__xludf.DUMMYFUNCTION("""COMPUTED_VALUE"""),23.35)</f>
        <v>23.35</v>
      </c>
      <c r="E54" s="1">
        <f ca="1">IFERROR(__xludf.DUMMYFUNCTION("""COMPUTED_VALUE"""),28.8)</f>
        <v>28.8</v>
      </c>
      <c r="F54" s="1">
        <f ca="1">IFERROR(__xludf.DUMMYFUNCTION("""COMPUTED_VALUE"""),413676527)</f>
        <v>413676527</v>
      </c>
    </row>
    <row r="55" spans="1:6" ht="15.75" customHeight="1">
      <c r="A55" s="10">
        <f ca="1">IFERROR(__xludf.DUMMYFUNCTION("""COMPUTED_VALUE"""),43902.6458333333)</f>
        <v>43902.645833333299</v>
      </c>
      <c r="B55" s="1">
        <f ca="1">IFERROR(__xludf.DUMMYFUNCTION("""COMPUTED_VALUE"""),28.7)</f>
        <v>28.7</v>
      </c>
      <c r="C55" s="1">
        <f ca="1">IFERROR(__xludf.DUMMYFUNCTION("""COMPUTED_VALUE"""),28.7)</f>
        <v>28.7</v>
      </c>
      <c r="D55" s="1">
        <f ca="1">IFERROR(__xludf.DUMMYFUNCTION("""COMPUTED_VALUE"""),17.45)</f>
        <v>17.45</v>
      </c>
      <c r="E55" s="1">
        <f ca="1">IFERROR(__xludf.DUMMYFUNCTION("""COMPUTED_VALUE"""),25.05)</f>
        <v>25.05</v>
      </c>
      <c r="F55" s="1">
        <f ca="1">IFERROR(__xludf.DUMMYFUNCTION("""COMPUTED_VALUE"""),337812521)</f>
        <v>337812521</v>
      </c>
    </row>
    <row r="56" spans="1:6" ht="15.75" customHeight="1">
      <c r="A56" s="10">
        <f ca="1">IFERROR(__xludf.DUMMYFUNCTION("""COMPUTED_VALUE"""),43903.6458333333)</f>
        <v>43903.645833333299</v>
      </c>
      <c r="B56" s="1">
        <f ca="1">IFERROR(__xludf.DUMMYFUNCTION("""COMPUTED_VALUE"""),22.55)</f>
        <v>22.55</v>
      </c>
      <c r="C56" s="1">
        <f ca="1">IFERROR(__xludf.DUMMYFUNCTION("""COMPUTED_VALUE"""),27.7)</f>
        <v>27.7</v>
      </c>
      <c r="D56" s="1">
        <f ca="1">IFERROR(__xludf.DUMMYFUNCTION("""COMPUTED_VALUE"""),21.35)</f>
        <v>21.35</v>
      </c>
      <c r="E56" s="1">
        <f ca="1">IFERROR(__xludf.DUMMYFUNCTION("""COMPUTED_VALUE"""),25.55)</f>
        <v>25.55</v>
      </c>
      <c r="F56" s="1">
        <f ca="1">IFERROR(__xludf.DUMMYFUNCTION("""COMPUTED_VALUE"""),276663954)</f>
        <v>276663954</v>
      </c>
    </row>
    <row r="57" spans="1:6" ht="15.75" customHeight="1">
      <c r="A57" s="10">
        <f ca="1">IFERROR(__xludf.DUMMYFUNCTION("""COMPUTED_VALUE"""),43906.6458333333)</f>
        <v>43906.645833333299</v>
      </c>
      <c r="B57" s="1">
        <f ca="1">IFERROR(__xludf.DUMMYFUNCTION("""COMPUTED_VALUE"""),26.7)</f>
        <v>26.7</v>
      </c>
      <c r="C57" s="1">
        <f ca="1">IFERROR(__xludf.DUMMYFUNCTION("""COMPUTED_VALUE"""),40.4)</f>
        <v>40.4</v>
      </c>
      <c r="D57" s="1">
        <f ca="1">IFERROR(__xludf.DUMMYFUNCTION("""COMPUTED_VALUE"""),26.05)</f>
        <v>26.05</v>
      </c>
      <c r="E57" s="1">
        <f ca="1">IFERROR(__xludf.DUMMYFUNCTION("""COMPUTED_VALUE"""),37.1)</f>
        <v>37.1</v>
      </c>
      <c r="F57" s="1">
        <f ca="1">IFERROR(__xludf.DUMMYFUNCTION("""COMPUTED_VALUE"""),166521851)</f>
        <v>166521851</v>
      </c>
    </row>
    <row r="58" spans="1:6" ht="15.75" customHeight="1">
      <c r="A58" s="10">
        <f ca="1">IFERROR(__xludf.DUMMYFUNCTION("""COMPUTED_VALUE"""),43907.6458333333)</f>
        <v>43907.645833333299</v>
      </c>
      <c r="B58" s="1">
        <f ca="1">IFERROR(__xludf.DUMMYFUNCTION("""COMPUTED_VALUE"""),40.8)</f>
        <v>40.799999999999997</v>
      </c>
      <c r="C58" s="1">
        <f ca="1">IFERROR(__xludf.DUMMYFUNCTION("""COMPUTED_VALUE"""),64.9)</f>
        <v>64.900000000000006</v>
      </c>
      <c r="D58" s="1">
        <f ca="1">IFERROR(__xludf.DUMMYFUNCTION("""COMPUTED_VALUE"""),40.8)</f>
        <v>40.799999999999997</v>
      </c>
      <c r="E58" s="1">
        <f ca="1">IFERROR(__xludf.DUMMYFUNCTION("""COMPUTED_VALUE"""),58.65)</f>
        <v>58.65</v>
      </c>
      <c r="F58" s="1">
        <f ca="1">IFERROR(__xludf.DUMMYFUNCTION("""COMPUTED_VALUE"""),223463025)</f>
        <v>223463025</v>
      </c>
    </row>
    <row r="59" spans="1:6" ht="15.75" customHeight="1">
      <c r="A59" s="10">
        <f ca="1">IFERROR(__xludf.DUMMYFUNCTION("""COMPUTED_VALUE"""),43908.6458333333)</f>
        <v>43908.645833333299</v>
      </c>
      <c r="B59" s="1">
        <f ca="1">IFERROR(__xludf.DUMMYFUNCTION("""COMPUTED_VALUE"""),64.5)</f>
        <v>64.5</v>
      </c>
      <c r="C59" s="1">
        <f ca="1">IFERROR(__xludf.DUMMYFUNCTION("""COMPUTED_VALUE"""),87.3)</f>
        <v>87.3</v>
      </c>
      <c r="D59" s="1">
        <f ca="1">IFERROR(__xludf.DUMMYFUNCTION("""COMPUTED_VALUE"""),49.9)</f>
        <v>49.9</v>
      </c>
      <c r="E59" s="1">
        <f ca="1">IFERROR(__xludf.DUMMYFUNCTION("""COMPUTED_VALUE"""),60.45)</f>
        <v>60.45</v>
      </c>
      <c r="F59" s="1">
        <f ca="1">IFERROR(__xludf.DUMMYFUNCTION("""COMPUTED_VALUE"""),364152383)</f>
        <v>364152383</v>
      </c>
    </row>
    <row r="60" spans="1:6" ht="15.75" customHeight="1">
      <c r="A60" s="10">
        <f ca="1">IFERROR(__xludf.DUMMYFUNCTION("""COMPUTED_VALUE"""),43909.6458333333)</f>
        <v>43909.645833333299</v>
      </c>
      <c r="B60" s="1">
        <f ca="1">IFERROR(__xludf.DUMMYFUNCTION("""COMPUTED_VALUE"""),61.65)</f>
        <v>61.65</v>
      </c>
      <c r="C60" s="1">
        <f ca="1">IFERROR(__xludf.DUMMYFUNCTION("""COMPUTED_VALUE"""),61.8)</f>
        <v>61.8</v>
      </c>
      <c r="D60" s="1">
        <f ca="1">IFERROR(__xludf.DUMMYFUNCTION("""COMPUTED_VALUE"""),42.8)</f>
        <v>42.8</v>
      </c>
      <c r="E60" s="1">
        <f ca="1">IFERROR(__xludf.DUMMYFUNCTION("""COMPUTED_VALUE"""),53.85)</f>
        <v>53.85</v>
      </c>
      <c r="F60" s="1">
        <f ca="1">IFERROR(__xludf.DUMMYFUNCTION("""COMPUTED_VALUE"""),147327988)</f>
        <v>147327988</v>
      </c>
    </row>
    <row r="61" spans="1:6" ht="15.75" customHeight="1">
      <c r="A61" s="10">
        <f ca="1">IFERROR(__xludf.DUMMYFUNCTION("""COMPUTED_VALUE"""),43910.6458333333)</f>
        <v>43910.645833333299</v>
      </c>
      <c r="B61" s="1">
        <f ca="1">IFERROR(__xludf.DUMMYFUNCTION("""COMPUTED_VALUE"""),59.2)</f>
        <v>59.2</v>
      </c>
      <c r="C61" s="1">
        <f ca="1">IFERROR(__xludf.DUMMYFUNCTION("""COMPUTED_VALUE"""),67.3)</f>
        <v>67.3</v>
      </c>
      <c r="D61" s="1">
        <f ca="1">IFERROR(__xludf.DUMMYFUNCTION("""COMPUTED_VALUE"""),41.25)</f>
        <v>41.25</v>
      </c>
      <c r="E61" s="1">
        <f ca="1">IFERROR(__xludf.DUMMYFUNCTION("""COMPUTED_VALUE"""),45.85)</f>
        <v>45.85</v>
      </c>
      <c r="F61" s="1">
        <f ca="1">IFERROR(__xludf.DUMMYFUNCTION("""COMPUTED_VALUE"""),118192981)</f>
        <v>118192981</v>
      </c>
    </row>
    <row r="62" spans="1:6" ht="15.75" customHeight="1">
      <c r="A62" s="10">
        <f ca="1">IFERROR(__xludf.DUMMYFUNCTION("""COMPUTED_VALUE"""),43913.6458333333)</f>
        <v>43913.645833333299</v>
      </c>
      <c r="B62" s="1">
        <f ca="1">IFERROR(__xludf.DUMMYFUNCTION("""COMPUTED_VALUE"""),41.3)</f>
        <v>41.3</v>
      </c>
      <c r="C62" s="1">
        <f ca="1">IFERROR(__xludf.DUMMYFUNCTION("""COMPUTED_VALUE"""),49.5)</f>
        <v>49.5</v>
      </c>
      <c r="D62" s="1">
        <f ca="1">IFERROR(__xludf.DUMMYFUNCTION("""COMPUTED_VALUE"""),39.25)</f>
        <v>39.25</v>
      </c>
      <c r="E62" s="1">
        <f ca="1">IFERROR(__xludf.DUMMYFUNCTION("""COMPUTED_VALUE"""),39.75)</f>
        <v>39.75</v>
      </c>
      <c r="F62" s="1">
        <f ca="1">IFERROR(__xludf.DUMMYFUNCTION("""COMPUTED_VALUE"""),93894255)</f>
        <v>93894255</v>
      </c>
    </row>
    <row r="63" spans="1:6" ht="15.75" customHeight="1">
      <c r="A63" s="10">
        <f ca="1">IFERROR(__xludf.DUMMYFUNCTION("""COMPUTED_VALUE"""),43914.6458333333)</f>
        <v>43914.645833333299</v>
      </c>
      <c r="B63" s="1">
        <f ca="1">IFERROR(__xludf.DUMMYFUNCTION("""COMPUTED_VALUE"""),43.65)</f>
        <v>43.65</v>
      </c>
      <c r="C63" s="1">
        <f ca="1">IFERROR(__xludf.DUMMYFUNCTION("""COMPUTED_VALUE"""),43.7)</f>
        <v>43.7</v>
      </c>
      <c r="D63" s="1">
        <f ca="1">IFERROR(__xludf.DUMMYFUNCTION("""COMPUTED_VALUE"""),34.55)</f>
        <v>34.549999999999997</v>
      </c>
      <c r="E63" s="1">
        <f ca="1">IFERROR(__xludf.DUMMYFUNCTION("""COMPUTED_VALUE"""),35)</f>
        <v>35</v>
      </c>
      <c r="F63" s="1">
        <f ca="1">IFERROR(__xludf.DUMMYFUNCTION("""COMPUTED_VALUE"""),79664287)</f>
        <v>79664287</v>
      </c>
    </row>
    <row r="64" spans="1:6" ht="15.75" customHeight="1">
      <c r="A64" s="10">
        <f ca="1">IFERROR(__xludf.DUMMYFUNCTION("""COMPUTED_VALUE"""),43915.6458333333)</f>
        <v>43915.645833333299</v>
      </c>
      <c r="B64" s="1">
        <f ca="1">IFERROR(__xludf.DUMMYFUNCTION("""COMPUTED_VALUE"""),35.3)</f>
        <v>35.299999999999997</v>
      </c>
      <c r="C64" s="1">
        <f ca="1">IFERROR(__xludf.DUMMYFUNCTION("""COMPUTED_VALUE"""),35.5)</f>
        <v>35.5</v>
      </c>
      <c r="D64" s="1">
        <f ca="1">IFERROR(__xludf.DUMMYFUNCTION("""COMPUTED_VALUE"""),28.5)</f>
        <v>28.5</v>
      </c>
      <c r="E64" s="1">
        <f ca="1">IFERROR(__xludf.DUMMYFUNCTION("""COMPUTED_VALUE"""),29.6)</f>
        <v>29.6</v>
      </c>
      <c r="F64" s="1">
        <f ca="1">IFERROR(__xludf.DUMMYFUNCTION("""COMPUTED_VALUE"""),95160537)</f>
        <v>95160537</v>
      </c>
    </row>
    <row r="65" spans="1:6" ht="15.75" customHeight="1">
      <c r="A65" s="10">
        <f ca="1">IFERROR(__xludf.DUMMYFUNCTION("""COMPUTED_VALUE"""),43916.6458333333)</f>
        <v>43916.645833333299</v>
      </c>
      <c r="B65" s="1">
        <f ca="1">IFERROR(__xludf.DUMMYFUNCTION("""COMPUTED_VALUE"""),29.35)</f>
        <v>29.35</v>
      </c>
      <c r="C65" s="1">
        <f ca="1">IFERROR(__xludf.DUMMYFUNCTION("""COMPUTED_VALUE"""),31)</f>
        <v>31</v>
      </c>
      <c r="D65" s="1">
        <f ca="1">IFERROR(__xludf.DUMMYFUNCTION("""COMPUTED_VALUE"""),25.2)</f>
        <v>25.2</v>
      </c>
      <c r="E65" s="1">
        <f ca="1">IFERROR(__xludf.DUMMYFUNCTION("""COMPUTED_VALUE"""),26.6)</f>
        <v>26.6</v>
      </c>
      <c r="F65" s="1">
        <f ca="1">IFERROR(__xludf.DUMMYFUNCTION("""COMPUTED_VALUE"""),119575530)</f>
        <v>119575530</v>
      </c>
    </row>
    <row r="66" spans="1:6" ht="15.75" customHeight="1">
      <c r="A66" s="10">
        <f ca="1">IFERROR(__xludf.DUMMYFUNCTION("""COMPUTED_VALUE"""),43917.6458333333)</f>
        <v>43917.645833333299</v>
      </c>
      <c r="B66" s="1">
        <f ca="1">IFERROR(__xludf.DUMMYFUNCTION("""COMPUTED_VALUE"""),29.05)</f>
        <v>29.05</v>
      </c>
      <c r="C66" s="1">
        <f ca="1">IFERROR(__xludf.DUMMYFUNCTION("""COMPUTED_VALUE"""),33.25)</f>
        <v>33.25</v>
      </c>
      <c r="D66" s="1">
        <f ca="1">IFERROR(__xludf.DUMMYFUNCTION("""COMPUTED_VALUE"""),26)</f>
        <v>26</v>
      </c>
      <c r="E66" s="1">
        <f ca="1">IFERROR(__xludf.DUMMYFUNCTION("""COMPUTED_VALUE"""),26.35)</f>
        <v>26.35</v>
      </c>
      <c r="F66" s="1">
        <f ca="1">IFERROR(__xludf.DUMMYFUNCTION("""COMPUTED_VALUE"""),118572207)</f>
        <v>118572207</v>
      </c>
    </row>
    <row r="67" spans="1:6" ht="15.75" customHeight="1">
      <c r="A67" s="10">
        <f ca="1">IFERROR(__xludf.DUMMYFUNCTION("""COMPUTED_VALUE"""),43920.6458333333)</f>
        <v>43920.645833333299</v>
      </c>
      <c r="B67" s="1">
        <f ca="1">IFERROR(__xludf.DUMMYFUNCTION("""COMPUTED_VALUE"""),27.65)</f>
        <v>27.65</v>
      </c>
      <c r="C67" s="1">
        <f ca="1">IFERROR(__xludf.DUMMYFUNCTION("""COMPUTED_VALUE"""),27.7)</f>
        <v>27.7</v>
      </c>
      <c r="D67" s="1">
        <f ca="1">IFERROR(__xludf.DUMMYFUNCTION("""COMPUTED_VALUE"""),24.55)</f>
        <v>24.55</v>
      </c>
      <c r="E67" s="1">
        <f ca="1">IFERROR(__xludf.DUMMYFUNCTION("""COMPUTED_VALUE"""),24.9)</f>
        <v>24.9</v>
      </c>
      <c r="F67" s="1">
        <f ca="1">IFERROR(__xludf.DUMMYFUNCTION("""COMPUTED_VALUE"""),54983098)</f>
        <v>54983098</v>
      </c>
    </row>
    <row r="68" spans="1:6" ht="15.75" customHeight="1">
      <c r="A68" s="10">
        <f ca="1">IFERROR(__xludf.DUMMYFUNCTION("""COMPUTED_VALUE"""),43921.6458333333)</f>
        <v>43921.645833333299</v>
      </c>
      <c r="B68" s="1">
        <f ca="1">IFERROR(__xludf.DUMMYFUNCTION("""COMPUTED_VALUE"""),25.55)</f>
        <v>25.55</v>
      </c>
      <c r="C68" s="1">
        <f ca="1">IFERROR(__xludf.DUMMYFUNCTION("""COMPUTED_VALUE"""),25.55)</f>
        <v>25.55</v>
      </c>
      <c r="D68" s="1">
        <f ca="1">IFERROR(__xludf.DUMMYFUNCTION("""COMPUTED_VALUE"""),22.05)</f>
        <v>22.05</v>
      </c>
      <c r="E68" s="1">
        <f ca="1">IFERROR(__xludf.DUMMYFUNCTION("""COMPUTED_VALUE"""),22.45)</f>
        <v>22.45</v>
      </c>
      <c r="F68" s="1">
        <f ca="1">IFERROR(__xludf.DUMMYFUNCTION("""COMPUTED_VALUE"""),75272601)</f>
        <v>75272601</v>
      </c>
    </row>
    <row r="69" spans="1:6" ht="15.75" customHeight="1">
      <c r="A69" s="10">
        <f ca="1">IFERROR(__xludf.DUMMYFUNCTION("""COMPUTED_VALUE"""),43922.6458333333)</f>
        <v>43922.645833333299</v>
      </c>
      <c r="B69" s="1">
        <f ca="1">IFERROR(__xludf.DUMMYFUNCTION("""COMPUTED_VALUE"""),22)</f>
        <v>22</v>
      </c>
      <c r="C69" s="1">
        <f ca="1">IFERROR(__xludf.DUMMYFUNCTION("""COMPUTED_VALUE"""),24.65)</f>
        <v>24.65</v>
      </c>
      <c r="D69" s="1">
        <f ca="1">IFERROR(__xludf.DUMMYFUNCTION("""COMPUTED_VALUE"""),20.25)</f>
        <v>20.25</v>
      </c>
      <c r="E69" s="1">
        <f ca="1">IFERROR(__xludf.DUMMYFUNCTION("""COMPUTED_VALUE"""),23.95)</f>
        <v>23.95</v>
      </c>
      <c r="F69" s="1">
        <f ca="1">IFERROR(__xludf.DUMMYFUNCTION("""COMPUTED_VALUE"""),90387201)</f>
        <v>90387201</v>
      </c>
    </row>
    <row r="70" spans="1:6" ht="15.75" customHeight="1">
      <c r="A70" s="10">
        <f ca="1">IFERROR(__xludf.DUMMYFUNCTION("""COMPUTED_VALUE"""),43924.6458333333)</f>
        <v>43924.645833333299</v>
      </c>
      <c r="B70" s="1">
        <f ca="1">IFERROR(__xludf.DUMMYFUNCTION("""COMPUTED_VALUE"""),24.5)</f>
        <v>24.5</v>
      </c>
      <c r="C70" s="1">
        <f ca="1">IFERROR(__xludf.DUMMYFUNCTION("""COMPUTED_VALUE"""),24.95)</f>
        <v>24.95</v>
      </c>
      <c r="D70" s="1">
        <f ca="1">IFERROR(__xludf.DUMMYFUNCTION("""COMPUTED_VALUE"""),22.8)</f>
        <v>22.8</v>
      </c>
      <c r="E70" s="1">
        <f ca="1">IFERROR(__xludf.DUMMYFUNCTION("""COMPUTED_VALUE"""),24.1)</f>
        <v>24.1</v>
      </c>
      <c r="F70" s="1">
        <f ca="1">IFERROR(__xludf.DUMMYFUNCTION("""COMPUTED_VALUE"""),45326980)</f>
        <v>45326980</v>
      </c>
    </row>
    <row r="71" spans="1:6" ht="15.75" customHeight="1">
      <c r="A71" s="10">
        <f ca="1">IFERROR(__xludf.DUMMYFUNCTION("""COMPUTED_VALUE"""),43928.6458333333)</f>
        <v>43928.645833333299</v>
      </c>
      <c r="B71" s="1">
        <f ca="1">IFERROR(__xludf.DUMMYFUNCTION("""COMPUTED_VALUE"""),25.4)</f>
        <v>25.4</v>
      </c>
      <c r="C71" s="1">
        <f ca="1">IFERROR(__xludf.DUMMYFUNCTION("""COMPUTED_VALUE"""),25.4)</f>
        <v>25.4</v>
      </c>
      <c r="D71" s="1">
        <f ca="1">IFERROR(__xludf.DUMMYFUNCTION("""COMPUTED_VALUE"""),23.8)</f>
        <v>23.8</v>
      </c>
      <c r="E71" s="1">
        <f ca="1">IFERROR(__xludf.DUMMYFUNCTION("""COMPUTED_VALUE"""),24.55)</f>
        <v>24.55</v>
      </c>
      <c r="F71" s="1">
        <f ca="1">IFERROR(__xludf.DUMMYFUNCTION("""COMPUTED_VALUE"""),35071970)</f>
        <v>35071970</v>
      </c>
    </row>
    <row r="72" spans="1:6" ht="15.75" customHeight="1">
      <c r="A72" s="10">
        <f ca="1">IFERROR(__xludf.DUMMYFUNCTION("""COMPUTED_VALUE"""),43929.6458333333)</f>
        <v>43929.645833333299</v>
      </c>
      <c r="B72" s="1">
        <f ca="1">IFERROR(__xludf.DUMMYFUNCTION("""COMPUTED_VALUE"""),24.5)</f>
        <v>24.5</v>
      </c>
      <c r="C72" s="1">
        <f ca="1">IFERROR(__xludf.DUMMYFUNCTION("""COMPUTED_VALUE"""),25.5)</f>
        <v>25.5</v>
      </c>
      <c r="D72" s="1">
        <f ca="1">IFERROR(__xludf.DUMMYFUNCTION("""COMPUTED_VALUE"""),23.3)</f>
        <v>23.3</v>
      </c>
      <c r="E72" s="1">
        <f ca="1">IFERROR(__xludf.DUMMYFUNCTION("""COMPUTED_VALUE"""),24.75)</f>
        <v>24.75</v>
      </c>
      <c r="F72" s="1">
        <f ca="1">IFERROR(__xludf.DUMMYFUNCTION("""COMPUTED_VALUE"""),37250348)</f>
        <v>37250348</v>
      </c>
    </row>
    <row r="73" spans="1:6" ht="15.75" customHeight="1">
      <c r="A73" s="10">
        <f ca="1">IFERROR(__xludf.DUMMYFUNCTION("""COMPUTED_VALUE"""),43930.6458333333)</f>
        <v>43930.645833333299</v>
      </c>
      <c r="B73" s="1">
        <f ca="1">IFERROR(__xludf.DUMMYFUNCTION("""COMPUTED_VALUE"""),25)</f>
        <v>25</v>
      </c>
      <c r="C73" s="1">
        <f ca="1">IFERROR(__xludf.DUMMYFUNCTION("""COMPUTED_VALUE"""),25.3)</f>
        <v>25.3</v>
      </c>
      <c r="D73" s="1">
        <f ca="1">IFERROR(__xludf.DUMMYFUNCTION("""COMPUTED_VALUE"""),24.5)</f>
        <v>24.5</v>
      </c>
      <c r="E73" s="1">
        <f ca="1">IFERROR(__xludf.DUMMYFUNCTION("""COMPUTED_VALUE"""),24.9)</f>
        <v>24.9</v>
      </c>
      <c r="F73" s="1">
        <f ca="1">IFERROR(__xludf.DUMMYFUNCTION("""COMPUTED_VALUE"""),26334529)</f>
        <v>26334529</v>
      </c>
    </row>
    <row r="74" spans="1:6" ht="15.75" customHeight="1">
      <c r="A74" s="10">
        <f ca="1">IFERROR(__xludf.DUMMYFUNCTION("""COMPUTED_VALUE"""),43934.6458333333)</f>
        <v>43934.645833333299</v>
      </c>
      <c r="B74" s="1">
        <f ca="1">IFERROR(__xludf.DUMMYFUNCTION("""COMPUTED_VALUE"""),25)</f>
        <v>25</v>
      </c>
      <c r="C74" s="1">
        <f ca="1">IFERROR(__xludf.DUMMYFUNCTION("""COMPUTED_VALUE"""),25)</f>
        <v>25</v>
      </c>
      <c r="D74" s="1">
        <f ca="1">IFERROR(__xludf.DUMMYFUNCTION("""COMPUTED_VALUE"""),23.55)</f>
        <v>23.55</v>
      </c>
      <c r="E74" s="1">
        <f ca="1">IFERROR(__xludf.DUMMYFUNCTION("""COMPUTED_VALUE"""),24.1)</f>
        <v>24.1</v>
      </c>
      <c r="F74" s="1">
        <f ca="1">IFERROR(__xludf.DUMMYFUNCTION("""COMPUTED_VALUE"""),26107072)</f>
        <v>26107072</v>
      </c>
    </row>
    <row r="75" spans="1:6" ht="15.75" customHeight="1">
      <c r="A75" s="10">
        <f ca="1">IFERROR(__xludf.DUMMYFUNCTION("""COMPUTED_VALUE"""),43936.6458333333)</f>
        <v>43936.645833333299</v>
      </c>
      <c r="B75" s="1">
        <f ca="1">IFERROR(__xludf.DUMMYFUNCTION("""COMPUTED_VALUE"""),24.1)</f>
        <v>24.1</v>
      </c>
      <c r="C75" s="1">
        <f ca="1">IFERROR(__xludf.DUMMYFUNCTION("""COMPUTED_VALUE"""),25.95)</f>
        <v>25.95</v>
      </c>
      <c r="D75" s="1">
        <f ca="1">IFERROR(__xludf.DUMMYFUNCTION("""COMPUTED_VALUE"""),23.85)</f>
        <v>23.85</v>
      </c>
      <c r="E75" s="1">
        <f ca="1">IFERROR(__xludf.DUMMYFUNCTION("""COMPUTED_VALUE"""),24.5)</f>
        <v>24.5</v>
      </c>
      <c r="F75" s="1">
        <f ca="1">IFERROR(__xludf.DUMMYFUNCTION("""COMPUTED_VALUE"""),39619400)</f>
        <v>39619400</v>
      </c>
    </row>
    <row r="76" spans="1:6" ht="15.75" customHeight="1">
      <c r="A76" s="10">
        <f ca="1">IFERROR(__xludf.DUMMYFUNCTION("""COMPUTED_VALUE"""),43937.6458333333)</f>
        <v>43937.645833333299</v>
      </c>
      <c r="B76" s="1">
        <f ca="1">IFERROR(__xludf.DUMMYFUNCTION("""COMPUTED_VALUE"""),24.3)</f>
        <v>24.3</v>
      </c>
      <c r="C76" s="1">
        <f ca="1">IFERROR(__xludf.DUMMYFUNCTION("""COMPUTED_VALUE"""),24.95)</f>
        <v>24.95</v>
      </c>
      <c r="D76" s="1">
        <f ca="1">IFERROR(__xludf.DUMMYFUNCTION("""COMPUTED_VALUE"""),24.05)</f>
        <v>24.05</v>
      </c>
      <c r="E76" s="1">
        <f ca="1">IFERROR(__xludf.DUMMYFUNCTION("""COMPUTED_VALUE"""),24.6)</f>
        <v>24.6</v>
      </c>
      <c r="F76" s="1">
        <f ca="1">IFERROR(__xludf.DUMMYFUNCTION("""COMPUTED_VALUE"""),18765964)</f>
        <v>18765964</v>
      </c>
    </row>
    <row r="77" spans="1:6" ht="15.75" customHeight="1">
      <c r="A77" s="10">
        <f ca="1">IFERROR(__xludf.DUMMYFUNCTION("""COMPUTED_VALUE"""),43938.6458333333)</f>
        <v>43938.645833333299</v>
      </c>
      <c r="B77" s="1">
        <f ca="1">IFERROR(__xludf.DUMMYFUNCTION("""COMPUTED_VALUE"""),25.1)</f>
        <v>25.1</v>
      </c>
      <c r="C77" s="1">
        <f ca="1">IFERROR(__xludf.DUMMYFUNCTION("""COMPUTED_VALUE"""),25.5)</f>
        <v>25.5</v>
      </c>
      <c r="D77" s="1">
        <f ca="1">IFERROR(__xludf.DUMMYFUNCTION("""COMPUTED_VALUE"""),24.7)</f>
        <v>24.7</v>
      </c>
      <c r="E77" s="1">
        <f ca="1">IFERROR(__xludf.DUMMYFUNCTION("""COMPUTED_VALUE"""),25.1)</f>
        <v>25.1</v>
      </c>
      <c r="F77" s="1">
        <f ca="1">IFERROR(__xludf.DUMMYFUNCTION("""COMPUTED_VALUE"""),26605391)</f>
        <v>26605391</v>
      </c>
    </row>
    <row r="78" spans="1:6" ht="15.75" customHeight="1">
      <c r="A78" s="10">
        <f ca="1">IFERROR(__xludf.DUMMYFUNCTION("""COMPUTED_VALUE"""),43941.6458333333)</f>
        <v>43941.645833333299</v>
      </c>
      <c r="B78" s="1">
        <f ca="1">IFERROR(__xludf.DUMMYFUNCTION("""COMPUTED_VALUE"""),25.6)</f>
        <v>25.6</v>
      </c>
      <c r="C78" s="1">
        <f ca="1">IFERROR(__xludf.DUMMYFUNCTION("""COMPUTED_VALUE"""),30.1)</f>
        <v>30.1</v>
      </c>
      <c r="D78" s="1">
        <f ca="1">IFERROR(__xludf.DUMMYFUNCTION("""COMPUTED_VALUE"""),25.1)</f>
        <v>25.1</v>
      </c>
      <c r="E78" s="1">
        <f ca="1">IFERROR(__xludf.DUMMYFUNCTION("""COMPUTED_VALUE"""),29.45)</f>
        <v>29.45</v>
      </c>
      <c r="F78" s="1">
        <f ca="1">IFERROR(__xludf.DUMMYFUNCTION("""COMPUTED_VALUE"""),114977373)</f>
        <v>114977373</v>
      </c>
    </row>
    <row r="79" spans="1:6" ht="15.75" customHeight="1">
      <c r="A79" s="10">
        <f ca="1">IFERROR(__xludf.DUMMYFUNCTION("""COMPUTED_VALUE"""),43942.6458333333)</f>
        <v>43942.645833333299</v>
      </c>
      <c r="B79" s="1">
        <f ca="1">IFERROR(__xludf.DUMMYFUNCTION("""COMPUTED_VALUE"""),29.4)</f>
        <v>29.4</v>
      </c>
      <c r="C79" s="1">
        <f ca="1">IFERROR(__xludf.DUMMYFUNCTION("""COMPUTED_VALUE"""),30.45)</f>
        <v>30.45</v>
      </c>
      <c r="D79" s="1">
        <f ca="1">IFERROR(__xludf.DUMMYFUNCTION("""COMPUTED_VALUE"""),27.55)</f>
        <v>27.55</v>
      </c>
      <c r="E79" s="1">
        <f ca="1">IFERROR(__xludf.DUMMYFUNCTION("""COMPUTED_VALUE"""),29.65)</f>
        <v>29.65</v>
      </c>
      <c r="F79" s="1">
        <f ca="1">IFERROR(__xludf.DUMMYFUNCTION("""COMPUTED_VALUE"""),76224557)</f>
        <v>76224557</v>
      </c>
    </row>
    <row r="80" spans="1:6" ht="15.75" customHeight="1">
      <c r="A80" s="10">
        <f ca="1">IFERROR(__xludf.DUMMYFUNCTION("""COMPUTED_VALUE"""),43943.6458333333)</f>
        <v>43943.645833333299</v>
      </c>
      <c r="B80" s="1">
        <f ca="1">IFERROR(__xludf.DUMMYFUNCTION("""COMPUTED_VALUE"""),29)</f>
        <v>29</v>
      </c>
      <c r="C80" s="1">
        <f ca="1">IFERROR(__xludf.DUMMYFUNCTION("""COMPUTED_VALUE"""),30.3)</f>
        <v>30.3</v>
      </c>
      <c r="D80" s="1">
        <f ca="1">IFERROR(__xludf.DUMMYFUNCTION("""COMPUTED_VALUE"""),28.8)</f>
        <v>28.8</v>
      </c>
      <c r="E80" s="1">
        <f ca="1">IFERROR(__xludf.DUMMYFUNCTION("""COMPUTED_VALUE"""),29.6)</f>
        <v>29.6</v>
      </c>
      <c r="F80" s="1">
        <f ca="1">IFERROR(__xludf.DUMMYFUNCTION("""COMPUTED_VALUE"""),35026262)</f>
        <v>35026262</v>
      </c>
    </row>
    <row r="81" spans="1:6" ht="15.75" customHeight="1">
      <c r="A81" s="10">
        <f ca="1">IFERROR(__xludf.DUMMYFUNCTION("""COMPUTED_VALUE"""),43944.6458333333)</f>
        <v>43944.645833333299</v>
      </c>
      <c r="B81" s="1">
        <f ca="1">IFERROR(__xludf.DUMMYFUNCTION("""COMPUTED_VALUE"""),29.6)</f>
        <v>29.6</v>
      </c>
      <c r="C81" s="1">
        <f ca="1">IFERROR(__xludf.DUMMYFUNCTION("""COMPUTED_VALUE"""),29.9)</f>
        <v>29.9</v>
      </c>
      <c r="D81" s="1">
        <f ca="1">IFERROR(__xludf.DUMMYFUNCTION("""COMPUTED_VALUE"""),27.85)</f>
        <v>27.85</v>
      </c>
      <c r="E81" s="1">
        <f ca="1">IFERROR(__xludf.DUMMYFUNCTION("""COMPUTED_VALUE"""),28.3)</f>
        <v>28.3</v>
      </c>
      <c r="F81" s="1">
        <f ca="1">IFERROR(__xludf.DUMMYFUNCTION("""COMPUTED_VALUE"""),33488476)</f>
        <v>33488476</v>
      </c>
    </row>
    <row r="82" spans="1:6" ht="15.75" customHeight="1">
      <c r="A82" s="10">
        <f ca="1">IFERROR(__xludf.DUMMYFUNCTION("""COMPUTED_VALUE"""),43945.6458333333)</f>
        <v>43945.645833333299</v>
      </c>
      <c r="B82" s="1">
        <f ca="1">IFERROR(__xludf.DUMMYFUNCTION("""COMPUTED_VALUE"""),28.05)</f>
        <v>28.05</v>
      </c>
      <c r="C82" s="1">
        <f ca="1">IFERROR(__xludf.DUMMYFUNCTION("""COMPUTED_VALUE"""),28.15)</f>
        <v>28.15</v>
      </c>
      <c r="D82" s="1">
        <f ca="1">IFERROR(__xludf.DUMMYFUNCTION("""COMPUTED_VALUE"""),26.3)</f>
        <v>26.3</v>
      </c>
      <c r="E82" s="1">
        <f ca="1">IFERROR(__xludf.DUMMYFUNCTION("""COMPUTED_VALUE"""),26.6)</f>
        <v>26.6</v>
      </c>
      <c r="F82" s="1">
        <f ca="1">IFERROR(__xludf.DUMMYFUNCTION("""COMPUTED_VALUE"""),34135568)</f>
        <v>34135568</v>
      </c>
    </row>
    <row r="83" spans="1:6" ht="15.75" customHeight="1">
      <c r="A83" s="10">
        <f ca="1">IFERROR(__xludf.DUMMYFUNCTION("""COMPUTED_VALUE"""),43948.6458333333)</f>
        <v>43948.645833333299</v>
      </c>
      <c r="B83" s="1">
        <f ca="1">IFERROR(__xludf.DUMMYFUNCTION("""COMPUTED_VALUE"""),26.8)</f>
        <v>26.8</v>
      </c>
      <c r="C83" s="1">
        <f ca="1">IFERROR(__xludf.DUMMYFUNCTION("""COMPUTED_VALUE"""),27.7)</f>
        <v>27.7</v>
      </c>
      <c r="D83" s="1">
        <f ca="1">IFERROR(__xludf.DUMMYFUNCTION("""COMPUTED_VALUE"""),25.9)</f>
        <v>25.9</v>
      </c>
      <c r="E83" s="1">
        <f ca="1">IFERROR(__xludf.DUMMYFUNCTION("""COMPUTED_VALUE"""),27.05)</f>
        <v>27.05</v>
      </c>
      <c r="F83" s="1">
        <f ca="1">IFERROR(__xludf.DUMMYFUNCTION("""COMPUTED_VALUE"""),32510645)</f>
        <v>32510645</v>
      </c>
    </row>
    <row r="84" spans="1:6" ht="15.75" customHeight="1">
      <c r="A84" s="10">
        <f ca="1">IFERROR(__xludf.DUMMYFUNCTION("""COMPUTED_VALUE"""),43949.6458333333)</f>
        <v>43949.645833333299</v>
      </c>
      <c r="B84" s="1">
        <f ca="1">IFERROR(__xludf.DUMMYFUNCTION("""COMPUTED_VALUE"""),27.25)</f>
        <v>27.25</v>
      </c>
      <c r="C84" s="1">
        <f ca="1">IFERROR(__xludf.DUMMYFUNCTION("""COMPUTED_VALUE"""),27.8)</f>
        <v>27.8</v>
      </c>
      <c r="D84" s="1">
        <f ca="1">IFERROR(__xludf.DUMMYFUNCTION("""COMPUTED_VALUE"""),26.85)</f>
        <v>26.85</v>
      </c>
      <c r="E84" s="1">
        <f ca="1">IFERROR(__xludf.DUMMYFUNCTION("""COMPUTED_VALUE"""),27.25)</f>
        <v>27.25</v>
      </c>
      <c r="F84" s="1">
        <f ca="1">IFERROR(__xludf.DUMMYFUNCTION("""COMPUTED_VALUE"""),18704468)</f>
        <v>18704468</v>
      </c>
    </row>
    <row r="85" spans="1:6" ht="15.75" customHeight="1">
      <c r="A85" s="10">
        <f ca="1">IFERROR(__xludf.DUMMYFUNCTION("""COMPUTED_VALUE"""),43950.6458333333)</f>
        <v>43950.645833333299</v>
      </c>
      <c r="B85" s="1">
        <f ca="1">IFERROR(__xludf.DUMMYFUNCTION("""COMPUTED_VALUE"""),27)</f>
        <v>27</v>
      </c>
      <c r="C85" s="1">
        <f ca="1">IFERROR(__xludf.DUMMYFUNCTION("""COMPUTED_VALUE"""),29.35)</f>
        <v>29.35</v>
      </c>
      <c r="D85" s="1">
        <f ca="1">IFERROR(__xludf.DUMMYFUNCTION("""COMPUTED_VALUE"""),26.6)</f>
        <v>26.6</v>
      </c>
      <c r="E85" s="1">
        <f ca="1">IFERROR(__xludf.DUMMYFUNCTION("""COMPUTED_VALUE"""),28.05)</f>
        <v>28.05</v>
      </c>
      <c r="F85" s="1">
        <f ca="1">IFERROR(__xludf.DUMMYFUNCTION("""COMPUTED_VALUE"""),42492004)</f>
        <v>42492004</v>
      </c>
    </row>
    <row r="86" spans="1:6" ht="15.75" customHeight="1">
      <c r="A86" s="10">
        <f ca="1">IFERROR(__xludf.DUMMYFUNCTION("""COMPUTED_VALUE"""),43951.6458333333)</f>
        <v>43951.645833333299</v>
      </c>
      <c r="B86" s="1">
        <f ca="1">IFERROR(__xludf.DUMMYFUNCTION("""COMPUTED_VALUE"""),28.7)</f>
        <v>28.7</v>
      </c>
      <c r="C86" s="1">
        <f ca="1">IFERROR(__xludf.DUMMYFUNCTION("""COMPUTED_VALUE"""),28.95)</f>
        <v>28.95</v>
      </c>
      <c r="D86" s="1">
        <f ca="1">IFERROR(__xludf.DUMMYFUNCTION("""COMPUTED_VALUE"""),27.7)</f>
        <v>27.7</v>
      </c>
      <c r="E86" s="1">
        <f ca="1">IFERROR(__xludf.DUMMYFUNCTION("""COMPUTED_VALUE"""),27.9)</f>
        <v>27.9</v>
      </c>
      <c r="F86" s="1">
        <f ca="1">IFERROR(__xludf.DUMMYFUNCTION("""COMPUTED_VALUE"""),32094929)</f>
        <v>32094929</v>
      </c>
    </row>
    <row r="87" spans="1:6" ht="15.75" customHeight="1">
      <c r="A87" s="10">
        <f ca="1">IFERROR(__xludf.DUMMYFUNCTION("""COMPUTED_VALUE"""),43955.6458333333)</f>
        <v>43955.645833333299</v>
      </c>
      <c r="B87" s="1">
        <f ca="1">IFERROR(__xludf.DUMMYFUNCTION("""COMPUTED_VALUE"""),27.5)</f>
        <v>27.5</v>
      </c>
      <c r="C87" s="1">
        <f ca="1">IFERROR(__xludf.DUMMYFUNCTION("""COMPUTED_VALUE"""),27.65)</f>
        <v>27.65</v>
      </c>
      <c r="D87" s="1">
        <f ca="1">IFERROR(__xludf.DUMMYFUNCTION("""COMPUTED_VALUE"""),26.6)</f>
        <v>26.6</v>
      </c>
      <c r="E87" s="1">
        <f ca="1">IFERROR(__xludf.DUMMYFUNCTION("""COMPUTED_VALUE"""),27.05)</f>
        <v>27.05</v>
      </c>
      <c r="F87" s="1">
        <f ca="1">IFERROR(__xludf.DUMMYFUNCTION("""COMPUTED_VALUE"""),22743110)</f>
        <v>22743110</v>
      </c>
    </row>
    <row r="88" spans="1:6" ht="15.75" customHeight="1">
      <c r="A88" s="10">
        <f ca="1">IFERROR(__xludf.DUMMYFUNCTION("""COMPUTED_VALUE"""),43956.6458333333)</f>
        <v>43956.645833333299</v>
      </c>
      <c r="B88" s="1">
        <f ca="1">IFERROR(__xludf.DUMMYFUNCTION("""COMPUTED_VALUE"""),27.4)</f>
        <v>27.4</v>
      </c>
      <c r="C88" s="1">
        <f ca="1">IFERROR(__xludf.DUMMYFUNCTION("""COMPUTED_VALUE"""),27.65)</f>
        <v>27.65</v>
      </c>
      <c r="D88" s="1">
        <f ca="1">IFERROR(__xludf.DUMMYFUNCTION("""COMPUTED_VALUE"""),26.5)</f>
        <v>26.5</v>
      </c>
      <c r="E88" s="1">
        <f ca="1">IFERROR(__xludf.DUMMYFUNCTION("""COMPUTED_VALUE"""),26.6)</f>
        <v>26.6</v>
      </c>
      <c r="F88" s="1">
        <f ca="1">IFERROR(__xludf.DUMMYFUNCTION("""COMPUTED_VALUE"""),16870245)</f>
        <v>16870245</v>
      </c>
    </row>
    <row r="89" spans="1:6" ht="15.75" customHeight="1">
      <c r="A89" s="10">
        <f ca="1">IFERROR(__xludf.DUMMYFUNCTION("""COMPUTED_VALUE"""),43957.6458333333)</f>
        <v>43957.645833333299</v>
      </c>
      <c r="B89" s="1">
        <f ca="1">IFERROR(__xludf.DUMMYFUNCTION("""COMPUTED_VALUE"""),26.4)</f>
        <v>26.4</v>
      </c>
      <c r="C89" s="1">
        <f ca="1">IFERROR(__xludf.DUMMYFUNCTION("""COMPUTED_VALUE"""),26.75)</f>
        <v>26.75</v>
      </c>
      <c r="D89" s="1">
        <f ca="1">IFERROR(__xludf.DUMMYFUNCTION("""COMPUTED_VALUE"""),25)</f>
        <v>25</v>
      </c>
      <c r="E89" s="1">
        <f ca="1">IFERROR(__xludf.DUMMYFUNCTION("""COMPUTED_VALUE"""),26.3)</f>
        <v>26.3</v>
      </c>
      <c r="F89" s="1">
        <f ca="1">IFERROR(__xludf.DUMMYFUNCTION("""COMPUTED_VALUE"""),22891215)</f>
        <v>22891215</v>
      </c>
    </row>
    <row r="90" spans="1:6" ht="15.75" customHeight="1">
      <c r="A90" s="10">
        <f ca="1">IFERROR(__xludf.DUMMYFUNCTION("""COMPUTED_VALUE"""),43958.6458333333)</f>
        <v>43958.645833333299</v>
      </c>
      <c r="B90" s="1">
        <f ca="1">IFERROR(__xludf.DUMMYFUNCTION("""COMPUTED_VALUE"""),25.75)</f>
        <v>25.75</v>
      </c>
      <c r="C90" s="1">
        <f ca="1">IFERROR(__xludf.DUMMYFUNCTION("""COMPUTED_VALUE"""),31.55)</f>
        <v>31.55</v>
      </c>
      <c r="D90" s="1">
        <f ca="1">IFERROR(__xludf.DUMMYFUNCTION("""COMPUTED_VALUE"""),25.55)</f>
        <v>25.55</v>
      </c>
      <c r="E90" s="1">
        <f ca="1">IFERROR(__xludf.DUMMYFUNCTION("""COMPUTED_VALUE"""),28.1)</f>
        <v>28.1</v>
      </c>
      <c r="F90" s="1">
        <f ca="1">IFERROR(__xludf.DUMMYFUNCTION("""COMPUTED_VALUE"""),99686585)</f>
        <v>99686585</v>
      </c>
    </row>
    <row r="91" spans="1:6" ht="15.75" customHeight="1">
      <c r="A91" s="10">
        <f ca="1">IFERROR(__xludf.DUMMYFUNCTION("""COMPUTED_VALUE"""),43959.6458333333)</f>
        <v>43959.645833333299</v>
      </c>
      <c r="B91" s="1">
        <f ca="1">IFERROR(__xludf.DUMMYFUNCTION("""COMPUTED_VALUE"""),28.1)</f>
        <v>28.1</v>
      </c>
      <c r="C91" s="1">
        <f ca="1">IFERROR(__xludf.DUMMYFUNCTION("""COMPUTED_VALUE"""),28.8)</f>
        <v>28.8</v>
      </c>
      <c r="D91" s="1">
        <f ca="1">IFERROR(__xludf.DUMMYFUNCTION("""COMPUTED_VALUE"""),26.65)</f>
        <v>26.65</v>
      </c>
      <c r="E91" s="1">
        <f ca="1">IFERROR(__xludf.DUMMYFUNCTION("""COMPUTED_VALUE"""),27.05)</f>
        <v>27.05</v>
      </c>
      <c r="F91" s="1">
        <f ca="1">IFERROR(__xludf.DUMMYFUNCTION("""COMPUTED_VALUE"""),28714694)</f>
        <v>28714694</v>
      </c>
    </row>
    <row r="92" spans="1:6" ht="15.75" customHeight="1">
      <c r="A92" s="10">
        <f ca="1">IFERROR(__xludf.DUMMYFUNCTION("""COMPUTED_VALUE"""),43962.6458333333)</f>
        <v>43962.645833333299</v>
      </c>
      <c r="B92" s="1">
        <f ca="1">IFERROR(__xludf.DUMMYFUNCTION("""COMPUTED_VALUE"""),27.25)</f>
        <v>27.25</v>
      </c>
      <c r="C92" s="1">
        <f ca="1">IFERROR(__xludf.DUMMYFUNCTION("""COMPUTED_VALUE"""),28.05)</f>
        <v>28.05</v>
      </c>
      <c r="D92" s="1">
        <f ca="1">IFERROR(__xludf.DUMMYFUNCTION("""COMPUTED_VALUE"""),26.7)</f>
        <v>26.7</v>
      </c>
      <c r="E92" s="1">
        <f ca="1">IFERROR(__xludf.DUMMYFUNCTION("""COMPUTED_VALUE"""),27.8)</f>
        <v>27.8</v>
      </c>
      <c r="F92" s="1">
        <f ca="1">IFERROR(__xludf.DUMMYFUNCTION("""COMPUTED_VALUE"""),29809727)</f>
        <v>29809727</v>
      </c>
    </row>
    <row r="93" spans="1:6" ht="15.75" customHeight="1">
      <c r="A93" s="10">
        <f ca="1">IFERROR(__xludf.DUMMYFUNCTION("""COMPUTED_VALUE"""),43963.6458333333)</f>
        <v>43963.645833333299</v>
      </c>
      <c r="B93" s="1">
        <f ca="1">IFERROR(__xludf.DUMMYFUNCTION("""COMPUTED_VALUE"""),27.7)</f>
        <v>27.7</v>
      </c>
      <c r="C93" s="1">
        <f ca="1">IFERROR(__xludf.DUMMYFUNCTION("""COMPUTED_VALUE"""),28.4)</f>
        <v>28.4</v>
      </c>
      <c r="D93" s="1">
        <f ca="1">IFERROR(__xludf.DUMMYFUNCTION("""COMPUTED_VALUE"""),26.85)</f>
        <v>26.85</v>
      </c>
      <c r="E93" s="1">
        <f ca="1">IFERROR(__xludf.DUMMYFUNCTION("""COMPUTED_VALUE"""),27.95)</f>
        <v>27.95</v>
      </c>
      <c r="F93" s="1">
        <f ca="1">IFERROR(__xludf.DUMMYFUNCTION("""COMPUTED_VALUE"""),21395834)</f>
        <v>21395834</v>
      </c>
    </row>
    <row r="94" spans="1:6" ht="15.75" customHeight="1">
      <c r="A94" s="10">
        <f ca="1">IFERROR(__xludf.DUMMYFUNCTION("""COMPUTED_VALUE"""),43964.6458333333)</f>
        <v>43964.645833333299</v>
      </c>
      <c r="B94" s="1">
        <f ca="1">IFERROR(__xludf.DUMMYFUNCTION("""COMPUTED_VALUE"""),29)</f>
        <v>29</v>
      </c>
      <c r="C94" s="1">
        <f ca="1">IFERROR(__xludf.DUMMYFUNCTION("""COMPUTED_VALUE"""),29.45)</f>
        <v>29.45</v>
      </c>
      <c r="D94" s="1">
        <f ca="1">IFERROR(__xludf.DUMMYFUNCTION("""COMPUTED_VALUE"""),28.1)</f>
        <v>28.1</v>
      </c>
      <c r="E94" s="1">
        <f ca="1">IFERROR(__xludf.DUMMYFUNCTION("""COMPUTED_VALUE"""),28.65)</f>
        <v>28.65</v>
      </c>
      <c r="F94" s="1">
        <f ca="1">IFERROR(__xludf.DUMMYFUNCTION("""COMPUTED_VALUE"""),25829898)</f>
        <v>25829898</v>
      </c>
    </row>
    <row r="95" spans="1:6" ht="15.75" customHeight="1">
      <c r="A95" s="10">
        <f ca="1">IFERROR(__xludf.DUMMYFUNCTION("""COMPUTED_VALUE"""),43965.6458333333)</f>
        <v>43965.645833333299</v>
      </c>
      <c r="B95" s="1">
        <f ca="1">IFERROR(__xludf.DUMMYFUNCTION("""COMPUTED_VALUE"""),28.4)</f>
        <v>28.4</v>
      </c>
      <c r="C95" s="1">
        <f ca="1">IFERROR(__xludf.DUMMYFUNCTION("""COMPUTED_VALUE"""),28.8)</f>
        <v>28.8</v>
      </c>
      <c r="D95" s="1">
        <f ca="1">IFERROR(__xludf.DUMMYFUNCTION("""COMPUTED_VALUE"""),27.9)</f>
        <v>27.9</v>
      </c>
      <c r="E95" s="1">
        <f ca="1">IFERROR(__xludf.DUMMYFUNCTION("""COMPUTED_VALUE"""),28.2)</f>
        <v>28.2</v>
      </c>
      <c r="F95" s="1">
        <f ca="1">IFERROR(__xludf.DUMMYFUNCTION("""COMPUTED_VALUE"""),13377407)</f>
        <v>13377407</v>
      </c>
    </row>
    <row r="96" spans="1:6" ht="15.75" customHeight="1">
      <c r="A96" s="10">
        <f ca="1">IFERROR(__xludf.DUMMYFUNCTION("""COMPUTED_VALUE"""),43966.6458333333)</f>
        <v>43966.645833333299</v>
      </c>
      <c r="B96" s="1">
        <f ca="1">IFERROR(__xludf.DUMMYFUNCTION("""COMPUTED_VALUE"""),28.2)</f>
        <v>28.2</v>
      </c>
      <c r="C96" s="1">
        <f ca="1">IFERROR(__xludf.DUMMYFUNCTION("""COMPUTED_VALUE"""),29)</f>
        <v>29</v>
      </c>
      <c r="D96" s="1">
        <f ca="1">IFERROR(__xludf.DUMMYFUNCTION("""COMPUTED_VALUE"""),27.3)</f>
        <v>27.3</v>
      </c>
      <c r="E96" s="1">
        <f ca="1">IFERROR(__xludf.DUMMYFUNCTION("""COMPUTED_VALUE"""),28.7)</f>
        <v>28.7</v>
      </c>
      <c r="F96" s="1">
        <f ca="1">IFERROR(__xludf.DUMMYFUNCTION("""COMPUTED_VALUE"""),23447394)</f>
        <v>23447394</v>
      </c>
    </row>
    <row r="97" spans="1:6" ht="15.75" customHeight="1">
      <c r="A97" s="10">
        <f ca="1">IFERROR(__xludf.DUMMYFUNCTION("""COMPUTED_VALUE"""),43969.6458333333)</f>
        <v>43969.645833333299</v>
      </c>
      <c r="B97" s="1">
        <f ca="1">IFERROR(__xludf.DUMMYFUNCTION("""COMPUTED_VALUE"""),28.65)</f>
        <v>28.65</v>
      </c>
      <c r="C97" s="1">
        <f ca="1">IFERROR(__xludf.DUMMYFUNCTION("""COMPUTED_VALUE"""),28.65)</f>
        <v>28.65</v>
      </c>
      <c r="D97" s="1">
        <f ca="1">IFERROR(__xludf.DUMMYFUNCTION("""COMPUTED_VALUE"""),26.8)</f>
        <v>26.8</v>
      </c>
      <c r="E97" s="1">
        <f ca="1">IFERROR(__xludf.DUMMYFUNCTION("""COMPUTED_VALUE"""),27.55)</f>
        <v>27.55</v>
      </c>
      <c r="F97" s="1">
        <f ca="1">IFERROR(__xludf.DUMMYFUNCTION("""COMPUTED_VALUE"""),20466695)</f>
        <v>20466695</v>
      </c>
    </row>
    <row r="98" spans="1:6" ht="15.75" customHeight="1">
      <c r="A98" s="10">
        <f ca="1">IFERROR(__xludf.DUMMYFUNCTION("""COMPUTED_VALUE"""),43970.6458333333)</f>
        <v>43970.645833333299</v>
      </c>
      <c r="B98" s="1">
        <f ca="1">IFERROR(__xludf.DUMMYFUNCTION("""COMPUTED_VALUE"""),27.7)</f>
        <v>27.7</v>
      </c>
      <c r="C98" s="1">
        <f ca="1">IFERROR(__xludf.DUMMYFUNCTION("""COMPUTED_VALUE"""),28)</f>
        <v>28</v>
      </c>
      <c r="D98" s="1">
        <f ca="1">IFERROR(__xludf.DUMMYFUNCTION("""COMPUTED_VALUE"""),27.1)</f>
        <v>27.1</v>
      </c>
      <c r="E98" s="1">
        <f ca="1">IFERROR(__xludf.DUMMYFUNCTION("""COMPUTED_VALUE"""),27.4)</f>
        <v>27.4</v>
      </c>
      <c r="F98" s="1">
        <f ca="1">IFERROR(__xludf.DUMMYFUNCTION("""COMPUTED_VALUE"""),16161651)</f>
        <v>16161651</v>
      </c>
    </row>
    <row r="99" spans="1:6" ht="15.75" customHeight="1">
      <c r="A99" s="10">
        <f ca="1">IFERROR(__xludf.DUMMYFUNCTION("""COMPUTED_VALUE"""),43971.6458333333)</f>
        <v>43971.645833333299</v>
      </c>
      <c r="B99" s="1">
        <f ca="1">IFERROR(__xludf.DUMMYFUNCTION("""COMPUTED_VALUE"""),27.15)</f>
        <v>27.15</v>
      </c>
      <c r="C99" s="1">
        <f ca="1">IFERROR(__xludf.DUMMYFUNCTION("""COMPUTED_VALUE"""),27.6)</f>
        <v>27.6</v>
      </c>
      <c r="D99" s="1">
        <f ca="1">IFERROR(__xludf.DUMMYFUNCTION("""COMPUTED_VALUE"""),27.1)</f>
        <v>27.1</v>
      </c>
      <c r="E99" s="1">
        <f ca="1">IFERROR(__xludf.DUMMYFUNCTION("""COMPUTED_VALUE"""),27.15)</f>
        <v>27.15</v>
      </c>
      <c r="F99" s="1">
        <f ca="1">IFERROR(__xludf.DUMMYFUNCTION("""COMPUTED_VALUE"""),9932936)</f>
        <v>9932936</v>
      </c>
    </row>
    <row r="100" spans="1:6" ht="15.75" customHeight="1">
      <c r="A100" s="10">
        <f ca="1">IFERROR(__xludf.DUMMYFUNCTION("""COMPUTED_VALUE"""),43972.6458333333)</f>
        <v>43972.645833333299</v>
      </c>
      <c r="B100" s="1">
        <f ca="1">IFERROR(__xludf.DUMMYFUNCTION("""COMPUTED_VALUE"""),27.2)</f>
        <v>27.2</v>
      </c>
      <c r="C100" s="1">
        <f ca="1">IFERROR(__xludf.DUMMYFUNCTION("""COMPUTED_VALUE"""),27.6)</f>
        <v>27.6</v>
      </c>
      <c r="D100" s="1">
        <f ca="1">IFERROR(__xludf.DUMMYFUNCTION("""COMPUTED_VALUE"""),26.8)</f>
        <v>26.8</v>
      </c>
      <c r="E100" s="1">
        <f ca="1">IFERROR(__xludf.DUMMYFUNCTION("""COMPUTED_VALUE"""),26.9)</f>
        <v>26.9</v>
      </c>
      <c r="F100" s="1">
        <f ca="1">IFERROR(__xludf.DUMMYFUNCTION("""COMPUTED_VALUE"""),12109506)</f>
        <v>12109506</v>
      </c>
    </row>
    <row r="101" spans="1:6" ht="15.75" customHeight="1">
      <c r="A101" s="10">
        <f ca="1">IFERROR(__xludf.DUMMYFUNCTION("""COMPUTED_VALUE"""),43973.6458333333)</f>
        <v>43973.645833333299</v>
      </c>
      <c r="B101" s="1">
        <f ca="1">IFERROR(__xludf.DUMMYFUNCTION("""COMPUTED_VALUE"""),26.95)</f>
        <v>26.95</v>
      </c>
      <c r="C101" s="1">
        <f ca="1">IFERROR(__xludf.DUMMYFUNCTION("""COMPUTED_VALUE"""),27)</f>
        <v>27</v>
      </c>
      <c r="D101" s="1">
        <f ca="1">IFERROR(__xludf.DUMMYFUNCTION("""COMPUTED_VALUE"""),26)</f>
        <v>26</v>
      </c>
      <c r="E101" s="1">
        <f ca="1">IFERROR(__xludf.DUMMYFUNCTION("""COMPUTED_VALUE"""),26.55)</f>
        <v>26.55</v>
      </c>
      <c r="F101" s="1">
        <f ca="1">IFERROR(__xludf.DUMMYFUNCTION("""COMPUTED_VALUE"""),14604827)</f>
        <v>14604827</v>
      </c>
    </row>
    <row r="102" spans="1:6" ht="15.75" customHeight="1">
      <c r="A102" s="10">
        <f ca="1">IFERROR(__xludf.DUMMYFUNCTION("""COMPUTED_VALUE"""),43977.6458333333)</f>
        <v>43977.645833333299</v>
      </c>
      <c r="B102" s="1">
        <f ca="1">IFERROR(__xludf.DUMMYFUNCTION("""COMPUTED_VALUE"""),26.95)</f>
        <v>26.95</v>
      </c>
      <c r="C102" s="1">
        <f ca="1">IFERROR(__xludf.DUMMYFUNCTION("""COMPUTED_VALUE"""),28.15)</f>
        <v>28.15</v>
      </c>
      <c r="D102" s="1">
        <f ca="1">IFERROR(__xludf.DUMMYFUNCTION("""COMPUTED_VALUE"""),26.35)</f>
        <v>26.35</v>
      </c>
      <c r="E102" s="1">
        <f ca="1">IFERROR(__xludf.DUMMYFUNCTION("""COMPUTED_VALUE"""),27.4)</f>
        <v>27.4</v>
      </c>
      <c r="F102" s="1">
        <f ca="1">IFERROR(__xludf.DUMMYFUNCTION("""COMPUTED_VALUE"""),19431968)</f>
        <v>19431968</v>
      </c>
    </row>
    <row r="103" spans="1:6" ht="15.75" customHeight="1">
      <c r="A103" s="10">
        <f ca="1">IFERROR(__xludf.DUMMYFUNCTION("""COMPUTED_VALUE"""),43978.6458333333)</f>
        <v>43978.645833333299</v>
      </c>
      <c r="B103" s="1">
        <f ca="1">IFERROR(__xludf.DUMMYFUNCTION("""COMPUTED_VALUE"""),27.45)</f>
        <v>27.45</v>
      </c>
      <c r="C103" s="1">
        <f ca="1">IFERROR(__xludf.DUMMYFUNCTION("""COMPUTED_VALUE"""),27.9)</f>
        <v>27.9</v>
      </c>
      <c r="D103" s="1">
        <f ca="1">IFERROR(__xludf.DUMMYFUNCTION("""COMPUTED_VALUE"""),27.35)</f>
        <v>27.35</v>
      </c>
      <c r="E103" s="1">
        <f ca="1">IFERROR(__xludf.DUMMYFUNCTION("""COMPUTED_VALUE"""),27.6)</f>
        <v>27.6</v>
      </c>
      <c r="F103" s="1">
        <f ca="1">IFERROR(__xludf.DUMMYFUNCTION("""COMPUTED_VALUE"""),12273293)</f>
        <v>12273293</v>
      </c>
    </row>
    <row r="104" spans="1:6" ht="15.75" customHeight="1">
      <c r="A104" s="10">
        <f ca="1">IFERROR(__xludf.DUMMYFUNCTION("""COMPUTED_VALUE"""),43979.6458333333)</f>
        <v>43979.645833333299</v>
      </c>
      <c r="B104" s="1">
        <f ca="1">IFERROR(__xludf.DUMMYFUNCTION("""COMPUTED_VALUE"""),27.85)</f>
        <v>27.85</v>
      </c>
      <c r="C104" s="1">
        <f ca="1">IFERROR(__xludf.DUMMYFUNCTION("""COMPUTED_VALUE"""),28.8)</f>
        <v>28.8</v>
      </c>
      <c r="D104" s="1">
        <f ca="1">IFERROR(__xludf.DUMMYFUNCTION("""COMPUTED_VALUE"""),26.85)</f>
        <v>26.85</v>
      </c>
      <c r="E104" s="1">
        <f ca="1">IFERROR(__xludf.DUMMYFUNCTION("""COMPUTED_VALUE"""),27)</f>
        <v>27</v>
      </c>
      <c r="F104" s="1">
        <f ca="1">IFERROR(__xludf.DUMMYFUNCTION("""COMPUTED_VALUE"""),27673481)</f>
        <v>27673481</v>
      </c>
    </row>
    <row r="105" spans="1:6" ht="15.75" customHeight="1">
      <c r="A105" s="10">
        <f ca="1">IFERROR(__xludf.DUMMYFUNCTION("""COMPUTED_VALUE"""),43980.6458333333)</f>
        <v>43980.645833333299</v>
      </c>
      <c r="B105" s="1">
        <f ca="1">IFERROR(__xludf.DUMMYFUNCTION("""COMPUTED_VALUE"""),26.5)</f>
        <v>26.5</v>
      </c>
      <c r="C105" s="1">
        <f ca="1">IFERROR(__xludf.DUMMYFUNCTION("""COMPUTED_VALUE"""),27.4)</f>
        <v>27.4</v>
      </c>
      <c r="D105" s="1">
        <f ca="1">IFERROR(__xludf.DUMMYFUNCTION("""COMPUTED_VALUE"""),26.5)</f>
        <v>26.5</v>
      </c>
      <c r="E105" s="1">
        <f ca="1">IFERROR(__xludf.DUMMYFUNCTION("""COMPUTED_VALUE"""),26.85)</f>
        <v>26.85</v>
      </c>
      <c r="F105" s="1">
        <f ca="1">IFERROR(__xludf.DUMMYFUNCTION("""COMPUTED_VALUE"""),15150164)</f>
        <v>15150164</v>
      </c>
    </row>
    <row r="106" spans="1:6" ht="15.75" customHeight="1">
      <c r="A106" s="10">
        <f ca="1">IFERROR(__xludf.DUMMYFUNCTION("""COMPUTED_VALUE"""),43983.6458333333)</f>
        <v>43983.645833333299</v>
      </c>
      <c r="B106" s="1">
        <f ca="1">IFERROR(__xludf.DUMMYFUNCTION("""COMPUTED_VALUE"""),27.55)</f>
        <v>27.55</v>
      </c>
      <c r="C106" s="1">
        <f ca="1">IFERROR(__xludf.DUMMYFUNCTION("""COMPUTED_VALUE"""),27.6)</f>
        <v>27.6</v>
      </c>
      <c r="D106" s="1">
        <f ca="1">IFERROR(__xludf.DUMMYFUNCTION("""COMPUTED_VALUE"""),27)</f>
        <v>27</v>
      </c>
      <c r="E106" s="1">
        <f ca="1">IFERROR(__xludf.DUMMYFUNCTION("""COMPUTED_VALUE"""),27.15)</f>
        <v>27.15</v>
      </c>
      <c r="F106" s="1">
        <f ca="1">IFERROR(__xludf.DUMMYFUNCTION("""COMPUTED_VALUE"""),11175200)</f>
        <v>11175200</v>
      </c>
    </row>
    <row r="107" spans="1:6" ht="15.75" customHeight="1">
      <c r="A107" s="10">
        <f ca="1">IFERROR(__xludf.DUMMYFUNCTION("""COMPUTED_VALUE"""),43984.6458333333)</f>
        <v>43984.645833333299</v>
      </c>
      <c r="B107" s="1">
        <f ca="1">IFERROR(__xludf.DUMMYFUNCTION("""COMPUTED_VALUE"""),27.25)</f>
        <v>27.25</v>
      </c>
      <c r="C107" s="1">
        <f ca="1">IFERROR(__xludf.DUMMYFUNCTION("""COMPUTED_VALUE"""),27.4)</f>
        <v>27.4</v>
      </c>
      <c r="D107" s="1">
        <f ca="1">IFERROR(__xludf.DUMMYFUNCTION("""COMPUTED_VALUE"""),27.05)</f>
        <v>27.05</v>
      </c>
      <c r="E107" s="1">
        <f ca="1">IFERROR(__xludf.DUMMYFUNCTION("""COMPUTED_VALUE"""),27.15)</f>
        <v>27.15</v>
      </c>
      <c r="F107" s="1">
        <f ca="1">IFERROR(__xludf.DUMMYFUNCTION("""COMPUTED_VALUE"""),10006691)</f>
        <v>10006691</v>
      </c>
    </row>
    <row r="108" spans="1:6" ht="15.75" customHeight="1">
      <c r="A108" s="10">
        <f ca="1">IFERROR(__xludf.DUMMYFUNCTION("""COMPUTED_VALUE"""),43985.6458333333)</f>
        <v>43985.645833333299</v>
      </c>
      <c r="B108" s="1">
        <f ca="1">IFERROR(__xludf.DUMMYFUNCTION("""COMPUTED_VALUE"""),27.6)</f>
        <v>27.6</v>
      </c>
      <c r="C108" s="1">
        <f ca="1">IFERROR(__xludf.DUMMYFUNCTION("""COMPUTED_VALUE"""),29.4)</f>
        <v>29.4</v>
      </c>
      <c r="D108" s="1">
        <f ca="1">IFERROR(__xludf.DUMMYFUNCTION("""COMPUTED_VALUE"""),27.25)</f>
        <v>27.25</v>
      </c>
      <c r="E108" s="1">
        <f ca="1">IFERROR(__xludf.DUMMYFUNCTION("""COMPUTED_VALUE"""),27.95)</f>
        <v>27.95</v>
      </c>
      <c r="F108" s="1">
        <f ca="1">IFERROR(__xludf.DUMMYFUNCTION("""COMPUTED_VALUE"""),31713741)</f>
        <v>31713741</v>
      </c>
    </row>
    <row r="109" spans="1:6" ht="15.75" customHeight="1">
      <c r="A109" s="10">
        <f ca="1">IFERROR(__xludf.DUMMYFUNCTION("""COMPUTED_VALUE"""),43986.6458333333)</f>
        <v>43986.645833333299</v>
      </c>
      <c r="B109" s="1">
        <f ca="1">IFERROR(__xludf.DUMMYFUNCTION("""COMPUTED_VALUE"""),28)</f>
        <v>28</v>
      </c>
      <c r="C109" s="1">
        <f ca="1">IFERROR(__xludf.DUMMYFUNCTION("""COMPUTED_VALUE"""),28.7)</f>
        <v>28.7</v>
      </c>
      <c r="D109" s="1">
        <f ca="1">IFERROR(__xludf.DUMMYFUNCTION("""COMPUTED_VALUE"""),27.8)</f>
        <v>27.8</v>
      </c>
      <c r="E109" s="1">
        <f ca="1">IFERROR(__xludf.DUMMYFUNCTION("""COMPUTED_VALUE"""),27.95)</f>
        <v>27.95</v>
      </c>
      <c r="F109" s="1">
        <f ca="1">IFERROR(__xludf.DUMMYFUNCTION("""COMPUTED_VALUE"""),12148979)</f>
        <v>12148979</v>
      </c>
    </row>
    <row r="110" spans="1:6" ht="15.75" customHeight="1">
      <c r="A110" s="10">
        <f ca="1">IFERROR(__xludf.DUMMYFUNCTION("""COMPUTED_VALUE"""),43987.6458333333)</f>
        <v>43987.645833333299</v>
      </c>
      <c r="B110" s="1">
        <f ca="1">IFERROR(__xludf.DUMMYFUNCTION("""COMPUTED_VALUE"""),28)</f>
        <v>28</v>
      </c>
      <c r="C110" s="1">
        <f ca="1">IFERROR(__xludf.DUMMYFUNCTION("""COMPUTED_VALUE"""),29.2)</f>
        <v>29.2</v>
      </c>
      <c r="D110" s="1">
        <f ca="1">IFERROR(__xludf.DUMMYFUNCTION("""COMPUTED_VALUE"""),28)</f>
        <v>28</v>
      </c>
      <c r="E110" s="1">
        <f ca="1">IFERROR(__xludf.DUMMYFUNCTION("""COMPUTED_VALUE"""),28.85)</f>
        <v>28.85</v>
      </c>
      <c r="F110" s="1">
        <f ca="1">IFERROR(__xludf.DUMMYFUNCTION("""COMPUTED_VALUE"""),18870401)</f>
        <v>18870401</v>
      </c>
    </row>
    <row r="111" spans="1:6" ht="15.75" customHeight="1">
      <c r="A111" s="10">
        <f ca="1">IFERROR(__xludf.DUMMYFUNCTION("""COMPUTED_VALUE"""),43990.6458333333)</f>
        <v>43990.645833333299</v>
      </c>
      <c r="B111" s="1">
        <f ca="1">IFERROR(__xludf.DUMMYFUNCTION("""COMPUTED_VALUE"""),29.6)</f>
        <v>29.6</v>
      </c>
      <c r="C111" s="1">
        <f ca="1">IFERROR(__xludf.DUMMYFUNCTION("""COMPUTED_VALUE"""),32)</f>
        <v>32</v>
      </c>
      <c r="D111" s="1">
        <f ca="1">IFERROR(__xludf.DUMMYFUNCTION("""COMPUTED_VALUE"""),29)</f>
        <v>29</v>
      </c>
      <c r="E111" s="1">
        <f ca="1">IFERROR(__xludf.DUMMYFUNCTION("""COMPUTED_VALUE"""),30.6)</f>
        <v>30.6</v>
      </c>
      <c r="F111" s="1">
        <f ca="1">IFERROR(__xludf.DUMMYFUNCTION("""COMPUTED_VALUE"""),49257680)</f>
        <v>49257680</v>
      </c>
    </row>
    <row r="112" spans="1:6" ht="15.75" customHeight="1">
      <c r="A112" s="10">
        <f ca="1">IFERROR(__xludf.DUMMYFUNCTION("""COMPUTED_VALUE"""),43991.6458333333)</f>
        <v>43991.645833333299</v>
      </c>
      <c r="B112" s="1">
        <f ca="1">IFERROR(__xludf.DUMMYFUNCTION("""COMPUTED_VALUE"""),31)</f>
        <v>31</v>
      </c>
      <c r="C112" s="1">
        <f ca="1">IFERROR(__xludf.DUMMYFUNCTION("""COMPUTED_VALUE"""),31.6)</f>
        <v>31.6</v>
      </c>
      <c r="D112" s="1">
        <f ca="1">IFERROR(__xludf.DUMMYFUNCTION("""COMPUTED_VALUE"""),29.7)</f>
        <v>29.7</v>
      </c>
      <c r="E112" s="1">
        <f ca="1">IFERROR(__xludf.DUMMYFUNCTION("""COMPUTED_VALUE"""),29.85)</f>
        <v>29.85</v>
      </c>
      <c r="F112" s="1">
        <f ca="1">IFERROR(__xludf.DUMMYFUNCTION("""COMPUTED_VALUE"""),23134391)</f>
        <v>23134391</v>
      </c>
    </row>
    <row r="113" spans="1:6" ht="15.75" customHeight="1">
      <c r="A113" s="10">
        <f ca="1">IFERROR(__xludf.DUMMYFUNCTION("""COMPUTED_VALUE"""),43992.6458333333)</f>
        <v>43992.645833333299</v>
      </c>
      <c r="B113" s="1">
        <f ca="1">IFERROR(__xludf.DUMMYFUNCTION("""COMPUTED_VALUE"""),30.35)</f>
        <v>30.35</v>
      </c>
      <c r="C113" s="1">
        <f ca="1">IFERROR(__xludf.DUMMYFUNCTION("""COMPUTED_VALUE"""),30.75)</f>
        <v>30.75</v>
      </c>
      <c r="D113" s="1">
        <f ca="1">IFERROR(__xludf.DUMMYFUNCTION("""COMPUTED_VALUE"""),30)</f>
        <v>30</v>
      </c>
      <c r="E113" s="1">
        <f ca="1">IFERROR(__xludf.DUMMYFUNCTION("""COMPUTED_VALUE"""),30.4)</f>
        <v>30.4</v>
      </c>
      <c r="F113" s="1">
        <f ca="1">IFERROR(__xludf.DUMMYFUNCTION("""COMPUTED_VALUE"""),15647848)</f>
        <v>15647848</v>
      </c>
    </row>
    <row r="114" spans="1:6" ht="15.75" customHeight="1">
      <c r="A114" s="10">
        <f ca="1">IFERROR(__xludf.DUMMYFUNCTION("""COMPUTED_VALUE"""),43993.6458333333)</f>
        <v>43993.645833333299</v>
      </c>
      <c r="B114" s="1">
        <f ca="1">IFERROR(__xludf.DUMMYFUNCTION("""COMPUTED_VALUE"""),30.6)</f>
        <v>30.6</v>
      </c>
      <c r="C114" s="1">
        <f ca="1">IFERROR(__xludf.DUMMYFUNCTION("""COMPUTED_VALUE"""),31.7)</f>
        <v>31.7</v>
      </c>
      <c r="D114" s="1">
        <f ca="1">IFERROR(__xludf.DUMMYFUNCTION("""COMPUTED_VALUE"""),29.6)</f>
        <v>29.6</v>
      </c>
      <c r="E114" s="1">
        <f ca="1">IFERROR(__xludf.DUMMYFUNCTION("""COMPUTED_VALUE"""),29.8)</f>
        <v>29.8</v>
      </c>
      <c r="F114" s="1">
        <f ca="1">IFERROR(__xludf.DUMMYFUNCTION("""COMPUTED_VALUE"""),20837420)</f>
        <v>20837420</v>
      </c>
    </row>
    <row r="115" spans="1:6" ht="15.75" customHeight="1">
      <c r="A115" s="10">
        <f ca="1">IFERROR(__xludf.DUMMYFUNCTION("""COMPUTED_VALUE"""),43994.6458333333)</f>
        <v>43994.645833333299</v>
      </c>
      <c r="B115" s="1">
        <f ca="1">IFERROR(__xludf.DUMMYFUNCTION("""COMPUTED_VALUE"""),28)</f>
        <v>28</v>
      </c>
      <c r="C115" s="1">
        <f ca="1">IFERROR(__xludf.DUMMYFUNCTION("""COMPUTED_VALUE"""),29.7)</f>
        <v>29.7</v>
      </c>
      <c r="D115" s="1">
        <f ca="1">IFERROR(__xludf.DUMMYFUNCTION("""COMPUTED_VALUE"""),28)</f>
        <v>28</v>
      </c>
      <c r="E115" s="1">
        <f ca="1">IFERROR(__xludf.DUMMYFUNCTION("""COMPUTED_VALUE"""),29.5)</f>
        <v>29.5</v>
      </c>
      <c r="F115" s="1">
        <f ca="1">IFERROR(__xludf.DUMMYFUNCTION("""COMPUTED_VALUE"""),12412232)</f>
        <v>12412232</v>
      </c>
    </row>
    <row r="116" spans="1:6" ht="15.75" customHeight="1">
      <c r="A116" s="10">
        <f ca="1">IFERROR(__xludf.DUMMYFUNCTION("""COMPUTED_VALUE"""),43997.6458333333)</f>
        <v>43997.645833333299</v>
      </c>
      <c r="B116" s="1">
        <f ca="1">IFERROR(__xludf.DUMMYFUNCTION("""COMPUTED_VALUE"""),30)</f>
        <v>30</v>
      </c>
      <c r="C116" s="1">
        <f ca="1">IFERROR(__xludf.DUMMYFUNCTION("""COMPUTED_VALUE"""),30.8)</f>
        <v>30.8</v>
      </c>
      <c r="D116" s="1">
        <f ca="1">IFERROR(__xludf.DUMMYFUNCTION("""COMPUTED_VALUE"""),28.8)</f>
        <v>28.8</v>
      </c>
      <c r="E116" s="1">
        <f ca="1">IFERROR(__xludf.DUMMYFUNCTION("""COMPUTED_VALUE"""),29)</f>
        <v>29</v>
      </c>
      <c r="F116" s="1">
        <f ca="1">IFERROR(__xludf.DUMMYFUNCTION("""COMPUTED_VALUE"""),13440399)</f>
        <v>13440399</v>
      </c>
    </row>
    <row r="117" spans="1:6" ht="15.75" customHeight="1">
      <c r="A117" s="10">
        <f ca="1">IFERROR(__xludf.DUMMYFUNCTION("""COMPUTED_VALUE"""),43998.6458333333)</f>
        <v>43998.645833333299</v>
      </c>
      <c r="B117" s="1">
        <f ca="1">IFERROR(__xludf.DUMMYFUNCTION("""COMPUTED_VALUE"""),29.5)</f>
        <v>29.5</v>
      </c>
      <c r="C117" s="1">
        <f ca="1">IFERROR(__xludf.DUMMYFUNCTION("""COMPUTED_VALUE"""),29.95)</f>
        <v>29.95</v>
      </c>
      <c r="D117" s="1">
        <f ca="1">IFERROR(__xludf.DUMMYFUNCTION("""COMPUTED_VALUE"""),27.55)</f>
        <v>27.55</v>
      </c>
      <c r="E117" s="1">
        <f ca="1">IFERROR(__xludf.DUMMYFUNCTION("""COMPUTED_VALUE"""),28.4)</f>
        <v>28.4</v>
      </c>
      <c r="F117" s="1">
        <f ca="1">IFERROR(__xludf.DUMMYFUNCTION("""COMPUTED_VALUE"""),22459083)</f>
        <v>22459083</v>
      </c>
    </row>
    <row r="118" spans="1:6" ht="15.75" customHeight="1">
      <c r="A118" s="10">
        <f ca="1">IFERROR(__xludf.DUMMYFUNCTION("""COMPUTED_VALUE"""),43999.6458333333)</f>
        <v>43999.645833333299</v>
      </c>
      <c r="B118" s="1">
        <f ca="1">IFERROR(__xludf.DUMMYFUNCTION("""COMPUTED_VALUE"""),27.35)</f>
        <v>27.35</v>
      </c>
      <c r="C118" s="1">
        <f ca="1">IFERROR(__xludf.DUMMYFUNCTION("""COMPUTED_VALUE"""),28.3)</f>
        <v>28.3</v>
      </c>
      <c r="D118" s="1">
        <f ca="1">IFERROR(__xludf.DUMMYFUNCTION("""COMPUTED_VALUE"""),27.05)</f>
        <v>27.05</v>
      </c>
      <c r="E118" s="1">
        <f ca="1">IFERROR(__xludf.DUMMYFUNCTION("""COMPUTED_VALUE"""),27.65)</f>
        <v>27.65</v>
      </c>
      <c r="F118" s="1">
        <f ca="1">IFERROR(__xludf.DUMMYFUNCTION("""COMPUTED_VALUE"""),12798061)</f>
        <v>12798061</v>
      </c>
    </row>
    <row r="119" spans="1:6" ht="15.75" customHeight="1">
      <c r="A119" s="10">
        <f ca="1">IFERROR(__xludf.DUMMYFUNCTION("""COMPUTED_VALUE"""),44000.6458333333)</f>
        <v>44000.645833333299</v>
      </c>
      <c r="B119" s="1">
        <f ca="1">IFERROR(__xludf.DUMMYFUNCTION("""COMPUTED_VALUE"""),27.7)</f>
        <v>27.7</v>
      </c>
      <c r="C119" s="1">
        <f ca="1">IFERROR(__xludf.DUMMYFUNCTION("""COMPUTED_VALUE"""),28.2)</f>
        <v>28.2</v>
      </c>
      <c r="D119" s="1">
        <f ca="1">IFERROR(__xludf.DUMMYFUNCTION("""COMPUTED_VALUE"""),27.4)</f>
        <v>27.4</v>
      </c>
      <c r="E119" s="1">
        <f ca="1">IFERROR(__xludf.DUMMYFUNCTION("""COMPUTED_VALUE"""),28)</f>
        <v>28</v>
      </c>
      <c r="F119" s="1">
        <f ca="1">IFERROR(__xludf.DUMMYFUNCTION("""COMPUTED_VALUE"""),11551012)</f>
        <v>11551012</v>
      </c>
    </row>
    <row r="120" spans="1:6" ht="15.75" customHeight="1">
      <c r="A120" s="10">
        <f ca="1">IFERROR(__xludf.DUMMYFUNCTION("""COMPUTED_VALUE"""),44001.6458333333)</f>
        <v>44001.645833333299</v>
      </c>
      <c r="B120" s="1">
        <f ca="1">IFERROR(__xludf.DUMMYFUNCTION("""COMPUTED_VALUE"""),28.2)</f>
        <v>28.2</v>
      </c>
      <c r="C120" s="1">
        <f ca="1">IFERROR(__xludf.DUMMYFUNCTION("""COMPUTED_VALUE"""),28.3)</f>
        <v>28.3</v>
      </c>
      <c r="D120" s="1">
        <f ca="1">IFERROR(__xludf.DUMMYFUNCTION("""COMPUTED_VALUE"""),27.9)</f>
        <v>27.9</v>
      </c>
      <c r="E120" s="1">
        <f ca="1">IFERROR(__xludf.DUMMYFUNCTION("""COMPUTED_VALUE"""),28)</f>
        <v>28</v>
      </c>
      <c r="F120" s="1">
        <f ca="1">IFERROR(__xludf.DUMMYFUNCTION("""COMPUTED_VALUE"""),9275438)</f>
        <v>9275438</v>
      </c>
    </row>
    <row r="121" spans="1:6" ht="15.75" customHeight="1">
      <c r="A121" s="10">
        <f ca="1">IFERROR(__xludf.DUMMYFUNCTION("""COMPUTED_VALUE"""),44004.6458333333)</f>
        <v>44004.645833333299</v>
      </c>
      <c r="B121" s="1">
        <f ca="1">IFERROR(__xludf.DUMMYFUNCTION("""COMPUTED_VALUE"""),28.1)</f>
        <v>28.1</v>
      </c>
      <c r="C121" s="1">
        <f ca="1">IFERROR(__xludf.DUMMYFUNCTION("""COMPUTED_VALUE"""),28.5)</f>
        <v>28.5</v>
      </c>
      <c r="D121" s="1">
        <f ca="1">IFERROR(__xludf.DUMMYFUNCTION("""COMPUTED_VALUE"""),27.35)</f>
        <v>27.35</v>
      </c>
      <c r="E121" s="1">
        <f ca="1">IFERROR(__xludf.DUMMYFUNCTION("""COMPUTED_VALUE"""),27.75)</f>
        <v>27.75</v>
      </c>
      <c r="F121" s="1">
        <f ca="1">IFERROR(__xludf.DUMMYFUNCTION("""COMPUTED_VALUE"""),19374480)</f>
        <v>19374480</v>
      </c>
    </row>
    <row r="122" spans="1:6" ht="15.75" customHeight="1">
      <c r="A122" s="10">
        <f ca="1">IFERROR(__xludf.DUMMYFUNCTION("""COMPUTED_VALUE"""),44005.6458333333)</f>
        <v>44005.645833333299</v>
      </c>
      <c r="B122" s="1">
        <f ca="1">IFERROR(__xludf.DUMMYFUNCTION("""COMPUTED_VALUE"""),27.8)</f>
        <v>27.8</v>
      </c>
      <c r="C122" s="1">
        <f ca="1">IFERROR(__xludf.DUMMYFUNCTION("""COMPUTED_VALUE"""),27.8)</f>
        <v>27.8</v>
      </c>
      <c r="D122" s="1">
        <f ca="1">IFERROR(__xludf.DUMMYFUNCTION("""COMPUTED_VALUE"""),27.4)</f>
        <v>27.4</v>
      </c>
      <c r="E122" s="1">
        <f ca="1">IFERROR(__xludf.DUMMYFUNCTION("""COMPUTED_VALUE"""),27.55)</f>
        <v>27.55</v>
      </c>
      <c r="F122" s="1">
        <f ca="1">IFERROR(__xludf.DUMMYFUNCTION("""COMPUTED_VALUE"""),16733550)</f>
        <v>16733550</v>
      </c>
    </row>
    <row r="123" spans="1:6" ht="15.75" customHeight="1">
      <c r="A123" s="10">
        <f ca="1">IFERROR(__xludf.DUMMYFUNCTION("""COMPUTED_VALUE"""),44006.6458333333)</f>
        <v>44006.645833333299</v>
      </c>
      <c r="B123" s="1">
        <f ca="1">IFERROR(__xludf.DUMMYFUNCTION("""COMPUTED_VALUE"""),27.8)</f>
        <v>27.8</v>
      </c>
      <c r="C123" s="1">
        <f ca="1">IFERROR(__xludf.DUMMYFUNCTION("""COMPUTED_VALUE"""),27.8)</f>
        <v>27.8</v>
      </c>
      <c r="D123" s="1">
        <f ca="1">IFERROR(__xludf.DUMMYFUNCTION("""COMPUTED_VALUE"""),27.05)</f>
        <v>27.05</v>
      </c>
      <c r="E123" s="1">
        <f ca="1">IFERROR(__xludf.DUMMYFUNCTION("""COMPUTED_VALUE"""),27.05)</f>
        <v>27.05</v>
      </c>
      <c r="F123" s="1">
        <f ca="1">IFERROR(__xludf.DUMMYFUNCTION("""COMPUTED_VALUE"""),14015494)</f>
        <v>14015494</v>
      </c>
    </row>
    <row r="124" spans="1:6" ht="15.75" customHeight="1">
      <c r="A124" s="10">
        <f ca="1">IFERROR(__xludf.DUMMYFUNCTION("""COMPUTED_VALUE"""),44007.6458333333)</f>
        <v>44007.645833333299</v>
      </c>
      <c r="B124" s="1">
        <f ca="1">IFERROR(__xludf.DUMMYFUNCTION("""COMPUTED_VALUE"""),27.05)</f>
        <v>27.05</v>
      </c>
      <c r="C124" s="1">
        <f ca="1">IFERROR(__xludf.DUMMYFUNCTION("""COMPUTED_VALUE"""),27.25)</f>
        <v>27.25</v>
      </c>
      <c r="D124" s="1">
        <f ca="1">IFERROR(__xludf.DUMMYFUNCTION("""COMPUTED_VALUE"""),26.55)</f>
        <v>26.55</v>
      </c>
      <c r="E124" s="1">
        <f ca="1">IFERROR(__xludf.DUMMYFUNCTION("""COMPUTED_VALUE"""),27)</f>
        <v>27</v>
      </c>
      <c r="F124" s="1">
        <f ca="1">IFERROR(__xludf.DUMMYFUNCTION("""COMPUTED_VALUE"""),9662127)</f>
        <v>9662127</v>
      </c>
    </row>
    <row r="125" spans="1:6" ht="15.75" customHeight="1">
      <c r="A125" s="10">
        <f ca="1">IFERROR(__xludf.DUMMYFUNCTION("""COMPUTED_VALUE"""),44008.6458333333)</f>
        <v>44008.645833333299</v>
      </c>
      <c r="B125" s="1">
        <f ca="1">IFERROR(__xludf.DUMMYFUNCTION("""COMPUTED_VALUE"""),27.2)</f>
        <v>27.2</v>
      </c>
      <c r="C125" s="1">
        <f ca="1">IFERROR(__xludf.DUMMYFUNCTION("""COMPUTED_VALUE"""),27.25)</f>
        <v>27.25</v>
      </c>
      <c r="D125" s="1">
        <f ca="1">IFERROR(__xludf.DUMMYFUNCTION("""COMPUTED_VALUE"""),26.6)</f>
        <v>26.6</v>
      </c>
      <c r="E125" s="1">
        <f ca="1">IFERROR(__xludf.DUMMYFUNCTION("""COMPUTED_VALUE"""),26.75)</f>
        <v>26.75</v>
      </c>
      <c r="F125" s="1">
        <f ca="1">IFERROR(__xludf.DUMMYFUNCTION("""COMPUTED_VALUE"""),12130891)</f>
        <v>12130891</v>
      </c>
    </row>
    <row r="126" spans="1:6" ht="15.75" customHeight="1">
      <c r="A126" s="10">
        <f ca="1">IFERROR(__xludf.DUMMYFUNCTION("""COMPUTED_VALUE"""),44011.6458333333)</f>
        <v>44011.645833333299</v>
      </c>
      <c r="B126" s="1">
        <f ca="1">IFERROR(__xludf.DUMMYFUNCTION("""COMPUTED_VALUE"""),26.8)</f>
        <v>26.8</v>
      </c>
      <c r="C126" s="1">
        <f ca="1">IFERROR(__xludf.DUMMYFUNCTION("""COMPUTED_VALUE"""),26.9)</f>
        <v>26.9</v>
      </c>
      <c r="D126" s="1">
        <f ca="1">IFERROR(__xludf.DUMMYFUNCTION("""COMPUTED_VALUE"""),26)</f>
        <v>26</v>
      </c>
      <c r="E126" s="1">
        <f ca="1">IFERROR(__xludf.DUMMYFUNCTION("""COMPUTED_VALUE"""),26.1)</f>
        <v>26.1</v>
      </c>
      <c r="F126" s="1">
        <f ca="1">IFERROR(__xludf.DUMMYFUNCTION("""COMPUTED_VALUE"""),10632406)</f>
        <v>10632406</v>
      </c>
    </row>
    <row r="127" spans="1:6" ht="15.75" customHeight="1">
      <c r="A127" s="10">
        <f ca="1">IFERROR(__xludf.DUMMYFUNCTION("""COMPUTED_VALUE"""),44012.6458333333)</f>
        <v>44012.645833333299</v>
      </c>
      <c r="B127" s="1">
        <f ca="1">IFERROR(__xludf.DUMMYFUNCTION("""COMPUTED_VALUE"""),26.5)</f>
        <v>26.5</v>
      </c>
      <c r="C127" s="1">
        <f ca="1">IFERROR(__xludf.DUMMYFUNCTION("""COMPUTED_VALUE"""),26.6)</f>
        <v>26.6</v>
      </c>
      <c r="D127" s="1">
        <f ca="1">IFERROR(__xludf.DUMMYFUNCTION("""COMPUTED_VALUE"""),25.5)</f>
        <v>25.5</v>
      </c>
      <c r="E127" s="1">
        <f ca="1">IFERROR(__xludf.DUMMYFUNCTION("""COMPUTED_VALUE"""),25.6)</f>
        <v>25.6</v>
      </c>
      <c r="F127" s="1">
        <f ca="1">IFERROR(__xludf.DUMMYFUNCTION("""COMPUTED_VALUE"""),16166021)</f>
        <v>16166021</v>
      </c>
    </row>
    <row r="128" spans="1:6" ht="15.75" customHeight="1">
      <c r="A128" s="10">
        <f ca="1">IFERROR(__xludf.DUMMYFUNCTION("""COMPUTED_VALUE"""),44013.6458333333)</f>
        <v>44013.645833333299</v>
      </c>
      <c r="B128" s="1">
        <f ca="1">IFERROR(__xludf.DUMMYFUNCTION("""COMPUTED_VALUE"""),25.75)</f>
        <v>25.75</v>
      </c>
      <c r="C128" s="1">
        <f ca="1">IFERROR(__xludf.DUMMYFUNCTION("""COMPUTED_VALUE"""),28.35)</f>
        <v>28.35</v>
      </c>
      <c r="D128" s="1">
        <f ca="1">IFERROR(__xludf.DUMMYFUNCTION("""COMPUTED_VALUE"""),25)</f>
        <v>25</v>
      </c>
      <c r="E128" s="1">
        <f ca="1">IFERROR(__xludf.DUMMYFUNCTION("""COMPUTED_VALUE"""),26.9)</f>
        <v>26.9</v>
      </c>
      <c r="F128" s="1">
        <f ca="1">IFERROR(__xludf.DUMMYFUNCTION("""COMPUTED_VALUE"""),27490306)</f>
        <v>27490306</v>
      </c>
    </row>
    <row r="129" spans="1:6" ht="15.75" customHeight="1">
      <c r="A129" s="10">
        <f ca="1">IFERROR(__xludf.DUMMYFUNCTION("""COMPUTED_VALUE"""),44014.6458333333)</f>
        <v>44014.645833333299</v>
      </c>
      <c r="B129" s="1">
        <f ca="1">IFERROR(__xludf.DUMMYFUNCTION("""COMPUTED_VALUE"""),27.3)</f>
        <v>27.3</v>
      </c>
      <c r="C129" s="1">
        <f ca="1">IFERROR(__xludf.DUMMYFUNCTION("""COMPUTED_VALUE"""),27.3)</f>
        <v>27.3</v>
      </c>
      <c r="D129" s="1">
        <f ca="1">IFERROR(__xludf.DUMMYFUNCTION("""COMPUTED_VALUE"""),26.05)</f>
        <v>26.05</v>
      </c>
      <c r="E129" s="1">
        <f ca="1">IFERROR(__xludf.DUMMYFUNCTION("""COMPUTED_VALUE"""),26.25)</f>
        <v>26.25</v>
      </c>
      <c r="F129" s="1">
        <f ca="1">IFERROR(__xludf.DUMMYFUNCTION("""COMPUTED_VALUE"""),15605957)</f>
        <v>15605957</v>
      </c>
    </row>
    <row r="130" spans="1:6" ht="15.75" customHeight="1">
      <c r="A130" s="10">
        <f ca="1">IFERROR(__xludf.DUMMYFUNCTION("""COMPUTED_VALUE"""),44015.6458333333)</f>
        <v>44015.645833333299</v>
      </c>
      <c r="B130" s="1">
        <f ca="1">IFERROR(__xludf.DUMMYFUNCTION("""COMPUTED_VALUE"""),26.5)</f>
        <v>26.5</v>
      </c>
      <c r="C130" s="1">
        <f ca="1">IFERROR(__xludf.DUMMYFUNCTION("""COMPUTED_VALUE"""),26.55)</f>
        <v>26.55</v>
      </c>
      <c r="D130" s="1">
        <f ca="1">IFERROR(__xludf.DUMMYFUNCTION("""COMPUTED_VALUE"""),25.8)</f>
        <v>25.8</v>
      </c>
      <c r="E130" s="1">
        <f ca="1">IFERROR(__xludf.DUMMYFUNCTION("""COMPUTED_VALUE"""),26.15)</f>
        <v>26.15</v>
      </c>
      <c r="F130" s="1">
        <f ca="1">IFERROR(__xludf.DUMMYFUNCTION("""COMPUTED_VALUE"""),14816009)</f>
        <v>14816009</v>
      </c>
    </row>
    <row r="131" spans="1:6" ht="15.75" customHeight="1">
      <c r="A131" s="10">
        <f ca="1">IFERROR(__xludf.DUMMYFUNCTION("""COMPUTED_VALUE"""),44018.6458333333)</f>
        <v>44018.645833333299</v>
      </c>
      <c r="B131" s="1">
        <f ca="1">IFERROR(__xludf.DUMMYFUNCTION("""COMPUTED_VALUE"""),26.4)</f>
        <v>26.4</v>
      </c>
      <c r="C131" s="1">
        <f ca="1">IFERROR(__xludf.DUMMYFUNCTION("""COMPUTED_VALUE"""),26.45)</f>
        <v>26.45</v>
      </c>
      <c r="D131" s="1">
        <f ca="1">IFERROR(__xludf.DUMMYFUNCTION("""COMPUTED_VALUE"""),25.95)</f>
        <v>25.95</v>
      </c>
      <c r="E131" s="1">
        <f ca="1">IFERROR(__xludf.DUMMYFUNCTION("""COMPUTED_VALUE"""),26.05)</f>
        <v>26.05</v>
      </c>
      <c r="F131" s="1">
        <f ca="1">IFERROR(__xludf.DUMMYFUNCTION("""COMPUTED_VALUE"""),12734350)</f>
        <v>12734350</v>
      </c>
    </row>
    <row r="132" spans="1:6" ht="15.75" customHeight="1">
      <c r="A132" s="10">
        <f ca="1">IFERROR(__xludf.DUMMYFUNCTION("""COMPUTED_VALUE"""),44019.6458333333)</f>
        <v>44019.645833333299</v>
      </c>
      <c r="B132" s="1">
        <f ca="1">IFERROR(__xludf.DUMMYFUNCTION("""COMPUTED_VALUE"""),26.05)</f>
        <v>26.05</v>
      </c>
      <c r="C132" s="1">
        <f ca="1">IFERROR(__xludf.DUMMYFUNCTION("""COMPUTED_VALUE"""),26.1)</f>
        <v>26.1</v>
      </c>
      <c r="D132" s="1">
        <f ca="1">IFERROR(__xludf.DUMMYFUNCTION("""COMPUTED_VALUE"""),25.5)</f>
        <v>25.5</v>
      </c>
      <c r="E132" s="1">
        <f ca="1">IFERROR(__xludf.DUMMYFUNCTION("""COMPUTED_VALUE"""),25.75)</f>
        <v>25.75</v>
      </c>
      <c r="F132" s="1">
        <f ca="1">IFERROR(__xludf.DUMMYFUNCTION("""COMPUTED_VALUE"""),19466396)</f>
        <v>19466396</v>
      </c>
    </row>
    <row r="133" spans="1:6" ht="15.75" customHeight="1">
      <c r="A133" s="10">
        <f ca="1">IFERROR(__xludf.DUMMYFUNCTION("""COMPUTED_VALUE"""),44020.6458333333)</f>
        <v>44020.645833333299</v>
      </c>
      <c r="B133" s="1">
        <f ca="1">IFERROR(__xludf.DUMMYFUNCTION("""COMPUTED_VALUE"""),25.2)</f>
        <v>25.2</v>
      </c>
      <c r="C133" s="1">
        <f ca="1">IFERROR(__xludf.DUMMYFUNCTION("""COMPUTED_VALUE"""),27.1)</f>
        <v>27.1</v>
      </c>
      <c r="D133" s="1">
        <f ca="1">IFERROR(__xludf.DUMMYFUNCTION("""COMPUTED_VALUE"""),24)</f>
        <v>24</v>
      </c>
      <c r="E133" s="1">
        <f ca="1">IFERROR(__xludf.DUMMYFUNCTION("""COMPUTED_VALUE"""),26.05)</f>
        <v>26.05</v>
      </c>
      <c r="F133" s="1">
        <f ca="1">IFERROR(__xludf.DUMMYFUNCTION("""COMPUTED_VALUE"""),33211696)</f>
        <v>33211696</v>
      </c>
    </row>
    <row r="134" spans="1:6" ht="15.75" customHeight="1">
      <c r="A134" s="10">
        <f ca="1">IFERROR(__xludf.DUMMYFUNCTION("""COMPUTED_VALUE"""),44021.6458333333)</f>
        <v>44021.645833333299</v>
      </c>
      <c r="B134" s="1">
        <f ca="1">IFERROR(__xludf.DUMMYFUNCTION("""COMPUTED_VALUE"""),27.5)</f>
        <v>27.5</v>
      </c>
      <c r="C134" s="1">
        <f ca="1">IFERROR(__xludf.DUMMYFUNCTION("""COMPUTED_VALUE"""),27.5)</f>
        <v>27.5</v>
      </c>
      <c r="D134" s="1">
        <f ca="1">IFERROR(__xludf.DUMMYFUNCTION("""COMPUTED_VALUE"""),26.2)</f>
        <v>26.2</v>
      </c>
      <c r="E134" s="1">
        <f ca="1">IFERROR(__xludf.DUMMYFUNCTION("""COMPUTED_VALUE"""),26.65)</f>
        <v>26.65</v>
      </c>
      <c r="F134" s="1">
        <f ca="1">IFERROR(__xludf.DUMMYFUNCTION("""COMPUTED_VALUE"""),42188239)</f>
        <v>42188239</v>
      </c>
    </row>
    <row r="135" spans="1:6" ht="15.75" customHeight="1">
      <c r="A135" s="10">
        <f ca="1">IFERROR(__xludf.DUMMYFUNCTION("""COMPUTED_VALUE"""),44022.6458333333)</f>
        <v>44022.645833333299</v>
      </c>
      <c r="B135" s="1">
        <f ca="1">IFERROR(__xludf.DUMMYFUNCTION("""COMPUTED_VALUE"""),26.7)</f>
        <v>26.7</v>
      </c>
      <c r="C135" s="1">
        <f ca="1">IFERROR(__xludf.DUMMYFUNCTION("""COMPUTED_VALUE"""),26.75)</f>
        <v>26.75</v>
      </c>
      <c r="D135" s="1">
        <f ca="1">IFERROR(__xludf.DUMMYFUNCTION("""COMPUTED_VALUE"""),24.2)</f>
        <v>24.2</v>
      </c>
      <c r="E135" s="1">
        <f ca="1">IFERROR(__xludf.DUMMYFUNCTION("""COMPUTED_VALUE"""),25.55)</f>
        <v>25.55</v>
      </c>
      <c r="F135" s="1">
        <f ca="1">IFERROR(__xludf.DUMMYFUNCTION("""COMPUTED_VALUE"""),54312841)</f>
        <v>54312841</v>
      </c>
    </row>
    <row r="136" spans="1:6" ht="15.75" customHeight="1">
      <c r="A136" s="10">
        <f ca="1">IFERROR(__xludf.DUMMYFUNCTION("""COMPUTED_VALUE"""),44025.6458333333)</f>
        <v>44025.645833333299</v>
      </c>
      <c r="B136" s="1">
        <f ca="1">IFERROR(__xludf.DUMMYFUNCTION("""COMPUTED_VALUE"""),22.05)</f>
        <v>22.05</v>
      </c>
      <c r="C136" s="1">
        <f ca="1">IFERROR(__xludf.DUMMYFUNCTION("""COMPUTED_VALUE"""),23.5)</f>
        <v>23.5</v>
      </c>
      <c r="D136" s="1">
        <f ca="1">IFERROR(__xludf.DUMMYFUNCTION("""COMPUTED_VALUE"""),21)</f>
        <v>21</v>
      </c>
      <c r="E136" s="1">
        <f ca="1">IFERROR(__xludf.DUMMYFUNCTION("""COMPUTED_VALUE"""),22.05)</f>
        <v>22.05</v>
      </c>
      <c r="F136" s="1">
        <f ca="1">IFERROR(__xludf.DUMMYFUNCTION("""COMPUTED_VALUE"""),70087262)</f>
        <v>70087262</v>
      </c>
    </row>
    <row r="137" spans="1:6" ht="15.75" customHeight="1">
      <c r="A137" s="10">
        <f ca="1">IFERROR(__xludf.DUMMYFUNCTION("""COMPUTED_VALUE"""),44026.6458333333)</f>
        <v>44026.645833333299</v>
      </c>
      <c r="B137" s="1">
        <f ca="1">IFERROR(__xludf.DUMMYFUNCTION("""COMPUTED_VALUE"""),21.8)</f>
        <v>21.8</v>
      </c>
      <c r="C137" s="1">
        <f ca="1">IFERROR(__xludf.DUMMYFUNCTION("""COMPUTED_VALUE"""),21.8)</f>
        <v>21.8</v>
      </c>
      <c r="D137" s="1">
        <f ca="1">IFERROR(__xludf.DUMMYFUNCTION("""COMPUTED_VALUE"""),20.3)</f>
        <v>20.3</v>
      </c>
      <c r="E137" s="1">
        <f ca="1">IFERROR(__xludf.DUMMYFUNCTION("""COMPUTED_VALUE"""),20.95)</f>
        <v>20.95</v>
      </c>
      <c r="F137" s="1">
        <f ca="1">IFERROR(__xludf.DUMMYFUNCTION("""COMPUTED_VALUE"""),36853467)</f>
        <v>36853467</v>
      </c>
    </row>
    <row r="138" spans="1:6" ht="15.75" customHeight="1">
      <c r="A138" s="10">
        <f ca="1">IFERROR(__xludf.DUMMYFUNCTION("""COMPUTED_VALUE"""),44027.6458333333)</f>
        <v>44027.645833333299</v>
      </c>
      <c r="B138" s="1">
        <f ca="1">IFERROR(__xludf.DUMMYFUNCTION("""COMPUTED_VALUE"""),20.5)</f>
        <v>20.5</v>
      </c>
      <c r="C138" s="1">
        <f ca="1">IFERROR(__xludf.DUMMYFUNCTION("""COMPUTED_VALUE"""),22)</f>
        <v>22</v>
      </c>
      <c r="D138" s="1">
        <f ca="1">IFERROR(__xludf.DUMMYFUNCTION("""COMPUTED_VALUE"""),20.3)</f>
        <v>20.3</v>
      </c>
      <c r="E138" s="1">
        <f ca="1">IFERROR(__xludf.DUMMYFUNCTION("""COMPUTED_VALUE"""),20.45)</f>
        <v>20.45</v>
      </c>
      <c r="F138" s="1">
        <f ca="1">IFERROR(__xludf.DUMMYFUNCTION("""COMPUTED_VALUE"""),43266944)</f>
        <v>43266944</v>
      </c>
    </row>
    <row r="139" spans="1:6" ht="15.75" customHeight="1">
      <c r="A139" s="10">
        <f ca="1">IFERROR(__xludf.DUMMYFUNCTION("""COMPUTED_VALUE"""),44028.6458333333)</f>
        <v>44028.645833333299</v>
      </c>
      <c r="B139" s="1">
        <f ca="1">IFERROR(__xludf.DUMMYFUNCTION("""COMPUTED_VALUE"""),20)</f>
        <v>20</v>
      </c>
      <c r="C139" s="1">
        <f ca="1">IFERROR(__xludf.DUMMYFUNCTION("""COMPUTED_VALUE"""),20.25)</f>
        <v>20.25</v>
      </c>
      <c r="D139" s="1">
        <f ca="1">IFERROR(__xludf.DUMMYFUNCTION("""COMPUTED_VALUE"""),18.7)</f>
        <v>18.7</v>
      </c>
      <c r="E139" s="1">
        <f ca="1">IFERROR(__xludf.DUMMYFUNCTION("""COMPUTED_VALUE"""),19.2)</f>
        <v>19.2</v>
      </c>
      <c r="F139" s="1">
        <f ca="1">IFERROR(__xludf.DUMMYFUNCTION("""COMPUTED_VALUE"""),38231469)</f>
        <v>38231469</v>
      </c>
    </row>
    <row r="140" spans="1:6" ht="15.75" customHeight="1">
      <c r="A140" s="10">
        <f ca="1">IFERROR(__xludf.DUMMYFUNCTION("""COMPUTED_VALUE"""),44029.6458333333)</f>
        <v>44029.645833333299</v>
      </c>
      <c r="B140" s="1">
        <f ca="1">IFERROR(__xludf.DUMMYFUNCTION("""COMPUTED_VALUE"""),18.4)</f>
        <v>18.399999999999999</v>
      </c>
      <c r="C140" s="1">
        <f ca="1">IFERROR(__xludf.DUMMYFUNCTION("""COMPUTED_VALUE"""),20.4)</f>
        <v>20.399999999999999</v>
      </c>
      <c r="D140" s="1">
        <f ca="1">IFERROR(__xludf.DUMMYFUNCTION("""COMPUTED_VALUE"""),18.1)</f>
        <v>18.100000000000001</v>
      </c>
      <c r="E140" s="1">
        <f ca="1">IFERROR(__xludf.DUMMYFUNCTION("""COMPUTED_VALUE"""),19.8)</f>
        <v>19.8</v>
      </c>
      <c r="F140" s="1">
        <f ca="1">IFERROR(__xludf.DUMMYFUNCTION("""COMPUTED_VALUE"""),71216655)</f>
        <v>71216655</v>
      </c>
    </row>
    <row r="141" spans="1:6" ht="15.75" customHeight="1">
      <c r="A141" s="10">
        <f ca="1">IFERROR(__xludf.DUMMYFUNCTION("""COMPUTED_VALUE"""),44032.6458333333)</f>
        <v>44032.645833333299</v>
      </c>
      <c r="B141" s="1">
        <f ca="1">IFERROR(__xludf.DUMMYFUNCTION("""COMPUTED_VALUE"""),19.8)</f>
        <v>19.8</v>
      </c>
      <c r="C141" s="1">
        <f ca="1">IFERROR(__xludf.DUMMYFUNCTION("""COMPUTED_VALUE"""),19.95)</f>
        <v>19.95</v>
      </c>
      <c r="D141" s="1">
        <f ca="1">IFERROR(__xludf.DUMMYFUNCTION("""COMPUTED_VALUE"""),18.7)</f>
        <v>18.7</v>
      </c>
      <c r="E141" s="1">
        <f ca="1">IFERROR(__xludf.DUMMYFUNCTION("""COMPUTED_VALUE"""),19.45)</f>
        <v>19.45</v>
      </c>
      <c r="F141" s="1">
        <f ca="1">IFERROR(__xludf.DUMMYFUNCTION("""COMPUTED_VALUE"""),36859961)</f>
        <v>36859961</v>
      </c>
    </row>
    <row r="142" spans="1:6" ht="15.75" customHeight="1">
      <c r="A142" s="10">
        <f ca="1">IFERROR(__xludf.DUMMYFUNCTION("""COMPUTED_VALUE"""),44033.6458333333)</f>
        <v>44033.645833333299</v>
      </c>
      <c r="B142" s="1">
        <f ca="1">IFERROR(__xludf.DUMMYFUNCTION("""COMPUTED_VALUE"""),19)</f>
        <v>19</v>
      </c>
      <c r="C142" s="1">
        <f ca="1">IFERROR(__xludf.DUMMYFUNCTION("""COMPUTED_VALUE"""),19.45)</f>
        <v>19.45</v>
      </c>
      <c r="D142" s="1">
        <f ca="1">IFERROR(__xludf.DUMMYFUNCTION("""COMPUTED_VALUE"""),18.8)</f>
        <v>18.8</v>
      </c>
      <c r="E142" s="1">
        <f ca="1">IFERROR(__xludf.DUMMYFUNCTION("""COMPUTED_VALUE"""),19.3)</f>
        <v>19.3</v>
      </c>
      <c r="F142" s="1">
        <f ca="1">IFERROR(__xludf.DUMMYFUNCTION("""COMPUTED_VALUE"""),27568130)</f>
        <v>27568130</v>
      </c>
    </row>
    <row r="143" spans="1:6" ht="15.75" customHeight="1">
      <c r="A143" s="10">
        <f ca="1">IFERROR(__xludf.DUMMYFUNCTION("""COMPUTED_VALUE"""),44034.6458333333)</f>
        <v>44034.645833333299</v>
      </c>
      <c r="B143" s="1">
        <f ca="1">IFERROR(__xludf.DUMMYFUNCTION("""COMPUTED_VALUE"""),18.65)</f>
        <v>18.649999999999999</v>
      </c>
      <c r="C143" s="1">
        <f ca="1">IFERROR(__xludf.DUMMYFUNCTION("""COMPUTED_VALUE"""),19)</f>
        <v>19</v>
      </c>
      <c r="D143" s="1">
        <f ca="1">IFERROR(__xludf.DUMMYFUNCTION("""COMPUTED_VALUE"""),18.05)</f>
        <v>18.05</v>
      </c>
      <c r="E143" s="1">
        <f ca="1">IFERROR(__xludf.DUMMYFUNCTION("""COMPUTED_VALUE"""),18.25)</f>
        <v>18.25</v>
      </c>
      <c r="F143" s="1">
        <f ca="1">IFERROR(__xludf.DUMMYFUNCTION("""COMPUTED_VALUE"""),47895059)</f>
        <v>47895059</v>
      </c>
    </row>
    <row r="144" spans="1:6" ht="15.75" customHeight="1">
      <c r="A144" s="10">
        <f ca="1">IFERROR(__xludf.DUMMYFUNCTION("""COMPUTED_VALUE"""),44035.6458333333)</f>
        <v>44035.645833333299</v>
      </c>
      <c r="B144" s="1">
        <f ca="1">IFERROR(__xludf.DUMMYFUNCTION("""COMPUTED_VALUE"""),14.6)</f>
        <v>14.6</v>
      </c>
      <c r="C144" s="1">
        <f ca="1">IFERROR(__xludf.DUMMYFUNCTION("""COMPUTED_VALUE"""),16.45)</f>
        <v>16.45</v>
      </c>
      <c r="D144" s="1">
        <f ca="1">IFERROR(__xludf.DUMMYFUNCTION("""COMPUTED_VALUE"""),14.6)</f>
        <v>14.6</v>
      </c>
      <c r="E144" s="1">
        <f ca="1">IFERROR(__xludf.DUMMYFUNCTION("""COMPUTED_VALUE"""),14.75)</f>
        <v>14.75</v>
      </c>
      <c r="F144" s="1">
        <f ca="1">IFERROR(__xludf.DUMMYFUNCTION("""COMPUTED_VALUE"""),453542330)</f>
        <v>453542330</v>
      </c>
    </row>
    <row r="145" spans="1:6" ht="15.75" customHeight="1">
      <c r="A145" s="10">
        <f ca="1">IFERROR(__xludf.DUMMYFUNCTION("""COMPUTED_VALUE"""),44036.6458333333)</f>
        <v>44036.645833333299</v>
      </c>
      <c r="B145" s="1">
        <f ca="1">IFERROR(__xludf.DUMMYFUNCTION("""COMPUTED_VALUE"""),14)</f>
        <v>14</v>
      </c>
      <c r="C145" s="1">
        <f ca="1">IFERROR(__xludf.DUMMYFUNCTION("""COMPUTED_VALUE"""),14.4)</f>
        <v>14.4</v>
      </c>
      <c r="D145" s="1">
        <f ca="1">IFERROR(__xludf.DUMMYFUNCTION("""COMPUTED_VALUE"""),13.55)</f>
        <v>13.55</v>
      </c>
      <c r="E145" s="1">
        <f ca="1">IFERROR(__xludf.DUMMYFUNCTION("""COMPUTED_VALUE"""),13.65)</f>
        <v>13.65</v>
      </c>
      <c r="F145" s="1">
        <f ca="1">IFERROR(__xludf.DUMMYFUNCTION("""COMPUTED_VALUE"""),455416170)</f>
        <v>455416170</v>
      </c>
    </row>
    <row r="146" spans="1:6" ht="15.75" customHeight="1">
      <c r="A146" s="10">
        <f ca="1">IFERROR(__xludf.DUMMYFUNCTION("""COMPUTED_VALUE"""),44039.6458333333)</f>
        <v>44039.645833333299</v>
      </c>
      <c r="B146" s="1">
        <f ca="1">IFERROR(__xludf.DUMMYFUNCTION("""COMPUTED_VALUE"""),12.3)</f>
        <v>12.3</v>
      </c>
      <c r="C146" s="1">
        <f ca="1">IFERROR(__xludf.DUMMYFUNCTION("""COMPUTED_VALUE"""),12.3)</f>
        <v>12.3</v>
      </c>
      <c r="D146" s="1">
        <f ca="1">IFERROR(__xludf.DUMMYFUNCTION("""COMPUTED_VALUE"""),12.3)</f>
        <v>12.3</v>
      </c>
      <c r="E146" s="1">
        <f ca="1">IFERROR(__xludf.DUMMYFUNCTION("""COMPUTED_VALUE"""),12.3)</f>
        <v>12.3</v>
      </c>
      <c r="F146" s="1">
        <f ca="1">IFERROR(__xludf.DUMMYFUNCTION("""COMPUTED_VALUE"""),299502649)</f>
        <v>299502649</v>
      </c>
    </row>
    <row r="147" spans="1:6" ht="15.75" customHeight="1">
      <c r="A147" s="10">
        <f ca="1">IFERROR(__xludf.DUMMYFUNCTION("""COMPUTED_VALUE"""),44040.6458333333)</f>
        <v>44040.645833333299</v>
      </c>
      <c r="B147" s="1">
        <f ca="1">IFERROR(__xludf.DUMMYFUNCTION("""COMPUTED_VALUE"""),11.1)</f>
        <v>11.1</v>
      </c>
      <c r="C147" s="1">
        <f ca="1">IFERROR(__xludf.DUMMYFUNCTION("""COMPUTED_VALUE"""),11.95)</f>
        <v>11.95</v>
      </c>
      <c r="D147" s="1">
        <f ca="1">IFERROR(__xludf.DUMMYFUNCTION("""COMPUTED_VALUE"""),11.1)</f>
        <v>11.1</v>
      </c>
      <c r="E147" s="1">
        <f ca="1">IFERROR(__xludf.DUMMYFUNCTION("""COMPUTED_VALUE"""),11.9)</f>
        <v>11.9</v>
      </c>
      <c r="F147" s="1">
        <f ca="1">IFERROR(__xludf.DUMMYFUNCTION("""COMPUTED_VALUE"""),1057437063)</f>
        <v>1057437063</v>
      </c>
    </row>
    <row r="148" spans="1:6" ht="15.75" customHeight="1">
      <c r="A148" s="10">
        <f ca="1">IFERROR(__xludf.DUMMYFUNCTION("""COMPUTED_VALUE"""),44041.6458333333)</f>
        <v>44041.645833333299</v>
      </c>
      <c r="B148" s="1">
        <f ca="1">IFERROR(__xludf.DUMMYFUNCTION("""COMPUTED_VALUE"""),12)</f>
        <v>12</v>
      </c>
      <c r="C148" s="1">
        <f ca="1">IFERROR(__xludf.DUMMYFUNCTION("""COMPUTED_VALUE"""),12.3)</f>
        <v>12.3</v>
      </c>
      <c r="D148" s="1">
        <f ca="1">IFERROR(__xludf.DUMMYFUNCTION("""COMPUTED_VALUE"""),11.65)</f>
        <v>11.65</v>
      </c>
      <c r="E148" s="1">
        <f ca="1">IFERROR(__xludf.DUMMYFUNCTION("""COMPUTED_VALUE"""),11.7)</f>
        <v>11.7</v>
      </c>
      <c r="F148" s="1">
        <f ca="1">IFERROR(__xludf.DUMMYFUNCTION("""COMPUTED_VALUE"""),596484508)</f>
        <v>596484508</v>
      </c>
    </row>
    <row r="149" spans="1:6" ht="15.75" customHeight="1">
      <c r="A149" s="10">
        <f ca="1">IFERROR(__xludf.DUMMYFUNCTION("""COMPUTED_VALUE"""),44042.6458333333)</f>
        <v>44042.645833333299</v>
      </c>
      <c r="B149" s="1">
        <f ca="1">IFERROR(__xludf.DUMMYFUNCTION("""COMPUTED_VALUE"""),11.95)</f>
        <v>11.95</v>
      </c>
      <c r="C149" s="1">
        <f ca="1">IFERROR(__xludf.DUMMYFUNCTION("""COMPUTED_VALUE"""),12.1)</f>
        <v>12.1</v>
      </c>
      <c r="D149" s="1">
        <f ca="1">IFERROR(__xludf.DUMMYFUNCTION("""COMPUTED_VALUE"""),11.85)</f>
        <v>11.85</v>
      </c>
      <c r="E149" s="1">
        <f ca="1">IFERROR(__xludf.DUMMYFUNCTION("""COMPUTED_VALUE"""),11.95)</f>
        <v>11.95</v>
      </c>
      <c r="F149" s="1">
        <f ca="1">IFERROR(__xludf.DUMMYFUNCTION("""COMPUTED_VALUE"""),224040797)</f>
        <v>224040797</v>
      </c>
    </row>
    <row r="150" spans="1:6" ht="15.75" customHeight="1">
      <c r="A150" s="10">
        <f ca="1">IFERROR(__xludf.DUMMYFUNCTION("""COMPUTED_VALUE"""),44043.6458333333)</f>
        <v>44043.645833333299</v>
      </c>
      <c r="B150" s="1">
        <f ca="1">IFERROR(__xludf.DUMMYFUNCTION("""COMPUTED_VALUE"""),12.05)</f>
        <v>12.05</v>
      </c>
      <c r="C150" s="1">
        <f ca="1">IFERROR(__xludf.DUMMYFUNCTION("""COMPUTED_VALUE"""),12.1)</f>
        <v>12.1</v>
      </c>
      <c r="D150" s="1">
        <f ca="1">IFERROR(__xludf.DUMMYFUNCTION("""COMPUTED_VALUE"""),11.9)</f>
        <v>11.9</v>
      </c>
      <c r="E150" s="1">
        <f ca="1">IFERROR(__xludf.DUMMYFUNCTION("""COMPUTED_VALUE"""),11.95)</f>
        <v>11.95</v>
      </c>
      <c r="F150" s="1">
        <f ca="1">IFERROR(__xludf.DUMMYFUNCTION("""COMPUTED_VALUE"""),120256191)</f>
        <v>120256191</v>
      </c>
    </row>
    <row r="151" spans="1:6" ht="15.75" customHeight="1">
      <c r="A151" s="10">
        <f ca="1">IFERROR(__xludf.DUMMYFUNCTION("""COMPUTED_VALUE"""),44046.6458333333)</f>
        <v>44046.645833333299</v>
      </c>
      <c r="B151" s="1">
        <f ca="1">IFERROR(__xludf.DUMMYFUNCTION("""COMPUTED_VALUE"""),12)</f>
        <v>12</v>
      </c>
      <c r="C151" s="1">
        <f ca="1">IFERROR(__xludf.DUMMYFUNCTION("""COMPUTED_VALUE"""),12.05)</f>
        <v>12.05</v>
      </c>
      <c r="D151" s="1">
        <f ca="1">IFERROR(__xludf.DUMMYFUNCTION("""COMPUTED_VALUE"""),11.9)</f>
        <v>11.9</v>
      </c>
      <c r="E151" s="1">
        <f ca="1">IFERROR(__xludf.DUMMYFUNCTION("""COMPUTED_VALUE"""),12)</f>
        <v>12</v>
      </c>
      <c r="F151" s="1">
        <f ca="1">IFERROR(__xludf.DUMMYFUNCTION("""COMPUTED_VALUE"""),90338901)</f>
        <v>90338901</v>
      </c>
    </row>
    <row r="152" spans="1:6" ht="15.75" customHeight="1">
      <c r="A152" s="10">
        <f ca="1">IFERROR(__xludf.DUMMYFUNCTION("""COMPUTED_VALUE"""),44047.6458333333)</f>
        <v>44047.645833333299</v>
      </c>
      <c r="B152" s="1">
        <f ca="1">IFERROR(__xludf.DUMMYFUNCTION("""COMPUTED_VALUE"""),12.3)</f>
        <v>12.3</v>
      </c>
      <c r="C152" s="1">
        <f ca="1">IFERROR(__xludf.DUMMYFUNCTION("""COMPUTED_VALUE"""),12.4)</f>
        <v>12.4</v>
      </c>
      <c r="D152" s="1">
        <f ca="1">IFERROR(__xludf.DUMMYFUNCTION("""COMPUTED_VALUE"""),12.15)</f>
        <v>12.15</v>
      </c>
      <c r="E152" s="1">
        <f ca="1">IFERROR(__xludf.DUMMYFUNCTION("""COMPUTED_VALUE"""),12.25)</f>
        <v>12.25</v>
      </c>
      <c r="F152" s="1">
        <f ca="1">IFERROR(__xludf.DUMMYFUNCTION("""COMPUTED_VALUE"""),157100547)</f>
        <v>157100547</v>
      </c>
    </row>
    <row r="153" spans="1:6" ht="15.75" customHeight="1">
      <c r="A153" s="10">
        <f ca="1">IFERROR(__xludf.DUMMYFUNCTION("""COMPUTED_VALUE"""),44048.6458333333)</f>
        <v>44048.645833333299</v>
      </c>
      <c r="B153" s="1">
        <f ca="1">IFERROR(__xludf.DUMMYFUNCTION("""COMPUTED_VALUE"""),12.25)</f>
        <v>12.25</v>
      </c>
      <c r="C153" s="1">
        <f ca="1">IFERROR(__xludf.DUMMYFUNCTION("""COMPUTED_VALUE"""),12.85)</f>
        <v>12.85</v>
      </c>
      <c r="D153" s="1">
        <f ca="1">IFERROR(__xludf.DUMMYFUNCTION("""COMPUTED_VALUE"""),12.2)</f>
        <v>12.2</v>
      </c>
      <c r="E153" s="1">
        <f ca="1">IFERROR(__xludf.DUMMYFUNCTION("""COMPUTED_VALUE"""),12.85)</f>
        <v>12.85</v>
      </c>
      <c r="F153" s="1">
        <f ca="1">IFERROR(__xludf.DUMMYFUNCTION("""COMPUTED_VALUE"""),372810294)</f>
        <v>372810294</v>
      </c>
    </row>
    <row r="154" spans="1:6" ht="15.75" customHeight="1">
      <c r="A154" s="10">
        <f ca="1">IFERROR(__xludf.DUMMYFUNCTION("""COMPUTED_VALUE"""),44049.6458333333)</f>
        <v>44049.645833333299</v>
      </c>
      <c r="B154" s="1">
        <f ca="1">IFERROR(__xludf.DUMMYFUNCTION("""COMPUTED_VALUE"""),13.45)</f>
        <v>13.45</v>
      </c>
      <c r="C154" s="1">
        <f ca="1">IFERROR(__xludf.DUMMYFUNCTION("""COMPUTED_VALUE"""),13.45)</f>
        <v>13.45</v>
      </c>
      <c r="D154" s="1">
        <f ca="1">IFERROR(__xludf.DUMMYFUNCTION("""COMPUTED_VALUE"""),13.15)</f>
        <v>13.15</v>
      </c>
      <c r="E154" s="1">
        <f ca="1">IFERROR(__xludf.DUMMYFUNCTION("""COMPUTED_VALUE"""),13.45)</f>
        <v>13.45</v>
      </c>
      <c r="F154" s="1">
        <f ca="1">IFERROR(__xludf.DUMMYFUNCTION("""COMPUTED_VALUE"""),426044874)</f>
        <v>426044874</v>
      </c>
    </row>
    <row r="155" spans="1:6" ht="15.75" customHeight="1">
      <c r="A155" s="10">
        <f ca="1">IFERROR(__xludf.DUMMYFUNCTION("""COMPUTED_VALUE"""),44050.6458333333)</f>
        <v>44050.645833333299</v>
      </c>
      <c r="B155" s="1">
        <f ca="1">IFERROR(__xludf.DUMMYFUNCTION("""COMPUTED_VALUE"""),14)</f>
        <v>14</v>
      </c>
      <c r="C155" s="1">
        <f ca="1">IFERROR(__xludf.DUMMYFUNCTION("""COMPUTED_VALUE"""),14.1)</f>
        <v>14.1</v>
      </c>
      <c r="D155" s="1">
        <f ca="1">IFERROR(__xludf.DUMMYFUNCTION("""COMPUTED_VALUE"""),13.35)</f>
        <v>13.35</v>
      </c>
      <c r="E155" s="1">
        <f ca="1">IFERROR(__xludf.DUMMYFUNCTION("""COMPUTED_VALUE"""),14.1)</f>
        <v>14.1</v>
      </c>
      <c r="F155" s="1">
        <f ca="1">IFERROR(__xludf.DUMMYFUNCTION("""COMPUTED_VALUE"""),706276532)</f>
        <v>706276532</v>
      </c>
    </row>
    <row r="156" spans="1:6" ht="15.75" customHeight="1">
      <c r="A156" s="10">
        <f ca="1">IFERROR(__xludf.DUMMYFUNCTION("""COMPUTED_VALUE"""),44053.6458333333)</f>
        <v>44053.645833333299</v>
      </c>
      <c r="B156" s="1">
        <f ca="1">IFERROR(__xludf.DUMMYFUNCTION("""COMPUTED_VALUE"""),14.5)</f>
        <v>14.5</v>
      </c>
      <c r="C156" s="1">
        <f ca="1">IFERROR(__xludf.DUMMYFUNCTION("""COMPUTED_VALUE"""),14.8)</f>
        <v>14.8</v>
      </c>
      <c r="D156" s="1">
        <f ca="1">IFERROR(__xludf.DUMMYFUNCTION("""COMPUTED_VALUE"""),14.3)</f>
        <v>14.3</v>
      </c>
      <c r="E156" s="1">
        <f ca="1">IFERROR(__xludf.DUMMYFUNCTION("""COMPUTED_VALUE"""),14.8)</f>
        <v>14.8</v>
      </c>
      <c r="F156" s="1">
        <f ca="1">IFERROR(__xludf.DUMMYFUNCTION("""COMPUTED_VALUE"""),221530509)</f>
        <v>221530509</v>
      </c>
    </row>
    <row r="157" spans="1:6" ht="15.75" customHeight="1">
      <c r="A157" s="10">
        <f ca="1">IFERROR(__xludf.DUMMYFUNCTION("""COMPUTED_VALUE"""),44054.6458333333)</f>
        <v>44054.645833333299</v>
      </c>
      <c r="B157" s="1">
        <f ca="1">IFERROR(__xludf.DUMMYFUNCTION("""COMPUTED_VALUE"""),15.5)</f>
        <v>15.5</v>
      </c>
      <c r="C157" s="1">
        <f ca="1">IFERROR(__xludf.DUMMYFUNCTION("""COMPUTED_VALUE"""),15.5)</f>
        <v>15.5</v>
      </c>
      <c r="D157" s="1">
        <f ca="1">IFERROR(__xludf.DUMMYFUNCTION("""COMPUTED_VALUE"""),15.5)</f>
        <v>15.5</v>
      </c>
      <c r="E157" s="1">
        <f ca="1">IFERROR(__xludf.DUMMYFUNCTION("""COMPUTED_VALUE"""),15.5)</f>
        <v>15.5</v>
      </c>
      <c r="F157" s="1">
        <f ca="1">IFERROR(__xludf.DUMMYFUNCTION("""COMPUTED_VALUE"""),34750937)</f>
        <v>34750937</v>
      </c>
    </row>
    <row r="158" spans="1:6" ht="15.75" customHeight="1">
      <c r="A158" s="10">
        <f ca="1">IFERROR(__xludf.DUMMYFUNCTION("""COMPUTED_VALUE"""),44055.6458333333)</f>
        <v>44055.645833333299</v>
      </c>
      <c r="B158" s="1">
        <f ca="1">IFERROR(__xludf.DUMMYFUNCTION("""COMPUTED_VALUE"""),16.25)</f>
        <v>16.25</v>
      </c>
      <c r="C158" s="1">
        <f ca="1">IFERROR(__xludf.DUMMYFUNCTION("""COMPUTED_VALUE"""),16.25)</f>
        <v>16.25</v>
      </c>
      <c r="D158" s="1">
        <f ca="1">IFERROR(__xludf.DUMMYFUNCTION("""COMPUTED_VALUE"""),16.25)</f>
        <v>16.25</v>
      </c>
      <c r="E158" s="1">
        <f ca="1">IFERROR(__xludf.DUMMYFUNCTION("""COMPUTED_VALUE"""),16.25)</f>
        <v>16.25</v>
      </c>
      <c r="F158" s="1">
        <f ca="1">IFERROR(__xludf.DUMMYFUNCTION("""COMPUTED_VALUE"""),31868264)</f>
        <v>31868264</v>
      </c>
    </row>
    <row r="159" spans="1:6" ht="15.75" customHeight="1">
      <c r="A159" s="10">
        <f ca="1">IFERROR(__xludf.DUMMYFUNCTION("""COMPUTED_VALUE"""),44056.6458333333)</f>
        <v>44056.645833333299</v>
      </c>
      <c r="B159" s="1">
        <f ca="1">IFERROR(__xludf.DUMMYFUNCTION("""COMPUTED_VALUE"""),17.05)</f>
        <v>17.05</v>
      </c>
      <c r="C159" s="1">
        <f ca="1">IFERROR(__xludf.DUMMYFUNCTION("""COMPUTED_VALUE"""),17.05)</f>
        <v>17.05</v>
      </c>
      <c r="D159" s="1">
        <f ca="1">IFERROR(__xludf.DUMMYFUNCTION("""COMPUTED_VALUE"""),15.65)</f>
        <v>15.65</v>
      </c>
      <c r="E159" s="1">
        <f ca="1">IFERROR(__xludf.DUMMYFUNCTION("""COMPUTED_VALUE"""),15.85)</f>
        <v>15.85</v>
      </c>
      <c r="F159" s="1">
        <f ca="1">IFERROR(__xludf.DUMMYFUNCTION("""COMPUTED_VALUE"""),722526435)</f>
        <v>722526435</v>
      </c>
    </row>
    <row r="160" spans="1:6" ht="15.75" customHeight="1">
      <c r="A160" s="10">
        <f ca="1">IFERROR(__xludf.DUMMYFUNCTION("""COMPUTED_VALUE"""),44057.6458333333)</f>
        <v>44057.645833333299</v>
      </c>
      <c r="B160" s="1">
        <f ca="1">IFERROR(__xludf.DUMMYFUNCTION("""COMPUTED_VALUE"""),15.9)</f>
        <v>15.9</v>
      </c>
      <c r="C160" s="1">
        <f ca="1">IFERROR(__xludf.DUMMYFUNCTION("""COMPUTED_VALUE"""),15.9)</f>
        <v>15.9</v>
      </c>
      <c r="D160" s="1">
        <f ca="1">IFERROR(__xludf.DUMMYFUNCTION("""COMPUTED_VALUE"""),15.1)</f>
        <v>15.1</v>
      </c>
      <c r="E160" s="1">
        <f ca="1">IFERROR(__xludf.DUMMYFUNCTION("""COMPUTED_VALUE"""),15.1)</f>
        <v>15.1</v>
      </c>
      <c r="F160" s="1">
        <f ca="1">IFERROR(__xludf.DUMMYFUNCTION("""COMPUTED_VALUE"""),190650308)</f>
        <v>190650308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custom" allowBlank="1" showDropDown="1" showErrorMessage="1" sqref="C2:D2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6" ht="15.75" customHeight="1">
      <c r="A1" s="1" t="s">
        <v>0</v>
      </c>
      <c r="C1" s="1" t="s">
        <v>1</v>
      </c>
      <c r="D1" s="1" t="s">
        <v>2</v>
      </c>
    </row>
    <row r="2" spans="1:6" ht="15.75" customHeight="1">
      <c r="A2" s="17" t="s">
        <v>180</v>
      </c>
      <c r="C2" s="2">
        <v>40179</v>
      </c>
      <c r="D2" s="2">
        <v>42232</v>
      </c>
    </row>
    <row r="3" spans="1:6" ht="15.75" customHeight="1"/>
    <row r="4" spans="1:6" ht="15.75" customHeight="1"/>
    <row r="5" spans="1:6" ht="15.75" customHeight="1">
      <c r="A5" s="1" t="str">
        <f ca="1">IFERROR(__xludf.DUMMYFUNCTION("GOOGLEFINANCE(A2,""all"",C2, D2, ""WEEKLY"")"),"Date")</f>
        <v>Date</v>
      </c>
      <c r="B5" s="1" t="str">
        <f ca="1">IFERROR(__xludf.DUMMYFUNCTION("""COMPUTED_VALUE"""),"Open")</f>
        <v>Open</v>
      </c>
      <c r="C5" s="1" t="str">
        <f ca="1">IFERROR(__xludf.DUMMYFUNCTION("""COMPUTED_VALUE"""),"High")</f>
        <v>High</v>
      </c>
      <c r="D5" s="1" t="str">
        <f ca="1">IFERROR(__xludf.DUMMYFUNCTION("""COMPUTED_VALUE"""),"Low")</f>
        <v>Low</v>
      </c>
      <c r="E5" s="1" t="str">
        <f ca="1">IFERROR(__xludf.DUMMYFUNCTION("""COMPUTED_VALUE"""),"Close")</f>
        <v>Close</v>
      </c>
      <c r="F5" s="1" t="str">
        <f ca="1">IFERROR(__xludf.DUMMYFUNCTION("""COMPUTED_VALUE"""),"Volume")</f>
        <v>Volume</v>
      </c>
    </row>
    <row r="6" spans="1:6" ht="15.75" customHeight="1">
      <c r="A6" s="10">
        <f ca="1">IFERROR(__xludf.DUMMYFUNCTION("""COMPUTED_VALUE"""),40186.6666666666)</f>
        <v>40186.666666666599</v>
      </c>
      <c r="B6" s="1">
        <f ca="1">IFERROR(__xludf.DUMMYFUNCTION("""COMPUTED_VALUE"""),7.93)</f>
        <v>7.93</v>
      </c>
      <c r="C6" s="1">
        <f ca="1">IFERROR(__xludf.DUMMYFUNCTION("""COMPUTED_VALUE"""),7.96)</f>
        <v>7.96</v>
      </c>
      <c r="D6" s="1">
        <f ca="1">IFERROR(__xludf.DUMMYFUNCTION("""COMPUTED_VALUE"""),7.2)</f>
        <v>7.2</v>
      </c>
      <c r="E6" s="1">
        <f ca="1">IFERROR(__xludf.DUMMYFUNCTION("""COMPUTED_VALUE"""),7.61)</f>
        <v>7.61</v>
      </c>
      <c r="F6" s="1">
        <f ca="1">IFERROR(__xludf.DUMMYFUNCTION("""COMPUTED_VALUE"""),11774854)</f>
        <v>11774854</v>
      </c>
    </row>
    <row r="7" spans="1:6" ht="15.75" customHeight="1">
      <c r="A7" s="10">
        <f ca="1">IFERROR(__xludf.DUMMYFUNCTION("""COMPUTED_VALUE"""),40193.6666666666)</f>
        <v>40193.666666666599</v>
      </c>
      <c r="B7" s="1">
        <f ca="1">IFERROR(__xludf.DUMMYFUNCTION("""COMPUTED_VALUE"""),7.65)</f>
        <v>7.65</v>
      </c>
      <c r="C7" s="1">
        <f ca="1">IFERROR(__xludf.DUMMYFUNCTION("""COMPUTED_VALUE"""),7.75)</f>
        <v>7.75</v>
      </c>
      <c r="D7" s="1">
        <f ca="1">IFERROR(__xludf.DUMMYFUNCTION("""COMPUTED_VALUE"""),7.23)</f>
        <v>7.23</v>
      </c>
      <c r="E7" s="1">
        <f ca="1">IFERROR(__xludf.DUMMYFUNCTION("""COMPUTED_VALUE"""),7.28)</f>
        <v>7.28</v>
      </c>
      <c r="F7" s="1">
        <f ca="1">IFERROR(__xludf.DUMMYFUNCTION("""COMPUTED_VALUE"""),8321511)</f>
        <v>8321511</v>
      </c>
    </row>
    <row r="8" spans="1:6" ht="15.75" customHeight="1">
      <c r="A8" s="10">
        <f ca="1">IFERROR(__xludf.DUMMYFUNCTION("""COMPUTED_VALUE"""),40200.6666666666)</f>
        <v>40200.666666666599</v>
      </c>
      <c r="B8" s="1">
        <f ca="1">IFERROR(__xludf.DUMMYFUNCTION("""COMPUTED_VALUE"""),7.25)</f>
        <v>7.25</v>
      </c>
      <c r="C8" s="1">
        <f ca="1">IFERROR(__xludf.DUMMYFUNCTION("""COMPUTED_VALUE"""),7.49)</f>
        <v>7.49</v>
      </c>
      <c r="D8" s="1">
        <f ca="1">IFERROR(__xludf.DUMMYFUNCTION("""COMPUTED_VALUE"""),7.21)</f>
        <v>7.21</v>
      </c>
      <c r="E8" s="1">
        <f ca="1">IFERROR(__xludf.DUMMYFUNCTION("""COMPUTED_VALUE"""),7.27)</f>
        <v>7.27</v>
      </c>
      <c r="F8" s="1">
        <f ca="1">IFERROR(__xludf.DUMMYFUNCTION("""COMPUTED_VALUE"""),4719226)</f>
        <v>4719226</v>
      </c>
    </row>
    <row r="9" spans="1:6" ht="15.75" customHeight="1">
      <c r="A9" s="10">
        <f ca="1">IFERROR(__xludf.DUMMYFUNCTION("""COMPUTED_VALUE"""),40207.6666666666)</f>
        <v>40207.666666666599</v>
      </c>
      <c r="B9" s="1">
        <f ca="1">IFERROR(__xludf.DUMMYFUNCTION("""COMPUTED_VALUE"""),7.29)</f>
        <v>7.29</v>
      </c>
      <c r="C9" s="1">
        <f ca="1">IFERROR(__xludf.DUMMYFUNCTION("""COMPUTED_VALUE"""),9.22)</f>
        <v>9.2200000000000006</v>
      </c>
      <c r="D9" s="1">
        <f ca="1">IFERROR(__xludf.DUMMYFUNCTION("""COMPUTED_VALUE"""),6.93)</f>
        <v>6.93</v>
      </c>
      <c r="E9" s="1">
        <f ca="1">IFERROR(__xludf.DUMMYFUNCTION("""COMPUTED_VALUE"""),8.89)</f>
        <v>8.89</v>
      </c>
      <c r="F9" s="1">
        <f ca="1">IFERROR(__xludf.DUMMYFUNCTION("""COMPUTED_VALUE"""),21497221)</f>
        <v>21497221</v>
      </c>
    </row>
    <row r="10" spans="1:6" ht="15.75" customHeight="1">
      <c r="A10" s="10">
        <f ca="1">IFERROR(__xludf.DUMMYFUNCTION("""COMPUTED_VALUE"""),40214.6666666666)</f>
        <v>40214.666666666599</v>
      </c>
      <c r="B10" s="1">
        <f ca="1">IFERROR(__xludf.DUMMYFUNCTION("""COMPUTED_VALUE"""),8.84)</f>
        <v>8.84</v>
      </c>
      <c r="C10" s="1">
        <f ca="1">IFERROR(__xludf.DUMMYFUNCTION("""COMPUTED_VALUE"""),8.98)</f>
        <v>8.98</v>
      </c>
      <c r="D10" s="1">
        <f ca="1">IFERROR(__xludf.DUMMYFUNCTION("""COMPUTED_VALUE"""),8.47)</f>
        <v>8.4700000000000006</v>
      </c>
      <c r="E10" s="1">
        <f ca="1">IFERROR(__xludf.DUMMYFUNCTION("""COMPUTED_VALUE"""),8.69)</f>
        <v>8.69</v>
      </c>
      <c r="F10" s="1">
        <f ca="1">IFERROR(__xludf.DUMMYFUNCTION("""COMPUTED_VALUE"""),8578451)</f>
        <v>8578451</v>
      </c>
    </row>
    <row r="11" spans="1:6" ht="15.75" customHeight="1">
      <c r="A11" s="10">
        <f ca="1">IFERROR(__xludf.DUMMYFUNCTION("""COMPUTED_VALUE"""),40221.6666666666)</f>
        <v>40221.666666666599</v>
      </c>
      <c r="B11" s="1">
        <f ca="1">IFERROR(__xludf.DUMMYFUNCTION("""COMPUTED_VALUE"""),8.69)</f>
        <v>8.69</v>
      </c>
      <c r="C11" s="1">
        <f ca="1">IFERROR(__xludf.DUMMYFUNCTION("""COMPUTED_VALUE"""),9.07)</f>
        <v>9.07</v>
      </c>
      <c r="D11" s="1">
        <f ca="1">IFERROR(__xludf.DUMMYFUNCTION("""COMPUTED_VALUE"""),8.57)</f>
        <v>8.57</v>
      </c>
      <c r="E11" s="1">
        <f ca="1">IFERROR(__xludf.DUMMYFUNCTION("""COMPUTED_VALUE"""),9.03)</f>
        <v>9.0299999999999994</v>
      </c>
      <c r="F11" s="1">
        <f ca="1">IFERROR(__xludf.DUMMYFUNCTION("""COMPUTED_VALUE"""),5654315)</f>
        <v>5654315</v>
      </c>
    </row>
    <row r="12" spans="1:6" ht="15.75" customHeight="1">
      <c r="A12" s="10">
        <f ca="1">IFERROR(__xludf.DUMMYFUNCTION("""COMPUTED_VALUE"""),40228.6666666666)</f>
        <v>40228.666666666599</v>
      </c>
      <c r="B12" s="1">
        <f ca="1">IFERROR(__xludf.DUMMYFUNCTION("""COMPUTED_VALUE"""),9.07)</f>
        <v>9.07</v>
      </c>
      <c r="C12" s="1">
        <f ca="1">IFERROR(__xludf.DUMMYFUNCTION("""COMPUTED_VALUE"""),9.58)</f>
        <v>9.58</v>
      </c>
      <c r="D12" s="1">
        <f ca="1">IFERROR(__xludf.DUMMYFUNCTION("""COMPUTED_VALUE"""),9.06)</f>
        <v>9.06</v>
      </c>
      <c r="E12" s="1">
        <f ca="1">IFERROR(__xludf.DUMMYFUNCTION("""COMPUTED_VALUE"""),9.52)</f>
        <v>9.52</v>
      </c>
      <c r="F12" s="1">
        <f ca="1">IFERROR(__xludf.DUMMYFUNCTION("""COMPUTED_VALUE"""),5105419)</f>
        <v>5105419</v>
      </c>
    </row>
    <row r="13" spans="1:6" ht="15.75" customHeight="1">
      <c r="A13" s="10">
        <f ca="1">IFERROR(__xludf.DUMMYFUNCTION("""COMPUTED_VALUE"""),40235.6666666666)</f>
        <v>40235.666666666599</v>
      </c>
      <c r="B13" s="1">
        <f ca="1">IFERROR(__xludf.DUMMYFUNCTION("""COMPUTED_VALUE"""),9.53)</f>
        <v>9.5299999999999994</v>
      </c>
      <c r="C13" s="1">
        <f ca="1">IFERROR(__xludf.DUMMYFUNCTION("""COMPUTED_VALUE"""),9.61)</f>
        <v>9.61</v>
      </c>
      <c r="D13" s="1">
        <f ca="1">IFERROR(__xludf.DUMMYFUNCTION("""COMPUTED_VALUE"""),9.01)</f>
        <v>9.01</v>
      </c>
      <c r="E13" s="1">
        <f ca="1">IFERROR(__xludf.DUMMYFUNCTION("""COMPUTED_VALUE"""),9.44)</f>
        <v>9.44</v>
      </c>
      <c r="F13" s="1">
        <f ca="1">IFERROR(__xludf.DUMMYFUNCTION("""COMPUTED_VALUE"""),11384864)</f>
        <v>11384864</v>
      </c>
    </row>
    <row r="14" spans="1:6" ht="15.75" customHeight="1">
      <c r="A14" s="10">
        <f ca="1">IFERROR(__xludf.DUMMYFUNCTION("""COMPUTED_VALUE"""),40242.6666666666)</f>
        <v>40242.666666666599</v>
      </c>
      <c r="B14" s="1">
        <f ca="1">IFERROR(__xludf.DUMMYFUNCTION("""COMPUTED_VALUE"""),9.5)</f>
        <v>9.5</v>
      </c>
      <c r="C14" s="1">
        <f ca="1">IFERROR(__xludf.DUMMYFUNCTION("""COMPUTED_VALUE"""),10)</f>
        <v>10</v>
      </c>
      <c r="D14" s="1">
        <f ca="1">IFERROR(__xludf.DUMMYFUNCTION("""COMPUTED_VALUE"""),9.37)</f>
        <v>9.3699999999999992</v>
      </c>
      <c r="E14" s="1">
        <f ca="1">IFERROR(__xludf.DUMMYFUNCTION("""COMPUTED_VALUE"""),9.66)</f>
        <v>9.66</v>
      </c>
      <c r="F14" s="1">
        <f ca="1">IFERROR(__xludf.DUMMYFUNCTION("""COMPUTED_VALUE"""),9008079)</f>
        <v>9008079</v>
      </c>
    </row>
    <row r="15" spans="1:6" ht="15.75" customHeight="1">
      <c r="A15" s="10">
        <f ca="1">IFERROR(__xludf.DUMMYFUNCTION("""COMPUTED_VALUE"""),40249.6666666666)</f>
        <v>40249.666666666599</v>
      </c>
      <c r="B15" s="1">
        <f ca="1">IFERROR(__xludf.DUMMYFUNCTION("""COMPUTED_VALUE"""),9.71)</f>
        <v>9.7100000000000009</v>
      </c>
      <c r="C15" s="1">
        <f ca="1">IFERROR(__xludf.DUMMYFUNCTION("""COMPUTED_VALUE"""),10.23)</f>
        <v>10.23</v>
      </c>
      <c r="D15" s="1">
        <f ca="1">IFERROR(__xludf.DUMMYFUNCTION("""COMPUTED_VALUE"""),9.69)</f>
        <v>9.69</v>
      </c>
      <c r="E15" s="1">
        <f ca="1">IFERROR(__xludf.DUMMYFUNCTION("""COMPUTED_VALUE"""),10)</f>
        <v>10</v>
      </c>
      <c r="F15" s="1">
        <f ca="1">IFERROR(__xludf.DUMMYFUNCTION("""COMPUTED_VALUE"""),6545692)</f>
        <v>6545692</v>
      </c>
    </row>
    <row r="16" spans="1:6" ht="15.75" customHeight="1">
      <c r="A16" s="10">
        <f ca="1">IFERROR(__xludf.DUMMYFUNCTION("""COMPUTED_VALUE"""),40256.6666666666)</f>
        <v>40256.666666666599</v>
      </c>
      <c r="B16" s="1">
        <f ca="1">IFERROR(__xludf.DUMMYFUNCTION("""COMPUTED_VALUE"""),9.96)</f>
        <v>9.9600000000000009</v>
      </c>
      <c r="C16" s="1">
        <f ca="1">IFERROR(__xludf.DUMMYFUNCTION("""COMPUTED_VALUE"""),10.25)</f>
        <v>10.25</v>
      </c>
      <c r="D16" s="1">
        <f ca="1">IFERROR(__xludf.DUMMYFUNCTION("""COMPUTED_VALUE"""),9.88)</f>
        <v>9.8800000000000008</v>
      </c>
      <c r="E16" s="1">
        <f ca="1">IFERROR(__xludf.DUMMYFUNCTION("""COMPUTED_VALUE"""),10.06)</f>
        <v>10.06</v>
      </c>
      <c r="F16" s="1">
        <f ca="1">IFERROR(__xludf.DUMMYFUNCTION("""COMPUTED_VALUE"""),4772518)</f>
        <v>4772518</v>
      </c>
    </row>
    <row r="17" spans="1:6" ht="15.75" customHeight="1">
      <c r="A17" s="10">
        <f ca="1">IFERROR(__xludf.DUMMYFUNCTION("""COMPUTED_VALUE"""),40263.6666666666)</f>
        <v>40263.666666666599</v>
      </c>
      <c r="B17" s="1">
        <f ca="1">IFERROR(__xludf.DUMMYFUNCTION("""COMPUTED_VALUE"""),10.05)</f>
        <v>10.050000000000001</v>
      </c>
      <c r="C17" s="1">
        <f ca="1">IFERROR(__xludf.DUMMYFUNCTION("""COMPUTED_VALUE"""),10.71)</f>
        <v>10.71</v>
      </c>
      <c r="D17" s="1">
        <f ca="1">IFERROR(__xludf.DUMMYFUNCTION("""COMPUTED_VALUE"""),10.01)</f>
        <v>10.01</v>
      </c>
      <c r="E17" s="1">
        <f ca="1">IFERROR(__xludf.DUMMYFUNCTION("""COMPUTED_VALUE"""),10.61)</f>
        <v>10.61</v>
      </c>
      <c r="F17" s="1">
        <f ca="1">IFERROR(__xludf.DUMMYFUNCTION("""COMPUTED_VALUE"""),4196382)</f>
        <v>4196382</v>
      </c>
    </row>
    <row r="18" spans="1:6" ht="15.75" customHeight="1">
      <c r="A18" s="10">
        <f ca="1">IFERROR(__xludf.DUMMYFUNCTION("""COMPUTED_VALUE"""),40269.6666666666)</f>
        <v>40269.666666666599</v>
      </c>
      <c r="B18" s="1">
        <f ca="1">IFERROR(__xludf.DUMMYFUNCTION("""COMPUTED_VALUE"""),10.69)</f>
        <v>10.69</v>
      </c>
      <c r="C18" s="1">
        <f ca="1">IFERROR(__xludf.DUMMYFUNCTION("""COMPUTED_VALUE"""),10.81)</f>
        <v>10.81</v>
      </c>
      <c r="D18" s="1">
        <f ca="1">IFERROR(__xludf.DUMMYFUNCTION("""COMPUTED_VALUE"""),10.52)</f>
        <v>10.52</v>
      </c>
      <c r="E18" s="1">
        <f ca="1">IFERROR(__xludf.DUMMYFUNCTION("""COMPUTED_VALUE"""),10.71)</f>
        <v>10.71</v>
      </c>
      <c r="F18" s="1">
        <f ca="1">IFERROR(__xludf.DUMMYFUNCTION("""COMPUTED_VALUE"""),4650766)</f>
        <v>4650766</v>
      </c>
    </row>
    <row r="19" spans="1:6" ht="15.75" customHeight="1">
      <c r="A19" s="10">
        <f ca="1">IFERROR(__xludf.DUMMYFUNCTION("""COMPUTED_VALUE"""),40277.6666666666)</f>
        <v>40277.666666666599</v>
      </c>
      <c r="B19" s="1">
        <f ca="1">IFERROR(__xludf.DUMMYFUNCTION("""COMPUTED_VALUE"""),10.8)</f>
        <v>10.8</v>
      </c>
      <c r="C19" s="1">
        <f ca="1">IFERROR(__xludf.DUMMYFUNCTION("""COMPUTED_VALUE"""),12)</f>
        <v>12</v>
      </c>
      <c r="D19" s="1">
        <f ca="1">IFERROR(__xludf.DUMMYFUNCTION("""COMPUTED_VALUE"""),10.8)</f>
        <v>10.8</v>
      </c>
      <c r="E19" s="1">
        <f ca="1">IFERROR(__xludf.DUMMYFUNCTION("""COMPUTED_VALUE"""),11.77)</f>
        <v>11.77</v>
      </c>
      <c r="F19" s="1">
        <f ca="1">IFERROR(__xludf.DUMMYFUNCTION("""COMPUTED_VALUE"""),13546037)</f>
        <v>13546037</v>
      </c>
    </row>
    <row r="20" spans="1:6" ht="15.75" customHeight="1">
      <c r="A20" s="10">
        <f ca="1">IFERROR(__xludf.DUMMYFUNCTION("""COMPUTED_VALUE"""),40284.6666666666)</f>
        <v>40284.666666666599</v>
      </c>
      <c r="B20" s="1">
        <f ca="1">IFERROR(__xludf.DUMMYFUNCTION("""COMPUTED_VALUE"""),11.76)</f>
        <v>11.76</v>
      </c>
      <c r="C20" s="1">
        <f ca="1">IFERROR(__xludf.DUMMYFUNCTION("""COMPUTED_VALUE"""),12.73)</f>
        <v>12.73</v>
      </c>
      <c r="D20" s="1">
        <f ca="1">IFERROR(__xludf.DUMMYFUNCTION("""COMPUTED_VALUE"""),11.65)</f>
        <v>11.65</v>
      </c>
      <c r="E20" s="1">
        <f ca="1">IFERROR(__xludf.DUMMYFUNCTION("""COMPUTED_VALUE"""),12.19)</f>
        <v>12.19</v>
      </c>
      <c r="F20" s="1">
        <f ca="1">IFERROR(__xludf.DUMMYFUNCTION("""COMPUTED_VALUE"""),9700949)</f>
        <v>9700949</v>
      </c>
    </row>
    <row r="21" spans="1:6" ht="15.75" customHeight="1">
      <c r="A21" s="10">
        <f ca="1">IFERROR(__xludf.DUMMYFUNCTION("""COMPUTED_VALUE"""),40291.6666666666)</f>
        <v>40291.666666666599</v>
      </c>
      <c r="B21" s="1">
        <f ca="1">IFERROR(__xludf.DUMMYFUNCTION("""COMPUTED_VALUE"""),12.18)</f>
        <v>12.18</v>
      </c>
      <c r="C21" s="1">
        <f ca="1">IFERROR(__xludf.DUMMYFUNCTION("""COMPUTED_VALUE"""),14.64)</f>
        <v>14.64</v>
      </c>
      <c r="D21" s="1">
        <f ca="1">IFERROR(__xludf.DUMMYFUNCTION("""COMPUTED_VALUE"""),11.82)</f>
        <v>11.82</v>
      </c>
      <c r="E21" s="1">
        <f ca="1">IFERROR(__xludf.DUMMYFUNCTION("""COMPUTED_VALUE"""),14.25)</f>
        <v>14.25</v>
      </c>
      <c r="F21" s="1">
        <f ca="1">IFERROR(__xludf.DUMMYFUNCTION("""COMPUTED_VALUE"""),24362055)</f>
        <v>24362055</v>
      </c>
    </row>
    <row r="22" spans="1:6" ht="15.75" customHeight="1">
      <c r="A22" s="10">
        <f ca="1">IFERROR(__xludf.DUMMYFUNCTION("""COMPUTED_VALUE"""),40298.6666666666)</f>
        <v>40298.666666666599</v>
      </c>
      <c r="B22" s="1">
        <f ca="1">IFERROR(__xludf.DUMMYFUNCTION("""COMPUTED_VALUE"""),14.36)</f>
        <v>14.36</v>
      </c>
      <c r="C22" s="1">
        <f ca="1">IFERROR(__xludf.DUMMYFUNCTION("""COMPUTED_VALUE"""),15.67)</f>
        <v>15.67</v>
      </c>
      <c r="D22" s="1">
        <f ca="1">IFERROR(__xludf.DUMMYFUNCTION("""COMPUTED_VALUE"""),13.97)</f>
        <v>13.97</v>
      </c>
      <c r="E22" s="1">
        <f ca="1">IFERROR(__xludf.DUMMYFUNCTION("""COMPUTED_VALUE"""),14.13)</f>
        <v>14.13</v>
      </c>
      <c r="F22" s="1">
        <f ca="1">IFERROR(__xludf.DUMMYFUNCTION("""COMPUTED_VALUE"""),19343412)</f>
        <v>19343412</v>
      </c>
    </row>
    <row r="23" spans="1:6" ht="15.75" customHeight="1">
      <c r="A23" s="10">
        <f ca="1">IFERROR(__xludf.DUMMYFUNCTION("""COMPUTED_VALUE"""),40305.6666666666)</f>
        <v>40305.666666666599</v>
      </c>
      <c r="B23" s="1">
        <f ca="1">IFERROR(__xludf.DUMMYFUNCTION("""COMPUTED_VALUE"""),14.26)</f>
        <v>14.26</v>
      </c>
      <c r="C23" s="1">
        <f ca="1">IFERROR(__xludf.DUMMYFUNCTION("""COMPUTED_VALUE"""),14.83)</f>
        <v>14.83</v>
      </c>
      <c r="D23" s="1">
        <f ca="1">IFERROR(__xludf.DUMMYFUNCTION("""COMPUTED_VALUE"""),12.86)</f>
        <v>12.86</v>
      </c>
      <c r="E23" s="1">
        <f ca="1">IFERROR(__xludf.DUMMYFUNCTION("""COMPUTED_VALUE"""),13.01)</f>
        <v>13.01</v>
      </c>
      <c r="F23" s="1">
        <f ca="1">IFERROR(__xludf.DUMMYFUNCTION("""COMPUTED_VALUE"""),13497334)</f>
        <v>13497334</v>
      </c>
    </row>
    <row r="24" spans="1:6" ht="15.75" customHeight="1">
      <c r="A24" s="10">
        <f ca="1">IFERROR(__xludf.DUMMYFUNCTION("""COMPUTED_VALUE"""),40312.6666666666)</f>
        <v>40312.666666666599</v>
      </c>
      <c r="B24" s="1">
        <f ca="1">IFERROR(__xludf.DUMMYFUNCTION("""COMPUTED_VALUE"""),13.75)</f>
        <v>13.75</v>
      </c>
      <c r="C24" s="1">
        <f ca="1">IFERROR(__xludf.DUMMYFUNCTION("""COMPUTED_VALUE"""),17.07)</f>
        <v>17.07</v>
      </c>
      <c r="D24" s="1">
        <f ca="1">IFERROR(__xludf.DUMMYFUNCTION("""COMPUTED_VALUE"""),13.57)</f>
        <v>13.57</v>
      </c>
      <c r="E24" s="1">
        <f ca="1">IFERROR(__xludf.DUMMYFUNCTION("""COMPUTED_VALUE"""),14.37)</f>
        <v>14.37</v>
      </c>
      <c r="F24" s="1">
        <f ca="1">IFERROR(__xludf.DUMMYFUNCTION("""COMPUTED_VALUE"""),25069891)</f>
        <v>25069891</v>
      </c>
    </row>
    <row r="25" spans="1:6" ht="15.75" customHeight="1">
      <c r="A25" s="10">
        <f ca="1">IFERROR(__xludf.DUMMYFUNCTION("""COMPUTED_VALUE"""),40319.6666666666)</f>
        <v>40319.666666666599</v>
      </c>
      <c r="B25" s="1">
        <f ca="1">IFERROR(__xludf.DUMMYFUNCTION("""COMPUTED_VALUE"""),14.47)</f>
        <v>14.47</v>
      </c>
      <c r="C25" s="1">
        <f ca="1">IFERROR(__xludf.DUMMYFUNCTION("""COMPUTED_VALUE"""),15.39)</f>
        <v>15.39</v>
      </c>
      <c r="D25" s="1">
        <f ca="1">IFERROR(__xludf.DUMMYFUNCTION("""COMPUTED_VALUE"""),12.97)</f>
        <v>12.97</v>
      </c>
      <c r="E25" s="1">
        <f ca="1">IFERROR(__xludf.DUMMYFUNCTION("""COMPUTED_VALUE"""),14.21)</f>
        <v>14.21</v>
      </c>
      <c r="F25" s="1">
        <f ca="1">IFERROR(__xludf.DUMMYFUNCTION("""COMPUTED_VALUE"""),20143176)</f>
        <v>20143176</v>
      </c>
    </row>
    <row r="26" spans="1:6" ht="15.75" customHeight="1">
      <c r="A26" s="10">
        <f ca="1">IFERROR(__xludf.DUMMYFUNCTION("""COMPUTED_VALUE"""),40326.6666666666)</f>
        <v>40326.666666666599</v>
      </c>
      <c r="B26" s="1">
        <f ca="1">IFERROR(__xludf.DUMMYFUNCTION("""COMPUTED_VALUE"""),14.49)</f>
        <v>14.49</v>
      </c>
      <c r="C26" s="1">
        <f ca="1">IFERROR(__xludf.DUMMYFUNCTION("""COMPUTED_VALUE"""),16.28)</f>
        <v>16.28</v>
      </c>
      <c r="D26" s="1">
        <f ca="1">IFERROR(__xludf.DUMMYFUNCTION("""COMPUTED_VALUE"""),13.86)</f>
        <v>13.86</v>
      </c>
      <c r="E26" s="1">
        <f ca="1">IFERROR(__xludf.DUMMYFUNCTION("""COMPUTED_VALUE"""),15.88)</f>
        <v>15.88</v>
      </c>
      <c r="F26" s="1">
        <f ca="1">IFERROR(__xludf.DUMMYFUNCTION("""COMPUTED_VALUE"""),17586729)</f>
        <v>17586729</v>
      </c>
    </row>
    <row r="27" spans="1:6" ht="15.75" customHeight="1">
      <c r="A27" s="10">
        <f ca="1">IFERROR(__xludf.DUMMYFUNCTION("""COMPUTED_VALUE"""),40333.6666666666)</f>
        <v>40333.666666666599</v>
      </c>
      <c r="B27" s="1">
        <f ca="1">IFERROR(__xludf.DUMMYFUNCTION("""COMPUTED_VALUE"""),15.63)</f>
        <v>15.63</v>
      </c>
      <c r="C27" s="1">
        <f ca="1">IFERROR(__xludf.DUMMYFUNCTION("""COMPUTED_VALUE"""),16.39)</f>
        <v>16.39</v>
      </c>
      <c r="D27" s="1">
        <f ca="1">IFERROR(__xludf.DUMMYFUNCTION("""COMPUTED_VALUE"""),14.97)</f>
        <v>14.97</v>
      </c>
      <c r="E27" s="1">
        <f ca="1">IFERROR(__xludf.DUMMYFUNCTION("""COMPUTED_VALUE"""),15.68)</f>
        <v>15.68</v>
      </c>
      <c r="F27" s="1">
        <f ca="1">IFERROR(__xludf.DUMMYFUNCTION("""COMPUTED_VALUE"""),10628734)</f>
        <v>10628734</v>
      </c>
    </row>
    <row r="28" spans="1:6" ht="15.75" customHeight="1">
      <c r="A28" s="10">
        <f ca="1">IFERROR(__xludf.DUMMYFUNCTION("""COMPUTED_VALUE"""),40340.6666666666)</f>
        <v>40340.666666666599</v>
      </c>
      <c r="B28" s="1">
        <f ca="1">IFERROR(__xludf.DUMMYFUNCTION("""COMPUTED_VALUE"""),15.64)</f>
        <v>15.64</v>
      </c>
      <c r="C28" s="1">
        <f ca="1">IFERROR(__xludf.DUMMYFUNCTION("""COMPUTED_VALUE"""),17.36)</f>
        <v>17.36</v>
      </c>
      <c r="D28" s="1">
        <f ca="1">IFERROR(__xludf.DUMMYFUNCTION("""COMPUTED_VALUE"""),15.32)</f>
        <v>15.32</v>
      </c>
      <c r="E28" s="1">
        <f ca="1">IFERROR(__xludf.DUMMYFUNCTION("""COMPUTED_VALUE"""),17.24)</f>
        <v>17.239999999999998</v>
      </c>
      <c r="F28" s="1">
        <f ca="1">IFERROR(__xludf.DUMMYFUNCTION("""COMPUTED_VALUE"""),20509405)</f>
        <v>20509405</v>
      </c>
    </row>
    <row r="29" spans="1:6" ht="15.75" customHeight="1">
      <c r="A29" s="10">
        <f ca="1">IFERROR(__xludf.DUMMYFUNCTION("""COMPUTED_VALUE"""),40347.6666666666)</f>
        <v>40347.666666666599</v>
      </c>
      <c r="B29" s="1">
        <f ca="1">IFERROR(__xludf.DUMMYFUNCTION("""COMPUTED_VALUE"""),17.63)</f>
        <v>17.63</v>
      </c>
      <c r="C29" s="1">
        <f ca="1">IFERROR(__xludf.DUMMYFUNCTION("""COMPUTED_VALUE"""),18.28)</f>
        <v>18.28</v>
      </c>
      <c r="D29" s="1">
        <f ca="1">IFERROR(__xludf.DUMMYFUNCTION("""COMPUTED_VALUE"""),17.15)</f>
        <v>17.149999999999999</v>
      </c>
      <c r="E29" s="1">
        <f ca="1">IFERROR(__xludf.DUMMYFUNCTION("""COMPUTED_VALUE"""),18.06)</f>
        <v>18.059999999999999</v>
      </c>
      <c r="F29" s="1">
        <f ca="1">IFERROR(__xludf.DUMMYFUNCTION("""COMPUTED_VALUE"""),19032378)</f>
        <v>19032378</v>
      </c>
    </row>
    <row r="30" spans="1:6" ht="15.75" customHeight="1">
      <c r="A30" s="10">
        <f ca="1">IFERROR(__xludf.DUMMYFUNCTION("""COMPUTED_VALUE"""),40354.6666666666)</f>
        <v>40354.666666666599</v>
      </c>
      <c r="B30" s="1">
        <f ca="1">IFERROR(__xludf.DUMMYFUNCTION("""COMPUTED_VALUE"""),18.01)</f>
        <v>18.010000000000002</v>
      </c>
      <c r="C30" s="1">
        <f ca="1">IFERROR(__xludf.DUMMYFUNCTION("""COMPUTED_VALUE"""),18.1)</f>
        <v>18.100000000000001</v>
      </c>
      <c r="D30" s="1">
        <f ca="1">IFERROR(__xludf.DUMMYFUNCTION("""COMPUTED_VALUE"""),16.07)</f>
        <v>16.07</v>
      </c>
      <c r="E30" s="1">
        <f ca="1">IFERROR(__xludf.DUMMYFUNCTION("""COMPUTED_VALUE"""),16.85)</f>
        <v>16.850000000000001</v>
      </c>
      <c r="F30" s="1">
        <f ca="1">IFERROR(__xludf.DUMMYFUNCTION("""COMPUTED_VALUE"""),14340758)</f>
        <v>14340758</v>
      </c>
    </row>
    <row r="31" spans="1:6" ht="15.75" customHeight="1">
      <c r="A31" s="10">
        <f ca="1">IFERROR(__xludf.DUMMYFUNCTION("""COMPUTED_VALUE"""),40361.6666666666)</f>
        <v>40361.666666666599</v>
      </c>
      <c r="B31" s="1">
        <f ca="1">IFERROR(__xludf.DUMMYFUNCTION("""COMPUTED_VALUE"""),16.95)</f>
        <v>16.95</v>
      </c>
      <c r="C31" s="1">
        <f ca="1">IFERROR(__xludf.DUMMYFUNCTION("""COMPUTED_VALUE"""),17.13)</f>
        <v>17.13</v>
      </c>
      <c r="D31" s="1">
        <f ca="1">IFERROR(__xludf.DUMMYFUNCTION("""COMPUTED_VALUE"""),14.75)</f>
        <v>14.75</v>
      </c>
      <c r="E31" s="1">
        <f ca="1">IFERROR(__xludf.DUMMYFUNCTION("""COMPUTED_VALUE"""),15.3)</f>
        <v>15.3</v>
      </c>
      <c r="F31" s="1">
        <f ca="1">IFERROR(__xludf.DUMMYFUNCTION("""COMPUTED_VALUE"""),13155263)</f>
        <v>13155263</v>
      </c>
    </row>
    <row r="32" spans="1:6" ht="15.75" customHeight="1">
      <c r="A32" s="10">
        <f ca="1">IFERROR(__xludf.DUMMYFUNCTION("""COMPUTED_VALUE"""),40368.6666666666)</f>
        <v>40368.666666666599</v>
      </c>
      <c r="B32" s="1">
        <f ca="1">IFERROR(__xludf.DUMMYFUNCTION("""COMPUTED_VALUE"""),15.63)</f>
        <v>15.63</v>
      </c>
      <c r="C32" s="1">
        <f ca="1">IFERROR(__xludf.DUMMYFUNCTION("""COMPUTED_VALUE"""),17.54)</f>
        <v>17.54</v>
      </c>
      <c r="D32" s="1">
        <f ca="1">IFERROR(__xludf.DUMMYFUNCTION("""COMPUTED_VALUE"""),15.18)</f>
        <v>15.18</v>
      </c>
      <c r="E32" s="1">
        <f ca="1">IFERROR(__xludf.DUMMYFUNCTION("""COMPUTED_VALUE"""),16.79)</f>
        <v>16.79</v>
      </c>
      <c r="F32" s="1">
        <f ca="1">IFERROR(__xludf.DUMMYFUNCTION("""COMPUTED_VALUE"""),11898177)</f>
        <v>11898177</v>
      </c>
    </row>
    <row r="33" spans="1:6" ht="15.75" customHeight="1">
      <c r="A33" s="10">
        <f ca="1">IFERROR(__xludf.DUMMYFUNCTION("""COMPUTED_VALUE"""),40375.6666666666)</f>
        <v>40375.666666666599</v>
      </c>
      <c r="B33" s="1">
        <f ca="1">IFERROR(__xludf.DUMMYFUNCTION("""COMPUTED_VALUE"""),16.85)</f>
        <v>16.850000000000001</v>
      </c>
      <c r="C33" s="1">
        <f ca="1">IFERROR(__xludf.DUMMYFUNCTION("""COMPUTED_VALUE"""),17.71)</f>
        <v>17.71</v>
      </c>
      <c r="D33" s="1">
        <f ca="1">IFERROR(__xludf.DUMMYFUNCTION("""COMPUTED_VALUE"""),16.73)</f>
        <v>16.73</v>
      </c>
      <c r="E33" s="1">
        <f ca="1">IFERROR(__xludf.DUMMYFUNCTION("""COMPUTED_VALUE"""),16.91)</f>
        <v>16.91</v>
      </c>
      <c r="F33" s="1">
        <f ca="1">IFERROR(__xludf.DUMMYFUNCTION("""COMPUTED_VALUE"""),10634703)</f>
        <v>10634703</v>
      </c>
    </row>
    <row r="34" spans="1:6" ht="15.75" customHeight="1">
      <c r="A34" s="10">
        <f ca="1">IFERROR(__xludf.DUMMYFUNCTION("""COMPUTED_VALUE"""),40382.6666666666)</f>
        <v>40382.666666666599</v>
      </c>
      <c r="B34" s="1">
        <f ca="1">IFERROR(__xludf.DUMMYFUNCTION("""COMPUTED_VALUE"""),16.82)</f>
        <v>16.82</v>
      </c>
      <c r="C34" s="1">
        <f ca="1">IFERROR(__xludf.DUMMYFUNCTION("""COMPUTED_VALUE"""),17.66)</f>
        <v>17.66</v>
      </c>
      <c r="D34" s="1">
        <f ca="1">IFERROR(__xludf.DUMMYFUNCTION("""COMPUTED_VALUE"""),14.54)</f>
        <v>14.54</v>
      </c>
      <c r="E34" s="1">
        <f ca="1">IFERROR(__xludf.DUMMYFUNCTION("""COMPUTED_VALUE"""),15.39)</f>
        <v>15.39</v>
      </c>
      <c r="F34" s="1">
        <f ca="1">IFERROR(__xludf.DUMMYFUNCTION("""COMPUTED_VALUE"""),27579802)</f>
        <v>27579802</v>
      </c>
    </row>
    <row r="35" spans="1:6" ht="15.75" customHeight="1">
      <c r="A35" s="10">
        <f ca="1">IFERROR(__xludf.DUMMYFUNCTION("""COMPUTED_VALUE"""),40389.6666666666)</f>
        <v>40389.666666666599</v>
      </c>
      <c r="B35" s="1">
        <f ca="1">IFERROR(__xludf.DUMMYFUNCTION("""COMPUTED_VALUE"""),15.5)</f>
        <v>15.5</v>
      </c>
      <c r="C35" s="1">
        <f ca="1">IFERROR(__xludf.DUMMYFUNCTION("""COMPUTED_VALUE"""),15.57)</f>
        <v>15.57</v>
      </c>
      <c r="D35" s="1">
        <f ca="1">IFERROR(__xludf.DUMMYFUNCTION("""COMPUTED_VALUE"""),13.62)</f>
        <v>13.62</v>
      </c>
      <c r="E35" s="1">
        <f ca="1">IFERROR(__xludf.DUMMYFUNCTION("""COMPUTED_VALUE"""),14.65)</f>
        <v>14.65</v>
      </c>
      <c r="F35" s="1">
        <f ca="1">IFERROR(__xludf.DUMMYFUNCTION("""COMPUTED_VALUE"""),22273905)</f>
        <v>22273905</v>
      </c>
    </row>
    <row r="36" spans="1:6" ht="15.75" customHeight="1">
      <c r="A36" s="10">
        <f ca="1">IFERROR(__xludf.DUMMYFUNCTION("""COMPUTED_VALUE"""),40396.6666666666)</f>
        <v>40396.666666666599</v>
      </c>
      <c r="B36" s="1">
        <f ca="1">IFERROR(__xludf.DUMMYFUNCTION("""COMPUTED_VALUE"""),14.83)</f>
        <v>14.83</v>
      </c>
      <c r="C36" s="1">
        <f ca="1">IFERROR(__xludf.DUMMYFUNCTION("""COMPUTED_VALUE"""),16.96)</f>
        <v>16.96</v>
      </c>
      <c r="D36" s="1">
        <f ca="1">IFERROR(__xludf.DUMMYFUNCTION("""COMPUTED_VALUE"""),14.1)</f>
        <v>14.1</v>
      </c>
      <c r="E36" s="1">
        <f ca="1">IFERROR(__xludf.DUMMYFUNCTION("""COMPUTED_VALUE"""),16.9)</f>
        <v>16.899999999999999</v>
      </c>
      <c r="F36" s="1">
        <f ca="1">IFERROR(__xludf.DUMMYFUNCTION("""COMPUTED_VALUE"""),21675385)</f>
        <v>21675385</v>
      </c>
    </row>
    <row r="37" spans="1:6" ht="15.75" customHeight="1">
      <c r="A37" s="10">
        <f ca="1">IFERROR(__xludf.DUMMYFUNCTION("""COMPUTED_VALUE"""),40403.6666666666)</f>
        <v>40403.666666666599</v>
      </c>
      <c r="B37" s="1">
        <f ca="1">IFERROR(__xludf.DUMMYFUNCTION("""COMPUTED_VALUE"""),16.86)</f>
        <v>16.86</v>
      </c>
      <c r="C37" s="1">
        <f ca="1">IFERROR(__xludf.DUMMYFUNCTION("""COMPUTED_VALUE"""),19.2)</f>
        <v>19.2</v>
      </c>
      <c r="D37" s="1">
        <f ca="1">IFERROR(__xludf.DUMMYFUNCTION("""COMPUTED_VALUE"""),16.17)</f>
        <v>16.170000000000002</v>
      </c>
      <c r="E37" s="1">
        <f ca="1">IFERROR(__xludf.DUMMYFUNCTION("""COMPUTED_VALUE"""),18.89)</f>
        <v>18.89</v>
      </c>
      <c r="F37" s="1">
        <f ca="1">IFERROR(__xludf.DUMMYFUNCTION("""COMPUTED_VALUE"""),43301972)</f>
        <v>43301972</v>
      </c>
    </row>
    <row r="38" spans="1:6" ht="15.75" customHeight="1">
      <c r="A38" s="10">
        <f ca="1">IFERROR(__xludf.DUMMYFUNCTION("""COMPUTED_VALUE"""),40410.6666666666)</f>
        <v>40410.666666666599</v>
      </c>
      <c r="B38" s="1">
        <f ca="1">IFERROR(__xludf.DUMMYFUNCTION("""COMPUTED_VALUE"""),18.81)</f>
        <v>18.809999999999999</v>
      </c>
      <c r="C38" s="1">
        <f ca="1">IFERROR(__xludf.DUMMYFUNCTION("""COMPUTED_VALUE"""),20.13)</f>
        <v>20.13</v>
      </c>
      <c r="D38" s="1">
        <f ca="1">IFERROR(__xludf.DUMMYFUNCTION("""COMPUTED_VALUE"""),17.66)</f>
        <v>17.66</v>
      </c>
      <c r="E38" s="1">
        <f ca="1">IFERROR(__xludf.DUMMYFUNCTION("""COMPUTED_VALUE"""),18.57)</f>
        <v>18.57</v>
      </c>
      <c r="F38" s="1">
        <f ca="1">IFERROR(__xludf.DUMMYFUNCTION("""COMPUTED_VALUE"""),33249120)</f>
        <v>33249120</v>
      </c>
    </row>
    <row r="39" spans="1:6" ht="15.75" customHeight="1">
      <c r="A39" s="10">
        <f ca="1">IFERROR(__xludf.DUMMYFUNCTION("""COMPUTED_VALUE"""),40417.6666666666)</f>
        <v>40417.666666666599</v>
      </c>
      <c r="B39" s="1">
        <f ca="1">IFERROR(__xludf.DUMMYFUNCTION("""COMPUTED_VALUE"""),18.64)</f>
        <v>18.64</v>
      </c>
      <c r="C39" s="1">
        <f ca="1">IFERROR(__xludf.DUMMYFUNCTION("""COMPUTED_VALUE"""),18.93)</f>
        <v>18.93</v>
      </c>
      <c r="D39" s="1">
        <f ca="1">IFERROR(__xludf.DUMMYFUNCTION("""COMPUTED_VALUE"""),17.09)</f>
        <v>17.09</v>
      </c>
      <c r="E39" s="1">
        <f ca="1">IFERROR(__xludf.DUMMYFUNCTION("""COMPUTED_VALUE"""),18.01)</f>
        <v>18.010000000000002</v>
      </c>
      <c r="F39" s="1">
        <f ca="1">IFERROR(__xludf.DUMMYFUNCTION("""COMPUTED_VALUE"""),19014785)</f>
        <v>19014785</v>
      </c>
    </row>
    <row r="40" spans="1:6" ht="15.75" customHeight="1">
      <c r="A40" s="10">
        <f ca="1">IFERROR(__xludf.DUMMYFUNCTION("""COMPUTED_VALUE"""),40424.6666666666)</f>
        <v>40424.666666666599</v>
      </c>
      <c r="B40" s="1">
        <f ca="1">IFERROR(__xludf.DUMMYFUNCTION("""COMPUTED_VALUE"""),17.89)</f>
        <v>17.89</v>
      </c>
      <c r="C40" s="1">
        <f ca="1">IFERROR(__xludf.DUMMYFUNCTION("""COMPUTED_VALUE"""),20.36)</f>
        <v>20.36</v>
      </c>
      <c r="D40" s="1">
        <f ca="1">IFERROR(__xludf.DUMMYFUNCTION("""COMPUTED_VALUE"""),17.4)</f>
        <v>17.399999999999999</v>
      </c>
      <c r="E40" s="1">
        <f ca="1">IFERROR(__xludf.DUMMYFUNCTION("""COMPUTED_VALUE"""),19.78)</f>
        <v>19.78</v>
      </c>
      <c r="F40" s="1">
        <f ca="1">IFERROR(__xludf.DUMMYFUNCTION("""COMPUTED_VALUE"""),24687831)</f>
        <v>24687831</v>
      </c>
    </row>
    <row r="41" spans="1:6" ht="15.75" customHeight="1">
      <c r="A41" s="10">
        <f ca="1">IFERROR(__xludf.DUMMYFUNCTION("""COMPUTED_VALUE"""),40431.6666666666)</f>
        <v>40431.666666666599</v>
      </c>
      <c r="B41" s="1">
        <f ca="1">IFERROR(__xludf.DUMMYFUNCTION("""COMPUTED_VALUE"""),19.71)</f>
        <v>19.71</v>
      </c>
      <c r="C41" s="1">
        <f ca="1">IFERROR(__xludf.DUMMYFUNCTION("""COMPUTED_VALUE"""),21.39)</f>
        <v>21.39</v>
      </c>
      <c r="D41" s="1">
        <f ca="1">IFERROR(__xludf.DUMMYFUNCTION("""COMPUTED_VALUE"""),19.66)</f>
        <v>19.66</v>
      </c>
      <c r="E41" s="1">
        <f ca="1">IFERROR(__xludf.DUMMYFUNCTION("""COMPUTED_VALUE"""),20.88)</f>
        <v>20.88</v>
      </c>
      <c r="F41" s="1">
        <f ca="1">IFERROR(__xludf.DUMMYFUNCTION("""COMPUTED_VALUE"""),16836213)</f>
        <v>16836213</v>
      </c>
    </row>
    <row r="42" spans="1:6" ht="15.75" customHeight="1">
      <c r="A42" s="10">
        <f ca="1">IFERROR(__xludf.DUMMYFUNCTION("""COMPUTED_VALUE"""),40438.6666666666)</f>
        <v>40438.666666666599</v>
      </c>
      <c r="B42" s="1">
        <f ca="1">IFERROR(__xludf.DUMMYFUNCTION("""COMPUTED_VALUE"""),21.34)</f>
        <v>21.34</v>
      </c>
      <c r="C42" s="1">
        <f ca="1">IFERROR(__xludf.DUMMYFUNCTION("""COMPUTED_VALUE"""),21.42)</f>
        <v>21.42</v>
      </c>
      <c r="D42" s="1">
        <f ca="1">IFERROR(__xludf.DUMMYFUNCTION("""COMPUTED_VALUE"""),20)</f>
        <v>20</v>
      </c>
      <c r="E42" s="1">
        <f ca="1">IFERROR(__xludf.DUMMYFUNCTION("""COMPUTED_VALUE"""),20.07)</f>
        <v>20.07</v>
      </c>
      <c r="F42" s="1">
        <f ca="1">IFERROR(__xludf.DUMMYFUNCTION("""COMPUTED_VALUE"""),17099854)</f>
        <v>17099854</v>
      </c>
    </row>
    <row r="43" spans="1:6" ht="15.75" customHeight="1">
      <c r="A43" s="10">
        <f ca="1">IFERROR(__xludf.DUMMYFUNCTION("""COMPUTED_VALUE"""),40445.6666666666)</f>
        <v>40445.666666666599</v>
      </c>
      <c r="B43" s="1">
        <f ca="1">IFERROR(__xludf.DUMMYFUNCTION("""COMPUTED_VALUE"""),20.29)</f>
        <v>20.29</v>
      </c>
      <c r="C43" s="1">
        <f ca="1">IFERROR(__xludf.DUMMYFUNCTION("""COMPUTED_VALUE"""),23.87)</f>
        <v>23.87</v>
      </c>
      <c r="D43" s="1">
        <f ca="1">IFERROR(__xludf.DUMMYFUNCTION("""COMPUTED_VALUE"""),20)</f>
        <v>20</v>
      </c>
      <c r="E43" s="1">
        <f ca="1">IFERROR(__xludf.DUMMYFUNCTION("""COMPUTED_VALUE"""),23.17)</f>
        <v>23.17</v>
      </c>
      <c r="F43" s="1">
        <f ca="1">IFERROR(__xludf.DUMMYFUNCTION("""COMPUTED_VALUE"""),39905578)</f>
        <v>39905578</v>
      </c>
    </row>
    <row r="44" spans="1:6" ht="15.75" customHeight="1">
      <c r="A44" s="10">
        <f ca="1">IFERROR(__xludf.DUMMYFUNCTION("""COMPUTED_VALUE"""),40452.6666666666)</f>
        <v>40452.666666666599</v>
      </c>
      <c r="B44" s="1">
        <f ca="1">IFERROR(__xludf.DUMMYFUNCTION("""COMPUTED_VALUE"""),22.94)</f>
        <v>22.94</v>
      </c>
      <c r="C44" s="1">
        <f ca="1">IFERROR(__xludf.DUMMYFUNCTION("""COMPUTED_VALUE"""),24.91)</f>
        <v>24.91</v>
      </c>
      <c r="D44" s="1">
        <f ca="1">IFERROR(__xludf.DUMMYFUNCTION("""COMPUTED_VALUE"""),21.97)</f>
        <v>21.97</v>
      </c>
      <c r="E44" s="1">
        <f ca="1">IFERROR(__xludf.DUMMYFUNCTION("""COMPUTED_VALUE"""),22.09)</f>
        <v>22.09</v>
      </c>
      <c r="F44" s="1">
        <f ca="1">IFERROR(__xludf.DUMMYFUNCTION("""COMPUTED_VALUE"""),37939785)</f>
        <v>37939785</v>
      </c>
    </row>
    <row r="45" spans="1:6" ht="15.75" customHeight="1">
      <c r="A45" s="10">
        <f ca="1">IFERROR(__xludf.DUMMYFUNCTION("""COMPUTED_VALUE"""),40459.6666666666)</f>
        <v>40459.666666666599</v>
      </c>
      <c r="B45" s="1">
        <f ca="1">IFERROR(__xludf.DUMMYFUNCTION("""COMPUTED_VALUE"""),21.86)</f>
        <v>21.86</v>
      </c>
      <c r="C45" s="1">
        <f ca="1">IFERROR(__xludf.DUMMYFUNCTION("""COMPUTED_VALUE"""),22.86)</f>
        <v>22.86</v>
      </c>
      <c r="D45" s="1">
        <f ca="1">IFERROR(__xludf.DUMMYFUNCTION("""COMPUTED_VALUE"""),21.15)</f>
        <v>21.15</v>
      </c>
      <c r="E45" s="1">
        <f ca="1">IFERROR(__xludf.DUMMYFUNCTION("""COMPUTED_VALUE"""),21.38)</f>
        <v>21.38</v>
      </c>
      <c r="F45" s="1">
        <f ca="1">IFERROR(__xludf.DUMMYFUNCTION("""COMPUTED_VALUE"""),26172909)</f>
        <v>26172909</v>
      </c>
    </row>
    <row r="46" spans="1:6" ht="15.75" customHeight="1">
      <c r="A46" s="10">
        <f ca="1">IFERROR(__xludf.DUMMYFUNCTION("""COMPUTED_VALUE"""),40466.6666666666)</f>
        <v>40466.666666666599</v>
      </c>
      <c r="B46" s="1">
        <f ca="1">IFERROR(__xludf.DUMMYFUNCTION("""COMPUTED_VALUE"""),21.53)</f>
        <v>21.53</v>
      </c>
      <c r="C46" s="1">
        <f ca="1">IFERROR(__xludf.DUMMYFUNCTION("""COMPUTED_VALUE"""),22.79)</f>
        <v>22.79</v>
      </c>
      <c r="D46" s="1">
        <f ca="1">IFERROR(__xludf.DUMMYFUNCTION("""COMPUTED_VALUE"""),21.46)</f>
        <v>21.46</v>
      </c>
      <c r="E46" s="1">
        <f ca="1">IFERROR(__xludf.DUMMYFUNCTION("""COMPUTED_VALUE"""),22.25)</f>
        <v>22.25</v>
      </c>
      <c r="F46" s="1">
        <f ca="1">IFERROR(__xludf.DUMMYFUNCTION("""COMPUTED_VALUE"""),17588211)</f>
        <v>17588211</v>
      </c>
    </row>
    <row r="47" spans="1:6" ht="15.75" customHeight="1">
      <c r="A47" s="10">
        <f ca="1">IFERROR(__xludf.DUMMYFUNCTION("""COMPUTED_VALUE"""),40473.6666666666)</f>
        <v>40473.666666666599</v>
      </c>
      <c r="B47" s="1">
        <f ca="1">IFERROR(__xludf.DUMMYFUNCTION("""COMPUTED_VALUE"""),22.34)</f>
        <v>22.34</v>
      </c>
      <c r="C47" s="1">
        <f ca="1">IFERROR(__xludf.DUMMYFUNCTION("""COMPUTED_VALUE"""),24.99)</f>
        <v>24.99</v>
      </c>
      <c r="D47" s="1">
        <f ca="1">IFERROR(__xludf.DUMMYFUNCTION("""COMPUTED_VALUE"""),21.05)</f>
        <v>21.05</v>
      </c>
      <c r="E47" s="1">
        <f ca="1">IFERROR(__xludf.DUMMYFUNCTION("""COMPUTED_VALUE"""),24.01)</f>
        <v>24.01</v>
      </c>
      <c r="F47" s="1">
        <f ca="1">IFERROR(__xludf.DUMMYFUNCTION("""COMPUTED_VALUE"""),38569058)</f>
        <v>38569058</v>
      </c>
    </row>
    <row r="48" spans="1:6" ht="15.75" customHeight="1">
      <c r="A48" s="10">
        <f ca="1">IFERROR(__xludf.DUMMYFUNCTION("""COMPUTED_VALUE"""),40480.6666666666)</f>
        <v>40480.666666666599</v>
      </c>
      <c r="B48" s="1">
        <f ca="1">IFERROR(__xludf.DUMMYFUNCTION("""COMPUTED_VALUE"""),24.23)</f>
        <v>24.23</v>
      </c>
      <c r="C48" s="1">
        <f ca="1">IFERROR(__xludf.DUMMYFUNCTION("""COMPUTED_VALUE"""),26.39)</f>
        <v>26.39</v>
      </c>
      <c r="D48" s="1">
        <f ca="1">IFERROR(__xludf.DUMMYFUNCTION("""COMPUTED_VALUE"""),23.58)</f>
        <v>23.58</v>
      </c>
      <c r="E48" s="1">
        <f ca="1">IFERROR(__xludf.DUMMYFUNCTION("""COMPUTED_VALUE"""),24.8)</f>
        <v>24.8</v>
      </c>
      <c r="F48" s="1">
        <f ca="1">IFERROR(__xludf.DUMMYFUNCTION("""COMPUTED_VALUE"""),33202897)</f>
        <v>33202897</v>
      </c>
    </row>
    <row r="49" spans="1:6" ht="15.75" customHeight="1">
      <c r="A49" s="10">
        <f ca="1">IFERROR(__xludf.DUMMYFUNCTION("""COMPUTED_VALUE"""),40487.6666666666)</f>
        <v>40487.666666666599</v>
      </c>
      <c r="B49" s="1">
        <f ca="1">IFERROR(__xludf.DUMMYFUNCTION("""COMPUTED_VALUE"""),24.86)</f>
        <v>24.86</v>
      </c>
      <c r="C49" s="1">
        <f ca="1">IFERROR(__xludf.DUMMYFUNCTION("""COMPUTED_VALUE"""),24.86)</f>
        <v>24.86</v>
      </c>
      <c r="D49" s="1">
        <f ca="1">IFERROR(__xludf.DUMMYFUNCTION("""COMPUTED_VALUE"""),23.67)</f>
        <v>23.67</v>
      </c>
      <c r="E49" s="1">
        <f ca="1">IFERROR(__xludf.DUMMYFUNCTION("""COMPUTED_VALUE"""),24.01)</f>
        <v>24.01</v>
      </c>
      <c r="F49" s="1">
        <f ca="1">IFERROR(__xludf.DUMMYFUNCTION("""COMPUTED_VALUE"""),23283702)</f>
        <v>23283702</v>
      </c>
    </row>
    <row r="50" spans="1:6" ht="15.75" customHeight="1">
      <c r="A50" s="10">
        <f ca="1">IFERROR(__xludf.DUMMYFUNCTION("""COMPUTED_VALUE"""),40494.6666666666)</f>
        <v>40494.666666666599</v>
      </c>
      <c r="B50" s="1">
        <f ca="1">IFERROR(__xludf.DUMMYFUNCTION("""COMPUTED_VALUE"""),23.83)</f>
        <v>23.83</v>
      </c>
      <c r="C50" s="1">
        <f ca="1">IFERROR(__xludf.DUMMYFUNCTION("""COMPUTED_VALUE"""),25.53)</f>
        <v>25.53</v>
      </c>
      <c r="D50" s="1">
        <f ca="1">IFERROR(__xludf.DUMMYFUNCTION("""COMPUTED_VALUE"""),23.61)</f>
        <v>23.61</v>
      </c>
      <c r="E50" s="1">
        <f ca="1">IFERROR(__xludf.DUMMYFUNCTION("""COMPUTED_VALUE"""),24.71)</f>
        <v>24.71</v>
      </c>
      <c r="F50" s="1">
        <f ca="1">IFERROR(__xludf.DUMMYFUNCTION("""COMPUTED_VALUE"""),23765113)</f>
        <v>23765113</v>
      </c>
    </row>
    <row r="51" spans="1:6" ht="15.75" customHeight="1">
      <c r="A51" s="10">
        <f ca="1">IFERROR(__xludf.DUMMYFUNCTION("""COMPUTED_VALUE"""),40501.6666666666)</f>
        <v>40501.666666666599</v>
      </c>
      <c r="B51" s="1">
        <f ca="1">IFERROR(__xludf.DUMMYFUNCTION("""COMPUTED_VALUE"""),24.56)</f>
        <v>24.56</v>
      </c>
      <c r="C51" s="1">
        <f ca="1">IFERROR(__xludf.DUMMYFUNCTION("""COMPUTED_VALUE"""),24.79)</f>
        <v>24.79</v>
      </c>
      <c r="D51" s="1">
        <f ca="1">IFERROR(__xludf.DUMMYFUNCTION("""COMPUTED_VALUE"""),23.37)</f>
        <v>23.37</v>
      </c>
      <c r="E51" s="1">
        <f ca="1">IFERROR(__xludf.DUMMYFUNCTION("""COMPUTED_VALUE"""),24.72)</f>
        <v>24.72</v>
      </c>
      <c r="F51" s="1">
        <f ca="1">IFERROR(__xludf.DUMMYFUNCTION("""COMPUTED_VALUE"""),16945533)</f>
        <v>16945533</v>
      </c>
    </row>
    <row r="52" spans="1:6" ht="15.75" customHeight="1">
      <c r="A52" s="10">
        <f ca="1">IFERROR(__xludf.DUMMYFUNCTION("""COMPUTED_VALUE"""),40508.6666666666)</f>
        <v>40508.666666666599</v>
      </c>
      <c r="B52" s="1">
        <f ca="1">IFERROR(__xludf.DUMMYFUNCTION("""COMPUTED_VALUE"""),25.87)</f>
        <v>25.87</v>
      </c>
      <c r="C52" s="1">
        <f ca="1">IFERROR(__xludf.DUMMYFUNCTION("""COMPUTED_VALUE"""),27.5)</f>
        <v>27.5</v>
      </c>
      <c r="D52" s="1">
        <f ca="1">IFERROR(__xludf.DUMMYFUNCTION("""COMPUTED_VALUE"""),25.86)</f>
        <v>25.86</v>
      </c>
      <c r="E52" s="1">
        <f ca="1">IFERROR(__xludf.DUMMYFUNCTION("""COMPUTED_VALUE"""),27.41)</f>
        <v>27.41</v>
      </c>
      <c r="F52" s="1">
        <f ca="1">IFERROR(__xludf.DUMMYFUNCTION("""COMPUTED_VALUE"""),24148329)</f>
        <v>24148329</v>
      </c>
    </row>
    <row r="53" spans="1:6" ht="15.75" customHeight="1">
      <c r="A53" s="10">
        <f ca="1">IFERROR(__xludf.DUMMYFUNCTION("""COMPUTED_VALUE"""),40515.6666666666)</f>
        <v>40515.666666666599</v>
      </c>
      <c r="B53" s="1">
        <f ca="1">IFERROR(__xludf.DUMMYFUNCTION("""COMPUTED_VALUE"""),27.67)</f>
        <v>27.67</v>
      </c>
      <c r="C53" s="1">
        <f ca="1">IFERROR(__xludf.DUMMYFUNCTION("""COMPUTED_VALUE"""),29.89)</f>
        <v>29.89</v>
      </c>
      <c r="D53" s="1">
        <f ca="1">IFERROR(__xludf.DUMMYFUNCTION("""COMPUTED_VALUE"""),26.37)</f>
        <v>26.37</v>
      </c>
      <c r="E53" s="1">
        <f ca="1">IFERROR(__xludf.DUMMYFUNCTION("""COMPUTED_VALUE"""),26.49)</f>
        <v>26.49</v>
      </c>
      <c r="F53" s="1">
        <f ca="1">IFERROR(__xludf.DUMMYFUNCTION("""COMPUTED_VALUE"""),47188355)</f>
        <v>47188355</v>
      </c>
    </row>
    <row r="54" spans="1:6" ht="15.75" customHeight="1">
      <c r="A54" s="10">
        <f ca="1">IFERROR(__xludf.DUMMYFUNCTION("""COMPUTED_VALUE"""),40522.6666666666)</f>
        <v>40522.666666666599</v>
      </c>
      <c r="B54" s="1">
        <f ca="1">IFERROR(__xludf.DUMMYFUNCTION("""COMPUTED_VALUE"""),26.7)</f>
        <v>26.7</v>
      </c>
      <c r="C54" s="1">
        <f ca="1">IFERROR(__xludf.DUMMYFUNCTION("""COMPUTED_VALUE"""),28.49)</f>
        <v>28.49</v>
      </c>
      <c r="D54" s="1">
        <f ca="1">IFERROR(__xludf.DUMMYFUNCTION("""COMPUTED_VALUE"""),25.91)</f>
        <v>25.91</v>
      </c>
      <c r="E54" s="1">
        <f ca="1">IFERROR(__xludf.DUMMYFUNCTION("""COMPUTED_VALUE"""),27.8)</f>
        <v>27.8</v>
      </c>
      <c r="F54" s="1">
        <f ca="1">IFERROR(__xludf.DUMMYFUNCTION("""COMPUTED_VALUE"""),37916242)</f>
        <v>37916242</v>
      </c>
    </row>
    <row r="55" spans="1:6" ht="15.75" customHeight="1">
      <c r="A55" s="10">
        <f ca="1">IFERROR(__xludf.DUMMYFUNCTION("""COMPUTED_VALUE"""),40529.6666666666)</f>
        <v>40529.666666666599</v>
      </c>
      <c r="B55" s="1">
        <f ca="1">IFERROR(__xludf.DUMMYFUNCTION("""COMPUTED_VALUE"""),27.51)</f>
        <v>27.51</v>
      </c>
      <c r="C55" s="1">
        <f ca="1">IFERROR(__xludf.DUMMYFUNCTION("""COMPUTED_VALUE"""),27.52)</f>
        <v>27.52</v>
      </c>
      <c r="D55" s="1">
        <f ca="1">IFERROR(__xludf.DUMMYFUNCTION("""COMPUTED_VALUE"""),25.08)</f>
        <v>25.08</v>
      </c>
      <c r="E55" s="1">
        <f ca="1">IFERROR(__xludf.DUMMYFUNCTION("""COMPUTED_VALUE"""),25.72)</f>
        <v>25.72</v>
      </c>
      <c r="F55" s="1">
        <f ca="1">IFERROR(__xludf.DUMMYFUNCTION("""COMPUTED_VALUE"""),42229451)</f>
        <v>42229451</v>
      </c>
    </row>
    <row r="56" spans="1:6" ht="15.75" customHeight="1">
      <c r="A56" s="10">
        <f ca="1">IFERROR(__xludf.DUMMYFUNCTION("""COMPUTED_VALUE"""),40535.6666666666)</f>
        <v>40535.666666666599</v>
      </c>
      <c r="B56" s="1">
        <f ca="1">IFERROR(__xludf.DUMMYFUNCTION("""COMPUTED_VALUE"""),25.83)</f>
        <v>25.83</v>
      </c>
      <c r="C56" s="1">
        <f ca="1">IFERROR(__xludf.DUMMYFUNCTION("""COMPUTED_VALUE"""),27.11)</f>
        <v>27.11</v>
      </c>
      <c r="D56" s="1">
        <f ca="1">IFERROR(__xludf.DUMMYFUNCTION("""COMPUTED_VALUE"""),25.22)</f>
        <v>25.22</v>
      </c>
      <c r="E56" s="1">
        <f ca="1">IFERROR(__xludf.DUMMYFUNCTION("""COMPUTED_VALUE"""),26.37)</f>
        <v>26.37</v>
      </c>
      <c r="F56" s="1">
        <f ca="1">IFERROR(__xludf.DUMMYFUNCTION("""COMPUTED_VALUE"""),17693855)</f>
        <v>17693855</v>
      </c>
    </row>
    <row r="57" spans="1:6" ht="15.75" customHeight="1">
      <c r="A57" s="10">
        <f ca="1">IFERROR(__xludf.DUMMYFUNCTION("""COMPUTED_VALUE"""),40543.6666666666)</f>
        <v>40543.666666666599</v>
      </c>
      <c r="B57" s="1">
        <f ca="1">IFERROR(__xludf.DUMMYFUNCTION("""COMPUTED_VALUE"""),25.74)</f>
        <v>25.74</v>
      </c>
      <c r="C57" s="1">
        <f ca="1">IFERROR(__xludf.DUMMYFUNCTION("""COMPUTED_VALUE"""),26.36)</f>
        <v>26.36</v>
      </c>
      <c r="D57" s="1">
        <f ca="1">IFERROR(__xludf.DUMMYFUNCTION("""COMPUTED_VALUE"""),25.08)</f>
        <v>25.08</v>
      </c>
      <c r="E57" s="1">
        <f ca="1">IFERROR(__xludf.DUMMYFUNCTION("""COMPUTED_VALUE"""),25.1)</f>
        <v>25.1</v>
      </c>
      <c r="F57" s="1">
        <f ca="1">IFERROR(__xludf.DUMMYFUNCTION("""COMPUTED_VALUE"""),15602929)</f>
        <v>15602929</v>
      </c>
    </row>
    <row r="58" spans="1:6" ht="15.75" customHeight="1">
      <c r="A58" s="10">
        <f ca="1">IFERROR(__xludf.DUMMYFUNCTION("""COMPUTED_VALUE"""),40550.6666666666)</f>
        <v>40550.666666666599</v>
      </c>
      <c r="B58" s="1">
        <f ca="1">IFERROR(__xludf.DUMMYFUNCTION("""COMPUTED_VALUE"""),25)</f>
        <v>25</v>
      </c>
      <c r="C58" s="1">
        <f ca="1">IFERROR(__xludf.DUMMYFUNCTION("""COMPUTED_VALUE"""),26.41)</f>
        <v>26.41</v>
      </c>
      <c r="D58" s="1">
        <f ca="1">IFERROR(__xludf.DUMMYFUNCTION("""COMPUTED_VALUE"""),24.79)</f>
        <v>24.79</v>
      </c>
      <c r="E58" s="1">
        <f ca="1">IFERROR(__xludf.DUMMYFUNCTION("""COMPUTED_VALUE"""),25.61)</f>
        <v>25.61</v>
      </c>
      <c r="F58" s="1">
        <f ca="1">IFERROR(__xludf.DUMMYFUNCTION("""COMPUTED_VALUE"""),24294952)</f>
        <v>24294952</v>
      </c>
    </row>
    <row r="59" spans="1:6" ht="15.75" customHeight="1">
      <c r="A59" s="10">
        <f ca="1">IFERROR(__xludf.DUMMYFUNCTION("""COMPUTED_VALUE"""),40557.6666666666)</f>
        <v>40557.666666666599</v>
      </c>
      <c r="B59" s="1">
        <f ca="1">IFERROR(__xludf.DUMMYFUNCTION("""COMPUTED_VALUE"""),25.69)</f>
        <v>25.69</v>
      </c>
      <c r="C59" s="1">
        <f ca="1">IFERROR(__xludf.DUMMYFUNCTION("""COMPUTED_VALUE"""),27.61)</f>
        <v>27.61</v>
      </c>
      <c r="D59" s="1">
        <f ca="1">IFERROR(__xludf.DUMMYFUNCTION("""COMPUTED_VALUE"""),25.6)</f>
        <v>25.6</v>
      </c>
      <c r="E59" s="1">
        <f ca="1">IFERROR(__xludf.DUMMYFUNCTION("""COMPUTED_VALUE"""),27.35)</f>
        <v>27.35</v>
      </c>
      <c r="F59" s="1">
        <f ca="1">IFERROR(__xludf.DUMMYFUNCTION("""COMPUTED_VALUE"""),20991443)</f>
        <v>20991443</v>
      </c>
    </row>
    <row r="60" spans="1:6" ht="15.75" customHeight="1">
      <c r="A60" s="10">
        <f ca="1">IFERROR(__xludf.DUMMYFUNCTION("""COMPUTED_VALUE"""),40564.6666666666)</f>
        <v>40564.666666666599</v>
      </c>
      <c r="B60" s="1">
        <f ca="1">IFERROR(__xludf.DUMMYFUNCTION("""COMPUTED_VALUE"""),27.35)</f>
        <v>27.35</v>
      </c>
      <c r="C60" s="1">
        <f ca="1">IFERROR(__xludf.DUMMYFUNCTION("""COMPUTED_VALUE"""),27.83)</f>
        <v>27.83</v>
      </c>
      <c r="D60" s="1">
        <f ca="1">IFERROR(__xludf.DUMMYFUNCTION("""COMPUTED_VALUE"""),25.9)</f>
        <v>25.9</v>
      </c>
      <c r="E60" s="1">
        <f ca="1">IFERROR(__xludf.DUMMYFUNCTION("""COMPUTED_VALUE"""),26.01)</f>
        <v>26.01</v>
      </c>
      <c r="F60" s="1">
        <f ca="1">IFERROR(__xludf.DUMMYFUNCTION("""COMPUTED_VALUE"""),14791284)</f>
        <v>14791284</v>
      </c>
    </row>
    <row r="61" spans="1:6" ht="15.75" customHeight="1">
      <c r="A61" s="10">
        <f ca="1">IFERROR(__xludf.DUMMYFUNCTION("""COMPUTED_VALUE"""),40571.6666666666)</f>
        <v>40571.666666666599</v>
      </c>
      <c r="B61" s="1">
        <f ca="1">IFERROR(__xludf.DUMMYFUNCTION("""COMPUTED_VALUE"""),25.71)</f>
        <v>25.71</v>
      </c>
      <c r="C61" s="1">
        <f ca="1">IFERROR(__xludf.DUMMYFUNCTION("""COMPUTED_VALUE"""),31.14)</f>
        <v>31.14</v>
      </c>
      <c r="D61" s="1">
        <f ca="1">IFERROR(__xludf.DUMMYFUNCTION("""COMPUTED_VALUE"""),25.15)</f>
        <v>25.15</v>
      </c>
      <c r="E61" s="1">
        <f ca="1">IFERROR(__xludf.DUMMYFUNCTION("""COMPUTED_VALUE"""),31.14)</f>
        <v>31.14</v>
      </c>
      <c r="F61" s="1">
        <f ca="1">IFERROR(__xludf.DUMMYFUNCTION("""COMPUTED_VALUE"""),42886300)</f>
        <v>42886300</v>
      </c>
    </row>
    <row r="62" spans="1:6" ht="15.75" customHeight="1">
      <c r="A62" s="10">
        <f ca="1">IFERROR(__xludf.DUMMYFUNCTION("""COMPUTED_VALUE"""),40578.6666666666)</f>
        <v>40578.666666666599</v>
      </c>
      <c r="B62" s="1">
        <f ca="1">IFERROR(__xludf.DUMMYFUNCTION("""COMPUTED_VALUE"""),30.44)</f>
        <v>30.44</v>
      </c>
      <c r="C62" s="1">
        <f ca="1">IFERROR(__xludf.DUMMYFUNCTION("""COMPUTED_VALUE"""),31.57)</f>
        <v>31.57</v>
      </c>
      <c r="D62" s="1">
        <f ca="1">IFERROR(__xludf.DUMMYFUNCTION("""COMPUTED_VALUE"""),29.75)</f>
        <v>29.75</v>
      </c>
      <c r="E62" s="1">
        <f ca="1">IFERROR(__xludf.DUMMYFUNCTION("""COMPUTED_VALUE"""),31.44)</f>
        <v>31.44</v>
      </c>
      <c r="F62" s="1">
        <f ca="1">IFERROR(__xludf.DUMMYFUNCTION("""COMPUTED_VALUE"""),24075962)</f>
        <v>24075962</v>
      </c>
    </row>
    <row r="63" spans="1:6" ht="15.75" customHeight="1">
      <c r="A63" s="10">
        <f ca="1">IFERROR(__xludf.DUMMYFUNCTION("""COMPUTED_VALUE"""),40585.6666666666)</f>
        <v>40585.666666666599</v>
      </c>
      <c r="B63" s="1">
        <f ca="1">IFERROR(__xludf.DUMMYFUNCTION("""COMPUTED_VALUE"""),31.82)</f>
        <v>31.82</v>
      </c>
      <c r="C63" s="1">
        <f ca="1">IFERROR(__xludf.DUMMYFUNCTION("""COMPUTED_VALUE"""),33.09)</f>
        <v>33.090000000000003</v>
      </c>
      <c r="D63" s="1">
        <f ca="1">IFERROR(__xludf.DUMMYFUNCTION("""COMPUTED_VALUE"""),30.88)</f>
        <v>30.88</v>
      </c>
      <c r="E63" s="1">
        <f ca="1">IFERROR(__xludf.DUMMYFUNCTION("""COMPUTED_VALUE"""),33.01)</f>
        <v>33.01</v>
      </c>
      <c r="F63" s="1">
        <f ca="1">IFERROR(__xludf.DUMMYFUNCTION("""COMPUTED_VALUE"""),19994315)</f>
        <v>19994315</v>
      </c>
    </row>
    <row r="64" spans="1:6" ht="15.75" customHeight="1">
      <c r="A64" s="10">
        <f ca="1">IFERROR(__xludf.DUMMYFUNCTION("""COMPUTED_VALUE"""),40592.6666666666)</f>
        <v>40592.666666666599</v>
      </c>
      <c r="B64" s="1">
        <f ca="1">IFERROR(__xludf.DUMMYFUNCTION("""COMPUTED_VALUE"""),33.67)</f>
        <v>33.67</v>
      </c>
      <c r="C64" s="1">
        <f ca="1">IFERROR(__xludf.DUMMYFUNCTION("""COMPUTED_VALUE"""),35.36)</f>
        <v>35.36</v>
      </c>
      <c r="D64" s="1">
        <f ca="1">IFERROR(__xludf.DUMMYFUNCTION("""COMPUTED_VALUE"""),33.06)</f>
        <v>33.06</v>
      </c>
      <c r="E64" s="1">
        <f ca="1">IFERROR(__xludf.DUMMYFUNCTION("""COMPUTED_VALUE"""),33.64)</f>
        <v>33.64</v>
      </c>
      <c r="F64" s="1">
        <f ca="1">IFERROR(__xludf.DUMMYFUNCTION("""COMPUTED_VALUE"""),34834069)</f>
        <v>34834069</v>
      </c>
    </row>
    <row r="65" spans="1:6" ht="15.75" customHeight="1">
      <c r="A65" s="10">
        <f ca="1">IFERROR(__xludf.DUMMYFUNCTION("""COMPUTED_VALUE"""),40599.6666666666)</f>
        <v>40599.666666666599</v>
      </c>
      <c r="B65" s="1">
        <f ca="1">IFERROR(__xludf.DUMMYFUNCTION("""COMPUTED_VALUE"""),32.24)</f>
        <v>32.24</v>
      </c>
      <c r="C65" s="1">
        <f ca="1">IFERROR(__xludf.DUMMYFUNCTION("""COMPUTED_VALUE"""),32.77)</f>
        <v>32.770000000000003</v>
      </c>
      <c r="D65" s="1">
        <f ca="1">IFERROR(__xludf.DUMMYFUNCTION("""COMPUTED_VALUE"""),29.34)</f>
        <v>29.34</v>
      </c>
      <c r="E65" s="1">
        <f ca="1">IFERROR(__xludf.DUMMYFUNCTION("""COMPUTED_VALUE"""),30.35)</f>
        <v>30.35</v>
      </c>
      <c r="F65" s="1">
        <f ca="1">IFERROR(__xludf.DUMMYFUNCTION("""COMPUTED_VALUE"""),26510083)</f>
        <v>26510083</v>
      </c>
    </row>
    <row r="66" spans="1:6" ht="15.75" customHeight="1">
      <c r="A66" s="10">
        <f ca="1">IFERROR(__xludf.DUMMYFUNCTION("""COMPUTED_VALUE"""),40606.6666666666)</f>
        <v>40606.666666666599</v>
      </c>
      <c r="B66" s="1">
        <f ca="1">IFERROR(__xludf.DUMMYFUNCTION("""COMPUTED_VALUE"""),30.54)</f>
        <v>30.54</v>
      </c>
      <c r="C66" s="1">
        <f ca="1">IFERROR(__xludf.DUMMYFUNCTION("""COMPUTED_VALUE"""),30.62)</f>
        <v>30.62</v>
      </c>
      <c r="D66" s="1">
        <f ca="1">IFERROR(__xludf.DUMMYFUNCTION("""COMPUTED_VALUE"""),28.62)</f>
        <v>28.62</v>
      </c>
      <c r="E66" s="1">
        <f ca="1">IFERROR(__xludf.DUMMYFUNCTION("""COMPUTED_VALUE"""),30.1)</f>
        <v>30.1</v>
      </c>
      <c r="F66" s="1">
        <f ca="1">IFERROR(__xludf.DUMMYFUNCTION("""COMPUTED_VALUE"""),27561015)</f>
        <v>27561015</v>
      </c>
    </row>
    <row r="67" spans="1:6" ht="15.75" customHeight="1">
      <c r="A67" s="10">
        <f ca="1">IFERROR(__xludf.DUMMYFUNCTION("""COMPUTED_VALUE"""),40613.6666666666)</f>
        <v>40613.666666666599</v>
      </c>
      <c r="B67" s="1">
        <f ca="1">IFERROR(__xludf.DUMMYFUNCTION("""COMPUTED_VALUE"""),30.68)</f>
        <v>30.68</v>
      </c>
      <c r="C67" s="1">
        <f ca="1">IFERROR(__xludf.DUMMYFUNCTION("""COMPUTED_VALUE"""),30.7)</f>
        <v>30.7</v>
      </c>
      <c r="D67" s="1">
        <f ca="1">IFERROR(__xludf.DUMMYFUNCTION("""COMPUTED_VALUE"""),26.98)</f>
        <v>26.98</v>
      </c>
      <c r="E67" s="1">
        <f ca="1">IFERROR(__xludf.DUMMYFUNCTION("""COMPUTED_VALUE"""),29.22)</f>
        <v>29.22</v>
      </c>
      <c r="F67" s="1">
        <f ca="1">IFERROR(__xludf.DUMMYFUNCTION("""COMPUTED_VALUE"""),37334850)</f>
        <v>37334850</v>
      </c>
    </row>
    <row r="68" spans="1:6" ht="15.75" customHeight="1">
      <c r="A68" s="10">
        <f ca="1">IFERROR(__xludf.DUMMYFUNCTION("""COMPUTED_VALUE"""),40620.6666666666)</f>
        <v>40620.666666666599</v>
      </c>
      <c r="B68" s="1">
        <f ca="1">IFERROR(__xludf.DUMMYFUNCTION("""COMPUTED_VALUE"""),29.03)</f>
        <v>29.03</v>
      </c>
      <c r="C68" s="1">
        <f ca="1">IFERROR(__xludf.DUMMYFUNCTION("""COMPUTED_VALUE"""),31.91)</f>
        <v>31.91</v>
      </c>
      <c r="D68" s="1">
        <f ca="1">IFERROR(__xludf.DUMMYFUNCTION("""COMPUTED_VALUE"""),28.4)</f>
        <v>28.4</v>
      </c>
      <c r="E68" s="1">
        <f ca="1">IFERROR(__xludf.DUMMYFUNCTION("""COMPUTED_VALUE"""),29.91)</f>
        <v>29.91</v>
      </c>
      <c r="F68" s="1">
        <f ca="1">IFERROR(__xludf.DUMMYFUNCTION("""COMPUTED_VALUE"""),33369051)</f>
        <v>33369051</v>
      </c>
    </row>
    <row r="69" spans="1:6" ht="15.75" customHeight="1">
      <c r="A69" s="10">
        <f ca="1">IFERROR(__xludf.DUMMYFUNCTION("""COMPUTED_VALUE"""),40627.6666666666)</f>
        <v>40627.666666666599</v>
      </c>
      <c r="B69" s="1">
        <f ca="1">IFERROR(__xludf.DUMMYFUNCTION("""COMPUTED_VALUE"""),30.25)</f>
        <v>30.25</v>
      </c>
      <c r="C69" s="1">
        <f ca="1">IFERROR(__xludf.DUMMYFUNCTION("""COMPUTED_VALUE"""),33.3)</f>
        <v>33.299999999999997</v>
      </c>
      <c r="D69" s="1">
        <f ca="1">IFERROR(__xludf.DUMMYFUNCTION("""COMPUTED_VALUE"""),29.65)</f>
        <v>29.65</v>
      </c>
      <c r="E69" s="1">
        <f ca="1">IFERROR(__xludf.DUMMYFUNCTION("""COMPUTED_VALUE"""),32.86)</f>
        <v>32.86</v>
      </c>
      <c r="F69" s="1">
        <f ca="1">IFERROR(__xludf.DUMMYFUNCTION("""COMPUTED_VALUE"""),30288580)</f>
        <v>30288580</v>
      </c>
    </row>
    <row r="70" spans="1:6" ht="15.75" customHeight="1">
      <c r="A70" s="10">
        <f ca="1">IFERROR(__xludf.DUMMYFUNCTION("""COMPUTED_VALUE"""),40634.6666666666)</f>
        <v>40634.666666666599</v>
      </c>
      <c r="B70" s="1">
        <f ca="1">IFERROR(__xludf.DUMMYFUNCTION("""COMPUTED_VALUE"""),33.37)</f>
        <v>33.369999999999997</v>
      </c>
      <c r="C70" s="1">
        <f ca="1">IFERROR(__xludf.DUMMYFUNCTION("""COMPUTED_VALUE"""),34.92)</f>
        <v>34.92</v>
      </c>
      <c r="D70" s="1">
        <f ca="1">IFERROR(__xludf.DUMMYFUNCTION("""COMPUTED_VALUE"""),33.33)</f>
        <v>33.33</v>
      </c>
      <c r="E70" s="1">
        <f ca="1">IFERROR(__xludf.DUMMYFUNCTION("""COMPUTED_VALUE"""),34.58)</f>
        <v>34.58</v>
      </c>
      <c r="F70" s="1">
        <f ca="1">IFERROR(__xludf.DUMMYFUNCTION("""COMPUTED_VALUE"""),23989768)</f>
        <v>23989768</v>
      </c>
    </row>
    <row r="71" spans="1:6" ht="15.75" customHeight="1">
      <c r="A71" s="10">
        <f ca="1">IFERROR(__xludf.DUMMYFUNCTION("""COMPUTED_VALUE"""),40641.6666666666)</f>
        <v>40641.666666666599</v>
      </c>
      <c r="B71" s="1">
        <f ca="1">IFERROR(__xludf.DUMMYFUNCTION("""COMPUTED_VALUE"""),34.98)</f>
        <v>34.979999999999997</v>
      </c>
      <c r="C71" s="1">
        <f ca="1">IFERROR(__xludf.DUMMYFUNCTION("""COMPUTED_VALUE"""),35.55)</f>
        <v>35.549999999999997</v>
      </c>
      <c r="D71" s="1">
        <f ca="1">IFERROR(__xludf.DUMMYFUNCTION("""COMPUTED_VALUE"""),33)</f>
        <v>33</v>
      </c>
      <c r="E71" s="1">
        <f ca="1">IFERROR(__xludf.DUMMYFUNCTION("""COMPUTED_VALUE"""),33.55)</f>
        <v>33.549999999999997</v>
      </c>
      <c r="F71" s="1">
        <f ca="1">IFERROR(__xludf.DUMMYFUNCTION("""COMPUTED_VALUE"""),24495909)</f>
        <v>24495909</v>
      </c>
    </row>
    <row r="72" spans="1:6" ht="15.75" customHeight="1">
      <c r="A72" s="10">
        <f ca="1">IFERROR(__xludf.DUMMYFUNCTION("""COMPUTED_VALUE"""),40648.6666666666)</f>
        <v>40648.666666666599</v>
      </c>
      <c r="B72" s="1">
        <f ca="1">IFERROR(__xludf.DUMMYFUNCTION("""COMPUTED_VALUE"""),33.28)</f>
        <v>33.28</v>
      </c>
      <c r="C72" s="1">
        <f ca="1">IFERROR(__xludf.DUMMYFUNCTION("""COMPUTED_VALUE"""),34.35)</f>
        <v>34.35</v>
      </c>
      <c r="D72" s="1">
        <f ca="1">IFERROR(__xludf.DUMMYFUNCTION("""COMPUTED_VALUE"""),32.06)</f>
        <v>32.06</v>
      </c>
      <c r="E72" s="1">
        <f ca="1">IFERROR(__xludf.DUMMYFUNCTION("""COMPUTED_VALUE"""),33.64)</f>
        <v>33.64</v>
      </c>
      <c r="F72" s="1">
        <f ca="1">IFERROR(__xludf.DUMMYFUNCTION("""COMPUTED_VALUE"""),22888541)</f>
        <v>22888541</v>
      </c>
    </row>
    <row r="73" spans="1:6" ht="15.75" customHeight="1">
      <c r="A73" s="10">
        <f ca="1">IFERROR(__xludf.DUMMYFUNCTION("""COMPUTED_VALUE"""),40654.6666666666)</f>
        <v>40654.666666666599</v>
      </c>
      <c r="B73" s="1">
        <f ca="1">IFERROR(__xludf.DUMMYFUNCTION("""COMPUTED_VALUE"""),33.14)</f>
        <v>33.14</v>
      </c>
      <c r="C73" s="1">
        <f ca="1">IFERROR(__xludf.DUMMYFUNCTION("""COMPUTED_VALUE"""),36.05)</f>
        <v>36.049999999999997</v>
      </c>
      <c r="D73" s="1">
        <f ca="1">IFERROR(__xludf.DUMMYFUNCTION("""COMPUTED_VALUE"""),32.57)</f>
        <v>32.57</v>
      </c>
      <c r="E73" s="1">
        <f ca="1">IFERROR(__xludf.DUMMYFUNCTION("""COMPUTED_VALUE"""),36.03)</f>
        <v>36.03</v>
      </c>
      <c r="F73" s="1">
        <f ca="1">IFERROR(__xludf.DUMMYFUNCTION("""COMPUTED_VALUE"""),17771436)</f>
        <v>17771436</v>
      </c>
    </row>
    <row r="74" spans="1:6" ht="15.75" customHeight="1">
      <c r="A74" s="10">
        <f ca="1">IFERROR(__xludf.DUMMYFUNCTION("""COMPUTED_VALUE"""),40662.6666666666)</f>
        <v>40662.666666666599</v>
      </c>
      <c r="B74" s="1">
        <f ca="1">IFERROR(__xludf.DUMMYFUNCTION("""COMPUTED_VALUE"""),36.39)</f>
        <v>36.39</v>
      </c>
      <c r="C74" s="1">
        <f ca="1">IFERROR(__xludf.DUMMYFUNCTION("""COMPUTED_VALUE"""),36.43)</f>
        <v>36.43</v>
      </c>
      <c r="D74" s="1">
        <f ca="1">IFERROR(__xludf.DUMMYFUNCTION("""COMPUTED_VALUE"""),32.16)</f>
        <v>32.159999999999997</v>
      </c>
      <c r="E74" s="1">
        <f ca="1">IFERROR(__xludf.DUMMYFUNCTION("""COMPUTED_VALUE"""),33.24)</f>
        <v>33.24</v>
      </c>
      <c r="F74" s="1">
        <f ca="1">IFERROR(__xludf.DUMMYFUNCTION("""COMPUTED_VALUE"""),41507872)</f>
        <v>41507872</v>
      </c>
    </row>
    <row r="75" spans="1:6" ht="15.75" customHeight="1">
      <c r="A75" s="10">
        <f ca="1">IFERROR(__xludf.DUMMYFUNCTION("""COMPUTED_VALUE"""),40669.6666666666)</f>
        <v>40669.666666666599</v>
      </c>
      <c r="B75" s="1">
        <f ca="1">IFERROR(__xludf.DUMMYFUNCTION("""COMPUTED_VALUE"""),34.03)</f>
        <v>34.03</v>
      </c>
      <c r="C75" s="1">
        <f ca="1">IFERROR(__xludf.DUMMYFUNCTION("""COMPUTED_VALUE"""),34.27)</f>
        <v>34.270000000000003</v>
      </c>
      <c r="D75" s="1">
        <f ca="1">IFERROR(__xludf.DUMMYFUNCTION("""COMPUTED_VALUE"""),32.19)</f>
        <v>32.19</v>
      </c>
      <c r="E75" s="1">
        <f ca="1">IFERROR(__xludf.DUMMYFUNCTION("""COMPUTED_VALUE"""),32.78)</f>
        <v>32.78</v>
      </c>
      <c r="F75" s="1">
        <f ca="1">IFERROR(__xludf.DUMMYFUNCTION("""COMPUTED_VALUE"""),21602029)</f>
        <v>21602029</v>
      </c>
    </row>
    <row r="76" spans="1:6" ht="15.75" customHeight="1">
      <c r="A76" s="10">
        <f ca="1">IFERROR(__xludf.DUMMYFUNCTION("""COMPUTED_VALUE"""),40676.6666666666)</f>
        <v>40676.666666666599</v>
      </c>
      <c r="B76" s="1">
        <f ca="1">IFERROR(__xludf.DUMMYFUNCTION("""COMPUTED_VALUE"""),33.11)</f>
        <v>33.11</v>
      </c>
      <c r="C76" s="1">
        <f ca="1">IFERROR(__xludf.DUMMYFUNCTION("""COMPUTED_VALUE"""),35.66)</f>
        <v>35.659999999999997</v>
      </c>
      <c r="D76" s="1">
        <f ca="1">IFERROR(__xludf.DUMMYFUNCTION("""COMPUTED_VALUE"""),33.05)</f>
        <v>33.049999999999997</v>
      </c>
      <c r="E76" s="1">
        <f ca="1">IFERROR(__xludf.DUMMYFUNCTION("""COMPUTED_VALUE"""),35.22)</f>
        <v>35.22</v>
      </c>
      <c r="F76" s="1">
        <f ca="1">IFERROR(__xludf.DUMMYFUNCTION("""COMPUTED_VALUE"""),23014696)</f>
        <v>23014696</v>
      </c>
    </row>
    <row r="77" spans="1:6" ht="15.75" customHeight="1">
      <c r="A77" s="10">
        <f ca="1">IFERROR(__xludf.DUMMYFUNCTION("""COMPUTED_VALUE"""),40683.6666666666)</f>
        <v>40683.666666666599</v>
      </c>
      <c r="B77" s="1">
        <f ca="1">IFERROR(__xludf.DUMMYFUNCTION("""COMPUTED_VALUE"""),35.14)</f>
        <v>35.14</v>
      </c>
      <c r="C77" s="1">
        <f ca="1">IFERROR(__xludf.DUMMYFUNCTION("""COMPUTED_VALUE"""),35.27)</f>
        <v>35.270000000000003</v>
      </c>
      <c r="D77" s="1">
        <f ca="1">IFERROR(__xludf.DUMMYFUNCTION("""COMPUTED_VALUE"""),33.02)</f>
        <v>33.020000000000003</v>
      </c>
      <c r="E77" s="1">
        <f ca="1">IFERROR(__xludf.DUMMYFUNCTION("""COMPUTED_VALUE"""),35.13)</f>
        <v>35.130000000000003</v>
      </c>
      <c r="F77" s="1">
        <f ca="1">IFERROR(__xludf.DUMMYFUNCTION("""COMPUTED_VALUE"""),21306004)</f>
        <v>21306004</v>
      </c>
    </row>
    <row r="78" spans="1:6" ht="15.75" customHeight="1">
      <c r="A78" s="10">
        <f ca="1">IFERROR(__xludf.DUMMYFUNCTION("""COMPUTED_VALUE"""),40690.6666666666)</f>
        <v>40690.666666666599</v>
      </c>
      <c r="B78" s="1">
        <f ca="1">IFERROR(__xludf.DUMMYFUNCTION("""COMPUTED_VALUE"""),34.71)</f>
        <v>34.71</v>
      </c>
      <c r="C78" s="1">
        <f ca="1">IFERROR(__xludf.DUMMYFUNCTION("""COMPUTED_VALUE"""),37.98)</f>
        <v>37.979999999999997</v>
      </c>
      <c r="D78" s="1">
        <f ca="1">IFERROR(__xludf.DUMMYFUNCTION("""COMPUTED_VALUE"""),34.29)</f>
        <v>34.29</v>
      </c>
      <c r="E78" s="1">
        <f ca="1">IFERROR(__xludf.DUMMYFUNCTION("""COMPUTED_VALUE"""),37.79)</f>
        <v>37.79</v>
      </c>
      <c r="F78" s="1">
        <f ca="1">IFERROR(__xludf.DUMMYFUNCTION("""COMPUTED_VALUE"""),26238190)</f>
        <v>26238190</v>
      </c>
    </row>
    <row r="79" spans="1:6" ht="15.75" customHeight="1">
      <c r="A79" s="10">
        <f ca="1">IFERROR(__xludf.DUMMYFUNCTION("""COMPUTED_VALUE"""),40697.6666666666)</f>
        <v>40697.666666666599</v>
      </c>
      <c r="B79" s="1">
        <f ca="1">IFERROR(__xludf.DUMMYFUNCTION("""COMPUTED_VALUE"""),38.18)</f>
        <v>38.18</v>
      </c>
      <c r="C79" s="1">
        <f ca="1">IFERROR(__xludf.DUMMYFUNCTION("""COMPUTED_VALUE"""),39.46)</f>
        <v>39.46</v>
      </c>
      <c r="D79" s="1">
        <f ca="1">IFERROR(__xludf.DUMMYFUNCTION("""COMPUTED_VALUE"""),37.73)</f>
        <v>37.729999999999997</v>
      </c>
      <c r="E79" s="1">
        <f ca="1">IFERROR(__xludf.DUMMYFUNCTION("""COMPUTED_VALUE"""),39.1)</f>
        <v>39.1</v>
      </c>
      <c r="F79" s="1">
        <f ca="1">IFERROR(__xludf.DUMMYFUNCTION("""COMPUTED_VALUE"""),20065742)</f>
        <v>20065742</v>
      </c>
    </row>
    <row r="80" spans="1:6" ht="15.75" customHeight="1">
      <c r="A80" s="10">
        <f ca="1">IFERROR(__xludf.DUMMYFUNCTION("""COMPUTED_VALUE"""),40704.6666666666)</f>
        <v>40704.666666666599</v>
      </c>
      <c r="B80" s="1">
        <f ca="1">IFERROR(__xludf.DUMMYFUNCTION("""COMPUTED_VALUE"""),39.05)</f>
        <v>39.049999999999997</v>
      </c>
      <c r="C80" s="1">
        <f ca="1">IFERROR(__xludf.DUMMYFUNCTION("""COMPUTED_VALUE"""),39.67)</f>
        <v>39.67</v>
      </c>
      <c r="D80" s="1">
        <f ca="1">IFERROR(__xludf.DUMMYFUNCTION("""COMPUTED_VALUE"""),36.83)</f>
        <v>36.83</v>
      </c>
      <c r="E80" s="1">
        <f ca="1">IFERROR(__xludf.DUMMYFUNCTION("""COMPUTED_VALUE"""),36.95)</f>
        <v>36.950000000000003</v>
      </c>
      <c r="F80" s="1">
        <f ca="1">IFERROR(__xludf.DUMMYFUNCTION("""COMPUTED_VALUE"""),23188949)</f>
        <v>23188949</v>
      </c>
    </row>
    <row r="81" spans="1:6" ht="15.75" customHeight="1">
      <c r="A81" s="10">
        <f ca="1">IFERROR(__xludf.DUMMYFUNCTION("""COMPUTED_VALUE"""),40711.6666666666)</f>
        <v>40711.666666666599</v>
      </c>
      <c r="B81" s="1">
        <f ca="1">IFERROR(__xludf.DUMMYFUNCTION("""COMPUTED_VALUE"""),37.11)</f>
        <v>37.11</v>
      </c>
      <c r="C81" s="1">
        <f ca="1">IFERROR(__xludf.DUMMYFUNCTION("""COMPUTED_VALUE"""),37.57)</f>
        <v>37.57</v>
      </c>
      <c r="D81" s="1">
        <f ca="1">IFERROR(__xludf.DUMMYFUNCTION("""COMPUTED_VALUE"""),34.89)</f>
        <v>34.89</v>
      </c>
      <c r="E81" s="1">
        <f ca="1">IFERROR(__xludf.DUMMYFUNCTION("""COMPUTED_VALUE"""),35.1)</f>
        <v>35.1</v>
      </c>
      <c r="F81" s="1">
        <f ca="1">IFERROR(__xludf.DUMMYFUNCTION("""COMPUTED_VALUE"""),19255670)</f>
        <v>19255670</v>
      </c>
    </row>
    <row r="82" spans="1:6" ht="15.75" customHeight="1">
      <c r="A82" s="10">
        <f ca="1">IFERROR(__xludf.DUMMYFUNCTION("""COMPUTED_VALUE"""),40718.6666666666)</f>
        <v>40718.666666666599</v>
      </c>
      <c r="B82" s="1">
        <f ca="1">IFERROR(__xludf.DUMMYFUNCTION("""COMPUTED_VALUE"""),34.55)</f>
        <v>34.549999999999997</v>
      </c>
      <c r="C82" s="1">
        <f ca="1">IFERROR(__xludf.DUMMYFUNCTION("""COMPUTED_VALUE"""),37.26)</f>
        <v>37.26</v>
      </c>
      <c r="D82" s="1">
        <f ca="1">IFERROR(__xludf.DUMMYFUNCTION("""COMPUTED_VALUE"""),34.3)</f>
        <v>34.299999999999997</v>
      </c>
      <c r="E82" s="1">
        <f ca="1">IFERROR(__xludf.DUMMYFUNCTION("""COMPUTED_VALUE"""),36.71)</f>
        <v>36.71</v>
      </c>
      <c r="F82" s="1">
        <f ca="1">IFERROR(__xludf.DUMMYFUNCTION("""COMPUTED_VALUE"""),19143941)</f>
        <v>19143941</v>
      </c>
    </row>
    <row r="83" spans="1:6" ht="15.75" customHeight="1">
      <c r="A83" s="10">
        <f ca="1">IFERROR(__xludf.DUMMYFUNCTION("""COMPUTED_VALUE"""),40725.6666666666)</f>
        <v>40725.666666666599</v>
      </c>
      <c r="B83" s="1">
        <f ca="1">IFERROR(__xludf.DUMMYFUNCTION("""COMPUTED_VALUE"""),36.41)</f>
        <v>36.409999999999997</v>
      </c>
      <c r="C83" s="1">
        <f ca="1">IFERROR(__xludf.DUMMYFUNCTION("""COMPUTED_VALUE"""),38.39)</f>
        <v>38.39</v>
      </c>
      <c r="D83" s="1">
        <f ca="1">IFERROR(__xludf.DUMMYFUNCTION("""COMPUTED_VALUE"""),35.95)</f>
        <v>35.950000000000003</v>
      </c>
      <c r="E83" s="1">
        <f ca="1">IFERROR(__xludf.DUMMYFUNCTION("""COMPUTED_VALUE"""),38.28)</f>
        <v>38.28</v>
      </c>
      <c r="F83" s="1">
        <f ca="1">IFERROR(__xludf.DUMMYFUNCTION("""COMPUTED_VALUE"""),14831367)</f>
        <v>14831367</v>
      </c>
    </row>
    <row r="84" spans="1:6" ht="15.75" customHeight="1">
      <c r="A84" s="10">
        <f ca="1">IFERROR(__xludf.DUMMYFUNCTION("""COMPUTED_VALUE"""),40732.6666666666)</f>
        <v>40732.666666666599</v>
      </c>
      <c r="B84" s="1">
        <f ca="1">IFERROR(__xludf.DUMMYFUNCTION("""COMPUTED_VALUE"""),39.39)</f>
        <v>39.39</v>
      </c>
      <c r="C84" s="1">
        <f ca="1">IFERROR(__xludf.DUMMYFUNCTION("""COMPUTED_VALUE"""),42.48)</f>
        <v>42.48</v>
      </c>
      <c r="D84" s="1">
        <f ca="1">IFERROR(__xludf.DUMMYFUNCTION("""COMPUTED_VALUE"""),39.39)</f>
        <v>39.39</v>
      </c>
      <c r="E84" s="1">
        <f ca="1">IFERROR(__xludf.DUMMYFUNCTION("""COMPUTED_VALUE"""),42.16)</f>
        <v>42.16</v>
      </c>
      <c r="F84" s="1">
        <f ca="1">IFERROR(__xludf.DUMMYFUNCTION("""COMPUTED_VALUE"""),20447032)</f>
        <v>20447032</v>
      </c>
    </row>
    <row r="85" spans="1:6" ht="15.75" customHeight="1">
      <c r="A85" s="10">
        <f ca="1">IFERROR(__xludf.DUMMYFUNCTION("""COMPUTED_VALUE"""),40739.6666666666)</f>
        <v>40739.666666666599</v>
      </c>
      <c r="B85" s="1">
        <f ca="1">IFERROR(__xludf.DUMMYFUNCTION("""COMPUTED_VALUE"""),42.09)</f>
        <v>42.09</v>
      </c>
      <c r="C85" s="1">
        <f ca="1">IFERROR(__xludf.DUMMYFUNCTION("""COMPUTED_VALUE"""),43.54)</f>
        <v>43.54</v>
      </c>
      <c r="D85" s="1">
        <f ca="1">IFERROR(__xludf.DUMMYFUNCTION("""COMPUTED_VALUE"""),40.23)</f>
        <v>40.229999999999997</v>
      </c>
      <c r="E85" s="1">
        <f ca="1">IFERROR(__xludf.DUMMYFUNCTION("""COMPUTED_VALUE"""),40.99)</f>
        <v>40.99</v>
      </c>
      <c r="F85" s="1">
        <f ca="1">IFERROR(__xludf.DUMMYFUNCTION("""COMPUTED_VALUE"""),27418726)</f>
        <v>27418726</v>
      </c>
    </row>
    <row r="86" spans="1:6" ht="15.75" customHeight="1">
      <c r="A86" s="10">
        <f ca="1">IFERROR(__xludf.DUMMYFUNCTION("""COMPUTED_VALUE"""),40746.6666666666)</f>
        <v>40746.666666666599</v>
      </c>
      <c r="B86" s="1">
        <f ca="1">IFERROR(__xludf.DUMMYFUNCTION("""COMPUTED_VALUE"""),40.29)</f>
        <v>40.29</v>
      </c>
      <c r="C86" s="1">
        <f ca="1">IFERROR(__xludf.DUMMYFUNCTION("""COMPUTED_VALUE"""),41.33)</f>
        <v>41.33</v>
      </c>
      <c r="D86" s="1">
        <f ca="1">IFERROR(__xludf.DUMMYFUNCTION("""COMPUTED_VALUE"""),38.65)</f>
        <v>38.65</v>
      </c>
      <c r="E86" s="1">
        <f ca="1">IFERROR(__xludf.DUMMYFUNCTION("""COMPUTED_VALUE"""),39.51)</f>
        <v>39.51</v>
      </c>
      <c r="F86" s="1">
        <f ca="1">IFERROR(__xludf.DUMMYFUNCTION("""COMPUTED_VALUE"""),16343167)</f>
        <v>16343167</v>
      </c>
    </row>
    <row r="87" spans="1:6" ht="15.75" customHeight="1">
      <c r="A87" s="10">
        <f ca="1">IFERROR(__xludf.DUMMYFUNCTION("""COMPUTED_VALUE"""),40753.6666666666)</f>
        <v>40753.666666666599</v>
      </c>
      <c r="B87" s="1">
        <f ca="1">IFERROR(__xludf.DUMMYFUNCTION("""COMPUTED_VALUE"""),40.08)</f>
        <v>40.08</v>
      </c>
      <c r="C87" s="1">
        <f ca="1">IFERROR(__xludf.DUMMYFUNCTION("""COMPUTED_VALUE"""),40.79)</f>
        <v>40.79</v>
      </c>
      <c r="D87" s="1">
        <f ca="1">IFERROR(__xludf.DUMMYFUNCTION("""COMPUTED_VALUE"""),35.92)</f>
        <v>35.92</v>
      </c>
      <c r="E87" s="1">
        <f ca="1">IFERROR(__xludf.DUMMYFUNCTION("""COMPUTED_VALUE"""),38)</f>
        <v>38</v>
      </c>
      <c r="F87" s="1">
        <f ca="1">IFERROR(__xludf.DUMMYFUNCTION("""COMPUTED_VALUE"""),34244368)</f>
        <v>34244368</v>
      </c>
    </row>
    <row r="88" spans="1:6" ht="15.75" customHeight="1">
      <c r="A88" s="10">
        <f ca="1">IFERROR(__xludf.DUMMYFUNCTION("""COMPUTED_VALUE"""),40760.6666666666)</f>
        <v>40760.666666666599</v>
      </c>
      <c r="B88" s="1">
        <f ca="1">IFERROR(__xludf.DUMMYFUNCTION("""COMPUTED_VALUE"""),38.36)</f>
        <v>38.36</v>
      </c>
      <c r="C88" s="1">
        <f ca="1">IFERROR(__xludf.DUMMYFUNCTION("""COMPUTED_VALUE"""),38.5)</f>
        <v>38.5</v>
      </c>
      <c r="D88" s="1">
        <f ca="1">IFERROR(__xludf.DUMMYFUNCTION("""COMPUTED_VALUE"""),33.78)</f>
        <v>33.78</v>
      </c>
      <c r="E88" s="1">
        <f ca="1">IFERROR(__xludf.DUMMYFUNCTION("""COMPUTED_VALUE"""),34.44)</f>
        <v>34.44</v>
      </c>
      <c r="F88" s="1">
        <f ca="1">IFERROR(__xludf.DUMMYFUNCTION("""COMPUTED_VALUE"""),20762204)</f>
        <v>20762204</v>
      </c>
    </row>
    <row r="89" spans="1:6" ht="15.75" customHeight="1">
      <c r="A89" s="10">
        <f ca="1">IFERROR(__xludf.DUMMYFUNCTION("""COMPUTED_VALUE"""),40767.6666666666)</f>
        <v>40767.666666666599</v>
      </c>
      <c r="B89" s="1">
        <f ca="1">IFERROR(__xludf.DUMMYFUNCTION("""COMPUTED_VALUE"""),32.85)</f>
        <v>32.85</v>
      </c>
      <c r="C89" s="1">
        <f ca="1">IFERROR(__xludf.DUMMYFUNCTION("""COMPUTED_VALUE"""),35.41)</f>
        <v>35.409999999999997</v>
      </c>
      <c r="D89" s="1">
        <f ca="1">IFERROR(__xludf.DUMMYFUNCTION("""COMPUTED_VALUE"""),31.64)</f>
        <v>31.64</v>
      </c>
      <c r="E89" s="1">
        <f ca="1">IFERROR(__xludf.DUMMYFUNCTION("""COMPUTED_VALUE"""),34.86)</f>
        <v>34.86</v>
      </c>
      <c r="F89" s="1">
        <f ca="1">IFERROR(__xludf.DUMMYFUNCTION("""COMPUTED_VALUE"""),19392361)</f>
        <v>19392361</v>
      </c>
    </row>
    <row r="90" spans="1:6" ht="15.75" customHeight="1">
      <c r="A90" s="10">
        <f ca="1">IFERROR(__xludf.DUMMYFUNCTION("""COMPUTED_VALUE"""),40774.6666666666)</f>
        <v>40774.666666666599</v>
      </c>
      <c r="B90" s="1">
        <f ca="1">IFERROR(__xludf.DUMMYFUNCTION("""COMPUTED_VALUE"""),35.1)</f>
        <v>35.1</v>
      </c>
      <c r="C90" s="1">
        <f ca="1">IFERROR(__xludf.DUMMYFUNCTION("""COMPUTED_VALUE"""),35.25)</f>
        <v>35.25</v>
      </c>
      <c r="D90" s="1">
        <f ca="1">IFERROR(__xludf.DUMMYFUNCTION("""COMPUTED_VALUE"""),29.29)</f>
        <v>29.29</v>
      </c>
      <c r="E90" s="1">
        <f ca="1">IFERROR(__xludf.DUMMYFUNCTION("""COMPUTED_VALUE"""),29.32)</f>
        <v>29.32</v>
      </c>
      <c r="F90" s="1">
        <f ca="1">IFERROR(__xludf.DUMMYFUNCTION("""COMPUTED_VALUE"""),19326422)</f>
        <v>19326422</v>
      </c>
    </row>
    <row r="91" spans="1:6" ht="15.75" customHeight="1">
      <c r="A91" s="10">
        <f ca="1">IFERROR(__xludf.DUMMYFUNCTION("""COMPUTED_VALUE"""),40781.6666666666)</f>
        <v>40781.666666666599</v>
      </c>
      <c r="B91" s="1">
        <f ca="1">IFERROR(__xludf.DUMMYFUNCTION("""COMPUTED_VALUE"""),30.34)</f>
        <v>30.34</v>
      </c>
      <c r="C91" s="1">
        <f ca="1">IFERROR(__xludf.DUMMYFUNCTION("""COMPUTED_VALUE"""),31.96)</f>
        <v>31.96</v>
      </c>
      <c r="D91" s="1">
        <f ca="1">IFERROR(__xludf.DUMMYFUNCTION("""COMPUTED_VALUE"""),29.05)</f>
        <v>29.05</v>
      </c>
      <c r="E91" s="1">
        <f ca="1">IFERROR(__xludf.DUMMYFUNCTION("""COMPUTED_VALUE"""),31.7)</f>
        <v>31.7</v>
      </c>
      <c r="F91" s="1">
        <f ca="1">IFERROR(__xludf.DUMMYFUNCTION("""COMPUTED_VALUE"""),20809282)</f>
        <v>20809282</v>
      </c>
    </row>
    <row r="92" spans="1:6" ht="15.75" customHeight="1">
      <c r="A92" s="10">
        <f ca="1">IFERROR(__xludf.DUMMYFUNCTION("""COMPUTED_VALUE"""),40788.6666666666)</f>
        <v>40788.666666666599</v>
      </c>
      <c r="B92" s="1">
        <f ca="1">IFERROR(__xludf.DUMMYFUNCTION("""COMPUTED_VALUE"""),32.42)</f>
        <v>32.42</v>
      </c>
      <c r="C92" s="1">
        <f ca="1">IFERROR(__xludf.DUMMYFUNCTION("""COMPUTED_VALUE"""),34.55)</f>
        <v>34.549999999999997</v>
      </c>
      <c r="D92" s="1">
        <f ca="1">IFERROR(__xludf.DUMMYFUNCTION("""COMPUTED_VALUE"""),29.66)</f>
        <v>29.66</v>
      </c>
      <c r="E92" s="1">
        <f ca="1">IFERROR(__xludf.DUMMYFUNCTION("""COMPUTED_VALUE"""),30.44)</f>
        <v>30.44</v>
      </c>
      <c r="F92" s="1">
        <f ca="1">IFERROR(__xludf.DUMMYFUNCTION("""COMPUTED_VALUE"""),22196391)</f>
        <v>22196391</v>
      </c>
    </row>
    <row r="93" spans="1:6" ht="15.75" customHeight="1">
      <c r="A93" s="10">
        <f ca="1">IFERROR(__xludf.DUMMYFUNCTION("""COMPUTED_VALUE"""),40795.6666666666)</f>
        <v>40795.666666666599</v>
      </c>
      <c r="B93" s="1">
        <f ca="1">IFERROR(__xludf.DUMMYFUNCTION("""COMPUTED_VALUE"""),29.87)</f>
        <v>29.87</v>
      </c>
      <c r="C93" s="1">
        <f ca="1">IFERROR(__xludf.DUMMYFUNCTION("""COMPUTED_VALUE"""),31.71)</f>
        <v>31.71</v>
      </c>
      <c r="D93" s="1">
        <f ca="1">IFERROR(__xludf.DUMMYFUNCTION("""COMPUTED_VALUE"""),29.03)</f>
        <v>29.03</v>
      </c>
      <c r="E93" s="1">
        <f ca="1">IFERROR(__xludf.DUMMYFUNCTION("""COMPUTED_VALUE"""),29.14)</f>
        <v>29.14</v>
      </c>
      <c r="F93" s="1">
        <f ca="1">IFERROR(__xludf.DUMMYFUNCTION("""COMPUTED_VALUE"""),16771669)</f>
        <v>16771669</v>
      </c>
    </row>
    <row r="94" spans="1:6" ht="15.75" customHeight="1">
      <c r="A94" s="10">
        <f ca="1">IFERROR(__xludf.DUMMYFUNCTION("""COMPUTED_VALUE"""),40802.6666666666)</f>
        <v>40802.666666666599</v>
      </c>
      <c r="B94" s="1">
        <f ca="1">IFERROR(__xludf.DUMMYFUNCTION("""COMPUTED_VALUE"""),28.72)</f>
        <v>28.72</v>
      </c>
      <c r="C94" s="1">
        <f ca="1">IFERROR(__xludf.DUMMYFUNCTION("""COMPUTED_VALUE"""),30.18)</f>
        <v>30.18</v>
      </c>
      <c r="D94" s="1">
        <f ca="1">IFERROR(__xludf.DUMMYFUNCTION("""COMPUTED_VALUE"""),22.02)</f>
        <v>22.02</v>
      </c>
      <c r="E94" s="1">
        <f ca="1">IFERROR(__xludf.DUMMYFUNCTION("""COMPUTED_VALUE"""),22.17)</f>
        <v>22.17</v>
      </c>
      <c r="F94" s="1">
        <f ca="1">IFERROR(__xludf.DUMMYFUNCTION("""COMPUTED_VALUE"""),49428030)</f>
        <v>49428030</v>
      </c>
    </row>
    <row r="95" spans="1:6" ht="15.75" customHeight="1">
      <c r="A95" s="10">
        <f ca="1">IFERROR(__xludf.DUMMYFUNCTION("""COMPUTED_VALUE"""),40809.6666666666)</f>
        <v>40809.666666666599</v>
      </c>
      <c r="B95" s="1">
        <f ca="1">IFERROR(__xludf.DUMMYFUNCTION("""COMPUTED_VALUE"""),22.37)</f>
        <v>22.37</v>
      </c>
      <c r="C95" s="1">
        <f ca="1">IFERROR(__xludf.DUMMYFUNCTION("""COMPUTED_VALUE"""),23.28)</f>
        <v>23.28</v>
      </c>
      <c r="D95" s="1">
        <f ca="1">IFERROR(__xludf.DUMMYFUNCTION("""COMPUTED_VALUE"""),17.86)</f>
        <v>17.86</v>
      </c>
      <c r="E95" s="1">
        <f ca="1">IFERROR(__xludf.DUMMYFUNCTION("""COMPUTED_VALUE"""),18.48)</f>
        <v>18.48</v>
      </c>
      <c r="F95" s="1">
        <f ca="1">IFERROR(__xludf.DUMMYFUNCTION("""COMPUTED_VALUE"""),101747790)</f>
        <v>101747790</v>
      </c>
    </row>
    <row r="96" spans="1:6" ht="15.75" customHeight="1">
      <c r="A96" s="10">
        <f ca="1">IFERROR(__xludf.DUMMYFUNCTION("""COMPUTED_VALUE"""),40816.6666666666)</f>
        <v>40816.666666666599</v>
      </c>
      <c r="B96" s="1">
        <f ca="1">IFERROR(__xludf.DUMMYFUNCTION("""COMPUTED_VALUE"""),19.45)</f>
        <v>19.45</v>
      </c>
      <c r="C96" s="1">
        <f ca="1">IFERROR(__xludf.DUMMYFUNCTION("""COMPUTED_VALUE"""),19.7)</f>
        <v>19.7</v>
      </c>
      <c r="D96" s="1">
        <f ca="1">IFERROR(__xludf.DUMMYFUNCTION("""COMPUTED_VALUE"""),15.38)</f>
        <v>15.38</v>
      </c>
      <c r="E96" s="1">
        <f ca="1">IFERROR(__xludf.DUMMYFUNCTION("""COMPUTED_VALUE"""),16.18)</f>
        <v>16.18</v>
      </c>
      <c r="F96" s="1">
        <f ca="1">IFERROR(__xludf.DUMMYFUNCTION("""COMPUTED_VALUE"""),61099302)</f>
        <v>61099302</v>
      </c>
    </row>
    <row r="97" spans="1:6" ht="15.75" customHeight="1">
      <c r="A97" s="10">
        <f ca="1">IFERROR(__xludf.DUMMYFUNCTION("""COMPUTED_VALUE"""),40823.6666666666)</f>
        <v>40823.666666666599</v>
      </c>
      <c r="B97" s="1">
        <f ca="1">IFERROR(__xludf.DUMMYFUNCTION("""COMPUTED_VALUE"""),16.45)</f>
        <v>16.45</v>
      </c>
      <c r="C97" s="1">
        <f ca="1">IFERROR(__xludf.DUMMYFUNCTION("""COMPUTED_VALUE"""),17.75)</f>
        <v>17.75</v>
      </c>
      <c r="D97" s="1">
        <f ca="1">IFERROR(__xludf.DUMMYFUNCTION("""COMPUTED_VALUE"""),15.71)</f>
        <v>15.71</v>
      </c>
      <c r="E97" s="1">
        <f ca="1">IFERROR(__xludf.DUMMYFUNCTION("""COMPUTED_VALUE"""),16.74)</f>
        <v>16.739999999999998</v>
      </c>
      <c r="F97" s="1">
        <f ca="1">IFERROR(__xludf.DUMMYFUNCTION("""COMPUTED_VALUE"""),34727493)</f>
        <v>34727493</v>
      </c>
    </row>
    <row r="98" spans="1:6" ht="15.75" customHeight="1">
      <c r="A98" s="10">
        <f ca="1">IFERROR(__xludf.DUMMYFUNCTION("""COMPUTED_VALUE"""),40830.6666666666)</f>
        <v>40830.666666666599</v>
      </c>
      <c r="B98" s="1">
        <f ca="1">IFERROR(__xludf.DUMMYFUNCTION("""COMPUTED_VALUE"""),18.19)</f>
        <v>18.190000000000001</v>
      </c>
      <c r="C98" s="1">
        <f ca="1">IFERROR(__xludf.DUMMYFUNCTION("""COMPUTED_VALUE"""),18.36)</f>
        <v>18.36</v>
      </c>
      <c r="D98" s="1">
        <f ca="1">IFERROR(__xludf.DUMMYFUNCTION("""COMPUTED_VALUE"""),14.73)</f>
        <v>14.73</v>
      </c>
      <c r="E98" s="1">
        <f ca="1">IFERROR(__xludf.DUMMYFUNCTION("""COMPUTED_VALUE"""),16.58)</f>
        <v>16.579999999999998</v>
      </c>
      <c r="F98" s="1">
        <f ca="1">IFERROR(__xludf.DUMMYFUNCTION("""COMPUTED_VALUE"""),69084374)</f>
        <v>69084374</v>
      </c>
    </row>
    <row r="99" spans="1:6" ht="15.75" customHeight="1">
      <c r="A99" s="10">
        <f ca="1">IFERROR(__xludf.DUMMYFUNCTION("""COMPUTED_VALUE"""),40837.6666666666)</f>
        <v>40837.666666666599</v>
      </c>
      <c r="B99" s="1">
        <f ca="1">IFERROR(__xludf.DUMMYFUNCTION("""COMPUTED_VALUE"""),16.55)</f>
        <v>16.55</v>
      </c>
      <c r="C99" s="1">
        <f ca="1">IFERROR(__xludf.DUMMYFUNCTION("""COMPUTED_VALUE"""),17.04)</f>
        <v>17.04</v>
      </c>
      <c r="D99" s="1">
        <f ca="1">IFERROR(__xludf.DUMMYFUNCTION("""COMPUTED_VALUE"""),15.08)</f>
        <v>15.08</v>
      </c>
      <c r="E99" s="1">
        <f ca="1">IFERROR(__xludf.DUMMYFUNCTION("""COMPUTED_VALUE"""),16.72)</f>
        <v>16.72</v>
      </c>
      <c r="F99" s="1">
        <f ca="1">IFERROR(__xludf.DUMMYFUNCTION("""COMPUTED_VALUE"""),30203862)</f>
        <v>30203862</v>
      </c>
    </row>
    <row r="100" spans="1:6" ht="15.75" customHeight="1">
      <c r="A100" s="10">
        <f ca="1">IFERROR(__xludf.DUMMYFUNCTION("""COMPUTED_VALUE"""),40844.6666666666)</f>
        <v>40844.666666666599</v>
      </c>
      <c r="B100" s="1">
        <f ca="1">IFERROR(__xludf.DUMMYFUNCTION("""COMPUTED_VALUE"""),17.06)</f>
        <v>17.059999999999999</v>
      </c>
      <c r="C100" s="1">
        <f ca="1">IFERROR(__xludf.DUMMYFUNCTION("""COMPUTED_VALUE"""),17.18)</f>
        <v>17.18</v>
      </c>
      <c r="D100" s="1">
        <f ca="1">IFERROR(__xludf.DUMMYFUNCTION("""COMPUTED_VALUE"""),10.61)</f>
        <v>10.61</v>
      </c>
      <c r="E100" s="1">
        <f ca="1">IFERROR(__xludf.DUMMYFUNCTION("""COMPUTED_VALUE"""),12.02)</f>
        <v>12.02</v>
      </c>
      <c r="F100" s="1">
        <f ca="1">IFERROR(__xludf.DUMMYFUNCTION("""COMPUTED_VALUE"""),101963603)</f>
        <v>101963603</v>
      </c>
    </row>
    <row r="101" spans="1:6" ht="15.75" customHeight="1">
      <c r="A101" s="10">
        <f ca="1">IFERROR(__xludf.DUMMYFUNCTION("""COMPUTED_VALUE"""),40851.6666666666)</f>
        <v>40851.666666666599</v>
      </c>
      <c r="B101" s="1">
        <f ca="1">IFERROR(__xludf.DUMMYFUNCTION("""COMPUTED_VALUE"""),12)</f>
        <v>12</v>
      </c>
      <c r="C101" s="1">
        <f ca="1">IFERROR(__xludf.DUMMYFUNCTION("""COMPUTED_VALUE"""),13.27)</f>
        <v>13.27</v>
      </c>
      <c r="D101" s="1">
        <f ca="1">IFERROR(__xludf.DUMMYFUNCTION("""COMPUTED_VALUE"""),11.25)</f>
        <v>11.25</v>
      </c>
      <c r="E101" s="1">
        <f ca="1">IFERROR(__xludf.DUMMYFUNCTION("""COMPUTED_VALUE"""),12.86)</f>
        <v>12.86</v>
      </c>
      <c r="F101" s="1">
        <f ca="1">IFERROR(__xludf.DUMMYFUNCTION("""COMPUTED_VALUE"""),41907405)</f>
        <v>41907405</v>
      </c>
    </row>
    <row r="102" spans="1:6" ht="15.75" customHeight="1">
      <c r="A102" s="10">
        <f ca="1">IFERROR(__xludf.DUMMYFUNCTION("""COMPUTED_VALUE"""),40858.6666666666)</f>
        <v>40858.666666666599</v>
      </c>
      <c r="B102" s="1">
        <f ca="1">IFERROR(__xludf.DUMMYFUNCTION("""COMPUTED_VALUE"""),13)</f>
        <v>13</v>
      </c>
      <c r="C102" s="1">
        <f ca="1">IFERROR(__xludf.DUMMYFUNCTION("""COMPUTED_VALUE"""),13.41)</f>
        <v>13.41</v>
      </c>
      <c r="D102" s="1">
        <f ca="1">IFERROR(__xludf.DUMMYFUNCTION("""COMPUTED_VALUE"""),11.96)</f>
        <v>11.96</v>
      </c>
      <c r="E102" s="1">
        <f ca="1">IFERROR(__xludf.DUMMYFUNCTION("""COMPUTED_VALUE"""),12.54)</f>
        <v>12.54</v>
      </c>
      <c r="F102" s="1">
        <f ca="1">IFERROR(__xludf.DUMMYFUNCTION("""COMPUTED_VALUE"""),26581491)</f>
        <v>26581491</v>
      </c>
    </row>
    <row r="103" spans="1:6" ht="15.75" customHeight="1">
      <c r="A103" s="10">
        <f ca="1">IFERROR(__xludf.DUMMYFUNCTION("""COMPUTED_VALUE"""),40865.6666666666)</f>
        <v>40865.666666666599</v>
      </c>
      <c r="B103" s="1">
        <f ca="1">IFERROR(__xludf.DUMMYFUNCTION("""COMPUTED_VALUE"""),12.57)</f>
        <v>12.57</v>
      </c>
      <c r="C103" s="1">
        <f ca="1">IFERROR(__xludf.DUMMYFUNCTION("""COMPUTED_VALUE"""),12.59)</f>
        <v>12.59</v>
      </c>
      <c r="D103" s="1">
        <f ca="1">IFERROR(__xludf.DUMMYFUNCTION("""COMPUTED_VALUE"""),10.83)</f>
        <v>10.83</v>
      </c>
      <c r="E103" s="1">
        <f ca="1">IFERROR(__xludf.DUMMYFUNCTION("""COMPUTED_VALUE"""),11.15)</f>
        <v>11.15</v>
      </c>
      <c r="F103" s="1">
        <f ca="1">IFERROR(__xludf.DUMMYFUNCTION("""COMPUTED_VALUE"""),23622902)</f>
        <v>23622902</v>
      </c>
    </row>
    <row r="104" spans="1:6" ht="15.75" customHeight="1">
      <c r="A104" s="10">
        <f ca="1">IFERROR(__xludf.DUMMYFUNCTION("""COMPUTED_VALUE"""),40872.6666666666)</f>
        <v>40872.666666666599</v>
      </c>
      <c r="B104" s="1">
        <f ca="1">IFERROR(__xludf.DUMMYFUNCTION("""COMPUTED_VALUE"""),11)</f>
        <v>11</v>
      </c>
      <c r="C104" s="1">
        <f ca="1">IFERROR(__xludf.DUMMYFUNCTION("""COMPUTED_VALUE"""),11.43)</f>
        <v>11.43</v>
      </c>
      <c r="D104" s="1">
        <f ca="1">IFERROR(__xludf.DUMMYFUNCTION("""COMPUTED_VALUE"""),8.99)</f>
        <v>8.99</v>
      </c>
      <c r="E104" s="1">
        <f ca="1">IFERROR(__xludf.DUMMYFUNCTION("""COMPUTED_VALUE"""),9.12)</f>
        <v>9.1199999999999992</v>
      </c>
      <c r="F104" s="1">
        <f ca="1">IFERROR(__xludf.DUMMYFUNCTION("""COMPUTED_VALUE"""),33409897)</f>
        <v>33409897</v>
      </c>
    </row>
    <row r="105" spans="1:6" ht="15.75" customHeight="1">
      <c r="A105" s="10">
        <f ca="1">IFERROR(__xludf.DUMMYFUNCTION("""COMPUTED_VALUE"""),40879.6666666666)</f>
        <v>40879.666666666599</v>
      </c>
      <c r="B105" s="1">
        <f ca="1">IFERROR(__xludf.DUMMYFUNCTION("""COMPUTED_VALUE"""),9.6)</f>
        <v>9.6</v>
      </c>
      <c r="C105" s="1">
        <f ca="1">IFERROR(__xludf.DUMMYFUNCTION("""COMPUTED_VALUE"""),10.11)</f>
        <v>10.11</v>
      </c>
      <c r="D105" s="1">
        <f ca="1">IFERROR(__xludf.DUMMYFUNCTION("""COMPUTED_VALUE"""),8.91)</f>
        <v>8.91</v>
      </c>
      <c r="E105" s="1">
        <f ca="1">IFERROR(__xludf.DUMMYFUNCTION("""COMPUTED_VALUE"""),9.48)</f>
        <v>9.48</v>
      </c>
      <c r="F105" s="1">
        <f ca="1">IFERROR(__xludf.DUMMYFUNCTION("""COMPUTED_VALUE"""),43886768)</f>
        <v>43886768</v>
      </c>
    </row>
    <row r="106" spans="1:6" ht="15.75" customHeight="1">
      <c r="A106" s="10">
        <f ca="1">IFERROR(__xludf.DUMMYFUNCTION("""COMPUTED_VALUE"""),40886.6666666666)</f>
        <v>40886.666666666599</v>
      </c>
      <c r="B106" s="1">
        <f ca="1">IFERROR(__xludf.DUMMYFUNCTION("""COMPUTED_VALUE"""),9.51)</f>
        <v>9.51</v>
      </c>
      <c r="C106" s="1">
        <f ca="1">IFERROR(__xludf.DUMMYFUNCTION("""COMPUTED_VALUE"""),10.42)</f>
        <v>10.42</v>
      </c>
      <c r="D106" s="1">
        <f ca="1">IFERROR(__xludf.DUMMYFUNCTION("""COMPUTED_VALUE"""),9.33)</f>
        <v>9.33</v>
      </c>
      <c r="E106" s="1">
        <f ca="1">IFERROR(__xludf.DUMMYFUNCTION("""COMPUTED_VALUE"""),10.13)</f>
        <v>10.130000000000001</v>
      </c>
      <c r="F106" s="1">
        <f ca="1">IFERROR(__xludf.DUMMYFUNCTION("""COMPUTED_VALUE"""),37948143)</f>
        <v>37948143</v>
      </c>
    </row>
    <row r="107" spans="1:6" ht="15.75" customHeight="1">
      <c r="A107" s="10">
        <f ca="1">IFERROR(__xludf.DUMMYFUNCTION("""COMPUTED_VALUE"""),40893.6666666666)</f>
        <v>40893.666666666599</v>
      </c>
      <c r="B107" s="1">
        <f ca="1">IFERROR(__xludf.DUMMYFUNCTION("""COMPUTED_VALUE"""),9.99)</f>
        <v>9.99</v>
      </c>
      <c r="C107" s="1">
        <f ca="1">IFERROR(__xludf.DUMMYFUNCTION("""COMPUTED_VALUE"""),11.08)</f>
        <v>11.08</v>
      </c>
      <c r="D107" s="1">
        <f ca="1">IFERROR(__xludf.DUMMYFUNCTION("""COMPUTED_VALUE"""),9.85)</f>
        <v>9.85</v>
      </c>
      <c r="E107" s="1">
        <f ca="1">IFERROR(__xludf.DUMMYFUNCTION("""COMPUTED_VALUE"""),9.97)</f>
        <v>9.9700000000000006</v>
      </c>
      <c r="F107" s="1">
        <f ca="1">IFERROR(__xludf.DUMMYFUNCTION("""COMPUTED_VALUE"""),37442872)</f>
        <v>37442872</v>
      </c>
    </row>
    <row r="108" spans="1:6" ht="15.75" customHeight="1">
      <c r="A108" s="10">
        <f ca="1">IFERROR(__xludf.DUMMYFUNCTION("""COMPUTED_VALUE"""),40900.6666666666)</f>
        <v>40900.666666666599</v>
      </c>
      <c r="B108" s="1">
        <f ca="1">IFERROR(__xludf.DUMMYFUNCTION("""COMPUTED_VALUE"""),9.97)</f>
        <v>9.9700000000000006</v>
      </c>
      <c r="C108" s="1">
        <f ca="1">IFERROR(__xludf.DUMMYFUNCTION("""COMPUTED_VALUE"""),10.65)</f>
        <v>10.65</v>
      </c>
      <c r="D108" s="1">
        <f ca="1">IFERROR(__xludf.DUMMYFUNCTION("""COMPUTED_VALUE"""),9.56)</f>
        <v>9.56</v>
      </c>
      <c r="E108" s="1">
        <f ca="1">IFERROR(__xludf.DUMMYFUNCTION("""COMPUTED_VALUE"""),10.37)</f>
        <v>10.37</v>
      </c>
      <c r="F108" s="1">
        <f ca="1">IFERROR(__xludf.DUMMYFUNCTION("""COMPUTED_VALUE"""),18426268)</f>
        <v>18426268</v>
      </c>
    </row>
    <row r="109" spans="1:6" ht="15.75" customHeight="1">
      <c r="A109" s="10">
        <f ca="1">IFERROR(__xludf.DUMMYFUNCTION("""COMPUTED_VALUE"""),40907.6666666666)</f>
        <v>40907.666666666599</v>
      </c>
      <c r="B109" s="1">
        <f ca="1">IFERROR(__xludf.DUMMYFUNCTION("""COMPUTED_VALUE"""),10.33)</f>
        <v>10.33</v>
      </c>
      <c r="C109" s="1">
        <f ca="1">IFERROR(__xludf.DUMMYFUNCTION("""COMPUTED_VALUE"""),10.36)</f>
        <v>10.36</v>
      </c>
      <c r="D109" s="1">
        <f ca="1">IFERROR(__xludf.DUMMYFUNCTION("""COMPUTED_VALUE"""),9.66)</f>
        <v>9.66</v>
      </c>
      <c r="E109" s="1">
        <f ca="1">IFERROR(__xludf.DUMMYFUNCTION("""COMPUTED_VALUE"""),9.9)</f>
        <v>9.9</v>
      </c>
      <c r="F109" s="1">
        <f ca="1">IFERROR(__xludf.DUMMYFUNCTION("""COMPUTED_VALUE"""),13360781)</f>
        <v>13360781</v>
      </c>
    </row>
    <row r="110" spans="1:6" ht="15.75" customHeight="1">
      <c r="A110" s="10">
        <f ca="1">IFERROR(__xludf.DUMMYFUNCTION("""COMPUTED_VALUE"""),40914.6666666666)</f>
        <v>40914.666666666599</v>
      </c>
      <c r="B110" s="1">
        <f ca="1">IFERROR(__xludf.DUMMYFUNCTION("""COMPUTED_VALUE"""),10.06)</f>
        <v>10.06</v>
      </c>
      <c r="C110" s="1">
        <f ca="1">IFERROR(__xludf.DUMMYFUNCTION("""COMPUTED_VALUE"""),12.47)</f>
        <v>12.47</v>
      </c>
      <c r="D110" s="1">
        <f ca="1">IFERROR(__xludf.DUMMYFUNCTION("""COMPUTED_VALUE"""),10.02)</f>
        <v>10.02</v>
      </c>
      <c r="E110" s="1">
        <f ca="1">IFERROR(__xludf.DUMMYFUNCTION("""COMPUTED_VALUE"""),12.33)</f>
        <v>12.33</v>
      </c>
      <c r="F110" s="1">
        <f ca="1">IFERROR(__xludf.DUMMYFUNCTION("""COMPUTED_VALUE"""),48863569)</f>
        <v>48863569</v>
      </c>
    </row>
    <row r="111" spans="1:6" ht="15.75" customHeight="1">
      <c r="A111" s="10">
        <f ca="1">IFERROR(__xludf.DUMMYFUNCTION("""COMPUTED_VALUE"""),40921.6666666666)</f>
        <v>40921.666666666599</v>
      </c>
      <c r="B111" s="1">
        <f ca="1">IFERROR(__xludf.DUMMYFUNCTION("""COMPUTED_VALUE"""),12.84)</f>
        <v>12.84</v>
      </c>
      <c r="C111" s="1">
        <f ca="1">IFERROR(__xludf.DUMMYFUNCTION("""COMPUTED_VALUE"""),14.26)</f>
        <v>14.26</v>
      </c>
      <c r="D111" s="1">
        <f ca="1">IFERROR(__xludf.DUMMYFUNCTION("""COMPUTED_VALUE"""),12.45)</f>
        <v>12.45</v>
      </c>
      <c r="E111" s="1">
        <f ca="1">IFERROR(__xludf.DUMMYFUNCTION("""COMPUTED_VALUE"""),13.48)</f>
        <v>13.48</v>
      </c>
      <c r="F111" s="1">
        <f ca="1">IFERROR(__xludf.DUMMYFUNCTION("""COMPUTED_VALUE"""),85392339)</f>
        <v>85392339</v>
      </c>
    </row>
    <row r="112" spans="1:6" ht="15.75" customHeight="1">
      <c r="A112" s="10">
        <f ca="1">IFERROR(__xludf.DUMMYFUNCTION("""COMPUTED_VALUE"""),40928.6666666666)</f>
        <v>40928.666666666599</v>
      </c>
      <c r="B112" s="1">
        <f ca="1">IFERROR(__xludf.DUMMYFUNCTION("""COMPUTED_VALUE"""),13.71)</f>
        <v>13.71</v>
      </c>
      <c r="C112" s="1">
        <f ca="1">IFERROR(__xludf.DUMMYFUNCTION("""COMPUTED_VALUE"""),14.97)</f>
        <v>14.97</v>
      </c>
      <c r="D112" s="1">
        <f ca="1">IFERROR(__xludf.DUMMYFUNCTION("""COMPUTED_VALUE"""),13.18)</f>
        <v>13.18</v>
      </c>
      <c r="E112" s="1">
        <f ca="1">IFERROR(__xludf.DUMMYFUNCTION("""COMPUTED_VALUE"""),14.32)</f>
        <v>14.32</v>
      </c>
      <c r="F112" s="1">
        <f ca="1">IFERROR(__xludf.DUMMYFUNCTION("""COMPUTED_VALUE"""),36815481)</f>
        <v>36815481</v>
      </c>
    </row>
    <row r="113" spans="1:6" ht="15.75" customHeight="1">
      <c r="A113" s="10">
        <f ca="1">IFERROR(__xludf.DUMMYFUNCTION("""COMPUTED_VALUE"""),40935.6666666666)</f>
        <v>40935.666666666599</v>
      </c>
      <c r="B113" s="1">
        <f ca="1">IFERROR(__xludf.DUMMYFUNCTION("""COMPUTED_VALUE"""),14.12)</f>
        <v>14.12</v>
      </c>
      <c r="C113" s="1">
        <f ca="1">IFERROR(__xludf.DUMMYFUNCTION("""COMPUTED_VALUE"""),17.71)</f>
        <v>17.71</v>
      </c>
      <c r="D113" s="1">
        <f ca="1">IFERROR(__xludf.DUMMYFUNCTION("""COMPUTED_VALUE"""),13.07)</f>
        <v>13.07</v>
      </c>
      <c r="E113" s="1">
        <f ca="1">IFERROR(__xludf.DUMMYFUNCTION("""COMPUTED_VALUE"""),17.68)</f>
        <v>17.68</v>
      </c>
      <c r="F113" s="1">
        <f ca="1">IFERROR(__xludf.DUMMYFUNCTION("""COMPUTED_VALUE"""),63164118)</f>
        <v>63164118</v>
      </c>
    </row>
    <row r="114" spans="1:6" ht="15.75" customHeight="1">
      <c r="A114" s="10">
        <f ca="1">IFERROR(__xludf.DUMMYFUNCTION("""COMPUTED_VALUE"""),40942.6666666666)</f>
        <v>40942.666666666599</v>
      </c>
      <c r="B114" s="1">
        <f ca="1">IFERROR(__xludf.DUMMYFUNCTION("""COMPUTED_VALUE"""),17.86)</f>
        <v>17.86</v>
      </c>
      <c r="C114" s="1">
        <f ca="1">IFERROR(__xludf.DUMMYFUNCTION("""COMPUTED_VALUE"""),18.5)</f>
        <v>18.5</v>
      </c>
      <c r="D114" s="1">
        <f ca="1">IFERROR(__xludf.DUMMYFUNCTION("""COMPUTED_VALUE"""),16.82)</f>
        <v>16.82</v>
      </c>
      <c r="E114" s="1">
        <f ca="1">IFERROR(__xludf.DUMMYFUNCTION("""COMPUTED_VALUE"""),18.06)</f>
        <v>18.059999999999999</v>
      </c>
      <c r="F114" s="1">
        <f ca="1">IFERROR(__xludf.DUMMYFUNCTION("""COMPUTED_VALUE"""),47220467)</f>
        <v>47220467</v>
      </c>
    </row>
    <row r="115" spans="1:6" ht="15.75" customHeight="1">
      <c r="A115" s="10">
        <f ca="1">IFERROR(__xludf.DUMMYFUNCTION("""COMPUTED_VALUE"""),40949.6666666666)</f>
        <v>40949.666666666599</v>
      </c>
      <c r="B115" s="1">
        <f ca="1">IFERROR(__xludf.DUMMYFUNCTION("""COMPUTED_VALUE"""),17.6)</f>
        <v>17.600000000000001</v>
      </c>
      <c r="C115" s="1">
        <f ca="1">IFERROR(__xludf.DUMMYFUNCTION("""COMPUTED_VALUE"""),19.06)</f>
        <v>19.059999999999999</v>
      </c>
      <c r="D115" s="1">
        <f ca="1">IFERROR(__xludf.DUMMYFUNCTION("""COMPUTED_VALUE"""),17.41)</f>
        <v>17.41</v>
      </c>
      <c r="E115" s="1">
        <f ca="1">IFERROR(__xludf.DUMMYFUNCTION("""COMPUTED_VALUE"""),17.7)</f>
        <v>17.7</v>
      </c>
      <c r="F115" s="1">
        <f ca="1">IFERROR(__xludf.DUMMYFUNCTION("""COMPUTED_VALUE"""),41225918)</f>
        <v>41225918</v>
      </c>
    </row>
    <row r="116" spans="1:6" ht="15.75" customHeight="1">
      <c r="A116" s="10">
        <f ca="1">IFERROR(__xludf.DUMMYFUNCTION("""COMPUTED_VALUE"""),40956.6666666666)</f>
        <v>40956.666666666599</v>
      </c>
      <c r="B116" s="1">
        <f ca="1">IFERROR(__xludf.DUMMYFUNCTION("""COMPUTED_VALUE"""),17.85)</f>
        <v>17.850000000000001</v>
      </c>
      <c r="C116" s="1">
        <f ca="1">IFERROR(__xludf.DUMMYFUNCTION("""COMPUTED_VALUE"""),17.9)</f>
        <v>17.899999999999999</v>
      </c>
      <c r="D116" s="1">
        <f ca="1">IFERROR(__xludf.DUMMYFUNCTION("""COMPUTED_VALUE"""),16.88)</f>
        <v>16.88</v>
      </c>
      <c r="E116" s="1">
        <f ca="1">IFERROR(__xludf.DUMMYFUNCTION("""COMPUTED_VALUE"""),17.41)</f>
        <v>17.41</v>
      </c>
      <c r="F116" s="1">
        <f ca="1">IFERROR(__xludf.DUMMYFUNCTION("""COMPUTED_VALUE"""),29825063)</f>
        <v>29825063</v>
      </c>
    </row>
    <row r="117" spans="1:6" ht="15.75" customHeight="1">
      <c r="A117" s="10">
        <f ca="1">IFERROR(__xludf.DUMMYFUNCTION("""COMPUTED_VALUE"""),40963.6666666666)</f>
        <v>40963.666666666599</v>
      </c>
      <c r="B117" s="1">
        <f ca="1">IFERROR(__xludf.DUMMYFUNCTION("""COMPUTED_VALUE"""),17.68)</f>
        <v>17.68</v>
      </c>
      <c r="C117" s="1">
        <f ca="1">IFERROR(__xludf.DUMMYFUNCTION("""COMPUTED_VALUE"""),18.02)</f>
        <v>18.02</v>
      </c>
      <c r="D117" s="1">
        <f ca="1">IFERROR(__xludf.DUMMYFUNCTION("""COMPUTED_VALUE"""),15.51)</f>
        <v>15.51</v>
      </c>
      <c r="E117" s="1">
        <f ca="1">IFERROR(__xludf.DUMMYFUNCTION("""COMPUTED_VALUE"""),15.95)</f>
        <v>15.95</v>
      </c>
      <c r="F117" s="1">
        <f ca="1">IFERROR(__xludf.DUMMYFUNCTION("""COMPUTED_VALUE"""),34375784)</f>
        <v>34375784</v>
      </c>
    </row>
    <row r="118" spans="1:6" ht="15.75" customHeight="1">
      <c r="A118" s="10">
        <f ca="1">IFERROR(__xludf.DUMMYFUNCTION("""COMPUTED_VALUE"""),40970.6666666666)</f>
        <v>40970.666666666599</v>
      </c>
      <c r="B118" s="1">
        <f ca="1">IFERROR(__xludf.DUMMYFUNCTION("""COMPUTED_VALUE"""),15.44)</f>
        <v>15.44</v>
      </c>
      <c r="C118" s="1">
        <f ca="1">IFERROR(__xludf.DUMMYFUNCTION("""COMPUTED_VALUE"""),16.83)</f>
        <v>16.829999999999998</v>
      </c>
      <c r="D118" s="1">
        <f ca="1">IFERROR(__xludf.DUMMYFUNCTION("""COMPUTED_VALUE"""),15.23)</f>
        <v>15.23</v>
      </c>
      <c r="E118" s="1">
        <f ca="1">IFERROR(__xludf.DUMMYFUNCTION("""COMPUTED_VALUE"""),16.44)</f>
        <v>16.440000000000001</v>
      </c>
      <c r="F118" s="1">
        <f ca="1">IFERROR(__xludf.DUMMYFUNCTION("""COMPUTED_VALUE"""),28928560)</f>
        <v>28928560</v>
      </c>
    </row>
    <row r="119" spans="1:6" ht="15.75" customHeight="1">
      <c r="A119" s="10">
        <f ca="1">IFERROR(__xludf.DUMMYFUNCTION("""COMPUTED_VALUE"""),40977.6666666666)</f>
        <v>40977.666666666599</v>
      </c>
      <c r="B119" s="1">
        <f ca="1">IFERROR(__xludf.DUMMYFUNCTION("""COMPUTED_VALUE"""),16.38)</f>
        <v>16.38</v>
      </c>
      <c r="C119" s="1">
        <f ca="1">IFERROR(__xludf.DUMMYFUNCTION("""COMPUTED_VALUE"""),16.65)</f>
        <v>16.649999999999999</v>
      </c>
      <c r="D119" s="1">
        <f ca="1">IFERROR(__xludf.DUMMYFUNCTION("""COMPUTED_VALUE"""),14.65)</f>
        <v>14.65</v>
      </c>
      <c r="E119" s="1">
        <f ca="1">IFERROR(__xludf.DUMMYFUNCTION("""COMPUTED_VALUE"""),15.59)</f>
        <v>15.59</v>
      </c>
      <c r="F119" s="1">
        <f ca="1">IFERROR(__xludf.DUMMYFUNCTION("""COMPUTED_VALUE"""),31370418)</f>
        <v>31370418</v>
      </c>
    </row>
    <row r="120" spans="1:6" ht="15.75" customHeight="1">
      <c r="A120" s="10">
        <f ca="1">IFERROR(__xludf.DUMMYFUNCTION("""COMPUTED_VALUE"""),40984.6666666666)</f>
        <v>40984.666666666599</v>
      </c>
      <c r="B120" s="1">
        <f ca="1">IFERROR(__xludf.DUMMYFUNCTION("""COMPUTED_VALUE"""),15.39)</f>
        <v>15.39</v>
      </c>
      <c r="C120" s="1">
        <f ca="1">IFERROR(__xludf.DUMMYFUNCTION("""COMPUTED_VALUE"""),15.96)</f>
        <v>15.96</v>
      </c>
      <c r="D120" s="1">
        <f ca="1">IFERROR(__xludf.DUMMYFUNCTION("""COMPUTED_VALUE"""),14.7)</f>
        <v>14.7</v>
      </c>
      <c r="E120" s="1">
        <f ca="1">IFERROR(__xludf.DUMMYFUNCTION("""COMPUTED_VALUE"""),15.71)</f>
        <v>15.71</v>
      </c>
      <c r="F120" s="1">
        <f ca="1">IFERROR(__xludf.DUMMYFUNCTION("""COMPUTED_VALUE"""),25666915)</f>
        <v>25666915</v>
      </c>
    </row>
    <row r="121" spans="1:6" ht="15.75" customHeight="1">
      <c r="A121" s="10">
        <f ca="1">IFERROR(__xludf.DUMMYFUNCTION("""COMPUTED_VALUE"""),40991.6666666666)</f>
        <v>40991.666666666599</v>
      </c>
      <c r="B121" s="1">
        <f ca="1">IFERROR(__xludf.DUMMYFUNCTION("""COMPUTED_VALUE"""),15.64)</f>
        <v>15.64</v>
      </c>
      <c r="C121" s="1">
        <f ca="1">IFERROR(__xludf.DUMMYFUNCTION("""COMPUTED_VALUE"""),17.64)</f>
        <v>17.64</v>
      </c>
      <c r="D121" s="1">
        <f ca="1">IFERROR(__xludf.DUMMYFUNCTION("""COMPUTED_VALUE"""),15.54)</f>
        <v>15.54</v>
      </c>
      <c r="E121" s="1">
        <f ca="1">IFERROR(__xludf.DUMMYFUNCTION("""COMPUTED_VALUE"""),17.17)</f>
        <v>17.170000000000002</v>
      </c>
      <c r="F121" s="1">
        <f ca="1">IFERROR(__xludf.DUMMYFUNCTION("""COMPUTED_VALUE"""),28070843)</f>
        <v>28070843</v>
      </c>
    </row>
    <row r="122" spans="1:6" ht="15.75" customHeight="1">
      <c r="A122" s="10">
        <f ca="1">IFERROR(__xludf.DUMMYFUNCTION("""COMPUTED_VALUE"""),40998.6666666666)</f>
        <v>40998.666666666599</v>
      </c>
      <c r="B122" s="1">
        <f ca="1">IFERROR(__xludf.DUMMYFUNCTION("""COMPUTED_VALUE"""),17.37)</f>
        <v>17.37</v>
      </c>
      <c r="C122" s="1">
        <f ca="1">IFERROR(__xludf.DUMMYFUNCTION("""COMPUTED_VALUE"""),17.64)</f>
        <v>17.64</v>
      </c>
      <c r="D122" s="1">
        <f ca="1">IFERROR(__xludf.DUMMYFUNCTION("""COMPUTED_VALUE"""),16.14)</f>
        <v>16.14</v>
      </c>
      <c r="E122" s="1">
        <f ca="1">IFERROR(__xludf.DUMMYFUNCTION("""COMPUTED_VALUE"""),16.43)</f>
        <v>16.43</v>
      </c>
      <c r="F122" s="1">
        <f ca="1">IFERROR(__xludf.DUMMYFUNCTION("""COMPUTED_VALUE"""),20238678)</f>
        <v>20238678</v>
      </c>
    </row>
    <row r="123" spans="1:6" ht="15.75" customHeight="1">
      <c r="A123" s="10">
        <f ca="1">IFERROR(__xludf.DUMMYFUNCTION("""COMPUTED_VALUE"""),41004.6666666666)</f>
        <v>41004.666666666599</v>
      </c>
      <c r="B123" s="1">
        <f ca="1">IFERROR(__xludf.DUMMYFUNCTION("""COMPUTED_VALUE"""),16.4)</f>
        <v>16.399999999999999</v>
      </c>
      <c r="C123" s="1">
        <f ca="1">IFERROR(__xludf.DUMMYFUNCTION("""COMPUTED_VALUE"""),16.4)</f>
        <v>16.399999999999999</v>
      </c>
      <c r="D123" s="1">
        <f ca="1">IFERROR(__xludf.DUMMYFUNCTION("""COMPUTED_VALUE"""),15.62)</f>
        <v>15.62</v>
      </c>
      <c r="E123" s="1">
        <f ca="1">IFERROR(__xludf.DUMMYFUNCTION("""COMPUTED_VALUE"""),15.79)</f>
        <v>15.79</v>
      </c>
      <c r="F123" s="1">
        <f ca="1">IFERROR(__xludf.DUMMYFUNCTION("""COMPUTED_VALUE"""),16577584)</f>
        <v>16577584</v>
      </c>
    </row>
    <row r="124" spans="1:6" ht="15.75" customHeight="1">
      <c r="A124" s="10">
        <f ca="1">IFERROR(__xludf.DUMMYFUNCTION("""COMPUTED_VALUE"""),41012.6666666666)</f>
        <v>41012.666666666599</v>
      </c>
      <c r="B124" s="1">
        <f ca="1">IFERROR(__xludf.DUMMYFUNCTION("""COMPUTED_VALUE"""),15.54)</f>
        <v>15.54</v>
      </c>
      <c r="C124" s="1">
        <f ca="1">IFERROR(__xludf.DUMMYFUNCTION("""COMPUTED_VALUE"""),15.67)</f>
        <v>15.67</v>
      </c>
      <c r="D124" s="1">
        <f ca="1">IFERROR(__xludf.DUMMYFUNCTION("""COMPUTED_VALUE"""),14.07)</f>
        <v>14.07</v>
      </c>
      <c r="E124" s="1">
        <f ca="1">IFERROR(__xludf.DUMMYFUNCTION("""COMPUTED_VALUE"""),14.88)</f>
        <v>14.88</v>
      </c>
      <c r="F124" s="1">
        <f ca="1">IFERROR(__xludf.DUMMYFUNCTION("""COMPUTED_VALUE"""),24530488)</f>
        <v>24530488</v>
      </c>
    </row>
    <row r="125" spans="1:6" ht="15.75" customHeight="1">
      <c r="A125" s="10">
        <f ca="1">IFERROR(__xludf.DUMMYFUNCTION("""COMPUTED_VALUE"""),41019.6666666666)</f>
        <v>41019.666666666599</v>
      </c>
      <c r="B125" s="1">
        <f ca="1">IFERROR(__xludf.DUMMYFUNCTION("""COMPUTED_VALUE"""),14.99)</f>
        <v>14.99</v>
      </c>
      <c r="C125" s="1">
        <f ca="1">IFERROR(__xludf.DUMMYFUNCTION("""COMPUTED_VALUE"""),15.67)</f>
        <v>15.67</v>
      </c>
      <c r="D125" s="1">
        <f ca="1">IFERROR(__xludf.DUMMYFUNCTION("""COMPUTED_VALUE"""),14.34)</f>
        <v>14.34</v>
      </c>
      <c r="E125" s="1">
        <f ca="1">IFERROR(__xludf.DUMMYFUNCTION("""COMPUTED_VALUE"""),15.16)</f>
        <v>15.16</v>
      </c>
      <c r="F125" s="1">
        <f ca="1">IFERROR(__xludf.DUMMYFUNCTION("""COMPUTED_VALUE"""),17825955)</f>
        <v>17825955</v>
      </c>
    </row>
    <row r="126" spans="1:6" ht="15.75" customHeight="1">
      <c r="A126" s="10">
        <f ca="1">IFERROR(__xludf.DUMMYFUNCTION("""COMPUTED_VALUE"""),41026.6666666666)</f>
        <v>41026.666666666599</v>
      </c>
      <c r="B126" s="1">
        <f ca="1">IFERROR(__xludf.DUMMYFUNCTION("""COMPUTED_VALUE"""),14.98)</f>
        <v>14.98</v>
      </c>
      <c r="C126" s="1">
        <f ca="1">IFERROR(__xludf.DUMMYFUNCTION("""COMPUTED_VALUE"""),15)</f>
        <v>15</v>
      </c>
      <c r="D126" s="1">
        <f ca="1">IFERROR(__xludf.DUMMYFUNCTION("""COMPUTED_VALUE"""),11.65)</f>
        <v>11.65</v>
      </c>
      <c r="E126" s="1">
        <f ca="1">IFERROR(__xludf.DUMMYFUNCTION("""COMPUTED_VALUE"""),11.96)</f>
        <v>11.96</v>
      </c>
      <c r="F126" s="1">
        <f ca="1">IFERROR(__xludf.DUMMYFUNCTION("""COMPUTED_VALUE"""),53890133)</f>
        <v>53890133</v>
      </c>
    </row>
    <row r="127" spans="1:6" ht="15.75" customHeight="1">
      <c r="A127" s="10">
        <f ca="1">IFERROR(__xludf.DUMMYFUNCTION("""COMPUTED_VALUE"""),41033.6666666666)</f>
        <v>41033.666666666599</v>
      </c>
      <c r="B127" s="1">
        <f ca="1">IFERROR(__xludf.DUMMYFUNCTION("""COMPUTED_VALUE"""),11.8)</f>
        <v>11.8</v>
      </c>
      <c r="C127" s="1">
        <f ca="1">IFERROR(__xludf.DUMMYFUNCTION("""COMPUTED_VALUE"""),11.85)</f>
        <v>11.85</v>
      </c>
      <c r="D127" s="1">
        <f ca="1">IFERROR(__xludf.DUMMYFUNCTION("""COMPUTED_VALUE"""),10.3)</f>
        <v>10.3</v>
      </c>
      <c r="E127" s="1">
        <f ca="1">IFERROR(__xludf.DUMMYFUNCTION("""COMPUTED_VALUE"""),10.45)</f>
        <v>10.45</v>
      </c>
      <c r="F127" s="1">
        <f ca="1">IFERROR(__xludf.DUMMYFUNCTION("""COMPUTED_VALUE"""),32825720)</f>
        <v>32825720</v>
      </c>
    </row>
    <row r="128" spans="1:6" ht="15.75" customHeight="1">
      <c r="A128" s="10">
        <f ca="1">IFERROR(__xludf.DUMMYFUNCTION("""COMPUTED_VALUE"""),41040.6666666666)</f>
        <v>41040.666666666599</v>
      </c>
      <c r="B128" s="1">
        <f ca="1">IFERROR(__xludf.DUMMYFUNCTION("""COMPUTED_VALUE"""),10.36)</f>
        <v>10.36</v>
      </c>
      <c r="C128" s="1">
        <f ca="1">IFERROR(__xludf.DUMMYFUNCTION("""COMPUTED_VALUE"""),11.2)</f>
        <v>11.2</v>
      </c>
      <c r="D128" s="1">
        <f ca="1">IFERROR(__xludf.DUMMYFUNCTION("""COMPUTED_VALUE"""),10.08)</f>
        <v>10.08</v>
      </c>
      <c r="E128" s="1">
        <f ca="1">IFERROR(__xludf.DUMMYFUNCTION("""COMPUTED_VALUE"""),11.05)</f>
        <v>11.05</v>
      </c>
      <c r="F128" s="1">
        <f ca="1">IFERROR(__xludf.DUMMYFUNCTION("""COMPUTED_VALUE"""),24399043)</f>
        <v>24399043</v>
      </c>
    </row>
    <row r="129" spans="1:6" ht="15.75" customHeight="1">
      <c r="A129" s="10">
        <f ca="1">IFERROR(__xludf.DUMMYFUNCTION("""COMPUTED_VALUE"""),41047.6666666666)</f>
        <v>41047.666666666599</v>
      </c>
      <c r="B129" s="1">
        <f ca="1">IFERROR(__xludf.DUMMYFUNCTION("""COMPUTED_VALUE"""),11.01)</f>
        <v>11.01</v>
      </c>
      <c r="C129" s="1">
        <f ca="1">IFERROR(__xludf.DUMMYFUNCTION("""COMPUTED_VALUE"""),11.33)</f>
        <v>11.33</v>
      </c>
      <c r="D129" s="1">
        <f ca="1">IFERROR(__xludf.DUMMYFUNCTION("""COMPUTED_VALUE"""),9.34)</f>
        <v>9.34</v>
      </c>
      <c r="E129" s="1">
        <f ca="1">IFERROR(__xludf.DUMMYFUNCTION("""COMPUTED_VALUE"""),9.99)</f>
        <v>9.99</v>
      </c>
      <c r="F129" s="1">
        <f ca="1">IFERROR(__xludf.DUMMYFUNCTION("""COMPUTED_VALUE"""),22735812)</f>
        <v>22735812</v>
      </c>
    </row>
    <row r="130" spans="1:6" ht="15.75" customHeight="1">
      <c r="A130" s="10">
        <f ca="1">IFERROR(__xludf.DUMMYFUNCTION("""COMPUTED_VALUE"""),41054.6666666666)</f>
        <v>41054.666666666599</v>
      </c>
      <c r="B130" s="1">
        <f ca="1">IFERROR(__xludf.DUMMYFUNCTION("""COMPUTED_VALUE"""),9.98)</f>
        <v>9.98</v>
      </c>
      <c r="C130" s="1">
        <f ca="1">IFERROR(__xludf.DUMMYFUNCTION("""COMPUTED_VALUE"""),10.5)</f>
        <v>10.5</v>
      </c>
      <c r="D130" s="1">
        <f ca="1">IFERROR(__xludf.DUMMYFUNCTION("""COMPUTED_VALUE"""),9.6)</f>
        <v>9.6</v>
      </c>
      <c r="E130" s="1">
        <f ca="1">IFERROR(__xludf.DUMMYFUNCTION("""COMPUTED_VALUE"""),10.03)</f>
        <v>10.029999999999999</v>
      </c>
      <c r="F130" s="1">
        <f ca="1">IFERROR(__xludf.DUMMYFUNCTION("""COMPUTED_VALUE"""),23353465)</f>
        <v>23353465</v>
      </c>
    </row>
    <row r="131" spans="1:6" ht="15.75" customHeight="1">
      <c r="A131" s="10">
        <f ca="1">IFERROR(__xludf.DUMMYFUNCTION("""COMPUTED_VALUE"""),41061.6666666666)</f>
        <v>41061.666666666599</v>
      </c>
      <c r="B131" s="1">
        <f ca="1">IFERROR(__xludf.DUMMYFUNCTION("""COMPUTED_VALUE"""),10.15)</f>
        <v>10.15</v>
      </c>
      <c r="C131" s="1">
        <f ca="1">IFERROR(__xludf.DUMMYFUNCTION("""COMPUTED_VALUE"""),10.16)</f>
        <v>10.16</v>
      </c>
      <c r="D131" s="1">
        <f ca="1">IFERROR(__xludf.DUMMYFUNCTION("""COMPUTED_VALUE"""),8.67)</f>
        <v>8.67</v>
      </c>
      <c r="E131" s="1">
        <f ca="1">IFERROR(__xludf.DUMMYFUNCTION("""COMPUTED_VALUE"""),8.99)</f>
        <v>8.99</v>
      </c>
      <c r="F131" s="1">
        <f ca="1">IFERROR(__xludf.DUMMYFUNCTION("""COMPUTED_VALUE"""),22054597)</f>
        <v>22054597</v>
      </c>
    </row>
    <row r="132" spans="1:6" ht="15.75" customHeight="1">
      <c r="A132" s="10">
        <f ca="1">IFERROR(__xludf.DUMMYFUNCTION("""COMPUTED_VALUE"""),41068.6666666666)</f>
        <v>41068.666666666599</v>
      </c>
      <c r="B132" s="1">
        <f ca="1">IFERROR(__xludf.DUMMYFUNCTION("""COMPUTED_VALUE"""),9.04)</f>
        <v>9.0399999999999991</v>
      </c>
      <c r="C132" s="1">
        <f ca="1">IFERROR(__xludf.DUMMYFUNCTION("""COMPUTED_VALUE"""),9.77)</f>
        <v>9.77</v>
      </c>
      <c r="D132" s="1">
        <f ca="1">IFERROR(__xludf.DUMMYFUNCTION("""COMPUTED_VALUE"""),8.91)</f>
        <v>8.91</v>
      </c>
      <c r="E132" s="1">
        <f ca="1">IFERROR(__xludf.DUMMYFUNCTION("""COMPUTED_VALUE"""),9.38)</f>
        <v>9.3800000000000008</v>
      </c>
      <c r="F132" s="1">
        <f ca="1">IFERROR(__xludf.DUMMYFUNCTION("""COMPUTED_VALUE"""),19017684)</f>
        <v>19017684</v>
      </c>
    </row>
    <row r="133" spans="1:6" ht="15.75" customHeight="1">
      <c r="A133" s="10">
        <f ca="1">IFERROR(__xludf.DUMMYFUNCTION("""COMPUTED_VALUE"""),41075.6666666666)</f>
        <v>41075.666666666599</v>
      </c>
      <c r="B133" s="1">
        <f ca="1">IFERROR(__xludf.DUMMYFUNCTION("""COMPUTED_VALUE"""),9.5)</f>
        <v>9.5</v>
      </c>
      <c r="C133" s="1">
        <f ca="1">IFERROR(__xludf.DUMMYFUNCTION("""COMPUTED_VALUE"""),9.51)</f>
        <v>9.51</v>
      </c>
      <c r="D133" s="1">
        <f ca="1">IFERROR(__xludf.DUMMYFUNCTION("""COMPUTED_VALUE"""),8.72)</f>
        <v>8.7200000000000006</v>
      </c>
      <c r="E133" s="1">
        <f ca="1">IFERROR(__xludf.DUMMYFUNCTION("""COMPUTED_VALUE"""),9.4)</f>
        <v>9.4</v>
      </c>
      <c r="F133" s="1">
        <f ca="1">IFERROR(__xludf.DUMMYFUNCTION("""COMPUTED_VALUE"""),17275938)</f>
        <v>17275938</v>
      </c>
    </row>
    <row r="134" spans="1:6" ht="15.75" customHeight="1">
      <c r="A134" s="10">
        <f ca="1">IFERROR(__xludf.DUMMYFUNCTION("""COMPUTED_VALUE"""),41082.6666666666)</f>
        <v>41082.666666666599</v>
      </c>
      <c r="B134" s="1">
        <f ca="1">IFERROR(__xludf.DUMMYFUNCTION("""COMPUTED_VALUE"""),9.29)</f>
        <v>9.2899999999999991</v>
      </c>
      <c r="C134" s="1">
        <f ca="1">IFERROR(__xludf.DUMMYFUNCTION("""COMPUTED_VALUE"""),10.07)</f>
        <v>10.07</v>
      </c>
      <c r="D134" s="1">
        <f ca="1">IFERROR(__xludf.DUMMYFUNCTION("""COMPUTED_VALUE"""),9.26)</f>
        <v>9.26</v>
      </c>
      <c r="E134" s="1">
        <f ca="1">IFERROR(__xludf.DUMMYFUNCTION("""COMPUTED_VALUE"""),9.69)</f>
        <v>9.69</v>
      </c>
      <c r="F134" s="1">
        <f ca="1">IFERROR(__xludf.DUMMYFUNCTION("""COMPUTED_VALUE"""),16163386)</f>
        <v>16163386</v>
      </c>
    </row>
    <row r="135" spans="1:6" ht="15.75" customHeight="1">
      <c r="A135" s="10">
        <f ca="1">IFERROR(__xludf.DUMMYFUNCTION("""COMPUTED_VALUE"""),41089.6666666666)</f>
        <v>41089.666666666599</v>
      </c>
      <c r="B135" s="1">
        <f ca="1">IFERROR(__xludf.DUMMYFUNCTION("""COMPUTED_VALUE"""),9.69)</f>
        <v>9.69</v>
      </c>
      <c r="C135" s="1">
        <f ca="1">IFERROR(__xludf.DUMMYFUNCTION("""COMPUTED_VALUE"""),9.93)</f>
        <v>9.93</v>
      </c>
      <c r="D135" s="1">
        <f ca="1">IFERROR(__xludf.DUMMYFUNCTION("""COMPUTED_VALUE"""),9.37)</f>
        <v>9.3699999999999992</v>
      </c>
      <c r="E135" s="1">
        <f ca="1">IFERROR(__xludf.DUMMYFUNCTION("""COMPUTED_VALUE"""),9.78)</f>
        <v>9.7799999999999994</v>
      </c>
      <c r="F135" s="1">
        <f ca="1">IFERROR(__xludf.DUMMYFUNCTION("""COMPUTED_VALUE"""),13845507)</f>
        <v>13845507</v>
      </c>
    </row>
    <row r="136" spans="1:6" ht="15.75" customHeight="1">
      <c r="A136" s="10">
        <f ca="1">IFERROR(__xludf.DUMMYFUNCTION("""COMPUTED_VALUE"""),41096.6666666666)</f>
        <v>41096.666666666599</v>
      </c>
      <c r="B136" s="1">
        <f ca="1">IFERROR(__xludf.DUMMYFUNCTION("""COMPUTED_VALUE"""),9.82)</f>
        <v>9.82</v>
      </c>
      <c r="C136" s="1">
        <f ca="1">IFERROR(__xludf.DUMMYFUNCTION("""COMPUTED_VALUE"""),12.2)</f>
        <v>12.2</v>
      </c>
      <c r="D136" s="1">
        <f ca="1">IFERROR(__xludf.DUMMYFUNCTION("""COMPUTED_VALUE"""),9.61)</f>
        <v>9.61</v>
      </c>
      <c r="E136" s="1">
        <f ca="1">IFERROR(__xludf.DUMMYFUNCTION("""COMPUTED_VALUE"""),11.7)</f>
        <v>11.7</v>
      </c>
      <c r="F136" s="1">
        <f ca="1">IFERROR(__xludf.DUMMYFUNCTION("""COMPUTED_VALUE"""),32580548)</f>
        <v>32580548</v>
      </c>
    </row>
    <row r="137" spans="1:6" ht="15.75" customHeight="1">
      <c r="A137" s="10">
        <f ca="1">IFERROR(__xludf.DUMMYFUNCTION("""COMPUTED_VALUE"""),41103.6666666666)</f>
        <v>41103.666666666599</v>
      </c>
      <c r="B137" s="1">
        <f ca="1">IFERROR(__xludf.DUMMYFUNCTION("""COMPUTED_VALUE"""),11.86)</f>
        <v>11.86</v>
      </c>
      <c r="C137" s="1">
        <f ca="1">IFERROR(__xludf.DUMMYFUNCTION("""COMPUTED_VALUE"""),12.38)</f>
        <v>12.38</v>
      </c>
      <c r="D137" s="1">
        <f ca="1">IFERROR(__xludf.DUMMYFUNCTION("""COMPUTED_VALUE"""),11.36)</f>
        <v>11.36</v>
      </c>
      <c r="E137" s="1">
        <f ca="1">IFERROR(__xludf.DUMMYFUNCTION("""COMPUTED_VALUE"""),12.13)</f>
        <v>12.13</v>
      </c>
      <c r="F137" s="1">
        <f ca="1">IFERROR(__xludf.DUMMYFUNCTION("""COMPUTED_VALUE"""),28875033)</f>
        <v>28875033</v>
      </c>
    </row>
    <row r="138" spans="1:6" ht="15.75" customHeight="1">
      <c r="A138" s="10">
        <f ca="1">IFERROR(__xludf.DUMMYFUNCTION("""COMPUTED_VALUE"""),41110.6666666666)</f>
        <v>41110.666666666599</v>
      </c>
      <c r="B138" s="1">
        <f ca="1">IFERROR(__xludf.DUMMYFUNCTION("""COMPUTED_VALUE"""),12.16)</f>
        <v>12.16</v>
      </c>
      <c r="C138" s="1">
        <f ca="1">IFERROR(__xludf.DUMMYFUNCTION("""COMPUTED_VALUE"""),12.22)</f>
        <v>12.22</v>
      </c>
      <c r="D138" s="1">
        <f ca="1">IFERROR(__xludf.DUMMYFUNCTION("""COMPUTED_VALUE"""),11.52)</f>
        <v>11.52</v>
      </c>
      <c r="E138" s="1">
        <f ca="1">IFERROR(__xludf.DUMMYFUNCTION("""COMPUTED_VALUE"""),11.69)</f>
        <v>11.69</v>
      </c>
      <c r="F138" s="1">
        <f ca="1">IFERROR(__xludf.DUMMYFUNCTION("""COMPUTED_VALUE"""),17694215)</f>
        <v>17694215</v>
      </c>
    </row>
    <row r="139" spans="1:6" ht="15.75" customHeight="1">
      <c r="A139" s="10">
        <f ca="1">IFERROR(__xludf.DUMMYFUNCTION("""COMPUTED_VALUE"""),41117.6666666666)</f>
        <v>41117.666666666599</v>
      </c>
      <c r="B139" s="1">
        <f ca="1">IFERROR(__xludf.DUMMYFUNCTION("""COMPUTED_VALUE"""),11.53)</f>
        <v>11.53</v>
      </c>
      <c r="C139" s="1">
        <f ca="1">IFERROR(__xludf.DUMMYFUNCTION("""COMPUTED_VALUE"""),11.78)</f>
        <v>11.78</v>
      </c>
      <c r="D139" s="1">
        <f ca="1">IFERROR(__xludf.DUMMYFUNCTION("""COMPUTED_VALUE"""),8.02)</f>
        <v>8.02</v>
      </c>
      <c r="E139" s="1">
        <f ca="1">IFERROR(__xludf.DUMMYFUNCTION("""COMPUTED_VALUE"""),8.42)</f>
        <v>8.42</v>
      </c>
      <c r="F139" s="1">
        <f ca="1">IFERROR(__xludf.DUMMYFUNCTION("""COMPUTED_VALUE"""),55282723)</f>
        <v>55282723</v>
      </c>
    </row>
    <row r="140" spans="1:6" ht="15.75" customHeight="1">
      <c r="A140" s="10">
        <f ca="1">IFERROR(__xludf.DUMMYFUNCTION("""COMPUTED_VALUE"""),41124.6666666666)</f>
        <v>41124.666666666599</v>
      </c>
      <c r="B140" s="1">
        <f ca="1">IFERROR(__xludf.DUMMYFUNCTION("""COMPUTED_VALUE"""),8.42)</f>
        <v>8.42</v>
      </c>
      <c r="C140" s="1">
        <f ca="1">IFERROR(__xludf.DUMMYFUNCTION("""COMPUTED_VALUE"""),8.57)</f>
        <v>8.57</v>
      </c>
      <c r="D140" s="1">
        <f ca="1">IFERROR(__xludf.DUMMYFUNCTION("""COMPUTED_VALUE"""),7.54)</f>
        <v>7.54</v>
      </c>
      <c r="E140" s="1">
        <f ca="1">IFERROR(__xludf.DUMMYFUNCTION("""COMPUTED_VALUE"""),7.7)</f>
        <v>7.7</v>
      </c>
      <c r="F140" s="1">
        <f ca="1">IFERROR(__xludf.DUMMYFUNCTION("""COMPUTED_VALUE"""),20337380)</f>
        <v>20337380</v>
      </c>
    </row>
    <row r="141" spans="1:6" ht="15.75" customHeight="1">
      <c r="A141" s="10">
        <f ca="1">IFERROR(__xludf.DUMMYFUNCTION("""COMPUTED_VALUE"""),41131.6666666666)</f>
        <v>41131.666666666599</v>
      </c>
      <c r="B141" s="1">
        <f ca="1">IFERROR(__xludf.DUMMYFUNCTION("""COMPUTED_VALUE"""),7.79)</f>
        <v>7.79</v>
      </c>
      <c r="C141" s="1">
        <f ca="1">IFERROR(__xludf.DUMMYFUNCTION("""COMPUTED_VALUE"""),8.65)</f>
        <v>8.65</v>
      </c>
      <c r="D141" s="1">
        <f ca="1">IFERROR(__xludf.DUMMYFUNCTION("""COMPUTED_VALUE"""),7.73)</f>
        <v>7.73</v>
      </c>
      <c r="E141" s="1">
        <f ca="1">IFERROR(__xludf.DUMMYFUNCTION("""COMPUTED_VALUE"""),8.56)</f>
        <v>8.56</v>
      </c>
      <c r="F141" s="1">
        <f ca="1">IFERROR(__xludf.DUMMYFUNCTION("""COMPUTED_VALUE"""),18442708)</f>
        <v>18442708</v>
      </c>
    </row>
    <row r="142" spans="1:6" ht="15.75" customHeight="1">
      <c r="A142" s="10">
        <f ca="1">IFERROR(__xludf.DUMMYFUNCTION("""COMPUTED_VALUE"""),41138.6666666666)</f>
        <v>41138.666666666599</v>
      </c>
      <c r="B142" s="1">
        <f ca="1">IFERROR(__xludf.DUMMYFUNCTION("""COMPUTED_VALUE"""),8.75)</f>
        <v>8.75</v>
      </c>
      <c r="C142" s="1">
        <f ca="1">IFERROR(__xludf.DUMMYFUNCTION("""COMPUTED_VALUE"""),9.36)</f>
        <v>9.36</v>
      </c>
      <c r="D142" s="1">
        <f ca="1">IFERROR(__xludf.DUMMYFUNCTION("""COMPUTED_VALUE"""),8.36)</f>
        <v>8.36</v>
      </c>
      <c r="E142" s="1">
        <f ca="1">IFERROR(__xludf.DUMMYFUNCTION("""COMPUTED_VALUE"""),9.1)</f>
        <v>9.1</v>
      </c>
      <c r="F142" s="1">
        <f ca="1">IFERROR(__xludf.DUMMYFUNCTION("""COMPUTED_VALUE"""),21766694)</f>
        <v>21766694</v>
      </c>
    </row>
    <row r="143" spans="1:6" ht="15.75" customHeight="1">
      <c r="A143" s="10">
        <f ca="1">IFERROR(__xludf.DUMMYFUNCTION("""COMPUTED_VALUE"""),41145.6666666666)</f>
        <v>41145.666666666599</v>
      </c>
      <c r="B143" s="1">
        <f ca="1">IFERROR(__xludf.DUMMYFUNCTION("""COMPUTED_VALUE"""),9.09)</f>
        <v>9.09</v>
      </c>
      <c r="C143" s="1">
        <f ca="1">IFERROR(__xludf.DUMMYFUNCTION("""COMPUTED_VALUE"""),9.52)</f>
        <v>9.52</v>
      </c>
      <c r="D143" s="1">
        <f ca="1">IFERROR(__xludf.DUMMYFUNCTION("""COMPUTED_VALUE"""),8.84)</f>
        <v>8.84</v>
      </c>
      <c r="E143" s="1">
        <f ca="1">IFERROR(__xludf.DUMMYFUNCTION("""COMPUTED_VALUE"""),9.02)</f>
        <v>9.02</v>
      </c>
      <c r="F143" s="1">
        <f ca="1">IFERROR(__xludf.DUMMYFUNCTION("""COMPUTED_VALUE"""),18118786)</f>
        <v>18118786</v>
      </c>
    </row>
    <row r="144" spans="1:6" ht="15.75" customHeight="1">
      <c r="A144" s="10">
        <f ca="1">IFERROR(__xludf.DUMMYFUNCTION("""COMPUTED_VALUE"""),41152.6666666666)</f>
        <v>41152.666666666599</v>
      </c>
      <c r="B144" s="1">
        <f ca="1">IFERROR(__xludf.DUMMYFUNCTION("""COMPUTED_VALUE"""),9.05)</f>
        <v>9.0500000000000007</v>
      </c>
      <c r="C144" s="1">
        <f ca="1">IFERROR(__xludf.DUMMYFUNCTION("""COMPUTED_VALUE"""),9.14)</f>
        <v>9.14</v>
      </c>
      <c r="D144" s="1">
        <f ca="1">IFERROR(__xludf.DUMMYFUNCTION("""COMPUTED_VALUE"""),8.44)</f>
        <v>8.44</v>
      </c>
      <c r="E144" s="1">
        <f ca="1">IFERROR(__xludf.DUMMYFUNCTION("""COMPUTED_VALUE"""),8.53)</f>
        <v>8.5299999999999994</v>
      </c>
      <c r="F144" s="1">
        <f ca="1">IFERROR(__xludf.DUMMYFUNCTION("""COMPUTED_VALUE"""),13975366)</f>
        <v>13975366</v>
      </c>
    </row>
    <row r="145" spans="1:6" ht="15.75" customHeight="1">
      <c r="A145" s="10">
        <f ca="1">IFERROR(__xludf.DUMMYFUNCTION("""COMPUTED_VALUE"""),41159.6666666666)</f>
        <v>41159.666666666599</v>
      </c>
      <c r="B145" s="1">
        <f ca="1">IFERROR(__xludf.DUMMYFUNCTION("""COMPUTED_VALUE"""),8.29)</f>
        <v>8.2899999999999991</v>
      </c>
      <c r="C145" s="1">
        <f ca="1">IFERROR(__xludf.DUMMYFUNCTION("""COMPUTED_VALUE"""),8.29)</f>
        <v>8.2899999999999991</v>
      </c>
      <c r="D145" s="1">
        <f ca="1">IFERROR(__xludf.DUMMYFUNCTION("""COMPUTED_VALUE"""),7.59)</f>
        <v>7.59</v>
      </c>
      <c r="E145" s="1">
        <f ca="1">IFERROR(__xludf.DUMMYFUNCTION("""COMPUTED_VALUE"""),8.09)</f>
        <v>8.09</v>
      </c>
      <c r="F145" s="1">
        <f ca="1">IFERROR(__xludf.DUMMYFUNCTION("""COMPUTED_VALUE"""),27563072)</f>
        <v>27563072</v>
      </c>
    </row>
    <row r="146" spans="1:6" ht="15.75" customHeight="1">
      <c r="A146" s="10">
        <f ca="1">IFERROR(__xludf.DUMMYFUNCTION("""COMPUTED_VALUE"""),41166.6666666666)</f>
        <v>41166.666666666599</v>
      </c>
      <c r="B146" s="1">
        <f ca="1">IFERROR(__xludf.DUMMYFUNCTION("""COMPUTED_VALUE"""),8.05)</f>
        <v>8.0500000000000007</v>
      </c>
      <c r="C146" s="1">
        <f ca="1">IFERROR(__xludf.DUMMYFUNCTION("""COMPUTED_VALUE"""),8.77)</f>
        <v>8.77</v>
      </c>
      <c r="D146" s="1">
        <f ca="1">IFERROR(__xludf.DUMMYFUNCTION("""COMPUTED_VALUE"""),7.87)</f>
        <v>7.87</v>
      </c>
      <c r="E146" s="1">
        <f ca="1">IFERROR(__xludf.DUMMYFUNCTION("""COMPUTED_VALUE"""),8.65)</f>
        <v>8.65</v>
      </c>
      <c r="F146" s="1">
        <f ca="1">IFERROR(__xludf.DUMMYFUNCTION("""COMPUTED_VALUE"""),19662404)</f>
        <v>19662404</v>
      </c>
    </row>
    <row r="147" spans="1:6" ht="15.75" customHeight="1">
      <c r="A147" s="10">
        <f ca="1">IFERROR(__xludf.DUMMYFUNCTION("""COMPUTED_VALUE"""),41173.6666666666)</f>
        <v>41173.666666666599</v>
      </c>
      <c r="B147" s="1">
        <f ca="1">IFERROR(__xludf.DUMMYFUNCTION("""COMPUTED_VALUE"""),8.43)</f>
        <v>8.43</v>
      </c>
      <c r="C147" s="1">
        <f ca="1">IFERROR(__xludf.DUMMYFUNCTION("""COMPUTED_VALUE"""),8.53)</f>
        <v>8.5299999999999994</v>
      </c>
      <c r="D147" s="1">
        <f ca="1">IFERROR(__xludf.DUMMYFUNCTION("""COMPUTED_VALUE"""),7.96)</f>
        <v>7.96</v>
      </c>
      <c r="E147" s="1">
        <f ca="1">IFERROR(__xludf.DUMMYFUNCTION("""COMPUTED_VALUE"""),8.26)</f>
        <v>8.26</v>
      </c>
      <c r="F147" s="1">
        <f ca="1">IFERROR(__xludf.DUMMYFUNCTION("""COMPUTED_VALUE"""),24182678)</f>
        <v>24182678</v>
      </c>
    </row>
    <row r="148" spans="1:6" ht="15.75" customHeight="1">
      <c r="A148" s="10">
        <f ca="1">IFERROR(__xludf.DUMMYFUNCTION("""COMPUTED_VALUE"""),41180.6666666666)</f>
        <v>41180.666666666599</v>
      </c>
      <c r="B148" s="1">
        <f ca="1">IFERROR(__xludf.DUMMYFUNCTION("""COMPUTED_VALUE"""),8.12)</f>
        <v>8.1199999999999992</v>
      </c>
      <c r="C148" s="1">
        <f ca="1">IFERROR(__xludf.DUMMYFUNCTION("""COMPUTED_VALUE"""),8.26)</f>
        <v>8.26</v>
      </c>
      <c r="D148" s="1">
        <f ca="1">IFERROR(__xludf.DUMMYFUNCTION("""COMPUTED_VALUE"""),7.58)</f>
        <v>7.58</v>
      </c>
      <c r="E148" s="1">
        <f ca="1">IFERROR(__xludf.DUMMYFUNCTION("""COMPUTED_VALUE"""),7.78)</f>
        <v>7.78</v>
      </c>
      <c r="F148" s="1">
        <f ca="1">IFERROR(__xludf.DUMMYFUNCTION("""COMPUTED_VALUE"""),19925062)</f>
        <v>19925062</v>
      </c>
    </row>
    <row r="149" spans="1:6" ht="15.75" customHeight="1">
      <c r="A149" s="10">
        <f ca="1">IFERROR(__xludf.DUMMYFUNCTION("""COMPUTED_VALUE"""),41187.6666666666)</f>
        <v>41187.666666666599</v>
      </c>
      <c r="B149" s="1">
        <f ca="1">IFERROR(__xludf.DUMMYFUNCTION("""COMPUTED_VALUE"""),7.8)</f>
        <v>7.8</v>
      </c>
      <c r="C149" s="1">
        <f ca="1">IFERROR(__xludf.DUMMYFUNCTION("""COMPUTED_VALUE"""),9.74)</f>
        <v>9.74</v>
      </c>
      <c r="D149" s="1">
        <f ca="1">IFERROR(__xludf.DUMMYFUNCTION("""COMPUTED_VALUE"""),7.76)</f>
        <v>7.76</v>
      </c>
      <c r="E149" s="1">
        <f ca="1">IFERROR(__xludf.DUMMYFUNCTION("""COMPUTED_VALUE"""),9.51)</f>
        <v>9.51</v>
      </c>
      <c r="F149" s="1">
        <f ca="1">IFERROR(__xludf.DUMMYFUNCTION("""COMPUTED_VALUE"""),39889707)</f>
        <v>39889707</v>
      </c>
    </row>
    <row r="150" spans="1:6" ht="15.75" customHeight="1">
      <c r="A150" s="10">
        <f ca="1">IFERROR(__xludf.DUMMYFUNCTION("""COMPUTED_VALUE"""),41194.6666666666)</f>
        <v>41194.666666666599</v>
      </c>
      <c r="B150" s="1">
        <f ca="1">IFERROR(__xludf.DUMMYFUNCTION("""COMPUTED_VALUE"""),10.19)</f>
        <v>10.19</v>
      </c>
      <c r="C150" s="1">
        <f ca="1">IFERROR(__xludf.DUMMYFUNCTION("""COMPUTED_VALUE"""),10.6)</f>
        <v>10.6</v>
      </c>
      <c r="D150" s="1">
        <f ca="1">IFERROR(__xludf.DUMMYFUNCTION("""COMPUTED_VALUE"""),9.11)</f>
        <v>9.11</v>
      </c>
      <c r="E150" s="1">
        <f ca="1">IFERROR(__xludf.DUMMYFUNCTION("""COMPUTED_VALUE"""),9.19)</f>
        <v>9.19</v>
      </c>
      <c r="F150" s="1">
        <f ca="1">IFERROR(__xludf.DUMMYFUNCTION("""COMPUTED_VALUE"""),36580337)</f>
        <v>36580337</v>
      </c>
    </row>
    <row r="151" spans="1:6" ht="15.75" customHeight="1">
      <c r="A151" s="10">
        <f ca="1">IFERROR(__xludf.DUMMYFUNCTION("""COMPUTED_VALUE"""),41201.6666666666)</f>
        <v>41201.666666666599</v>
      </c>
      <c r="B151" s="1">
        <f ca="1">IFERROR(__xludf.DUMMYFUNCTION("""COMPUTED_VALUE"""),9.29)</f>
        <v>9.2899999999999991</v>
      </c>
      <c r="C151" s="1">
        <f ca="1">IFERROR(__xludf.DUMMYFUNCTION("""COMPUTED_VALUE"""),9.98)</f>
        <v>9.98</v>
      </c>
      <c r="D151" s="1">
        <f ca="1">IFERROR(__xludf.DUMMYFUNCTION("""COMPUTED_VALUE"""),9.06)</f>
        <v>9.06</v>
      </c>
      <c r="E151" s="1">
        <f ca="1">IFERROR(__xludf.DUMMYFUNCTION("""COMPUTED_VALUE"""),9.28)</f>
        <v>9.2799999999999994</v>
      </c>
      <c r="F151" s="1">
        <f ca="1">IFERROR(__xludf.DUMMYFUNCTION("""COMPUTED_VALUE"""),18040441)</f>
        <v>18040441</v>
      </c>
    </row>
    <row r="152" spans="1:6" ht="15.75" customHeight="1">
      <c r="A152" s="10">
        <f ca="1">IFERROR(__xludf.DUMMYFUNCTION("""COMPUTED_VALUE"""),41208.6666666666)</f>
        <v>41208.666666666599</v>
      </c>
      <c r="B152" s="1">
        <f ca="1">IFERROR(__xludf.DUMMYFUNCTION("""COMPUTED_VALUE"""),9.19)</f>
        <v>9.19</v>
      </c>
      <c r="C152" s="1">
        <f ca="1">IFERROR(__xludf.DUMMYFUNCTION("""COMPUTED_VALUE"""),10.03)</f>
        <v>10.029999999999999</v>
      </c>
      <c r="D152" s="1">
        <f ca="1">IFERROR(__xludf.DUMMYFUNCTION("""COMPUTED_VALUE"""),8.2)</f>
        <v>8.1999999999999993</v>
      </c>
      <c r="E152" s="1">
        <f ca="1">IFERROR(__xludf.DUMMYFUNCTION("""COMPUTED_VALUE"""),9.94)</f>
        <v>9.94</v>
      </c>
      <c r="F152" s="1">
        <f ca="1">IFERROR(__xludf.DUMMYFUNCTION("""COMPUTED_VALUE"""),49397598)</f>
        <v>49397598</v>
      </c>
    </row>
    <row r="153" spans="1:6" ht="15.75" customHeight="1">
      <c r="A153" s="10">
        <f ca="1">IFERROR(__xludf.DUMMYFUNCTION("""COMPUTED_VALUE"""),41215.6666666666)</f>
        <v>41215.666666666599</v>
      </c>
      <c r="B153" s="1">
        <f ca="1">IFERROR(__xludf.DUMMYFUNCTION("""COMPUTED_VALUE"""),9.49)</f>
        <v>9.49</v>
      </c>
      <c r="C153" s="1">
        <f ca="1">IFERROR(__xludf.DUMMYFUNCTION("""COMPUTED_VALUE"""),12.14)</f>
        <v>12.14</v>
      </c>
      <c r="D153" s="1">
        <f ca="1">IFERROR(__xludf.DUMMYFUNCTION("""COMPUTED_VALUE"""),9.36)</f>
        <v>9.36</v>
      </c>
      <c r="E153" s="1">
        <f ca="1">IFERROR(__xludf.DUMMYFUNCTION("""COMPUTED_VALUE"""),10.99)</f>
        <v>10.99</v>
      </c>
      <c r="F153" s="1">
        <f ca="1">IFERROR(__xludf.DUMMYFUNCTION("""COMPUTED_VALUE"""),28521003)</f>
        <v>28521003</v>
      </c>
    </row>
    <row r="154" spans="1:6" ht="15.75" customHeight="1">
      <c r="A154" s="10">
        <f ca="1">IFERROR(__xludf.DUMMYFUNCTION("""COMPUTED_VALUE"""),41222.6666666666)</f>
        <v>41222.666666666599</v>
      </c>
      <c r="B154" s="1">
        <f ca="1">IFERROR(__xludf.DUMMYFUNCTION("""COMPUTED_VALUE"""),10.65)</f>
        <v>10.65</v>
      </c>
      <c r="C154" s="1">
        <f ca="1">IFERROR(__xludf.DUMMYFUNCTION("""COMPUTED_VALUE"""),11.48)</f>
        <v>11.48</v>
      </c>
      <c r="D154" s="1">
        <f ca="1">IFERROR(__xludf.DUMMYFUNCTION("""COMPUTED_VALUE"""),10.64)</f>
        <v>10.64</v>
      </c>
      <c r="E154" s="1">
        <f ca="1">IFERROR(__xludf.DUMMYFUNCTION("""COMPUTED_VALUE"""),11.13)</f>
        <v>11.13</v>
      </c>
      <c r="F154" s="1">
        <f ca="1">IFERROR(__xludf.DUMMYFUNCTION("""COMPUTED_VALUE"""),22289676)</f>
        <v>22289676</v>
      </c>
    </row>
    <row r="155" spans="1:6" ht="15.75" customHeight="1">
      <c r="A155" s="10">
        <f ca="1">IFERROR(__xludf.DUMMYFUNCTION("""COMPUTED_VALUE"""),41229.6666666666)</f>
        <v>41229.666666666599</v>
      </c>
      <c r="B155" s="1">
        <f ca="1">IFERROR(__xludf.DUMMYFUNCTION("""COMPUTED_VALUE"""),11.29)</f>
        <v>11.29</v>
      </c>
      <c r="C155" s="1">
        <f ca="1">IFERROR(__xludf.DUMMYFUNCTION("""COMPUTED_VALUE"""),11.87)</f>
        <v>11.87</v>
      </c>
      <c r="D155" s="1">
        <f ca="1">IFERROR(__xludf.DUMMYFUNCTION("""COMPUTED_VALUE"""),11.05)</f>
        <v>11.05</v>
      </c>
      <c r="E155" s="1">
        <f ca="1">IFERROR(__xludf.DUMMYFUNCTION("""COMPUTED_VALUE"""),11.56)</f>
        <v>11.56</v>
      </c>
      <c r="F155" s="1">
        <f ca="1">IFERROR(__xludf.DUMMYFUNCTION("""COMPUTED_VALUE"""),17433095)</f>
        <v>17433095</v>
      </c>
    </row>
    <row r="156" spans="1:6" ht="15.75" customHeight="1">
      <c r="A156" s="10">
        <f ca="1">IFERROR(__xludf.DUMMYFUNCTION("""COMPUTED_VALUE"""),41236.6666666666)</f>
        <v>41236.666666666599</v>
      </c>
      <c r="B156" s="1">
        <f ca="1">IFERROR(__xludf.DUMMYFUNCTION("""COMPUTED_VALUE"""),11.72)</f>
        <v>11.72</v>
      </c>
      <c r="C156" s="1">
        <f ca="1">IFERROR(__xludf.DUMMYFUNCTION("""COMPUTED_VALUE"""),12.08)</f>
        <v>12.08</v>
      </c>
      <c r="D156" s="1">
        <f ca="1">IFERROR(__xludf.DUMMYFUNCTION("""COMPUTED_VALUE"""),11.45)</f>
        <v>11.45</v>
      </c>
      <c r="E156" s="1">
        <f ca="1">IFERROR(__xludf.DUMMYFUNCTION("""COMPUTED_VALUE"""),11.85)</f>
        <v>11.85</v>
      </c>
      <c r="F156" s="1">
        <f ca="1">IFERROR(__xludf.DUMMYFUNCTION("""COMPUTED_VALUE"""),8273614)</f>
        <v>8273614</v>
      </c>
    </row>
    <row r="157" spans="1:6" ht="15.75" customHeight="1">
      <c r="A157" s="10">
        <f ca="1">IFERROR(__xludf.DUMMYFUNCTION("""COMPUTED_VALUE"""),41243.6666666666)</f>
        <v>41243.666666666599</v>
      </c>
      <c r="B157" s="1">
        <f ca="1">IFERROR(__xludf.DUMMYFUNCTION("""COMPUTED_VALUE"""),11.8)</f>
        <v>11.8</v>
      </c>
      <c r="C157" s="1">
        <f ca="1">IFERROR(__xludf.DUMMYFUNCTION("""COMPUTED_VALUE"""),11.94)</f>
        <v>11.94</v>
      </c>
      <c r="D157" s="1">
        <f ca="1">IFERROR(__xludf.DUMMYFUNCTION("""COMPUTED_VALUE"""),11.33)</f>
        <v>11.33</v>
      </c>
      <c r="E157" s="1">
        <f ca="1">IFERROR(__xludf.DUMMYFUNCTION("""COMPUTED_VALUE"""),11.67)</f>
        <v>11.67</v>
      </c>
      <c r="F157" s="1">
        <f ca="1">IFERROR(__xludf.DUMMYFUNCTION("""COMPUTED_VALUE"""),10005148)</f>
        <v>10005148</v>
      </c>
    </row>
    <row r="158" spans="1:6" ht="15.75" customHeight="1">
      <c r="A158" s="10">
        <f ca="1">IFERROR(__xludf.DUMMYFUNCTION("""COMPUTED_VALUE"""),41250.6666666666)</f>
        <v>41250.666666666599</v>
      </c>
      <c r="B158" s="1">
        <f ca="1">IFERROR(__xludf.DUMMYFUNCTION("""COMPUTED_VALUE"""),11.69)</f>
        <v>11.69</v>
      </c>
      <c r="C158" s="1">
        <f ca="1">IFERROR(__xludf.DUMMYFUNCTION("""COMPUTED_VALUE"""),12.83)</f>
        <v>12.83</v>
      </c>
      <c r="D158" s="1">
        <f ca="1">IFERROR(__xludf.DUMMYFUNCTION("""COMPUTED_VALUE"""),10.64)</f>
        <v>10.64</v>
      </c>
      <c r="E158" s="1">
        <f ca="1">IFERROR(__xludf.DUMMYFUNCTION("""COMPUTED_VALUE"""),12.28)</f>
        <v>12.28</v>
      </c>
      <c r="F158" s="1">
        <f ca="1">IFERROR(__xludf.DUMMYFUNCTION("""COMPUTED_VALUE"""),37619720)</f>
        <v>37619720</v>
      </c>
    </row>
    <row r="159" spans="1:6" ht="15.75" customHeight="1">
      <c r="A159" s="10">
        <f ca="1">IFERROR(__xludf.DUMMYFUNCTION("""COMPUTED_VALUE"""),41257.6666666666)</f>
        <v>41257.666666666599</v>
      </c>
      <c r="B159" s="1">
        <f ca="1">IFERROR(__xludf.DUMMYFUNCTION("""COMPUTED_VALUE"""),12.29)</f>
        <v>12.29</v>
      </c>
      <c r="C159" s="1">
        <f ca="1">IFERROR(__xludf.DUMMYFUNCTION("""COMPUTED_VALUE"""),13.53)</f>
        <v>13.53</v>
      </c>
      <c r="D159" s="1">
        <f ca="1">IFERROR(__xludf.DUMMYFUNCTION("""COMPUTED_VALUE"""),12.06)</f>
        <v>12.06</v>
      </c>
      <c r="E159" s="1">
        <f ca="1">IFERROR(__xludf.DUMMYFUNCTION("""COMPUTED_VALUE"""),13.33)</f>
        <v>13.33</v>
      </c>
      <c r="F159" s="1">
        <f ca="1">IFERROR(__xludf.DUMMYFUNCTION("""COMPUTED_VALUE"""),20269994)</f>
        <v>20269994</v>
      </c>
    </row>
    <row r="160" spans="1:6" ht="15.75" customHeight="1">
      <c r="A160" s="10">
        <f ca="1">IFERROR(__xludf.DUMMYFUNCTION("""COMPUTED_VALUE"""),41264.6666666666)</f>
        <v>41264.666666666599</v>
      </c>
      <c r="B160" s="1">
        <f ca="1">IFERROR(__xludf.DUMMYFUNCTION("""COMPUTED_VALUE"""),13.28)</f>
        <v>13.28</v>
      </c>
      <c r="C160" s="1">
        <f ca="1">IFERROR(__xludf.DUMMYFUNCTION("""COMPUTED_VALUE"""),13.97)</f>
        <v>13.97</v>
      </c>
      <c r="D160" s="1">
        <f ca="1">IFERROR(__xludf.DUMMYFUNCTION("""COMPUTED_VALUE"""),13.02)</f>
        <v>13.02</v>
      </c>
      <c r="E160" s="1">
        <f ca="1">IFERROR(__xludf.DUMMYFUNCTION("""COMPUTED_VALUE"""),13.05)</f>
        <v>13.05</v>
      </c>
      <c r="F160" s="1">
        <f ca="1">IFERROR(__xludf.DUMMYFUNCTION("""COMPUTED_VALUE"""),18112029)</f>
        <v>18112029</v>
      </c>
    </row>
    <row r="161" spans="1:6" ht="15.75" customHeight="1">
      <c r="A161" s="10">
        <f ca="1">IFERROR(__xludf.DUMMYFUNCTION("""COMPUTED_VALUE"""),41271.6666666666)</f>
        <v>41271.666666666599</v>
      </c>
      <c r="B161" s="1">
        <f ca="1">IFERROR(__xludf.DUMMYFUNCTION("""COMPUTED_VALUE"""),13.08)</f>
        <v>13.08</v>
      </c>
      <c r="C161" s="1">
        <f ca="1">IFERROR(__xludf.DUMMYFUNCTION("""COMPUTED_VALUE"""),13.27)</f>
        <v>13.27</v>
      </c>
      <c r="D161" s="1">
        <f ca="1">IFERROR(__xludf.DUMMYFUNCTION("""COMPUTED_VALUE"""),12.65)</f>
        <v>12.65</v>
      </c>
      <c r="E161" s="1">
        <f ca="1">IFERROR(__xludf.DUMMYFUNCTION("""COMPUTED_VALUE"""),12.76)</f>
        <v>12.76</v>
      </c>
      <c r="F161" s="1">
        <f ca="1">IFERROR(__xludf.DUMMYFUNCTION("""COMPUTED_VALUE"""),6917670)</f>
        <v>6917670</v>
      </c>
    </row>
    <row r="162" spans="1:6" ht="15.75" customHeight="1">
      <c r="A162" s="10">
        <f ca="1">IFERROR(__xludf.DUMMYFUNCTION("""COMPUTED_VALUE"""),41278.6666666666)</f>
        <v>41278.666666666599</v>
      </c>
      <c r="B162" s="1">
        <f ca="1">IFERROR(__xludf.DUMMYFUNCTION("""COMPUTED_VALUE"""),12.77)</f>
        <v>12.77</v>
      </c>
      <c r="C162" s="1">
        <f ca="1">IFERROR(__xludf.DUMMYFUNCTION("""COMPUTED_VALUE"""),13.99)</f>
        <v>13.99</v>
      </c>
      <c r="D162" s="1">
        <f ca="1">IFERROR(__xludf.DUMMYFUNCTION("""COMPUTED_VALUE"""),12.72)</f>
        <v>12.72</v>
      </c>
      <c r="E162" s="1">
        <f ca="1">IFERROR(__xludf.DUMMYFUNCTION("""COMPUTED_VALUE"""),13.71)</f>
        <v>13.71</v>
      </c>
      <c r="F162" s="1">
        <f ca="1">IFERROR(__xludf.DUMMYFUNCTION("""COMPUTED_VALUE"""),11896141)</f>
        <v>11896141</v>
      </c>
    </row>
    <row r="163" spans="1:6" ht="15.75" customHeight="1">
      <c r="A163" s="10">
        <f ca="1">IFERROR(__xludf.DUMMYFUNCTION("""COMPUTED_VALUE"""),41285.6666666666)</f>
        <v>41285.666666666599</v>
      </c>
      <c r="B163" s="1">
        <f ca="1">IFERROR(__xludf.DUMMYFUNCTION("""COMPUTED_VALUE"""),13.76)</f>
        <v>13.76</v>
      </c>
      <c r="C163" s="1">
        <f ca="1">IFERROR(__xludf.DUMMYFUNCTION("""COMPUTED_VALUE"""),14.56)</f>
        <v>14.56</v>
      </c>
      <c r="D163" s="1">
        <f ca="1">IFERROR(__xludf.DUMMYFUNCTION("""COMPUTED_VALUE"""),13.51)</f>
        <v>13.51</v>
      </c>
      <c r="E163" s="1">
        <f ca="1">IFERROR(__xludf.DUMMYFUNCTION("""COMPUTED_VALUE"""),14.47)</f>
        <v>14.47</v>
      </c>
      <c r="F163" s="1">
        <f ca="1">IFERROR(__xludf.DUMMYFUNCTION("""COMPUTED_VALUE"""),20928309)</f>
        <v>20928309</v>
      </c>
    </row>
    <row r="164" spans="1:6" ht="15.75" customHeight="1">
      <c r="A164" s="10">
        <f ca="1">IFERROR(__xludf.DUMMYFUNCTION("""COMPUTED_VALUE"""),41292.6666666666)</f>
        <v>41292.666666666599</v>
      </c>
      <c r="B164" s="1">
        <f ca="1">IFERROR(__xludf.DUMMYFUNCTION("""COMPUTED_VALUE"""),14.43)</f>
        <v>14.43</v>
      </c>
      <c r="C164" s="1">
        <f ca="1">IFERROR(__xludf.DUMMYFUNCTION("""COMPUTED_VALUE"""),14.93)</f>
        <v>14.93</v>
      </c>
      <c r="D164" s="1">
        <f ca="1">IFERROR(__xludf.DUMMYFUNCTION("""COMPUTED_VALUE"""),13.68)</f>
        <v>13.68</v>
      </c>
      <c r="E164" s="1">
        <f ca="1">IFERROR(__xludf.DUMMYFUNCTION("""COMPUTED_VALUE"""),14.17)</f>
        <v>14.17</v>
      </c>
      <c r="F164" s="1">
        <f ca="1">IFERROR(__xludf.DUMMYFUNCTION("""COMPUTED_VALUE"""),17262777)</f>
        <v>17262777</v>
      </c>
    </row>
    <row r="165" spans="1:6" ht="15.75" customHeight="1">
      <c r="A165" s="10">
        <f ca="1">IFERROR(__xludf.DUMMYFUNCTION("""COMPUTED_VALUE"""),41299.6666666666)</f>
        <v>41299.666666666599</v>
      </c>
      <c r="B165" s="1">
        <f ca="1">IFERROR(__xludf.DUMMYFUNCTION("""COMPUTED_VALUE"""),14.24)</f>
        <v>14.24</v>
      </c>
      <c r="C165" s="1">
        <f ca="1">IFERROR(__xludf.DUMMYFUNCTION("""COMPUTED_VALUE"""),24.67)</f>
        <v>24.67</v>
      </c>
      <c r="D165" s="1">
        <f ca="1">IFERROR(__xludf.DUMMYFUNCTION("""COMPUTED_VALUE"""),13.8)</f>
        <v>13.8</v>
      </c>
      <c r="E165" s="1">
        <f ca="1">IFERROR(__xludf.DUMMYFUNCTION("""COMPUTED_VALUE"""),24.22)</f>
        <v>24.22</v>
      </c>
      <c r="F165" s="1">
        <f ca="1">IFERROR(__xludf.DUMMYFUNCTION("""COMPUTED_VALUE"""),58181581)</f>
        <v>58181581</v>
      </c>
    </row>
    <row r="166" spans="1:6" ht="15.75" customHeight="1">
      <c r="A166" s="10">
        <f ca="1">IFERROR(__xludf.DUMMYFUNCTION("""COMPUTED_VALUE"""),41306.6666666666)</f>
        <v>41306.666666666599</v>
      </c>
      <c r="B166" s="1">
        <f ca="1">IFERROR(__xludf.DUMMYFUNCTION("""COMPUTED_VALUE"""),24.67)</f>
        <v>24.67</v>
      </c>
      <c r="C166" s="1">
        <f ca="1">IFERROR(__xludf.DUMMYFUNCTION("""COMPUTED_VALUE"""),25.32)</f>
        <v>25.32</v>
      </c>
      <c r="D166" s="1">
        <f ca="1">IFERROR(__xludf.DUMMYFUNCTION("""COMPUTED_VALUE"""),22.38)</f>
        <v>22.38</v>
      </c>
      <c r="E166" s="1">
        <f ca="1">IFERROR(__xludf.DUMMYFUNCTION("""COMPUTED_VALUE"""),23.54)</f>
        <v>23.54</v>
      </c>
      <c r="F166" s="1">
        <f ca="1">IFERROR(__xludf.DUMMYFUNCTION("""COMPUTED_VALUE"""),43271431)</f>
        <v>43271431</v>
      </c>
    </row>
    <row r="167" spans="1:6" ht="15.75" customHeight="1">
      <c r="A167" s="10">
        <f ca="1">IFERROR(__xludf.DUMMYFUNCTION("""COMPUTED_VALUE"""),41313.6666666666)</f>
        <v>41313.666666666599</v>
      </c>
      <c r="B167" s="1">
        <f ca="1">IFERROR(__xludf.DUMMYFUNCTION("""COMPUTED_VALUE"""),23.3)</f>
        <v>23.3</v>
      </c>
      <c r="C167" s="1">
        <f ca="1">IFERROR(__xludf.DUMMYFUNCTION("""COMPUTED_VALUE"""),26.98)</f>
        <v>26.98</v>
      </c>
      <c r="D167" s="1">
        <f ca="1">IFERROR(__xludf.DUMMYFUNCTION("""COMPUTED_VALUE"""),23.25)</f>
        <v>23.25</v>
      </c>
      <c r="E167" s="1">
        <f ca="1">IFERROR(__xludf.DUMMYFUNCTION("""COMPUTED_VALUE"""),25.85)</f>
        <v>25.85</v>
      </c>
      <c r="F167" s="1">
        <f ca="1">IFERROR(__xludf.DUMMYFUNCTION("""COMPUTED_VALUE"""),36296717)</f>
        <v>36296717</v>
      </c>
    </row>
    <row r="168" spans="1:6" ht="15.75" customHeight="1">
      <c r="A168" s="10">
        <f ca="1">IFERROR(__xludf.DUMMYFUNCTION("""COMPUTED_VALUE"""),41320.6666666666)</f>
        <v>41320.666666666599</v>
      </c>
      <c r="B168" s="1">
        <f ca="1">IFERROR(__xludf.DUMMYFUNCTION("""COMPUTED_VALUE"""),25.57)</f>
        <v>25.57</v>
      </c>
      <c r="C168" s="1">
        <f ca="1">IFERROR(__xludf.DUMMYFUNCTION("""COMPUTED_VALUE"""),27.14)</f>
        <v>27.14</v>
      </c>
      <c r="D168" s="1">
        <f ca="1">IFERROR(__xludf.DUMMYFUNCTION("""COMPUTED_VALUE"""),24.97)</f>
        <v>24.97</v>
      </c>
      <c r="E168" s="1">
        <f ca="1">IFERROR(__xludf.DUMMYFUNCTION("""COMPUTED_VALUE"""),27.07)</f>
        <v>27.07</v>
      </c>
      <c r="F168" s="1">
        <f ca="1">IFERROR(__xludf.DUMMYFUNCTION("""COMPUTED_VALUE"""),23336653)</f>
        <v>23336653</v>
      </c>
    </row>
    <row r="169" spans="1:6" ht="15.75" customHeight="1">
      <c r="A169" s="10">
        <f ca="1">IFERROR(__xludf.DUMMYFUNCTION("""COMPUTED_VALUE"""),41327.6666666666)</f>
        <v>41327.666666666599</v>
      </c>
      <c r="B169" s="1">
        <f ca="1">IFERROR(__xludf.DUMMYFUNCTION("""COMPUTED_VALUE"""),27.29)</f>
        <v>27.29</v>
      </c>
      <c r="C169" s="1">
        <f ca="1">IFERROR(__xludf.DUMMYFUNCTION("""COMPUTED_VALUE"""),28.23)</f>
        <v>28.23</v>
      </c>
      <c r="D169" s="1">
        <f ca="1">IFERROR(__xludf.DUMMYFUNCTION("""COMPUTED_VALUE"""),25.49)</f>
        <v>25.49</v>
      </c>
      <c r="E169" s="1">
        <f ca="1">IFERROR(__xludf.DUMMYFUNCTION("""COMPUTED_VALUE"""),25.69)</f>
        <v>25.69</v>
      </c>
      <c r="F169" s="1">
        <f ca="1">IFERROR(__xludf.DUMMYFUNCTION("""COMPUTED_VALUE"""),20720687)</f>
        <v>20720687</v>
      </c>
    </row>
    <row r="170" spans="1:6" ht="15.75" customHeight="1">
      <c r="A170" s="10">
        <f ca="1">IFERROR(__xludf.DUMMYFUNCTION("""COMPUTED_VALUE"""),41334.6666666666)</f>
        <v>41334.666666666599</v>
      </c>
      <c r="B170" s="1">
        <f ca="1">IFERROR(__xludf.DUMMYFUNCTION("""COMPUTED_VALUE"""),25.9)</f>
        <v>25.9</v>
      </c>
      <c r="C170" s="1">
        <f ca="1">IFERROR(__xludf.DUMMYFUNCTION("""COMPUTED_VALUE"""),27.45)</f>
        <v>27.45</v>
      </c>
      <c r="D170" s="1">
        <f ca="1">IFERROR(__xludf.DUMMYFUNCTION("""COMPUTED_VALUE"""),25.06)</f>
        <v>25.06</v>
      </c>
      <c r="E170" s="1">
        <f ca="1">IFERROR(__xludf.DUMMYFUNCTION("""COMPUTED_VALUE"""),27.05)</f>
        <v>27.05</v>
      </c>
      <c r="F170" s="1">
        <f ca="1">IFERROR(__xludf.DUMMYFUNCTION("""COMPUTED_VALUE"""),23499532)</f>
        <v>23499532</v>
      </c>
    </row>
    <row r="171" spans="1:6" ht="15.75" customHeight="1">
      <c r="A171" s="10">
        <f ca="1">IFERROR(__xludf.DUMMYFUNCTION("""COMPUTED_VALUE"""),41341.6666666666)</f>
        <v>41341.666666666599</v>
      </c>
      <c r="B171" s="1">
        <f ca="1">IFERROR(__xludf.DUMMYFUNCTION("""COMPUTED_VALUE"""),26.91)</f>
        <v>26.91</v>
      </c>
      <c r="C171" s="1">
        <f ca="1">IFERROR(__xludf.DUMMYFUNCTION("""COMPUTED_VALUE"""),27.15)</f>
        <v>27.15</v>
      </c>
      <c r="D171" s="1">
        <f ca="1">IFERROR(__xludf.DUMMYFUNCTION("""COMPUTED_VALUE"""),25.17)</f>
        <v>25.17</v>
      </c>
      <c r="E171" s="1">
        <f ca="1">IFERROR(__xludf.DUMMYFUNCTION("""COMPUTED_VALUE"""),26.39)</f>
        <v>26.39</v>
      </c>
      <c r="F171" s="1">
        <f ca="1">IFERROR(__xludf.DUMMYFUNCTION("""COMPUTED_VALUE"""),21413744)</f>
        <v>21413744</v>
      </c>
    </row>
    <row r="172" spans="1:6" ht="15.75" customHeight="1">
      <c r="A172" s="10">
        <f ca="1">IFERROR(__xludf.DUMMYFUNCTION("""COMPUTED_VALUE"""),41348.6666666666)</f>
        <v>41348.666666666599</v>
      </c>
      <c r="B172" s="1">
        <f ca="1">IFERROR(__xludf.DUMMYFUNCTION("""COMPUTED_VALUE"""),26.29)</f>
        <v>26.29</v>
      </c>
      <c r="C172" s="1">
        <f ca="1">IFERROR(__xludf.DUMMYFUNCTION("""COMPUTED_VALUE"""),27.88)</f>
        <v>27.88</v>
      </c>
      <c r="D172" s="1">
        <f ca="1">IFERROR(__xludf.DUMMYFUNCTION("""COMPUTED_VALUE"""),25.57)</f>
        <v>25.57</v>
      </c>
      <c r="E172" s="1">
        <f ca="1">IFERROR(__xludf.DUMMYFUNCTION("""COMPUTED_VALUE"""),26.41)</f>
        <v>26.41</v>
      </c>
      <c r="F172" s="1">
        <f ca="1">IFERROR(__xludf.DUMMYFUNCTION("""COMPUTED_VALUE"""),20748418)</f>
        <v>20748418</v>
      </c>
    </row>
    <row r="173" spans="1:6" ht="15.75" customHeight="1">
      <c r="A173" s="10">
        <f ca="1">IFERROR(__xludf.DUMMYFUNCTION("""COMPUTED_VALUE"""),41355.6666666666)</f>
        <v>41355.666666666599</v>
      </c>
      <c r="B173" s="1">
        <f ca="1">IFERROR(__xludf.DUMMYFUNCTION("""COMPUTED_VALUE"""),25.91)</f>
        <v>25.91</v>
      </c>
      <c r="C173" s="1">
        <f ca="1">IFERROR(__xludf.DUMMYFUNCTION("""COMPUTED_VALUE"""),26.77)</f>
        <v>26.77</v>
      </c>
      <c r="D173" s="1">
        <f ca="1">IFERROR(__xludf.DUMMYFUNCTION("""COMPUTED_VALUE"""),25.61)</f>
        <v>25.61</v>
      </c>
      <c r="E173" s="1">
        <f ca="1">IFERROR(__xludf.DUMMYFUNCTION("""COMPUTED_VALUE"""),25.9)</f>
        <v>25.9</v>
      </c>
      <c r="F173" s="1">
        <f ca="1">IFERROR(__xludf.DUMMYFUNCTION("""COMPUTED_VALUE"""),11731435)</f>
        <v>11731435</v>
      </c>
    </row>
    <row r="174" spans="1:6" ht="15.75" customHeight="1">
      <c r="A174" s="10">
        <f ca="1">IFERROR(__xludf.DUMMYFUNCTION("""COMPUTED_VALUE"""),41361.6666666666)</f>
        <v>41361.666666666599</v>
      </c>
      <c r="B174" s="1">
        <f ca="1">IFERROR(__xludf.DUMMYFUNCTION("""COMPUTED_VALUE"""),26)</f>
        <v>26</v>
      </c>
      <c r="C174" s="1">
        <f ca="1">IFERROR(__xludf.DUMMYFUNCTION("""COMPUTED_VALUE"""),28.15)</f>
        <v>28.15</v>
      </c>
      <c r="D174" s="1">
        <f ca="1">IFERROR(__xludf.DUMMYFUNCTION("""COMPUTED_VALUE"""),25.68)</f>
        <v>25.68</v>
      </c>
      <c r="E174" s="1">
        <f ca="1">IFERROR(__xludf.DUMMYFUNCTION("""COMPUTED_VALUE"""),27.04)</f>
        <v>27.04</v>
      </c>
      <c r="F174" s="1">
        <f ca="1">IFERROR(__xludf.DUMMYFUNCTION("""COMPUTED_VALUE"""),17419885)</f>
        <v>17419885</v>
      </c>
    </row>
    <row r="175" spans="1:6" ht="15.75" customHeight="1">
      <c r="A175" s="10">
        <f ca="1">IFERROR(__xludf.DUMMYFUNCTION("""COMPUTED_VALUE"""),41369.6666666666)</f>
        <v>41369.666666666599</v>
      </c>
      <c r="B175" s="1">
        <f ca="1">IFERROR(__xludf.DUMMYFUNCTION("""COMPUTED_VALUE"""),27.28)</f>
        <v>27.28</v>
      </c>
      <c r="C175" s="1">
        <f ca="1">IFERROR(__xludf.DUMMYFUNCTION("""COMPUTED_VALUE"""),27.36)</f>
        <v>27.36</v>
      </c>
      <c r="D175" s="1">
        <f ca="1">IFERROR(__xludf.DUMMYFUNCTION("""COMPUTED_VALUE"""),23.22)</f>
        <v>23.22</v>
      </c>
      <c r="E175" s="1">
        <f ca="1">IFERROR(__xludf.DUMMYFUNCTION("""COMPUTED_VALUE"""),23.52)</f>
        <v>23.52</v>
      </c>
      <c r="F175" s="1">
        <f ca="1">IFERROR(__xludf.DUMMYFUNCTION("""COMPUTED_VALUE"""),28234687)</f>
        <v>28234687</v>
      </c>
    </row>
    <row r="176" spans="1:6" ht="15.75" customHeight="1">
      <c r="A176" s="10">
        <f ca="1">IFERROR(__xludf.DUMMYFUNCTION("""COMPUTED_VALUE"""),41376.6666666666)</f>
        <v>41376.666666666599</v>
      </c>
      <c r="B176" s="1">
        <f ca="1">IFERROR(__xludf.DUMMYFUNCTION("""COMPUTED_VALUE"""),23.68)</f>
        <v>23.68</v>
      </c>
      <c r="C176" s="1">
        <f ca="1">IFERROR(__xludf.DUMMYFUNCTION("""COMPUTED_VALUE"""),25.38)</f>
        <v>25.38</v>
      </c>
      <c r="D176" s="1">
        <f ca="1">IFERROR(__xludf.DUMMYFUNCTION("""COMPUTED_VALUE"""),22.71)</f>
        <v>22.71</v>
      </c>
      <c r="E176" s="1">
        <f ca="1">IFERROR(__xludf.DUMMYFUNCTION("""COMPUTED_VALUE"""),24.74)</f>
        <v>24.74</v>
      </c>
      <c r="F176" s="1">
        <f ca="1">IFERROR(__xludf.DUMMYFUNCTION("""COMPUTED_VALUE"""),23777986)</f>
        <v>23777986</v>
      </c>
    </row>
    <row r="177" spans="1:6" ht="15.75" customHeight="1">
      <c r="A177" s="10">
        <f ca="1">IFERROR(__xludf.DUMMYFUNCTION("""COMPUTED_VALUE"""),41383.6666666666)</f>
        <v>41383.666666666599</v>
      </c>
      <c r="B177" s="1">
        <f ca="1">IFERROR(__xludf.DUMMYFUNCTION("""COMPUTED_VALUE"""),25.16)</f>
        <v>25.16</v>
      </c>
      <c r="C177" s="1">
        <f ca="1">IFERROR(__xludf.DUMMYFUNCTION("""COMPUTED_VALUE"""),26.05)</f>
        <v>26.05</v>
      </c>
      <c r="D177" s="1">
        <f ca="1">IFERROR(__xludf.DUMMYFUNCTION("""COMPUTED_VALUE"""),23.11)</f>
        <v>23.11</v>
      </c>
      <c r="E177" s="1">
        <f ca="1">IFERROR(__xludf.DUMMYFUNCTION("""COMPUTED_VALUE"""),23.34)</f>
        <v>23.34</v>
      </c>
      <c r="F177" s="1">
        <f ca="1">IFERROR(__xludf.DUMMYFUNCTION("""COMPUTED_VALUE"""),21019603)</f>
        <v>21019603</v>
      </c>
    </row>
    <row r="178" spans="1:6" ht="15.75" customHeight="1">
      <c r="A178" s="10">
        <f ca="1">IFERROR(__xludf.DUMMYFUNCTION("""COMPUTED_VALUE"""),41390.6666666666)</f>
        <v>41390.666666666599</v>
      </c>
      <c r="B178" s="1">
        <f ca="1">IFERROR(__xludf.DUMMYFUNCTION("""COMPUTED_VALUE"""),23.74)</f>
        <v>23.74</v>
      </c>
      <c r="C178" s="1">
        <f ca="1">IFERROR(__xludf.DUMMYFUNCTION("""COMPUTED_VALUE"""),32.04)</f>
        <v>32.04</v>
      </c>
      <c r="D178" s="1">
        <f ca="1">IFERROR(__xludf.DUMMYFUNCTION("""COMPUTED_VALUE"""),23.67)</f>
        <v>23.67</v>
      </c>
      <c r="E178" s="1">
        <f ca="1">IFERROR(__xludf.DUMMYFUNCTION("""COMPUTED_VALUE"""),30.79)</f>
        <v>30.79</v>
      </c>
      <c r="F178" s="1">
        <f ca="1">IFERROR(__xludf.DUMMYFUNCTION("""COMPUTED_VALUE"""),42534702)</f>
        <v>42534702</v>
      </c>
    </row>
    <row r="179" spans="1:6" ht="15.75" customHeight="1">
      <c r="A179" s="10">
        <f ca="1">IFERROR(__xludf.DUMMYFUNCTION("""COMPUTED_VALUE"""),41397.6666666666)</f>
        <v>41397.666666666599</v>
      </c>
      <c r="B179" s="1">
        <f ca="1">IFERROR(__xludf.DUMMYFUNCTION("""COMPUTED_VALUE"""),30.94)</f>
        <v>30.94</v>
      </c>
      <c r="C179" s="1">
        <f ca="1">IFERROR(__xludf.DUMMYFUNCTION("""COMPUTED_VALUE"""),31.39)</f>
        <v>31.39</v>
      </c>
      <c r="D179" s="1">
        <f ca="1">IFERROR(__xludf.DUMMYFUNCTION("""COMPUTED_VALUE"""),30.03)</f>
        <v>30.03</v>
      </c>
      <c r="E179" s="1">
        <f ca="1">IFERROR(__xludf.DUMMYFUNCTION("""COMPUTED_VALUE"""),30.49)</f>
        <v>30.49</v>
      </c>
      <c r="F179" s="1">
        <f ca="1">IFERROR(__xludf.DUMMYFUNCTION("""COMPUTED_VALUE"""),14002020)</f>
        <v>14002020</v>
      </c>
    </row>
    <row r="180" spans="1:6" ht="15.75" customHeight="1">
      <c r="A180" s="10">
        <f ca="1">IFERROR(__xludf.DUMMYFUNCTION("""COMPUTED_VALUE"""),41404.6666666666)</f>
        <v>41404.666666666599</v>
      </c>
      <c r="B180" s="1">
        <f ca="1">IFERROR(__xludf.DUMMYFUNCTION("""COMPUTED_VALUE"""),29.95)</f>
        <v>29.95</v>
      </c>
      <c r="C180" s="1">
        <f ca="1">IFERROR(__xludf.DUMMYFUNCTION("""COMPUTED_VALUE"""),31.39)</f>
        <v>31.39</v>
      </c>
      <c r="D180" s="1">
        <f ca="1">IFERROR(__xludf.DUMMYFUNCTION("""COMPUTED_VALUE"""),29.15)</f>
        <v>29.15</v>
      </c>
      <c r="E180" s="1">
        <f ca="1">IFERROR(__xludf.DUMMYFUNCTION("""COMPUTED_VALUE"""),31.1)</f>
        <v>31.1</v>
      </c>
      <c r="F180" s="1">
        <f ca="1">IFERROR(__xludf.DUMMYFUNCTION("""COMPUTED_VALUE"""),17348895)</f>
        <v>17348895</v>
      </c>
    </row>
    <row r="181" spans="1:6" ht="15.75" customHeight="1">
      <c r="A181" s="10">
        <f ca="1">IFERROR(__xludf.DUMMYFUNCTION("""COMPUTED_VALUE"""),41411.6666666666)</f>
        <v>41411.666666666599</v>
      </c>
      <c r="B181" s="1">
        <f ca="1">IFERROR(__xludf.DUMMYFUNCTION("""COMPUTED_VALUE"""),31.02)</f>
        <v>31.02</v>
      </c>
      <c r="C181" s="1">
        <f ca="1">IFERROR(__xludf.DUMMYFUNCTION("""COMPUTED_VALUE"""),35.55)</f>
        <v>35.549999999999997</v>
      </c>
      <c r="D181" s="1">
        <f ca="1">IFERROR(__xludf.DUMMYFUNCTION("""COMPUTED_VALUE"""),31.02)</f>
        <v>31.02</v>
      </c>
      <c r="E181" s="1">
        <f ca="1">IFERROR(__xludf.DUMMYFUNCTION("""COMPUTED_VALUE"""),34.14)</f>
        <v>34.14</v>
      </c>
      <c r="F181" s="1">
        <f ca="1">IFERROR(__xludf.DUMMYFUNCTION("""COMPUTED_VALUE"""),23459088)</f>
        <v>23459088</v>
      </c>
    </row>
    <row r="182" spans="1:6" ht="15.75" customHeight="1">
      <c r="A182" s="10">
        <f ca="1">IFERROR(__xludf.DUMMYFUNCTION("""COMPUTED_VALUE"""),41418.6666666666)</f>
        <v>41418.666666666599</v>
      </c>
      <c r="B182" s="1">
        <f ca="1">IFERROR(__xludf.DUMMYFUNCTION("""COMPUTED_VALUE"""),34.06)</f>
        <v>34.06</v>
      </c>
      <c r="C182" s="1">
        <f ca="1">IFERROR(__xludf.DUMMYFUNCTION("""COMPUTED_VALUE"""),34.52)</f>
        <v>34.520000000000003</v>
      </c>
      <c r="D182" s="1">
        <f ca="1">IFERROR(__xludf.DUMMYFUNCTION("""COMPUTED_VALUE"""),31.65)</f>
        <v>31.65</v>
      </c>
      <c r="E182" s="1">
        <f ca="1">IFERROR(__xludf.DUMMYFUNCTION("""COMPUTED_VALUE"""),32.68)</f>
        <v>32.68</v>
      </c>
      <c r="F182" s="1">
        <f ca="1">IFERROR(__xludf.DUMMYFUNCTION("""COMPUTED_VALUE"""),10872425)</f>
        <v>10872425</v>
      </c>
    </row>
    <row r="183" spans="1:6" ht="15.75" customHeight="1">
      <c r="A183" s="10">
        <f ca="1">IFERROR(__xludf.DUMMYFUNCTION("""COMPUTED_VALUE"""),41425.6666666666)</f>
        <v>41425.666666666599</v>
      </c>
      <c r="B183" s="1">
        <f ca="1">IFERROR(__xludf.DUMMYFUNCTION("""COMPUTED_VALUE"""),33.11)</f>
        <v>33.11</v>
      </c>
      <c r="C183" s="1">
        <f ca="1">IFERROR(__xludf.DUMMYFUNCTION("""COMPUTED_VALUE"""),33.71)</f>
        <v>33.71</v>
      </c>
      <c r="D183" s="1">
        <f ca="1">IFERROR(__xludf.DUMMYFUNCTION("""COMPUTED_VALUE"""),29.99)</f>
        <v>29.99</v>
      </c>
      <c r="E183" s="1">
        <f ca="1">IFERROR(__xludf.DUMMYFUNCTION("""COMPUTED_VALUE"""),32.32)</f>
        <v>32.32</v>
      </c>
      <c r="F183" s="1">
        <f ca="1">IFERROR(__xludf.DUMMYFUNCTION("""COMPUTED_VALUE"""),17597862)</f>
        <v>17597862</v>
      </c>
    </row>
    <row r="184" spans="1:6" ht="15.75" customHeight="1">
      <c r="A184" s="10">
        <f ca="1">IFERROR(__xludf.DUMMYFUNCTION("""COMPUTED_VALUE"""),41432.6666666666)</f>
        <v>41432.666666666599</v>
      </c>
      <c r="B184" s="1">
        <f ca="1">IFERROR(__xludf.DUMMYFUNCTION("""COMPUTED_VALUE"""),32.44)</f>
        <v>32.44</v>
      </c>
      <c r="C184" s="1">
        <f ca="1">IFERROR(__xludf.DUMMYFUNCTION("""COMPUTED_VALUE"""),32.57)</f>
        <v>32.57</v>
      </c>
      <c r="D184" s="1">
        <f ca="1">IFERROR(__xludf.DUMMYFUNCTION("""COMPUTED_VALUE"""),30.57)</f>
        <v>30.57</v>
      </c>
      <c r="E184" s="1">
        <f ca="1">IFERROR(__xludf.DUMMYFUNCTION("""COMPUTED_VALUE"""),31.46)</f>
        <v>31.46</v>
      </c>
      <c r="F184" s="1">
        <f ca="1">IFERROR(__xludf.DUMMYFUNCTION("""COMPUTED_VALUE"""),16968109)</f>
        <v>16968109</v>
      </c>
    </row>
    <row r="185" spans="1:6" ht="15.75" customHeight="1">
      <c r="A185" s="10">
        <f ca="1">IFERROR(__xludf.DUMMYFUNCTION("""COMPUTED_VALUE"""),41439.6666666666)</f>
        <v>41439.666666666599</v>
      </c>
      <c r="B185" s="1">
        <f ca="1">IFERROR(__xludf.DUMMYFUNCTION("""COMPUTED_VALUE"""),31.86)</f>
        <v>31.86</v>
      </c>
      <c r="C185" s="1">
        <f ca="1">IFERROR(__xludf.DUMMYFUNCTION("""COMPUTED_VALUE"""),31.9)</f>
        <v>31.9</v>
      </c>
      <c r="D185" s="1">
        <f ca="1">IFERROR(__xludf.DUMMYFUNCTION("""COMPUTED_VALUE"""),29.39)</f>
        <v>29.39</v>
      </c>
      <c r="E185" s="1">
        <f ca="1">IFERROR(__xludf.DUMMYFUNCTION("""COMPUTED_VALUE"""),30.57)</f>
        <v>30.57</v>
      </c>
      <c r="F185" s="1">
        <f ca="1">IFERROR(__xludf.DUMMYFUNCTION("""COMPUTED_VALUE"""),11166169)</f>
        <v>11166169</v>
      </c>
    </row>
    <row r="186" spans="1:6" ht="15.75" customHeight="1">
      <c r="A186" s="10">
        <f ca="1">IFERROR(__xludf.DUMMYFUNCTION("""COMPUTED_VALUE"""),41446.6666666666)</f>
        <v>41446.666666666599</v>
      </c>
      <c r="B186" s="1">
        <f ca="1">IFERROR(__xludf.DUMMYFUNCTION("""COMPUTED_VALUE"""),32.22)</f>
        <v>32.22</v>
      </c>
      <c r="C186" s="1">
        <f ca="1">IFERROR(__xludf.DUMMYFUNCTION("""COMPUTED_VALUE"""),33.7)</f>
        <v>33.700000000000003</v>
      </c>
      <c r="D186" s="1">
        <f ca="1">IFERROR(__xludf.DUMMYFUNCTION("""COMPUTED_VALUE"""),30.6)</f>
        <v>30.6</v>
      </c>
      <c r="E186" s="1">
        <f ca="1">IFERROR(__xludf.DUMMYFUNCTION("""COMPUTED_VALUE"""),30.99)</f>
        <v>30.99</v>
      </c>
      <c r="F186" s="1">
        <f ca="1">IFERROR(__xludf.DUMMYFUNCTION("""COMPUTED_VALUE"""),17177174)</f>
        <v>17177174</v>
      </c>
    </row>
    <row r="187" spans="1:6" ht="15.75" customHeight="1">
      <c r="A187" s="10">
        <f ca="1">IFERROR(__xludf.DUMMYFUNCTION("""COMPUTED_VALUE"""),41453.6666666666)</f>
        <v>41453.666666666599</v>
      </c>
      <c r="B187" s="1">
        <f ca="1">IFERROR(__xludf.DUMMYFUNCTION("""COMPUTED_VALUE"""),30.43)</f>
        <v>30.43</v>
      </c>
      <c r="C187" s="1">
        <f ca="1">IFERROR(__xludf.DUMMYFUNCTION("""COMPUTED_VALUE"""),31.3)</f>
        <v>31.3</v>
      </c>
      <c r="D187" s="1">
        <f ca="1">IFERROR(__xludf.DUMMYFUNCTION("""COMPUTED_VALUE"""),29.65)</f>
        <v>29.65</v>
      </c>
      <c r="E187" s="1">
        <f ca="1">IFERROR(__xludf.DUMMYFUNCTION("""COMPUTED_VALUE"""),30.16)</f>
        <v>30.16</v>
      </c>
      <c r="F187" s="1">
        <f ca="1">IFERROR(__xludf.DUMMYFUNCTION("""COMPUTED_VALUE"""),13654336)</f>
        <v>13654336</v>
      </c>
    </row>
    <row r="188" spans="1:6" ht="15.75" customHeight="1">
      <c r="A188" s="10">
        <f ca="1">IFERROR(__xludf.DUMMYFUNCTION("""COMPUTED_VALUE"""),41460.6666666666)</f>
        <v>41460.666666666599</v>
      </c>
      <c r="B188" s="1">
        <f ca="1">IFERROR(__xludf.DUMMYFUNCTION("""COMPUTED_VALUE"""),30.65)</f>
        <v>30.65</v>
      </c>
      <c r="C188" s="1">
        <f ca="1">IFERROR(__xludf.DUMMYFUNCTION("""COMPUTED_VALUE"""),32.5)</f>
        <v>32.5</v>
      </c>
      <c r="D188" s="1">
        <f ca="1">IFERROR(__xludf.DUMMYFUNCTION("""COMPUTED_VALUE"""),30.29)</f>
        <v>30.29</v>
      </c>
      <c r="E188" s="1">
        <f ca="1">IFERROR(__xludf.DUMMYFUNCTION("""COMPUTED_VALUE"""),32.16)</f>
        <v>32.159999999999997</v>
      </c>
      <c r="F188" s="1">
        <f ca="1">IFERROR(__xludf.DUMMYFUNCTION("""COMPUTED_VALUE"""),8692696)</f>
        <v>8692696</v>
      </c>
    </row>
    <row r="189" spans="1:6" ht="15.75" customHeight="1">
      <c r="A189" s="10">
        <f ca="1">IFERROR(__xludf.DUMMYFUNCTION("""COMPUTED_VALUE"""),41467.6666666666)</f>
        <v>41467.666666666599</v>
      </c>
      <c r="B189" s="1">
        <f ca="1">IFERROR(__xludf.DUMMYFUNCTION("""COMPUTED_VALUE"""),32.4)</f>
        <v>32.4</v>
      </c>
      <c r="C189" s="1">
        <f ca="1">IFERROR(__xludf.DUMMYFUNCTION("""COMPUTED_VALUE"""),36.78)</f>
        <v>36.78</v>
      </c>
      <c r="D189" s="1">
        <f ca="1">IFERROR(__xludf.DUMMYFUNCTION("""COMPUTED_VALUE"""),32.22)</f>
        <v>32.22</v>
      </c>
      <c r="E189" s="1">
        <f ca="1">IFERROR(__xludf.DUMMYFUNCTION("""COMPUTED_VALUE"""),36.75)</f>
        <v>36.75</v>
      </c>
      <c r="F189" s="1">
        <f ca="1">IFERROR(__xludf.DUMMYFUNCTION("""COMPUTED_VALUE"""),19693211)</f>
        <v>19693211</v>
      </c>
    </row>
    <row r="190" spans="1:6" ht="15.75" customHeight="1">
      <c r="A190" s="10">
        <f ca="1">IFERROR(__xludf.DUMMYFUNCTION("""COMPUTED_VALUE"""),41474.6666666666)</f>
        <v>41474.666666666599</v>
      </c>
      <c r="B190" s="1">
        <f ca="1">IFERROR(__xludf.DUMMYFUNCTION("""COMPUTED_VALUE"""),37.09)</f>
        <v>37.090000000000003</v>
      </c>
      <c r="C190" s="1">
        <f ca="1">IFERROR(__xludf.DUMMYFUNCTION("""COMPUTED_VALUE"""),38.62)</f>
        <v>38.619999999999997</v>
      </c>
      <c r="D190" s="1">
        <f ca="1">IFERROR(__xludf.DUMMYFUNCTION("""COMPUTED_VALUE"""),36.02)</f>
        <v>36.020000000000003</v>
      </c>
      <c r="E190" s="1">
        <f ca="1">IFERROR(__xludf.DUMMYFUNCTION("""COMPUTED_VALUE"""),37.8)</f>
        <v>37.799999999999997</v>
      </c>
      <c r="F190" s="1">
        <f ca="1">IFERROR(__xludf.DUMMYFUNCTION("""COMPUTED_VALUE"""),16022672)</f>
        <v>16022672</v>
      </c>
    </row>
    <row r="191" spans="1:6" ht="15.75" customHeight="1">
      <c r="A191" s="10">
        <f ca="1">IFERROR(__xludf.DUMMYFUNCTION("""COMPUTED_VALUE"""),41481.6666666666)</f>
        <v>41481.666666666599</v>
      </c>
      <c r="B191" s="1">
        <f ca="1">IFERROR(__xludf.DUMMYFUNCTION("""COMPUTED_VALUE"""),38.12)</f>
        <v>38.119999999999997</v>
      </c>
      <c r="C191" s="1">
        <f ca="1">IFERROR(__xludf.DUMMYFUNCTION("""COMPUTED_VALUE"""),38.39)</f>
        <v>38.39</v>
      </c>
      <c r="D191" s="1">
        <f ca="1">IFERROR(__xludf.DUMMYFUNCTION("""COMPUTED_VALUE"""),34.27)</f>
        <v>34.270000000000003</v>
      </c>
      <c r="E191" s="1">
        <f ca="1">IFERROR(__xludf.DUMMYFUNCTION("""COMPUTED_VALUE"""),35.19)</f>
        <v>35.19</v>
      </c>
      <c r="F191" s="1">
        <f ca="1">IFERROR(__xludf.DUMMYFUNCTION("""COMPUTED_VALUE"""),27870596)</f>
        <v>27870596</v>
      </c>
    </row>
    <row r="192" spans="1:6" ht="15.75" customHeight="1">
      <c r="A192" s="10">
        <f ca="1">IFERROR(__xludf.DUMMYFUNCTION("""COMPUTED_VALUE"""),41488.6666666666)</f>
        <v>41488.666666666599</v>
      </c>
      <c r="B192" s="1">
        <f ca="1">IFERROR(__xludf.DUMMYFUNCTION("""COMPUTED_VALUE"""),35.15)</f>
        <v>35.15</v>
      </c>
      <c r="C192" s="1">
        <f ca="1">IFERROR(__xludf.DUMMYFUNCTION("""COMPUTED_VALUE"""),35.81)</f>
        <v>35.81</v>
      </c>
      <c r="D192" s="1">
        <f ca="1">IFERROR(__xludf.DUMMYFUNCTION("""COMPUTED_VALUE"""),34.54)</f>
        <v>34.54</v>
      </c>
      <c r="E192" s="1">
        <f ca="1">IFERROR(__xludf.DUMMYFUNCTION("""COMPUTED_VALUE"""),35.17)</f>
        <v>35.17</v>
      </c>
      <c r="F192" s="1">
        <f ca="1">IFERROR(__xludf.DUMMYFUNCTION("""COMPUTED_VALUE"""),9338202)</f>
        <v>9338202</v>
      </c>
    </row>
    <row r="193" spans="1:6" ht="15.75" customHeight="1">
      <c r="A193" s="10">
        <f ca="1">IFERROR(__xludf.DUMMYFUNCTION("""COMPUTED_VALUE"""),41495.6666666666)</f>
        <v>41495.666666666599</v>
      </c>
      <c r="B193" s="1">
        <f ca="1">IFERROR(__xludf.DUMMYFUNCTION("""COMPUTED_VALUE"""),34.84)</f>
        <v>34.840000000000003</v>
      </c>
      <c r="C193" s="1">
        <f ca="1">IFERROR(__xludf.DUMMYFUNCTION("""COMPUTED_VALUE"""),36.8)</f>
        <v>36.799999999999997</v>
      </c>
      <c r="D193" s="1">
        <f ca="1">IFERROR(__xludf.DUMMYFUNCTION("""COMPUTED_VALUE"""),34.48)</f>
        <v>34.479999999999997</v>
      </c>
      <c r="E193" s="1">
        <f ca="1">IFERROR(__xludf.DUMMYFUNCTION("""COMPUTED_VALUE"""),36.11)</f>
        <v>36.11</v>
      </c>
      <c r="F193" s="1">
        <f ca="1">IFERROR(__xludf.DUMMYFUNCTION("""COMPUTED_VALUE"""),12413285)</f>
        <v>12413285</v>
      </c>
    </row>
    <row r="194" spans="1:6" ht="15.75" customHeight="1">
      <c r="A194" s="10">
        <f ca="1">IFERROR(__xludf.DUMMYFUNCTION("""COMPUTED_VALUE"""),41502.6666666666)</f>
        <v>41502.666666666599</v>
      </c>
      <c r="B194" s="1">
        <f ca="1">IFERROR(__xludf.DUMMYFUNCTION("""COMPUTED_VALUE"""),35.9)</f>
        <v>35.9</v>
      </c>
      <c r="C194" s="1">
        <f ca="1">IFERROR(__xludf.DUMMYFUNCTION("""COMPUTED_VALUE"""),37.68)</f>
        <v>37.68</v>
      </c>
      <c r="D194" s="1">
        <f ca="1">IFERROR(__xludf.DUMMYFUNCTION("""COMPUTED_VALUE"""),35.77)</f>
        <v>35.770000000000003</v>
      </c>
      <c r="E194" s="1">
        <f ca="1">IFERROR(__xludf.DUMMYFUNCTION("""COMPUTED_VALUE"""),36.98)</f>
        <v>36.979999999999997</v>
      </c>
      <c r="F194" s="1">
        <f ca="1">IFERROR(__xludf.DUMMYFUNCTION("""COMPUTED_VALUE"""),13596324)</f>
        <v>13596324</v>
      </c>
    </row>
    <row r="195" spans="1:6" ht="15.75" customHeight="1">
      <c r="A195" s="10">
        <f ca="1">IFERROR(__xludf.DUMMYFUNCTION("""COMPUTED_VALUE"""),41509.6666666666)</f>
        <v>41509.666666666599</v>
      </c>
      <c r="B195" s="1">
        <f ca="1">IFERROR(__xludf.DUMMYFUNCTION("""COMPUTED_VALUE"""),36.86)</f>
        <v>36.86</v>
      </c>
      <c r="C195" s="1">
        <f ca="1">IFERROR(__xludf.DUMMYFUNCTION("""COMPUTED_VALUE"""),39.77)</f>
        <v>39.770000000000003</v>
      </c>
      <c r="D195" s="1">
        <f ca="1">IFERROR(__xludf.DUMMYFUNCTION("""COMPUTED_VALUE"""),36.82)</f>
        <v>36.82</v>
      </c>
      <c r="E195" s="1">
        <f ca="1">IFERROR(__xludf.DUMMYFUNCTION("""COMPUTED_VALUE"""),39.77)</f>
        <v>39.770000000000003</v>
      </c>
      <c r="F195" s="1">
        <f ca="1">IFERROR(__xludf.DUMMYFUNCTION("""COMPUTED_VALUE"""),14189255)</f>
        <v>14189255</v>
      </c>
    </row>
    <row r="196" spans="1:6" ht="15.75" customHeight="1">
      <c r="A196" s="10">
        <f ca="1">IFERROR(__xludf.DUMMYFUNCTION("""COMPUTED_VALUE"""),41516.6666666666)</f>
        <v>41516.666666666599</v>
      </c>
      <c r="B196" s="1">
        <f ca="1">IFERROR(__xludf.DUMMYFUNCTION("""COMPUTED_VALUE"""),39.44)</f>
        <v>39.44</v>
      </c>
      <c r="C196" s="1">
        <f ca="1">IFERROR(__xludf.DUMMYFUNCTION("""COMPUTED_VALUE"""),41.46)</f>
        <v>41.46</v>
      </c>
      <c r="D196" s="1">
        <f ca="1">IFERROR(__xludf.DUMMYFUNCTION("""COMPUTED_VALUE"""),39.15)</f>
        <v>39.15</v>
      </c>
      <c r="E196" s="1">
        <f ca="1">IFERROR(__xludf.DUMMYFUNCTION("""COMPUTED_VALUE"""),40.56)</f>
        <v>40.56</v>
      </c>
      <c r="F196" s="1">
        <f ca="1">IFERROR(__xludf.DUMMYFUNCTION("""COMPUTED_VALUE"""),15400560)</f>
        <v>15400560</v>
      </c>
    </row>
    <row r="197" spans="1:6" ht="15.75" customHeight="1">
      <c r="A197" s="10">
        <f ca="1">IFERROR(__xludf.DUMMYFUNCTION("""COMPUTED_VALUE"""),41523.6666666666)</f>
        <v>41523.666666666599</v>
      </c>
      <c r="B197" s="1">
        <f ca="1">IFERROR(__xludf.DUMMYFUNCTION("""COMPUTED_VALUE"""),41.11)</f>
        <v>41.11</v>
      </c>
      <c r="C197" s="1">
        <f ca="1">IFERROR(__xludf.DUMMYFUNCTION("""COMPUTED_VALUE"""),42.7)</f>
        <v>42.7</v>
      </c>
      <c r="D197" s="1">
        <f ca="1">IFERROR(__xludf.DUMMYFUNCTION("""COMPUTED_VALUE"""),40.65)</f>
        <v>40.65</v>
      </c>
      <c r="E197" s="1">
        <f ca="1">IFERROR(__xludf.DUMMYFUNCTION("""COMPUTED_VALUE"""),41.65)</f>
        <v>41.65</v>
      </c>
      <c r="F197" s="1">
        <f ca="1">IFERROR(__xludf.DUMMYFUNCTION("""COMPUTED_VALUE"""),10932384)</f>
        <v>10932384</v>
      </c>
    </row>
    <row r="198" spans="1:6" ht="15.75" customHeight="1">
      <c r="A198" s="10">
        <f ca="1">IFERROR(__xludf.DUMMYFUNCTION("""COMPUTED_VALUE"""),41530.6666666666)</f>
        <v>41530.666666666599</v>
      </c>
      <c r="B198" s="1">
        <f ca="1">IFERROR(__xludf.DUMMYFUNCTION("""COMPUTED_VALUE"""),41.82)</f>
        <v>41.82</v>
      </c>
      <c r="C198" s="1">
        <f ca="1">IFERROR(__xludf.DUMMYFUNCTION("""COMPUTED_VALUE"""),44.88)</f>
        <v>44.88</v>
      </c>
      <c r="D198" s="1">
        <f ca="1">IFERROR(__xludf.DUMMYFUNCTION("""COMPUTED_VALUE"""),41.47)</f>
        <v>41.47</v>
      </c>
      <c r="E198" s="1">
        <f ca="1">IFERROR(__xludf.DUMMYFUNCTION("""COMPUTED_VALUE"""),43.66)</f>
        <v>43.66</v>
      </c>
      <c r="F198" s="1">
        <f ca="1">IFERROR(__xludf.DUMMYFUNCTION("""COMPUTED_VALUE"""),16789577)</f>
        <v>16789577</v>
      </c>
    </row>
    <row r="199" spans="1:6" ht="15.75" customHeight="1">
      <c r="A199" s="10">
        <f ca="1">IFERROR(__xludf.DUMMYFUNCTION("""COMPUTED_VALUE"""),41537.6666666666)</f>
        <v>41537.666666666599</v>
      </c>
      <c r="B199" s="1">
        <f ca="1">IFERROR(__xludf.DUMMYFUNCTION("""COMPUTED_VALUE"""),44.29)</f>
        <v>44.29</v>
      </c>
      <c r="C199" s="1">
        <f ca="1">IFERROR(__xludf.DUMMYFUNCTION("""COMPUTED_VALUE"""),45.13)</f>
        <v>45.13</v>
      </c>
      <c r="D199" s="1">
        <f ca="1">IFERROR(__xludf.DUMMYFUNCTION("""COMPUTED_VALUE"""),42.53)</f>
        <v>42.53</v>
      </c>
      <c r="E199" s="1">
        <f ca="1">IFERROR(__xludf.DUMMYFUNCTION("""COMPUTED_VALUE"""),44.83)</f>
        <v>44.83</v>
      </c>
      <c r="F199" s="1">
        <f ca="1">IFERROR(__xludf.DUMMYFUNCTION("""COMPUTED_VALUE"""),13479583)</f>
        <v>13479583</v>
      </c>
    </row>
    <row r="200" spans="1:6" ht="15.75" customHeight="1">
      <c r="A200" s="10">
        <f ca="1">IFERROR(__xludf.DUMMYFUNCTION("""COMPUTED_VALUE"""),41544.6666666666)</f>
        <v>41544.666666666599</v>
      </c>
      <c r="B200" s="1">
        <f ca="1">IFERROR(__xludf.DUMMYFUNCTION("""COMPUTED_VALUE"""),45.71)</f>
        <v>45.71</v>
      </c>
      <c r="C200" s="1">
        <f ca="1">IFERROR(__xludf.DUMMYFUNCTION("""COMPUTED_VALUE"""),45.77)</f>
        <v>45.77</v>
      </c>
      <c r="D200" s="1">
        <f ca="1">IFERROR(__xludf.DUMMYFUNCTION("""COMPUTED_VALUE"""),42.79)</f>
        <v>42.79</v>
      </c>
      <c r="E200" s="1">
        <f ca="1">IFERROR(__xludf.DUMMYFUNCTION("""COMPUTED_VALUE"""),44.63)</f>
        <v>44.63</v>
      </c>
      <c r="F200" s="1">
        <f ca="1">IFERROR(__xludf.DUMMYFUNCTION("""COMPUTED_VALUE"""),12331666)</f>
        <v>12331666</v>
      </c>
    </row>
    <row r="201" spans="1:6" ht="15.75" customHeight="1">
      <c r="A201" s="10">
        <f ca="1">IFERROR(__xludf.DUMMYFUNCTION("""COMPUTED_VALUE"""),41551.6666666666)</f>
        <v>41551.666666666599</v>
      </c>
      <c r="B201" s="1">
        <f ca="1">IFERROR(__xludf.DUMMYFUNCTION("""COMPUTED_VALUE"""),43.96)</f>
        <v>43.96</v>
      </c>
      <c r="C201" s="1">
        <f ca="1">IFERROR(__xludf.DUMMYFUNCTION("""COMPUTED_VALUE"""),47.79)</f>
        <v>47.79</v>
      </c>
      <c r="D201" s="1">
        <f ca="1">IFERROR(__xludf.DUMMYFUNCTION("""COMPUTED_VALUE"""),43.6)</f>
        <v>43.6</v>
      </c>
      <c r="E201" s="1">
        <f ca="1">IFERROR(__xludf.DUMMYFUNCTION("""COMPUTED_VALUE"""),46.75)</f>
        <v>46.75</v>
      </c>
      <c r="F201" s="1">
        <f ca="1">IFERROR(__xludf.DUMMYFUNCTION("""COMPUTED_VALUE"""),16343784)</f>
        <v>16343784</v>
      </c>
    </row>
    <row r="202" spans="1:6" ht="15.75" customHeight="1">
      <c r="A202" s="10">
        <f ca="1">IFERROR(__xludf.DUMMYFUNCTION("""COMPUTED_VALUE"""),41558.6666666666)</f>
        <v>41558.666666666599</v>
      </c>
      <c r="B202" s="1">
        <f ca="1">IFERROR(__xludf.DUMMYFUNCTION("""COMPUTED_VALUE"""),46.29)</f>
        <v>46.29</v>
      </c>
      <c r="C202" s="1">
        <f ca="1">IFERROR(__xludf.DUMMYFUNCTION("""COMPUTED_VALUE"""),46.71)</f>
        <v>46.71</v>
      </c>
      <c r="D202" s="1">
        <f ca="1">IFERROR(__xludf.DUMMYFUNCTION("""COMPUTED_VALUE"""),40.4)</f>
        <v>40.4</v>
      </c>
      <c r="E202" s="1">
        <f ca="1">IFERROR(__xludf.DUMMYFUNCTION("""COMPUTED_VALUE"""),42.98)</f>
        <v>42.98</v>
      </c>
      <c r="F202" s="1">
        <f ca="1">IFERROR(__xludf.DUMMYFUNCTION("""COMPUTED_VALUE"""),19321223)</f>
        <v>19321223</v>
      </c>
    </row>
    <row r="203" spans="1:6" ht="15.75" customHeight="1">
      <c r="A203" s="10">
        <f ca="1">IFERROR(__xludf.DUMMYFUNCTION("""COMPUTED_VALUE"""),41565.6666666666)</f>
        <v>41565.666666666599</v>
      </c>
      <c r="B203" s="1">
        <f ca="1">IFERROR(__xludf.DUMMYFUNCTION("""COMPUTED_VALUE"""),44.29)</f>
        <v>44.29</v>
      </c>
      <c r="C203" s="1">
        <f ca="1">IFERROR(__xludf.DUMMYFUNCTION("""COMPUTED_VALUE"""),48.07)</f>
        <v>48.07</v>
      </c>
      <c r="D203" s="1">
        <f ca="1">IFERROR(__xludf.DUMMYFUNCTION("""COMPUTED_VALUE"""),43.71)</f>
        <v>43.71</v>
      </c>
      <c r="E203" s="1">
        <f ca="1">IFERROR(__xludf.DUMMYFUNCTION("""COMPUTED_VALUE"""),47.64)</f>
        <v>47.64</v>
      </c>
      <c r="F203" s="1">
        <f ca="1">IFERROR(__xludf.DUMMYFUNCTION("""COMPUTED_VALUE"""),19461532)</f>
        <v>19461532</v>
      </c>
    </row>
    <row r="204" spans="1:6" ht="15.75" customHeight="1">
      <c r="A204" s="10">
        <f ca="1">IFERROR(__xludf.DUMMYFUNCTION("""COMPUTED_VALUE"""),41572.6666666666)</f>
        <v>41572.666666666599</v>
      </c>
      <c r="B204" s="1">
        <f ca="1">IFERROR(__xludf.DUMMYFUNCTION("""COMPUTED_VALUE"""),48.99)</f>
        <v>48.99</v>
      </c>
      <c r="C204" s="1">
        <f ca="1">IFERROR(__xludf.DUMMYFUNCTION("""COMPUTED_VALUE"""),55.59)</f>
        <v>55.59</v>
      </c>
      <c r="D204" s="1">
        <f ca="1">IFERROR(__xludf.DUMMYFUNCTION("""COMPUTED_VALUE"""),45.29)</f>
        <v>45.29</v>
      </c>
      <c r="E204" s="1">
        <f ca="1">IFERROR(__xludf.DUMMYFUNCTION("""COMPUTED_VALUE"""),46.86)</f>
        <v>46.86</v>
      </c>
      <c r="F204" s="1">
        <f ca="1">IFERROR(__xludf.DUMMYFUNCTION("""COMPUTED_VALUE"""),51751688)</f>
        <v>51751688</v>
      </c>
    </row>
    <row r="205" spans="1:6" ht="15.75" customHeight="1">
      <c r="A205" s="10">
        <f ca="1">IFERROR(__xludf.DUMMYFUNCTION("""COMPUTED_VALUE"""),41579.6666666666)</f>
        <v>41579.666666666599</v>
      </c>
      <c r="B205" s="1">
        <f ca="1">IFERROR(__xludf.DUMMYFUNCTION("""COMPUTED_VALUE"""),46.43)</f>
        <v>46.43</v>
      </c>
      <c r="C205" s="1">
        <f ca="1">IFERROR(__xludf.DUMMYFUNCTION("""COMPUTED_VALUE"""),47.64)</f>
        <v>47.64</v>
      </c>
      <c r="D205" s="1">
        <f ca="1">IFERROR(__xludf.DUMMYFUNCTION("""COMPUTED_VALUE"""),44.17)</f>
        <v>44.17</v>
      </c>
      <c r="E205" s="1">
        <f ca="1">IFERROR(__xludf.DUMMYFUNCTION("""COMPUTED_VALUE"""),47.04)</f>
        <v>47.04</v>
      </c>
      <c r="F205" s="1">
        <f ca="1">IFERROR(__xludf.DUMMYFUNCTION("""COMPUTED_VALUE"""),18204200)</f>
        <v>18204200</v>
      </c>
    </row>
    <row r="206" spans="1:6" ht="15.75" customHeight="1">
      <c r="A206" s="10">
        <f ca="1">IFERROR(__xludf.DUMMYFUNCTION("""COMPUTED_VALUE"""),41586.6666666666)</f>
        <v>41586.666666666599</v>
      </c>
      <c r="B206" s="1">
        <f ca="1">IFERROR(__xludf.DUMMYFUNCTION("""COMPUTED_VALUE"""),47.28)</f>
        <v>47.28</v>
      </c>
      <c r="C206" s="1">
        <f ca="1">IFERROR(__xludf.DUMMYFUNCTION("""COMPUTED_VALUE"""),49.2)</f>
        <v>49.2</v>
      </c>
      <c r="D206" s="1">
        <f ca="1">IFERROR(__xludf.DUMMYFUNCTION("""COMPUTED_VALUE"""),46.45)</f>
        <v>46.45</v>
      </c>
      <c r="E206" s="1">
        <f ca="1">IFERROR(__xludf.DUMMYFUNCTION("""COMPUTED_VALUE"""),47.84)</f>
        <v>47.84</v>
      </c>
      <c r="F206" s="1">
        <f ca="1">IFERROR(__xludf.DUMMYFUNCTION("""COMPUTED_VALUE"""),14223568)</f>
        <v>14223568</v>
      </c>
    </row>
    <row r="207" spans="1:6" ht="15.75" customHeight="1">
      <c r="A207" s="10">
        <f ca="1">IFERROR(__xludf.DUMMYFUNCTION("""COMPUTED_VALUE"""),41593.6666666666)</f>
        <v>41593.666666666599</v>
      </c>
      <c r="B207" s="1">
        <f ca="1">IFERROR(__xludf.DUMMYFUNCTION("""COMPUTED_VALUE"""),47.54)</f>
        <v>47.54</v>
      </c>
      <c r="C207" s="1">
        <f ca="1">IFERROR(__xludf.DUMMYFUNCTION("""COMPUTED_VALUE"""),49.98)</f>
        <v>49.98</v>
      </c>
      <c r="D207" s="1">
        <f ca="1">IFERROR(__xludf.DUMMYFUNCTION("""COMPUTED_VALUE"""),46.95)</f>
        <v>46.95</v>
      </c>
      <c r="E207" s="1">
        <f ca="1">IFERROR(__xludf.DUMMYFUNCTION("""COMPUTED_VALUE"""),49.97)</f>
        <v>49.97</v>
      </c>
      <c r="F207" s="1">
        <f ca="1">IFERROR(__xludf.DUMMYFUNCTION("""COMPUTED_VALUE"""),11625757)</f>
        <v>11625757</v>
      </c>
    </row>
    <row r="208" spans="1:6" ht="15.75" customHeight="1">
      <c r="A208" s="10">
        <f ca="1">IFERROR(__xludf.DUMMYFUNCTION("""COMPUTED_VALUE"""),41600.6666666666)</f>
        <v>41600.666666666599</v>
      </c>
      <c r="B208" s="1">
        <f ca="1">IFERROR(__xludf.DUMMYFUNCTION("""COMPUTED_VALUE"""),50)</f>
        <v>50</v>
      </c>
      <c r="C208" s="1">
        <f ca="1">IFERROR(__xludf.DUMMYFUNCTION("""COMPUTED_VALUE"""),50.09)</f>
        <v>50.09</v>
      </c>
      <c r="D208" s="1">
        <f ca="1">IFERROR(__xludf.DUMMYFUNCTION("""COMPUTED_VALUE"""),47.75)</f>
        <v>47.75</v>
      </c>
      <c r="E208" s="1">
        <f ca="1">IFERROR(__xludf.DUMMYFUNCTION("""COMPUTED_VALUE"""),49.69)</f>
        <v>49.69</v>
      </c>
      <c r="F208" s="1">
        <f ca="1">IFERROR(__xludf.DUMMYFUNCTION("""COMPUTED_VALUE"""),12433629)</f>
        <v>12433629</v>
      </c>
    </row>
    <row r="209" spans="1:6" ht="15.75" customHeight="1">
      <c r="A209" s="10">
        <f ca="1">IFERROR(__xludf.DUMMYFUNCTION("""COMPUTED_VALUE"""),41607.6666666666)</f>
        <v>41607.666666666599</v>
      </c>
      <c r="B209" s="1">
        <f ca="1">IFERROR(__xludf.DUMMYFUNCTION("""COMPUTED_VALUE"""),49.56)</f>
        <v>49.56</v>
      </c>
      <c r="C209" s="1">
        <f ca="1">IFERROR(__xludf.DUMMYFUNCTION("""COMPUTED_VALUE"""),52.54)</f>
        <v>52.54</v>
      </c>
      <c r="D209" s="1">
        <f ca="1">IFERROR(__xludf.DUMMYFUNCTION("""COMPUTED_VALUE"""),49.29)</f>
        <v>49.29</v>
      </c>
      <c r="E209" s="1">
        <f ca="1">IFERROR(__xludf.DUMMYFUNCTION("""COMPUTED_VALUE"""),52.26)</f>
        <v>52.26</v>
      </c>
      <c r="F209" s="1">
        <f ca="1">IFERROR(__xludf.DUMMYFUNCTION("""COMPUTED_VALUE"""),7699524)</f>
        <v>7699524</v>
      </c>
    </row>
    <row r="210" spans="1:6" ht="15.75" customHeight="1">
      <c r="A210" s="10">
        <f ca="1">IFERROR(__xludf.DUMMYFUNCTION("""COMPUTED_VALUE"""),41614.6666666666)</f>
        <v>41614.666666666599</v>
      </c>
      <c r="B210" s="1">
        <f ca="1">IFERROR(__xludf.DUMMYFUNCTION("""COMPUTED_VALUE"""),52.14)</f>
        <v>52.14</v>
      </c>
      <c r="C210" s="1">
        <f ca="1">IFERROR(__xludf.DUMMYFUNCTION("""COMPUTED_VALUE"""),52.66)</f>
        <v>52.66</v>
      </c>
      <c r="D210" s="1">
        <f ca="1">IFERROR(__xludf.DUMMYFUNCTION("""COMPUTED_VALUE"""),50.29)</f>
        <v>50.29</v>
      </c>
      <c r="E210" s="1">
        <f ca="1">IFERROR(__xludf.DUMMYFUNCTION("""COMPUTED_VALUE"""),50.63)</f>
        <v>50.63</v>
      </c>
      <c r="F210" s="1">
        <f ca="1">IFERROR(__xludf.DUMMYFUNCTION("""COMPUTED_VALUE"""),10050730)</f>
        <v>10050730</v>
      </c>
    </row>
    <row r="211" spans="1:6" ht="15.75" customHeight="1">
      <c r="A211" s="10">
        <f ca="1">IFERROR(__xludf.DUMMYFUNCTION("""COMPUTED_VALUE"""),41621.6666666666)</f>
        <v>41621.666666666599</v>
      </c>
      <c r="B211" s="1">
        <f ca="1">IFERROR(__xludf.DUMMYFUNCTION("""COMPUTED_VALUE"""),50.74)</f>
        <v>50.74</v>
      </c>
      <c r="C211" s="1">
        <f ca="1">IFERROR(__xludf.DUMMYFUNCTION("""COMPUTED_VALUE"""),53.86)</f>
        <v>53.86</v>
      </c>
      <c r="D211" s="1">
        <f ca="1">IFERROR(__xludf.DUMMYFUNCTION("""COMPUTED_VALUE"""),50.47)</f>
        <v>50.47</v>
      </c>
      <c r="E211" s="1">
        <f ca="1">IFERROR(__xludf.DUMMYFUNCTION("""COMPUTED_VALUE"""),52.71)</f>
        <v>52.71</v>
      </c>
      <c r="F211" s="1">
        <f ca="1">IFERROR(__xludf.DUMMYFUNCTION("""COMPUTED_VALUE"""),12160452)</f>
        <v>12160452</v>
      </c>
    </row>
    <row r="212" spans="1:6" ht="15.75" customHeight="1">
      <c r="A212" s="10">
        <f ca="1">IFERROR(__xludf.DUMMYFUNCTION("""COMPUTED_VALUE"""),41628.6666666666)</f>
        <v>41628.666666666599</v>
      </c>
      <c r="B212" s="1">
        <f ca="1">IFERROR(__xludf.DUMMYFUNCTION("""COMPUTED_VALUE"""),52.85)</f>
        <v>52.85</v>
      </c>
      <c r="C212" s="1">
        <f ca="1">IFERROR(__xludf.DUMMYFUNCTION("""COMPUTED_VALUE"""),54.27)</f>
        <v>54.27</v>
      </c>
      <c r="D212" s="1">
        <f ca="1">IFERROR(__xludf.DUMMYFUNCTION("""COMPUTED_VALUE"""),52.04)</f>
        <v>52.04</v>
      </c>
      <c r="E212" s="1">
        <f ca="1">IFERROR(__xludf.DUMMYFUNCTION("""COMPUTED_VALUE"""),53.67)</f>
        <v>53.67</v>
      </c>
      <c r="F212" s="1">
        <f ca="1">IFERROR(__xludf.DUMMYFUNCTION("""COMPUTED_VALUE"""),12144566)</f>
        <v>12144566</v>
      </c>
    </row>
    <row r="213" spans="1:6" ht="15.75" customHeight="1">
      <c r="A213" s="10">
        <f ca="1">IFERROR(__xludf.DUMMYFUNCTION("""COMPUTED_VALUE"""),41635.6666666666)</f>
        <v>41635.666666666599</v>
      </c>
      <c r="B213" s="1">
        <f ca="1">IFERROR(__xludf.DUMMYFUNCTION("""COMPUTED_VALUE"""),54.1)</f>
        <v>54.1</v>
      </c>
      <c r="C213" s="1">
        <f ca="1">IFERROR(__xludf.DUMMYFUNCTION("""COMPUTED_VALUE"""),54.85)</f>
        <v>54.85</v>
      </c>
      <c r="D213" s="1">
        <f ca="1">IFERROR(__xludf.DUMMYFUNCTION("""COMPUTED_VALUE"""),52.26)</f>
        <v>52.26</v>
      </c>
      <c r="E213" s="1">
        <f ca="1">IFERROR(__xludf.DUMMYFUNCTION("""COMPUTED_VALUE"""),52.5)</f>
        <v>52.5</v>
      </c>
      <c r="F213" s="1">
        <f ca="1">IFERROR(__xludf.DUMMYFUNCTION("""COMPUTED_VALUE"""),6781506)</f>
        <v>6781506</v>
      </c>
    </row>
    <row r="214" spans="1:6" ht="15.75" customHeight="1">
      <c r="A214" s="10">
        <f ca="1">IFERROR(__xludf.DUMMYFUNCTION("""COMPUTED_VALUE"""),41642.6666666666)</f>
        <v>41642.666666666599</v>
      </c>
      <c r="B214" s="1">
        <f ca="1">IFERROR(__xludf.DUMMYFUNCTION("""COMPUTED_VALUE"""),52.52)</f>
        <v>52.52</v>
      </c>
      <c r="C214" s="1">
        <f ca="1">IFERROR(__xludf.DUMMYFUNCTION("""COMPUTED_VALUE"""),52.79)</f>
        <v>52.79</v>
      </c>
      <c r="D214" s="1">
        <f ca="1">IFERROR(__xludf.DUMMYFUNCTION("""COMPUTED_VALUE"""),51.29)</f>
        <v>51.29</v>
      </c>
      <c r="E214" s="1">
        <f ca="1">IFERROR(__xludf.DUMMYFUNCTION("""COMPUTED_VALUE"""),51.87)</f>
        <v>51.87</v>
      </c>
      <c r="F214" s="1">
        <f ca="1">IFERROR(__xludf.DUMMYFUNCTION("""COMPUTED_VALUE"""),6965755)</f>
        <v>6965755</v>
      </c>
    </row>
    <row r="215" spans="1:6" ht="15.75" customHeight="1">
      <c r="A215" s="10">
        <f ca="1">IFERROR(__xludf.DUMMYFUNCTION("""COMPUTED_VALUE"""),41649.6666666666)</f>
        <v>41649.666666666599</v>
      </c>
      <c r="B215" s="1">
        <f ca="1">IFERROR(__xludf.DUMMYFUNCTION("""COMPUTED_VALUE"""),51.89)</f>
        <v>51.89</v>
      </c>
      <c r="C215" s="1">
        <f ca="1">IFERROR(__xludf.DUMMYFUNCTION("""COMPUTED_VALUE"""),52.04)</f>
        <v>52.04</v>
      </c>
      <c r="D215" s="1">
        <f ca="1">IFERROR(__xludf.DUMMYFUNCTION("""COMPUTED_VALUE"""),47.22)</f>
        <v>47.22</v>
      </c>
      <c r="E215" s="1">
        <f ca="1">IFERROR(__xludf.DUMMYFUNCTION("""COMPUTED_VALUE"""),47.45)</f>
        <v>47.45</v>
      </c>
      <c r="F215" s="1">
        <f ca="1">IFERROR(__xludf.DUMMYFUNCTION("""COMPUTED_VALUE"""),15000016)</f>
        <v>15000016</v>
      </c>
    </row>
    <row r="216" spans="1:6" ht="15.75" customHeight="1">
      <c r="A216" s="10">
        <f ca="1">IFERROR(__xludf.DUMMYFUNCTION("""COMPUTED_VALUE"""),41656.6666666666)</f>
        <v>41656.666666666599</v>
      </c>
      <c r="B216" s="1">
        <f ca="1">IFERROR(__xludf.DUMMYFUNCTION("""COMPUTED_VALUE"""),47.3)</f>
        <v>47.3</v>
      </c>
      <c r="C216" s="1">
        <f ca="1">IFERROR(__xludf.DUMMYFUNCTION("""COMPUTED_VALUE"""),49.81)</f>
        <v>49.81</v>
      </c>
      <c r="D216" s="1">
        <f ca="1">IFERROR(__xludf.DUMMYFUNCTION("""COMPUTED_VALUE"""),45.58)</f>
        <v>45.58</v>
      </c>
      <c r="E216" s="1">
        <f ca="1">IFERROR(__xludf.DUMMYFUNCTION("""COMPUTED_VALUE"""),47.15)</f>
        <v>47.15</v>
      </c>
      <c r="F216" s="1">
        <f ca="1">IFERROR(__xludf.DUMMYFUNCTION("""COMPUTED_VALUE"""),17867400)</f>
        <v>17867400</v>
      </c>
    </row>
    <row r="217" spans="1:6" ht="15.75" customHeight="1">
      <c r="A217" s="10">
        <f ca="1">IFERROR(__xludf.DUMMYFUNCTION("""COMPUTED_VALUE"""),41663.6666666666)</f>
        <v>41663.666666666599</v>
      </c>
      <c r="B217" s="1">
        <f ca="1">IFERROR(__xludf.DUMMYFUNCTION("""COMPUTED_VALUE"""),47.46)</f>
        <v>47.46</v>
      </c>
      <c r="C217" s="1">
        <f ca="1">IFERROR(__xludf.DUMMYFUNCTION("""COMPUTED_VALUE"""),56.52)</f>
        <v>56.52</v>
      </c>
      <c r="D217" s="1">
        <f ca="1">IFERROR(__xludf.DUMMYFUNCTION("""COMPUTED_VALUE"""),45.75)</f>
        <v>45.75</v>
      </c>
      <c r="E217" s="1">
        <f ca="1">IFERROR(__xludf.DUMMYFUNCTION("""COMPUTED_VALUE"""),55.15)</f>
        <v>55.15</v>
      </c>
      <c r="F217" s="1">
        <f ca="1">IFERROR(__xludf.DUMMYFUNCTION("""COMPUTED_VALUE"""),28806420)</f>
        <v>28806420</v>
      </c>
    </row>
    <row r="218" spans="1:6" ht="15.75" customHeight="1">
      <c r="A218" s="10">
        <f ca="1">IFERROR(__xludf.DUMMYFUNCTION("""COMPUTED_VALUE"""),41670.6666666666)</f>
        <v>41670.666666666599</v>
      </c>
      <c r="B218" s="1">
        <f ca="1">IFERROR(__xludf.DUMMYFUNCTION("""COMPUTED_VALUE"""),55.34)</f>
        <v>55.34</v>
      </c>
      <c r="C218" s="1">
        <f ca="1">IFERROR(__xludf.DUMMYFUNCTION("""COMPUTED_VALUE"""),58.91)</f>
        <v>58.91</v>
      </c>
      <c r="D218" s="1">
        <f ca="1">IFERROR(__xludf.DUMMYFUNCTION("""COMPUTED_VALUE"""),52.94)</f>
        <v>52.94</v>
      </c>
      <c r="E218" s="1">
        <f ca="1">IFERROR(__xludf.DUMMYFUNCTION("""COMPUTED_VALUE"""),58.48)</f>
        <v>58.48</v>
      </c>
      <c r="F218" s="1">
        <f ca="1">IFERROR(__xludf.DUMMYFUNCTION("""COMPUTED_VALUE"""),21059698)</f>
        <v>21059698</v>
      </c>
    </row>
    <row r="219" spans="1:6" ht="15.75" customHeight="1">
      <c r="A219" s="10">
        <f ca="1">IFERROR(__xludf.DUMMYFUNCTION("""COMPUTED_VALUE"""),41677.6666666666)</f>
        <v>41677.666666666599</v>
      </c>
      <c r="B219" s="1">
        <f ca="1">IFERROR(__xludf.DUMMYFUNCTION("""COMPUTED_VALUE"""),58.74)</f>
        <v>58.74</v>
      </c>
      <c r="C219" s="1">
        <f ca="1">IFERROR(__xludf.DUMMYFUNCTION("""COMPUTED_VALUE"""),61.5)</f>
        <v>61.5</v>
      </c>
      <c r="D219" s="1">
        <f ca="1">IFERROR(__xludf.DUMMYFUNCTION("""COMPUTED_VALUE"""),56.72)</f>
        <v>56.72</v>
      </c>
      <c r="E219" s="1">
        <f ca="1">IFERROR(__xludf.DUMMYFUNCTION("""COMPUTED_VALUE"""),61.43)</f>
        <v>61.43</v>
      </c>
      <c r="F219" s="1">
        <f ca="1">IFERROR(__xludf.DUMMYFUNCTION("""COMPUTED_VALUE"""),14427878)</f>
        <v>14427878</v>
      </c>
    </row>
    <row r="220" spans="1:6" ht="15.75" customHeight="1">
      <c r="A220" s="10">
        <f ca="1">IFERROR(__xludf.DUMMYFUNCTION("""COMPUTED_VALUE"""),41684.6666666666)</f>
        <v>41684.666666666599</v>
      </c>
      <c r="B220" s="1">
        <f ca="1">IFERROR(__xludf.DUMMYFUNCTION("""COMPUTED_VALUE"""),61.35)</f>
        <v>61.35</v>
      </c>
      <c r="C220" s="1">
        <f ca="1">IFERROR(__xludf.DUMMYFUNCTION("""COMPUTED_VALUE"""),62.78)</f>
        <v>62.78</v>
      </c>
      <c r="D220" s="1">
        <f ca="1">IFERROR(__xludf.DUMMYFUNCTION("""COMPUTED_VALUE"""),60.61)</f>
        <v>60.61</v>
      </c>
      <c r="E220" s="1">
        <f ca="1">IFERROR(__xludf.DUMMYFUNCTION("""COMPUTED_VALUE"""),62.22)</f>
        <v>62.22</v>
      </c>
      <c r="F220" s="1">
        <f ca="1">IFERROR(__xludf.DUMMYFUNCTION("""COMPUTED_VALUE"""),10575266)</f>
        <v>10575266</v>
      </c>
    </row>
    <row r="221" spans="1:6" ht="15.75" customHeight="1">
      <c r="A221" s="10">
        <f ca="1">IFERROR(__xludf.DUMMYFUNCTION("""COMPUTED_VALUE"""),41691.6666666666)</f>
        <v>41691.666666666599</v>
      </c>
      <c r="B221" s="1">
        <f ca="1">IFERROR(__xludf.DUMMYFUNCTION("""COMPUTED_VALUE"""),62.42)</f>
        <v>62.42</v>
      </c>
      <c r="C221" s="1">
        <f ca="1">IFERROR(__xludf.DUMMYFUNCTION("""COMPUTED_VALUE"""),63.03)</f>
        <v>63.03</v>
      </c>
      <c r="D221" s="1">
        <f ca="1">IFERROR(__xludf.DUMMYFUNCTION("""COMPUTED_VALUE"""),61.14)</f>
        <v>61.14</v>
      </c>
      <c r="E221" s="1">
        <f ca="1">IFERROR(__xludf.DUMMYFUNCTION("""COMPUTED_VALUE"""),61.75)</f>
        <v>61.75</v>
      </c>
      <c r="F221" s="1">
        <f ca="1">IFERROR(__xludf.DUMMYFUNCTION("""COMPUTED_VALUE"""),8157886)</f>
        <v>8157886</v>
      </c>
    </row>
    <row r="222" spans="1:6" ht="15.75" customHeight="1">
      <c r="A222" s="10">
        <f ca="1">IFERROR(__xludf.DUMMYFUNCTION("""COMPUTED_VALUE"""),41698.6666666666)</f>
        <v>41698.666666666599</v>
      </c>
      <c r="B222" s="1">
        <f ca="1">IFERROR(__xludf.DUMMYFUNCTION("""COMPUTED_VALUE"""),62.14)</f>
        <v>62.14</v>
      </c>
      <c r="C222" s="1">
        <f ca="1">IFERROR(__xludf.DUMMYFUNCTION("""COMPUTED_VALUE"""),65.4)</f>
        <v>65.400000000000006</v>
      </c>
      <c r="D222" s="1">
        <f ca="1">IFERROR(__xludf.DUMMYFUNCTION("""COMPUTED_VALUE"""),61.21)</f>
        <v>61.21</v>
      </c>
      <c r="E222" s="1">
        <f ca="1">IFERROR(__xludf.DUMMYFUNCTION("""COMPUTED_VALUE"""),63.66)</f>
        <v>63.66</v>
      </c>
      <c r="F222" s="1">
        <f ca="1">IFERROR(__xludf.DUMMYFUNCTION("""COMPUTED_VALUE"""),12279010)</f>
        <v>12279010</v>
      </c>
    </row>
    <row r="223" spans="1:6" ht="15.75" customHeight="1">
      <c r="A223" s="10">
        <f ca="1">IFERROR(__xludf.DUMMYFUNCTION("""COMPUTED_VALUE"""),41705.6666666666)</f>
        <v>41705.666666666599</v>
      </c>
      <c r="B223" s="1">
        <f ca="1">IFERROR(__xludf.DUMMYFUNCTION("""COMPUTED_VALUE"""),62.94)</f>
        <v>62.94</v>
      </c>
      <c r="C223" s="1">
        <f ca="1">IFERROR(__xludf.DUMMYFUNCTION("""COMPUTED_VALUE"""),65.43)</f>
        <v>65.430000000000007</v>
      </c>
      <c r="D223" s="1">
        <f ca="1">IFERROR(__xludf.DUMMYFUNCTION("""COMPUTED_VALUE"""),62.59)</f>
        <v>62.59</v>
      </c>
      <c r="E223" s="1">
        <f ca="1">IFERROR(__xludf.DUMMYFUNCTION("""COMPUTED_VALUE"""),64.05)</f>
        <v>64.05</v>
      </c>
      <c r="F223" s="1">
        <f ca="1">IFERROR(__xludf.DUMMYFUNCTION("""COMPUTED_VALUE"""),8603412)</f>
        <v>8603412</v>
      </c>
    </row>
    <row r="224" spans="1:6" ht="15.75" customHeight="1">
      <c r="A224" s="10">
        <f ca="1">IFERROR(__xludf.DUMMYFUNCTION("""COMPUTED_VALUE"""),41712.6666666666)</f>
        <v>41712.666666666599</v>
      </c>
      <c r="B224" s="1">
        <f ca="1">IFERROR(__xludf.DUMMYFUNCTION("""COMPUTED_VALUE"""),64.04)</f>
        <v>64.040000000000006</v>
      </c>
      <c r="C224" s="1">
        <f ca="1">IFERROR(__xludf.DUMMYFUNCTION("""COMPUTED_VALUE"""),64.11)</f>
        <v>64.11</v>
      </c>
      <c r="D224" s="1">
        <f ca="1">IFERROR(__xludf.DUMMYFUNCTION("""COMPUTED_VALUE"""),60.43)</f>
        <v>60.43</v>
      </c>
      <c r="E224" s="1">
        <f ca="1">IFERROR(__xludf.DUMMYFUNCTION("""COMPUTED_VALUE"""),60.64)</f>
        <v>60.64</v>
      </c>
      <c r="F224" s="1">
        <f ca="1">IFERROR(__xludf.DUMMYFUNCTION("""COMPUTED_VALUE"""),9208698)</f>
        <v>9208698</v>
      </c>
    </row>
    <row r="225" spans="1:6" ht="15.75" customHeight="1">
      <c r="A225" s="10">
        <f ca="1">IFERROR(__xludf.DUMMYFUNCTION("""COMPUTED_VALUE"""),41719.6666666666)</f>
        <v>41719.666666666599</v>
      </c>
      <c r="B225" s="1">
        <f ca="1">IFERROR(__xludf.DUMMYFUNCTION("""COMPUTED_VALUE"""),60.84)</f>
        <v>60.84</v>
      </c>
      <c r="C225" s="1">
        <f ca="1">IFERROR(__xludf.DUMMYFUNCTION("""COMPUTED_VALUE"""),61.74)</f>
        <v>61.74</v>
      </c>
      <c r="D225" s="1">
        <f ca="1">IFERROR(__xludf.DUMMYFUNCTION("""COMPUTED_VALUE"""),57.96)</f>
        <v>57.96</v>
      </c>
      <c r="E225" s="1">
        <f ca="1">IFERROR(__xludf.DUMMYFUNCTION("""COMPUTED_VALUE"""),58)</f>
        <v>58</v>
      </c>
      <c r="F225" s="1">
        <f ca="1">IFERROR(__xludf.DUMMYFUNCTION("""COMPUTED_VALUE"""),11037037)</f>
        <v>11037037</v>
      </c>
    </row>
    <row r="226" spans="1:6" ht="15.75" customHeight="1">
      <c r="A226" s="10">
        <f ca="1">IFERROR(__xludf.DUMMYFUNCTION("""COMPUTED_VALUE"""),41726.6666666666)</f>
        <v>41726.666666666599</v>
      </c>
      <c r="B226" s="1">
        <f ca="1">IFERROR(__xludf.DUMMYFUNCTION("""COMPUTED_VALUE"""),57.92)</f>
        <v>57.92</v>
      </c>
      <c r="C226" s="1">
        <f ca="1">IFERROR(__xludf.DUMMYFUNCTION("""COMPUTED_VALUE"""),58.06)</f>
        <v>58.06</v>
      </c>
      <c r="D226" s="1">
        <f ca="1">IFERROR(__xludf.DUMMYFUNCTION("""COMPUTED_VALUE"""),50.82)</f>
        <v>50.82</v>
      </c>
      <c r="E226" s="1">
        <f ca="1">IFERROR(__xludf.DUMMYFUNCTION("""COMPUTED_VALUE"""),51.27)</f>
        <v>51.27</v>
      </c>
      <c r="F226" s="1">
        <f ca="1">IFERROR(__xludf.DUMMYFUNCTION("""COMPUTED_VALUE"""),21917171)</f>
        <v>21917171</v>
      </c>
    </row>
    <row r="227" spans="1:6" ht="15.75" customHeight="1">
      <c r="A227" s="10">
        <f ca="1">IFERROR(__xludf.DUMMYFUNCTION("""COMPUTED_VALUE"""),41733.6666666666)</f>
        <v>41733.666666666599</v>
      </c>
      <c r="B227" s="1">
        <f ca="1">IFERROR(__xludf.DUMMYFUNCTION("""COMPUTED_VALUE"""),51.72)</f>
        <v>51.72</v>
      </c>
      <c r="C227" s="1">
        <f ca="1">IFERROR(__xludf.DUMMYFUNCTION("""COMPUTED_VALUE"""),53.01)</f>
        <v>53.01</v>
      </c>
      <c r="D227" s="1">
        <f ca="1">IFERROR(__xludf.DUMMYFUNCTION("""COMPUTED_VALUE"""),47.98)</f>
        <v>47.98</v>
      </c>
      <c r="E227" s="1">
        <f ca="1">IFERROR(__xludf.DUMMYFUNCTION("""COMPUTED_VALUE"""),48.19)</f>
        <v>48.19</v>
      </c>
      <c r="F227" s="1">
        <f ca="1">IFERROR(__xludf.DUMMYFUNCTION("""COMPUTED_VALUE"""),17809796)</f>
        <v>17809796</v>
      </c>
    </row>
    <row r="228" spans="1:6" ht="15.75" customHeight="1">
      <c r="A228" s="10">
        <f ca="1">IFERROR(__xludf.DUMMYFUNCTION("""COMPUTED_VALUE"""),41740.6666666666)</f>
        <v>41740.666666666599</v>
      </c>
      <c r="B228" s="1">
        <f ca="1">IFERROR(__xludf.DUMMYFUNCTION("""COMPUTED_VALUE"""),48.71)</f>
        <v>48.71</v>
      </c>
      <c r="C228" s="1">
        <f ca="1">IFERROR(__xludf.DUMMYFUNCTION("""COMPUTED_VALUE"""),51.07)</f>
        <v>51.07</v>
      </c>
      <c r="D228" s="1">
        <f ca="1">IFERROR(__xludf.DUMMYFUNCTION("""COMPUTED_VALUE"""),46.23)</f>
        <v>46.23</v>
      </c>
      <c r="E228" s="1">
        <f ca="1">IFERROR(__xludf.DUMMYFUNCTION("""COMPUTED_VALUE"""),46.67)</f>
        <v>46.67</v>
      </c>
      <c r="F228" s="1">
        <f ca="1">IFERROR(__xludf.DUMMYFUNCTION("""COMPUTED_VALUE"""),19822324)</f>
        <v>19822324</v>
      </c>
    </row>
    <row r="229" spans="1:6" ht="15.75" customHeight="1">
      <c r="A229" s="10">
        <f ca="1">IFERROR(__xludf.DUMMYFUNCTION("""COMPUTED_VALUE"""),41746.6666666666)</f>
        <v>41746.666666666599</v>
      </c>
      <c r="B229" s="1">
        <f ca="1">IFERROR(__xludf.DUMMYFUNCTION("""COMPUTED_VALUE"""),47.56)</f>
        <v>47.56</v>
      </c>
      <c r="C229" s="1">
        <f ca="1">IFERROR(__xludf.DUMMYFUNCTION("""COMPUTED_VALUE"""),49.96)</f>
        <v>49.96</v>
      </c>
      <c r="D229" s="1">
        <f ca="1">IFERROR(__xludf.DUMMYFUNCTION("""COMPUTED_VALUE"""),44.59)</f>
        <v>44.59</v>
      </c>
      <c r="E229" s="1">
        <f ca="1">IFERROR(__xludf.DUMMYFUNCTION("""COMPUTED_VALUE"""),49.39)</f>
        <v>49.39</v>
      </c>
      <c r="F229" s="1">
        <f ca="1">IFERROR(__xludf.DUMMYFUNCTION("""COMPUTED_VALUE"""),13870344)</f>
        <v>13870344</v>
      </c>
    </row>
    <row r="230" spans="1:6" ht="15.75" customHeight="1">
      <c r="A230" s="10">
        <f ca="1">IFERROR(__xludf.DUMMYFUNCTION("""COMPUTED_VALUE"""),41754.6666666666)</f>
        <v>41754.666666666599</v>
      </c>
      <c r="B230" s="1">
        <f ca="1">IFERROR(__xludf.DUMMYFUNCTION("""COMPUTED_VALUE"""),49.9)</f>
        <v>49.9</v>
      </c>
      <c r="C230" s="1">
        <f ca="1">IFERROR(__xludf.DUMMYFUNCTION("""COMPUTED_VALUE"""),54.41)</f>
        <v>54.41</v>
      </c>
      <c r="D230" s="1">
        <f ca="1">IFERROR(__xludf.DUMMYFUNCTION("""COMPUTED_VALUE"""),46)</f>
        <v>46</v>
      </c>
      <c r="E230" s="1">
        <f ca="1">IFERROR(__xludf.DUMMYFUNCTION("""COMPUTED_VALUE"""),46.01)</f>
        <v>46.01</v>
      </c>
      <c r="F230" s="1">
        <f ca="1">IFERROR(__xludf.DUMMYFUNCTION("""COMPUTED_VALUE"""),30959333)</f>
        <v>30959333</v>
      </c>
    </row>
    <row r="231" spans="1:6" ht="15.75" customHeight="1">
      <c r="A231" s="10">
        <f ca="1">IFERROR(__xludf.DUMMYFUNCTION("""COMPUTED_VALUE"""),41761.6666666666)</f>
        <v>41761.666666666599</v>
      </c>
      <c r="B231" s="1">
        <f ca="1">IFERROR(__xludf.DUMMYFUNCTION("""COMPUTED_VALUE"""),45.44)</f>
        <v>45.44</v>
      </c>
      <c r="C231" s="1">
        <f ca="1">IFERROR(__xludf.DUMMYFUNCTION("""COMPUTED_VALUE"""),49.38)</f>
        <v>49.38</v>
      </c>
      <c r="D231" s="1">
        <f ca="1">IFERROR(__xludf.DUMMYFUNCTION("""COMPUTED_VALUE"""),42.79)</f>
        <v>42.79</v>
      </c>
      <c r="E231" s="1">
        <f ca="1">IFERROR(__xludf.DUMMYFUNCTION("""COMPUTED_VALUE"""),48.66)</f>
        <v>48.66</v>
      </c>
      <c r="F231" s="1">
        <f ca="1">IFERROR(__xludf.DUMMYFUNCTION("""COMPUTED_VALUE"""),22447872)</f>
        <v>22447872</v>
      </c>
    </row>
    <row r="232" spans="1:6" ht="15.75" customHeight="1">
      <c r="A232" s="10">
        <f ca="1">IFERROR(__xludf.DUMMYFUNCTION("""COMPUTED_VALUE"""),41768.6666666666)</f>
        <v>41768.666666666599</v>
      </c>
      <c r="B232" s="1">
        <f ca="1">IFERROR(__xludf.DUMMYFUNCTION("""COMPUTED_VALUE"""),48.33)</f>
        <v>48.33</v>
      </c>
      <c r="C232" s="1">
        <f ca="1">IFERROR(__xludf.DUMMYFUNCTION("""COMPUTED_VALUE"""),49.67)</f>
        <v>49.67</v>
      </c>
      <c r="D232" s="1">
        <f ca="1">IFERROR(__xludf.DUMMYFUNCTION("""COMPUTED_VALUE"""),44.91)</f>
        <v>44.91</v>
      </c>
      <c r="E232" s="1">
        <f ca="1">IFERROR(__xludf.DUMMYFUNCTION("""COMPUTED_VALUE"""),46.94)</f>
        <v>46.94</v>
      </c>
      <c r="F232" s="1">
        <f ca="1">IFERROR(__xludf.DUMMYFUNCTION("""COMPUTED_VALUE"""),15413223)</f>
        <v>15413223</v>
      </c>
    </row>
    <row r="233" spans="1:6" ht="15.75" customHeight="1">
      <c r="A233" s="10">
        <f ca="1">IFERROR(__xludf.DUMMYFUNCTION("""COMPUTED_VALUE"""),41775.6666666666)</f>
        <v>41775.666666666599</v>
      </c>
      <c r="B233" s="1">
        <f ca="1">IFERROR(__xludf.DUMMYFUNCTION("""COMPUTED_VALUE"""),47.25)</f>
        <v>47.25</v>
      </c>
      <c r="C233" s="1">
        <f ca="1">IFERROR(__xludf.DUMMYFUNCTION("""COMPUTED_VALUE"""),50.63)</f>
        <v>50.63</v>
      </c>
      <c r="D233" s="1">
        <f ca="1">IFERROR(__xludf.DUMMYFUNCTION("""COMPUTED_VALUE"""),47.22)</f>
        <v>47.22</v>
      </c>
      <c r="E233" s="1">
        <f ca="1">IFERROR(__xludf.DUMMYFUNCTION("""COMPUTED_VALUE"""),49.98)</f>
        <v>49.98</v>
      </c>
      <c r="F233" s="1">
        <f ca="1">IFERROR(__xludf.DUMMYFUNCTION("""COMPUTED_VALUE"""),14942083)</f>
        <v>14942083</v>
      </c>
    </row>
    <row r="234" spans="1:6" ht="15.75" customHeight="1">
      <c r="A234" s="10">
        <f ca="1">IFERROR(__xludf.DUMMYFUNCTION("""COMPUTED_VALUE"""),41782.6666666666)</f>
        <v>41782.666666666599</v>
      </c>
      <c r="B234" s="1">
        <f ca="1">IFERROR(__xludf.DUMMYFUNCTION("""COMPUTED_VALUE"""),49.57)</f>
        <v>49.57</v>
      </c>
      <c r="C234" s="1">
        <f ca="1">IFERROR(__xludf.DUMMYFUNCTION("""COMPUTED_VALUE"""),57.5)</f>
        <v>57.5</v>
      </c>
      <c r="D234" s="1">
        <f ca="1">IFERROR(__xludf.DUMMYFUNCTION("""COMPUTED_VALUE"""),49.51)</f>
        <v>49.51</v>
      </c>
      <c r="E234" s="1">
        <f ca="1">IFERROR(__xludf.DUMMYFUNCTION("""COMPUTED_VALUE"""),57.48)</f>
        <v>57.48</v>
      </c>
      <c r="F234" s="1">
        <f ca="1">IFERROR(__xludf.DUMMYFUNCTION("""COMPUTED_VALUE"""),21371951)</f>
        <v>21371951</v>
      </c>
    </row>
    <row r="235" spans="1:6" ht="15.75" customHeight="1">
      <c r="A235" s="10">
        <f ca="1">IFERROR(__xludf.DUMMYFUNCTION("""COMPUTED_VALUE"""),41789.6666666666)</f>
        <v>41789.666666666599</v>
      </c>
      <c r="B235" s="1">
        <f ca="1">IFERROR(__xludf.DUMMYFUNCTION("""COMPUTED_VALUE"""),57.36)</f>
        <v>57.36</v>
      </c>
      <c r="C235" s="1">
        <f ca="1">IFERROR(__xludf.DUMMYFUNCTION("""COMPUTED_VALUE"""),60.25)</f>
        <v>60.25</v>
      </c>
      <c r="D235" s="1">
        <f ca="1">IFERROR(__xludf.DUMMYFUNCTION("""COMPUTED_VALUE"""),56.16)</f>
        <v>56.16</v>
      </c>
      <c r="E235" s="1">
        <f ca="1">IFERROR(__xludf.DUMMYFUNCTION("""COMPUTED_VALUE"""),59.69)</f>
        <v>59.69</v>
      </c>
      <c r="F235" s="1">
        <f ca="1">IFERROR(__xludf.DUMMYFUNCTION("""COMPUTED_VALUE"""),14107223)</f>
        <v>14107223</v>
      </c>
    </row>
    <row r="236" spans="1:6" ht="15.75" customHeight="1">
      <c r="A236" s="10">
        <f ca="1">IFERROR(__xludf.DUMMYFUNCTION("""COMPUTED_VALUE"""),41796.6666666666)</f>
        <v>41796.666666666599</v>
      </c>
      <c r="B236" s="1">
        <f ca="1">IFERROR(__xludf.DUMMYFUNCTION("""COMPUTED_VALUE"""),59.93)</f>
        <v>59.93</v>
      </c>
      <c r="C236" s="1">
        <f ca="1">IFERROR(__xludf.DUMMYFUNCTION("""COMPUTED_VALUE"""),62.13)</f>
        <v>62.13</v>
      </c>
      <c r="D236" s="1">
        <f ca="1">IFERROR(__xludf.DUMMYFUNCTION("""COMPUTED_VALUE"""),58.93)</f>
        <v>58.93</v>
      </c>
      <c r="E236" s="1">
        <f ca="1">IFERROR(__xludf.DUMMYFUNCTION("""COMPUTED_VALUE"""),61.45)</f>
        <v>61.45</v>
      </c>
      <c r="F236" s="1">
        <f ca="1">IFERROR(__xludf.DUMMYFUNCTION("""COMPUTED_VALUE"""),12823902)</f>
        <v>12823902</v>
      </c>
    </row>
    <row r="237" spans="1:6" ht="15.75" customHeight="1">
      <c r="A237" s="10">
        <f ca="1">IFERROR(__xludf.DUMMYFUNCTION("""COMPUTED_VALUE"""),41803.6666666666)</f>
        <v>41803.666666666599</v>
      </c>
      <c r="B237" s="1">
        <f ca="1">IFERROR(__xludf.DUMMYFUNCTION("""COMPUTED_VALUE"""),61.35)</f>
        <v>61.35</v>
      </c>
      <c r="C237" s="1">
        <f ca="1">IFERROR(__xludf.DUMMYFUNCTION("""COMPUTED_VALUE"""),62.29)</f>
        <v>62.29</v>
      </c>
      <c r="D237" s="1">
        <f ca="1">IFERROR(__xludf.DUMMYFUNCTION("""COMPUTED_VALUE"""),59.6)</f>
        <v>59.6</v>
      </c>
      <c r="E237" s="1">
        <f ca="1">IFERROR(__xludf.DUMMYFUNCTION("""COMPUTED_VALUE"""),61.1)</f>
        <v>61.1</v>
      </c>
      <c r="F237" s="1">
        <f ca="1">IFERROR(__xludf.DUMMYFUNCTION("""COMPUTED_VALUE"""),12147628)</f>
        <v>12147628</v>
      </c>
    </row>
    <row r="238" spans="1:6" ht="15.75" customHeight="1">
      <c r="A238" s="10">
        <f ca="1">IFERROR(__xludf.DUMMYFUNCTION("""COMPUTED_VALUE"""),41810.6666666666)</f>
        <v>41810.666666666599</v>
      </c>
      <c r="B238" s="1">
        <f ca="1">IFERROR(__xludf.DUMMYFUNCTION("""COMPUTED_VALUE"""),60.93)</f>
        <v>60.93</v>
      </c>
      <c r="C238" s="1">
        <f ca="1">IFERROR(__xludf.DUMMYFUNCTION("""COMPUTED_VALUE"""),64.4)</f>
        <v>64.400000000000006</v>
      </c>
      <c r="D238" s="1">
        <f ca="1">IFERROR(__xludf.DUMMYFUNCTION("""COMPUTED_VALUE"""),60.49)</f>
        <v>60.49</v>
      </c>
      <c r="E238" s="1">
        <f ca="1">IFERROR(__xludf.DUMMYFUNCTION("""COMPUTED_VALUE"""),62.88)</f>
        <v>62.88</v>
      </c>
      <c r="F238" s="1">
        <f ca="1">IFERROR(__xludf.DUMMYFUNCTION("""COMPUTED_VALUE"""),12990774)</f>
        <v>12990774</v>
      </c>
    </row>
    <row r="239" spans="1:6" ht="15.75" customHeight="1">
      <c r="A239" s="10">
        <f ca="1">IFERROR(__xludf.DUMMYFUNCTION("""COMPUTED_VALUE"""),41817.6666666666)</f>
        <v>41817.666666666599</v>
      </c>
      <c r="B239" s="1">
        <f ca="1">IFERROR(__xludf.DUMMYFUNCTION("""COMPUTED_VALUE"""),62.77)</f>
        <v>62.77</v>
      </c>
      <c r="C239" s="1">
        <f ca="1">IFERROR(__xludf.DUMMYFUNCTION("""COMPUTED_VALUE"""),64.28)</f>
        <v>64.28</v>
      </c>
      <c r="D239" s="1">
        <f ca="1">IFERROR(__xludf.DUMMYFUNCTION("""COMPUTED_VALUE"""),61.9)</f>
        <v>61.9</v>
      </c>
      <c r="E239" s="1">
        <f ca="1">IFERROR(__xludf.DUMMYFUNCTION("""COMPUTED_VALUE"""),63.15)</f>
        <v>63.15</v>
      </c>
      <c r="F239" s="1">
        <f ca="1">IFERROR(__xludf.DUMMYFUNCTION("""COMPUTED_VALUE"""),10956106)</f>
        <v>10956106</v>
      </c>
    </row>
    <row r="240" spans="1:6" ht="15.75" customHeight="1">
      <c r="A240" s="10">
        <f ca="1">IFERROR(__xludf.DUMMYFUNCTION("""COMPUTED_VALUE"""),41823.6666666666)</f>
        <v>41823.666666666599</v>
      </c>
      <c r="B240" s="1">
        <f ca="1">IFERROR(__xludf.DUMMYFUNCTION("""COMPUTED_VALUE"""),63.27)</f>
        <v>63.27</v>
      </c>
      <c r="C240" s="1">
        <f ca="1">IFERROR(__xludf.DUMMYFUNCTION("""COMPUTED_VALUE"""),67.98)</f>
        <v>67.98</v>
      </c>
      <c r="D240" s="1">
        <f ca="1">IFERROR(__xludf.DUMMYFUNCTION("""COMPUTED_VALUE"""),62.81)</f>
        <v>62.81</v>
      </c>
      <c r="E240" s="1">
        <f ca="1">IFERROR(__xludf.DUMMYFUNCTION("""COMPUTED_VALUE"""),67.48)</f>
        <v>67.48</v>
      </c>
      <c r="F240" s="1">
        <f ca="1">IFERROR(__xludf.DUMMYFUNCTION("""COMPUTED_VALUE"""),11047870)</f>
        <v>11047870</v>
      </c>
    </row>
    <row r="241" spans="1:6" ht="15.75" customHeight="1">
      <c r="A241" s="10">
        <f ca="1">IFERROR(__xludf.DUMMYFUNCTION("""COMPUTED_VALUE"""),41831.6666666666)</f>
        <v>41831.666666666599</v>
      </c>
      <c r="B241" s="1">
        <f ca="1">IFERROR(__xludf.DUMMYFUNCTION("""COMPUTED_VALUE"""),67.44)</f>
        <v>67.44</v>
      </c>
      <c r="C241" s="1">
        <f ca="1">IFERROR(__xludf.DUMMYFUNCTION("""COMPUTED_VALUE"""),67.46)</f>
        <v>67.459999999999994</v>
      </c>
      <c r="D241" s="1">
        <f ca="1">IFERROR(__xludf.DUMMYFUNCTION("""COMPUTED_VALUE"""),61.17)</f>
        <v>61.17</v>
      </c>
      <c r="E241" s="1">
        <f ca="1">IFERROR(__xludf.DUMMYFUNCTION("""COMPUTED_VALUE"""),62.85)</f>
        <v>62.85</v>
      </c>
      <c r="F241" s="1">
        <f ca="1">IFERROR(__xludf.DUMMYFUNCTION("""COMPUTED_VALUE"""),14884409)</f>
        <v>14884409</v>
      </c>
    </row>
    <row r="242" spans="1:6" ht="15.75" customHeight="1">
      <c r="A242" s="10">
        <f ca="1">IFERROR(__xludf.DUMMYFUNCTION("""COMPUTED_VALUE"""),41838.6666666666)</f>
        <v>41838.666666666599</v>
      </c>
      <c r="B242" s="1">
        <f ca="1">IFERROR(__xludf.DUMMYFUNCTION("""COMPUTED_VALUE"""),63.33)</f>
        <v>63.33</v>
      </c>
      <c r="C242" s="1">
        <f ca="1">IFERROR(__xludf.DUMMYFUNCTION("""COMPUTED_VALUE"""),65.1)</f>
        <v>65.099999999999994</v>
      </c>
      <c r="D242" s="1">
        <f ca="1">IFERROR(__xludf.DUMMYFUNCTION("""COMPUTED_VALUE"""),62.25)</f>
        <v>62.25</v>
      </c>
      <c r="E242" s="1">
        <f ca="1">IFERROR(__xludf.DUMMYFUNCTION("""COMPUTED_VALUE"""),63.45)</f>
        <v>63.45</v>
      </c>
      <c r="F242" s="1">
        <f ca="1">IFERROR(__xludf.DUMMYFUNCTION("""COMPUTED_VALUE"""),9922755)</f>
        <v>9922755</v>
      </c>
    </row>
    <row r="243" spans="1:6" ht="15.75" customHeight="1">
      <c r="A243" s="10">
        <f ca="1">IFERROR(__xludf.DUMMYFUNCTION("""COMPUTED_VALUE"""),41845.6666666666)</f>
        <v>41845.666666666599</v>
      </c>
      <c r="B243" s="1">
        <f ca="1">IFERROR(__xludf.DUMMYFUNCTION("""COMPUTED_VALUE"""),64.52)</f>
        <v>64.52</v>
      </c>
      <c r="C243" s="1">
        <f ca="1">IFERROR(__xludf.DUMMYFUNCTION("""COMPUTED_VALUE"""),65.36)</f>
        <v>65.36</v>
      </c>
      <c r="D243" s="1">
        <f ca="1">IFERROR(__xludf.DUMMYFUNCTION("""COMPUTED_VALUE"""),59.86)</f>
        <v>59.86</v>
      </c>
      <c r="E243" s="1">
        <f ca="1">IFERROR(__xludf.DUMMYFUNCTION("""COMPUTED_VALUE"""),60.27)</f>
        <v>60.27</v>
      </c>
      <c r="F243" s="1">
        <f ca="1">IFERROR(__xludf.DUMMYFUNCTION("""COMPUTED_VALUE"""),19911667)</f>
        <v>19911667</v>
      </c>
    </row>
    <row r="244" spans="1:6" ht="15.75" customHeight="1">
      <c r="A244" s="10">
        <f ca="1">IFERROR(__xludf.DUMMYFUNCTION("""COMPUTED_VALUE"""),41852.6666666666)</f>
        <v>41852.666666666599</v>
      </c>
      <c r="B244" s="1">
        <f ca="1">IFERROR(__xludf.DUMMYFUNCTION("""COMPUTED_VALUE"""),60.32)</f>
        <v>60.32</v>
      </c>
      <c r="C244" s="1">
        <f ca="1">IFERROR(__xludf.DUMMYFUNCTION("""COMPUTED_VALUE"""),62.18)</f>
        <v>62.18</v>
      </c>
      <c r="D244" s="1">
        <f ca="1">IFERROR(__xludf.DUMMYFUNCTION("""COMPUTED_VALUE"""),58.93)</f>
        <v>58.93</v>
      </c>
      <c r="E244" s="1">
        <f ca="1">IFERROR(__xludf.DUMMYFUNCTION("""COMPUTED_VALUE"""),60.77)</f>
        <v>60.77</v>
      </c>
      <c r="F244" s="1">
        <f ca="1">IFERROR(__xludf.DUMMYFUNCTION("""COMPUTED_VALUE"""),9904495)</f>
        <v>9904495</v>
      </c>
    </row>
    <row r="245" spans="1:6" ht="15.75" customHeight="1">
      <c r="A245" s="10">
        <f ca="1">IFERROR(__xludf.DUMMYFUNCTION("""COMPUTED_VALUE"""),41859.6666666666)</f>
        <v>41859.666666666599</v>
      </c>
      <c r="B245" s="1">
        <f ca="1">IFERROR(__xludf.DUMMYFUNCTION("""COMPUTED_VALUE"""),61.03)</f>
        <v>61.03</v>
      </c>
      <c r="C245" s="1">
        <f ca="1">IFERROR(__xludf.DUMMYFUNCTION("""COMPUTED_VALUE"""),64.42)</f>
        <v>64.42</v>
      </c>
      <c r="D245" s="1">
        <f ca="1">IFERROR(__xludf.DUMMYFUNCTION("""COMPUTED_VALUE"""),60.04)</f>
        <v>60.04</v>
      </c>
      <c r="E245" s="1">
        <f ca="1">IFERROR(__xludf.DUMMYFUNCTION("""COMPUTED_VALUE"""),63.69)</f>
        <v>63.69</v>
      </c>
      <c r="F245" s="1">
        <f ca="1">IFERROR(__xludf.DUMMYFUNCTION("""COMPUTED_VALUE"""),11434529)</f>
        <v>11434529</v>
      </c>
    </row>
    <row r="246" spans="1:6" ht="15.75" customHeight="1">
      <c r="A246" s="10">
        <f ca="1">IFERROR(__xludf.DUMMYFUNCTION("""COMPUTED_VALUE"""),41866.6666666666)</f>
        <v>41866.666666666599</v>
      </c>
      <c r="B246" s="1">
        <f ca="1">IFERROR(__xludf.DUMMYFUNCTION("""COMPUTED_VALUE"""),64.17)</f>
        <v>64.17</v>
      </c>
      <c r="C246" s="1">
        <f ca="1">IFERROR(__xludf.DUMMYFUNCTION("""COMPUTED_VALUE"""),66)</f>
        <v>66</v>
      </c>
      <c r="D246" s="1">
        <f ca="1">IFERROR(__xludf.DUMMYFUNCTION("""COMPUTED_VALUE"""),63.34)</f>
        <v>63.34</v>
      </c>
      <c r="E246" s="1">
        <f ca="1">IFERROR(__xludf.DUMMYFUNCTION("""COMPUTED_VALUE"""),65.58)</f>
        <v>65.58</v>
      </c>
      <c r="F246" s="1">
        <f ca="1">IFERROR(__xludf.DUMMYFUNCTION("""COMPUTED_VALUE"""),8842332)</f>
        <v>8842332</v>
      </c>
    </row>
    <row r="247" spans="1:6" ht="15.75" customHeight="1">
      <c r="A247" s="10">
        <f ca="1">IFERROR(__xludf.DUMMYFUNCTION("""COMPUTED_VALUE"""),41873.6666666666)</f>
        <v>41873.666666666599</v>
      </c>
      <c r="B247" s="1">
        <f ca="1">IFERROR(__xludf.DUMMYFUNCTION("""COMPUTED_VALUE"""),66.01)</f>
        <v>66.010000000000005</v>
      </c>
      <c r="C247" s="1">
        <f ca="1">IFERROR(__xludf.DUMMYFUNCTION("""COMPUTED_VALUE"""),68.51)</f>
        <v>68.510000000000005</v>
      </c>
      <c r="D247" s="1">
        <f ca="1">IFERROR(__xludf.DUMMYFUNCTION("""COMPUTED_VALUE"""),65.89)</f>
        <v>65.89</v>
      </c>
      <c r="E247" s="1">
        <f ca="1">IFERROR(__xludf.DUMMYFUNCTION("""COMPUTED_VALUE"""),68.46)</f>
        <v>68.459999999999994</v>
      </c>
      <c r="F247" s="1">
        <f ca="1">IFERROR(__xludf.DUMMYFUNCTION("""COMPUTED_VALUE"""),8871386)</f>
        <v>8871386</v>
      </c>
    </row>
    <row r="248" spans="1:6" ht="15.75" customHeight="1">
      <c r="A248" s="10">
        <f ca="1">IFERROR(__xludf.DUMMYFUNCTION("""COMPUTED_VALUE"""),41880.6666666666)</f>
        <v>41880.666666666599</v>
      </c>
      <c r="B248" s="1">
        <f ca="1">IFERROR(__xludf.DUMMYFUNCTION("""COMPUTED_VALUE"""),68.79)</f>
        <v>68.790000000000006</v>
      </c>
      <c r="C248" s="1">
        <f ca="1">IFERROR(__xludf.DUMMYFUNCTION("""COMPUTED_VALUE"""),69.33)</f>
        <v>69.33</v>
      </c>
      <c r="D248" s="1">
        <f ca="1">IFERROR(__xludf.DUMMYFUNCTION("""COMPUTED_VALUE"""),67.26)</f>
        <v>67.260000000000005</v>
      </c>
      <c r="E248" s="1">
        <f ca="1">IFERROR(__xludf.DUMMYFUNCTION("""COMPUTED_VALUE"""),68.23)</f>
        <v>68.23</v>
      </c>
      <c r="F248" s="1">
        <f ca="1">IFERROR(__xludf.DUMMYFUNCTION("""COMPUTED_VALUE"""),7356921)</f>
        <v>7356921</v>
      </c>
    </row>
    <row r="249" spans="1:6" ht="15.75" customHeight="1">
      <c r="A249" s="10">
        <f ca="1">IFERROR(__xludf.DUMMYFUNCTION("""COMPUTED_VALUE"""),41887.6666666666)</f>
        <v>41887.666666666599</v>
      </c>
      <c r="B249" s="1">
        <f ca="1">IFERROR(__xludf.DUMMYFUNCTION("""COMPUTED_VALUE"""),68.31)</f>
        <v>68.31</v>
      </c>
      <c r="C249" s="1">
        <f ca="1">IFERROR(__xludf.DUMMYFUNCTION("""COMPUTED_VALUE"""),69.66)</f>
        <v>69.66</v>
      </c>
      <c r="D249" s="1">
        <f ca="1">IFERROR(__xludf.DUMMYFUNCTION("""COMPUTED_VALUE"""),67.15)</f>
        <v>67.150000000000006</v>
      </c>
      <c r="E249" s="1">
        <f ca="1">IFERROR(__xludf.DUMMYFUNCTION("""COMPUTED_VALUE"""),67.95)</f>
        <v>67.95</v>
      </c>
      <c r="F249" s="1">
        <f ca="1">IFERROR(__xludf.DUMMYFUNCTION("""COMPUTED_VALUE"""),6996815)</f>
        <v>6996815</v>
      </c>
    </row>
    <row r="250" spans="1:6" ht="15.75" customHeight="1">
      <c r="A250" s="10">
        <f ca="1">IFERROR(__xludf.DUMMYFUNCTION("""COMPUTED_VALUE"""),41894.6666666666)</f>
        <v>41894.666666666599</v>
      </c>
      <c r="B250" s="1">
        <f ca="1">IFERROR(__xludf.DUMMYFUNCTION("""COMPUTED_VALUE"""),67.77)</f>
        <v>67.77</v>
      </c>
      <c r="C250" s="1">
        <f ca="1">IFERROR(__xludf.DUMMYFUNCTION("""COMPUTED_VALUE"""),69.9)</f>
        <v>69.900000000000006</v>
      </c>
      <c r="D250" s="1">
        <f ca="1">IFERROR(__xludf.DUMMYFUNCTION("""COMPUTED_VALUE"""),67.74)</f>
        <v>67.739999999999995</v>
      </c>
      <c r="E250" s="1">
        <f ca="1">IFERROR(__xludf.DUMMYFUNCTION("""COMPUTED_VALUE"""),68.08)</f>
        <v>68.08</v>
      </c>
      <c r="F250" s="1">
        <f ca="1">IFERROR(__xludf.DUMMYFUNCTION("""COMPUTED_VALUE"""),8263346)</f>
        <v>8263346</v>
      </c>
    </row>
    <row r="251" spans="1:6" ht="15.75" customHeight="1">
      <c r="A251" s="10">
        <f ca="1">IFERROR(__xludf.DUMMYFUNCTION("""COMPUTED_VALUE"""),41901.6666666666)</f>
        <v>41901.666666666599</v>
      </c>
      <c r="B251" s="1">
        <f ca="1">IFERROR(__xludf.DUMMYFUNCTION("""COMPUTED_VALUE"""),68.22)</f>
        <v>68.22</v>
      </c>
      <c r="C251" s="1">
        <f ca="1">IFERROR(__xludf.DUMMYFUNCTION("""COMPUTED_VALUE"""),68.22)</f>
        <v>68.22</v>
      </c>
      <c r="D251" s="1">
        <f ca="1">IFERROR(__xludf.DUMMYFUNCTION("""COMPUTED_VALUE"""),63.66)</f>
        <v>63.66</v>
      </c>
      <c r="E251" s="1">
        <f ca="1">IFERROR(__xludf.DUMMYFUNCTION("""COMPUTED_VALUE"""),65.36)</f>
        <v>65.36</v>
      </c>
      <c r="F251" s="1">
        <f ca="1">IFERROR(__xludf.DUMMYFUNCTION("""COMPUTED_VALUE"""),11741505)</f>
        <v>11741505</v>
      </c>
    </row>
    <row r="252" spans="1:6" ht="15.75" customHeight="1">
      <c r="A252" s="10">
        <f ca="1">IFERROR(__xludf.DUMMYFUNCTION("""COMPUTED_VALUE"""),41908.6666666666)</f>
        <v>41908.666666666599</v>
      </c>
      <c r="B252" s="1">
        <f ca="1">IFERROR(__xludf.DUMMYFUNCTION("""COMPUTED_VALUE"""),65.21)</f>
        <v>65.209999999999994</v>
      </c>
      <c r="C252" s="1">
        <f ca="1">IFERROR(__xludf.DUMMYFUNCTION("""COMPUTED_VALUE"""),65.28)</f>
        <v>65.28</v>
      </c>
      <c r="D252" s="1">
        <f ca="1">IFERROR(__xludf.DUMMYFUNCTION("""COMPUTED_VALUE"""),62.7)</f>
        <v>62.7</v>
      </c>
      <c r="E252" s="1">
        <f ca="1">IFERROR(__xludf.DUMMYFUNCTION("""COMPUTED_VALUE"""),64.11)</f>
        <v>64.11</v>
      </c>
      <c r="F252" s="1">
        <f ca="1">IFERROR(__xludf.DUMMYFUNCTION("""COMPUTED_VALUE"""),8209391)</f>
        <v>8209391</v>
      </c>
    </row>
    <row r="253" spans="1:6" ht="15.75" customHeight="1">
      <c r="A253" s="10">
        <f ca="1">IFERROR(__xludf.DUMMYFUNCTION("""COMPUTED_VALUE"""),41915.6666666666)</f>
        <v>41915.666666666599</v>
      </c>
      <c r="B253" s="1">
        <f ca="1">IFERROR(__xludf.DUMMYFUNCTION("""COMPUTED_VALUE"""),63.36)</f>
        <v>63.36</v>
      </c>
      <c r="C253" s="1">
        <f ca="1">IFERROR(__xludf.DUMMYFUNCTION("""COMPUTED_VALUE"""),65.8)</f>
        <v>65.8</v>
      </c>
      <c r="D253" s="1">
        <f ca="1">IFERROR(__xludf.DUMMYFUNCTION("""COMPUTED_VALUE"""),62.47)</f>
        <v>62.47</v>
      </c>
      <c r="E253" s="1">
        <f ca="1">IFERROR(__xludf.DUMMYFUNCTION("""COMPUTED_VALUE"""),65.65)</f>
        <v>65.650000000000006</v>
      </c>
      <c r="F253" s="1">
        <f ca="1">IFERROR(__xludf.DUMMYFUNCTION("""COMPUTED_VALUE"""),10166175)</f>
        <v>10166175</v>
      </c>
    </row>
    <row r="254" spans="1:6" ht="15.75" customHeight="1">
      <c r="A254" s="10">
        <f ca="1">IFERROR(__xludf.DUMMYFUNCTION("""COMPUTED_VALUE"""),41922.6666666666)</f>
        <v>41922.666666666599</v>
      </c>
      <c r="B254" s="1">
        <f ca="1">IFERROR(__xludf.DUMMYFUNCTION("""COMPUTED_VALUE"""),65.96)</f>
        <v>65.959999999999994</v>
      </c>
      <c r="C254" s="1">
        <f ca="1">IFERROR(__xludf.DUMMYFUNCTION("""COMPUTED_VALUE"""),66.86)</f>
        <v>66.86</v>
      </c>
      <c r="D254" s="1">
        <f ca="1">IFERROR(__xludf.DUMMYFUNCTION("""COMPUTED_VALUE"""),64.48)</f>
        <v>64.48</v>
      </c>
      <c r="E254" s="1">
        <f ca="1">IFERROR(__xludf.DUMMYFUNCTION("""COMPUTED_VALUE"""),64.58)</f>
        <v>64.58</v>
      </c>
      <c r="F254" s="1">
        <f ca="1">IFERROR(__xludf.DUMMYFUNCTION("""COMPUTED_VALUE"""),10838807)</f>
        <v>10838807</v>
      </c>
    </row>
    <row r="255" spans="1:6" ht="15.75" customHeight="1">
      <c r="A255" s="10">
        <f ca="1">IFERROR(__xludf.DUMMYFUNCTION("""COMPUTED_VALUE"""),41929.6666666666)</f>
        <v>41929.666666666599</v>
      </c>
      <c r="B255" s="1">
        <f ca="1">IFERROR(__xludf.DUMMYFUNCTION("""COMPUTED_VALUE"""),64.46)</f>
        <v>64.459999999999994</v>
      </c>
      <c r="C255" s="1">
        <f ca="1">IFERROR(__xludf.DUMMYFUNCTION("""COMPUTED_VALUE"""),64.64)</f>
        <v>64.64</v>
      </c>
      <c r="D255" s="1">
        <f ca="1">IFERROR(__xludf.DUMMYFUNCTION("""COMPUTED_VALUE"""),47.29)</f>
        <v>47.29</v>
      </c>
      <c r="E255" s="1">
        <f ca="1">IFERROR(__xludf.DUMMYFUNCTION("""COMPUTED_VALUE"""),51.01)</f>
        <v>51.01</v>
      </c>
      <c r="F255" s="1">
        <f ca="1">IFERROR(__xludf.DUMMYFUNCTION("""COMPUTED_VALUE"""),38344151)</f>
        <v>38344151</v>
      </c>
    </row>
    <row r="256" spans="1:6" ht="15.75" customHeight="1">
      <c r="A256" s="10">
        <f ca="1">IFERROR(__xludf.DUMMYFUNCTION("""COMPUTED_VALUE"""),41936.6666666666)</f>
        <v>41936.666666666599</v>
      </c>
      <c r="B256" s="1">
        <f ca="1">IFERROR(__xludf.DUMMYFUNCTION("""COMPUTED_VALUE"""),50.86)</f>
        <v>50.86</v>
      </c>
      <c r="C256" s="1">
        <f ca="1">IFERROR(__xludf.DUMMYFUNCTION("""COMPUTED_VALUE"""),55.29)</f>
        <v>55.29</v>
      </c>
      <c r="D256" s="1">
        <f ca="1">IFERROR(__xludf.DUMMYFUNCTION("""COMPUTED_VALUE"""),50.78)</f>
        <v>50.78</v>
      </c>
      <c r="E256" s="1">
        <f ca="1">IFERROR(__xludf.DUMMYFUNCTION("""COMPUTED_VALUE"""),55)</f>
        <v>55</v>
      </c>
      <c r="F256" s="1">
        <f ca="1">IFERROR(__xludf.DUMMYFUNCTION("""COMPUTED_VALUE"""),17099472)</f>
        <v>17099472</v>
      </c>
    </row>
    <row r="257" spans="1:6" ht="15.75" customHeight="1">
      <c r="A257" s="10">
        <f ca="1">IFERROR(__xludf.DUMMYFUNCTION("""COMPUTED_VALUE"""),41943.6666666666)</f>
        <v>41943.666666666599</v>
      </c>
      <c r="B257" s="1">
        <f ca="1">IFERROR(__xludf.DUMMYFUNCTION("""COMPUTED_VALUE"""),54.84)</f>
        <v>54.84</v>
      </c>
      <c r="C257" s="1">
        <f ca="1">IFERROR(__xludf.DUMMYFUNCTION("""COMPUTED_VALUE"""),56.25)</f>
        <v>56.25</v>
      </c>
      <c r="D257" s="1">
        <f ca="1">IFERROR(__xludf.DUMMYFUNCTION("""COMPUTED_VALUE"""),53.51)</f>
        <v>53.51</v>
      </c>
      <c r="E257" s="1">
        <f ca="1">IFERROR(__xludf.DUMMYFUNCTION("""COMPUTED_VALUE"""),56.11)</f>
        <v>56.11</v>
      </c>
      <c r="F257" s="1">
        <f ca="1">IFERROR(__xludf.DUMMYFUNCTION("""COMPUTED_VALUE"""),10048955)</f>
        <v>10048955</v>
      </c>
    </row>
    <row r="258" spans="1:6" ht="15.75" customHeight="1">
      <c r="A258" s="10">
        <f ca="1">IFERROR(__xludf.DUMMYFUNCTION("""COMPUTED_VALUE"""),41950.6666666666)</f>
        <v>41950.666666666599</v>
      </c>
      <c r="B258" s="1">
        <f ca="1">IFERROR(__xludf.DUMMYFUNCTION("""COMPUTED_VALUE"""),56.18)</f>
        <v>56.18</v>
      </c>
      <c r="C258" s="1">
        <f ca="1">IFERROR(__xludf.DUMMYFUNCTION("""COMPUTED_VALUE"""),56.5)</f>
        <v>56.5</v>
      </c>
      <c r="D258" s="1">
        <f ca="1">IFERROR(__xludf.DUMMYFUNCTION("""COMPUTED_VALUE"""),53.77)</f>
        <v>53.77</v>
      </c>
      <c r="E258" s="1">
        <f ca="1">IFERROR(__xludf.DUMMYFUNCTION("""COMPUTED_VALUE"""),54.88)</f>
        <v>54.88</v>
      </c>
      <c r="F258" s="1">
        <f ca="1">IFERROR(__xludf.DUMMYFUNCTION("""COMPUTED_VALUE"""),8848555)</f>
        <v>8848555</v>
      </c>
    </row>
    <row r="259" spans="1:6" ht="15.75" customHeight="1">
      <c r="A259" s="10">
        <f ca="1">IFERROR(__xludf.DUMMYFUNCTION("""COMPUTED_VALUE"""),41957.6666666666)</f>
        <v>41957.666666666599</v>
      </c>
      <c r="B259" s="1">
        <f ca="1">IFERROR(__xludf.DUMMYFUNCTION("""COMPUTED_VALUE"""),54.76)</f>
        <v>54.76</v>
      </c>
      <c r="C259" s="1">
        <f ca="1">IFERROR(__xludf.DUMMYFUNCTION("""COMPUTED_VALUE"""),56.3)</f>
        <v>56.3</v>
      </c>
      <c r="D259" s="1">
        <f ca="1">IFERROR(__xludf.DUMMYFUNCTION("""COMPUTED_VALUE"""),53.86)</f>
        <v>53.86</v>
      </c>
      <c r="E259" s="1">
        <f ca="1">IFERROR(__xludf.DUMMYFUNCTION("""COMPUTED_VALUE"""),55.15)</f>
        <v>55.15</v>
      </c>
      <c r="F259" s="1">
        <f ca="1">IFERROR(__xludf.DUMMYFUNCTION("""COMPUTED_VALUE"""),8142615)</f>
        <v>8142615</v>
      </c>
    </row>
    <row r="260" spans="1:6" ht="15.75" customHeight="1">
      <c r="A260" s="10">
        <f ca="1">IFERROR(__xludf.DUMMYFUNCTION("""COMPUTED_VALUE"""),41964.6666666666)</f>
        <v>41964.666666666599</v>
      </c>
      <c r="B260" s="1">
        <f ca="1">IFERROR(__xludf.DUMMYFUNCTION("""COMPUTED_VALUE"""),55.05)</f>
        <v>55.05</v>
      </c>
      <c r="C260" s="1">
        <f ca="1">IFERROR(__xludf.DUMMYFUNCTION("""COMPUTED_VALUE"""),55.64)</f>
        <v>55.64</v>
      </c>
      <c r="D260" s="1">
        <f ca="1">IFERROR(__xludf.DUMMYFUNCTION("""COMPUTED_VALUE"""),51.36)</f>
        <v>51.36</v>
      </c>
      <c r="E260" s="1">
        <f ca="1">IFERROR(__xludf.DUMMYFUNCTION("""COMPUTED_VALUE"""),51.47)</f>
        <v>51.47</v>
      </c>
      <c r="F260" s="1">
        <f ca="1">IFERROR(__xludf.DUMMYFUNCTION("""COMPUTED_VALUE"""),10710208)</f>
        <v>10710208</v>
      </c>
    </row>
    <row r="261" spans="1:6" ht="15.75" customHeight="1">
      <c r="A261" s="10">
        <f ca="1">IFERROR(__xludf.DUMMYFUNCTION("""COMPUTED_VALUE"""),41971.6666666666)</f>
        <v>41971.666666666599</v>
      </c>
      <c r="B261" s="1">
        <f ca="1">IFERROR(__xludf.DUMMYFUNCTION("""COMPUTED_VALUE"""),51.51)</f>
        <v>51.51</v>
      </c>
      <c r="C261" s="1">
        <f ca="1">IFERROR(__xludf.DUMMYFUNCTION("""COMPUTED_VALUE"""),51.92)</f>
        <v>51.92</v>
      </c>
      <c r="D261" s="1">
        <f ca="1">IFERROR(__xludf.DUMMYFUNCTION("""COMPUTED_VALUE"""),49.14)</f>
        <v>49.14</v>
      </c>
      <c r="E261" s="1">
        <f ca="1">IFERROR(__xludf.DUMMYFUNCTION("""COMPUTED_VALUE"""),49.51)</f>
        <v>49.51</v>
      </c>
      <c r="F261" s="1">
        <f ca="1">IFERROR(__xludf.DUMMYFUNCTION("""COMPUTED_VALUE"""),8961761)</f>
        <v>8961761</v>
      </c>
    </row>
    <row r="262" spans="1:6" ht="15.75" customHeight="1">
      <c r="A262" s="10">
        <f ca="1">IFERROR(__xludf.DUMMYFUNCTION("""COMPUTED_VALUE"""),41978.6666666666)</f>
        <v>41978.666666666599</v>
      </c>
      <c r="B262" s="1">
        <f ca="1">IFERROR(__xludf.DUMMYFUNCTION("""COMPUTED_VALUE"""),49.34)</f>
        <v>49.34</v>
      </c>
      <c r="C262" s="1">
        <f ca="1">IFERROR(__xludf.DUMMYFUNCTION("""COMPUTED_VALUE"""),51.14)</f>
        <v>51.14</v>
      </c>
      <c r="D262" s="1">
        <f ca="1">IFERROR(__xludf.DUMMYFUNCTION("""COMPUTED_VALUE"""),48.23)</f>
        <v>48.23</v>
      </c>
      <c r="E262" s="1">
        <f ca="1">IFERROR(__xludf.DUMMYFUNCTION("""COMPUTED_VALUE"""),50.13)</f>
        <v>50.13</v>
      </c>
      <c r="F262" s="1">
        <f ca="1">IFERROR(__xludf.DUMMYFUNCTION("""COMPUTED_VALUE"""),8837551)</f>
        <v>8837551</v>
      </c>
    </row>
    <row r="263" spans="1:6" ht="15.75" customHeight="1">
      <c r="A263" s="10">
        <f ca="1">IFERROR(__xludf.DUMMYFUNCTION("""COMPUTED_VALUE"""),41985.6666666666)</f>
        <v>41985.666666666599</v>
      </c>
      <c r="B263" s="1">
        <f ca="1">IFERROR(__xludf.DUMMYFUNCTION("""COMPUTED_VALUE"""),49.98)</f>
        <v>49.98</v>
      </c>
      <c r="C263" s="1">
        <f ca="1">IFERROR(__xludf.DUMMYFUNCTION("""COMPUTED_VALUE"""),49.98)</f>
        <v>49.98</v>
      </c>
      <c r="D263" s="1">
        <f ca="1">IFERROR(__xludf.DUMMYFUNCTION("""COMPUTED_VALUE"""),46.98)</f>
        <v>46.98</v>
      </c>
      <c r="E263" s="1">
        <f ca="1">IFERROR(__xludf.DUMMYFUNCTION("""COMPUTED_VALUE"""),47.78)</f>
        <v>47.78</v>
      </c>
      <c r="F263" s="1">
        <f ca="1">IFERROR(__xludf.DUMMYFUNCTION("""COMPUTED_VALUE"""),9949133)</f>
        <v>9949133</v>
      </c>
    </row>
    <row r="264" spans="1:6" ht="15.75" customHeight="1">
      <c r="A264" s="10">
        <f ca="1">IFERROR(__xludf.DUMMYFUNCTION("""COMPUTED_VALUE"""),41992.6666666666)</f>
        <v>41992.666666666599</v>
      </c>
      <c r="B264" s="1">
        <f ca="1">IFERROR(__xludf.DUMMYFUNCTION("""COMPUTED_VALUE"""),48.04)</f>
        <v>48.04</v>
      </c>
      <c r="C264" s="1">
        <f ca="1">IFERROR(__xludf.DUMMYFUNCTION("""COMPUTED_VALUE"""),48.93)</f>
        <v>48.93</v>
      </c>
      <c r="D264" s="1">
        <f ca="1">IFERROR(__xludf.DUMMYFUNCTION("""COMPUTED_VALUE"""),45.08)</f>
        <v>45.08</v>
      </c>
      <c r="E264" s="1">
        <f ca="1">IFERROR(__xludf.DUMMYFUNCTION("""COMPUTED_VALUE"""),48.59)</f>
        <v>48.59</v>
      </c>
      <c r="F264" s="1">
        <f ca="1">IFERROR(__xludf.DUMMYFUNCTION("""COMPUTED_VALUE"""),11412456)</f>
        <v>11412456</v>
      </c>
    </row>
    <row r="265" spans="1:6" ht="15.75" customHeight="1">
      <c r="A265" s="10">
        <f ca="1">IFERROR(__xludf.DUMMYFUNCTION("""COMPUTED_VALUE"""),41999.6666666666)</f>
        <v>41999.666666666599</v>
      </c>
      <c r="B265" s="1">
        <f ca="1">IFERROR(__xludf.DUMMYFUNCTION("""COMPUTED_VALUE"""),48.54)</f>
        <v>48.54</v>
      </c>
      <c r="C265" s="1">
        <f ca="1">IFERROR(__xludf.DUMMYFUNCTION("""COMPUTED_VALUE"""),49.48)</f>
        <v>49.48</v>
      </c>
      <c r="D265" s="1">
        <f ca="1">IFERROR(__xludf.DUMMYFUNCTION("""COMPUTED_VALUE"""),47.47)</f>
        <v>47.47</v>
      </c>
      <c r="E265" s="1">
        <f ca="1">IFERROR(__xludf.DUMMYFUNCTION("""COMPUTED_VALUE"""),48.58)</f>
        <v>48.58</v>
      </c>
      <c r="F265" s="1">
        <f ca="1">IFERROR(__xludf.DUMMYFUNCTION("""COMPUTED_VALUE"""),4367924)</f>
        <v>4367924</v>
      </c>
    </row>
    <row r="266" spans="1:6" ht="15.75" customHeight="1">
      <c r="A266" s="10">
        <f ca="1">IFERROR(__xludf.DUMMYFUNCTION("""COMPUTED_VALUE"""),42006.6666666666)</f>
        <v>42006.666666666599</v>
      </c>
      <c r="B266" s="1">
        <f ca="1">IFERROR(__xludf.DUMMYFUNCTION("""COMPUTED_VALUE"""),47.99)</f>
        <v>47.99</v>
      </c>
      <c r="C266" s="1">
        <f ca="1">IFERROR(__xludf.DUMMYFUNCTION("""COMPUTED_VALUE"""),50.33)</f>
        <v>50.33</v>
      </c>
      <c r="D266" s="1">
        <f ca="1">IFERROR(__xludf.DUMMYFUNCTION("""COMPUTED_VALUE"""),47.65)</f>
        <v>47.65</v>
      </c>
      <c r="E266" s="1">
        <f ca="1">IFERROR(__xludf.DUMMYFUNCTION("""COMPUTED_VALUE"""),49.85)</f>
        <v>49.85</v>
      </c>
      <c r="F266" s="1">
        <f ca="1">IFERROR(__xludf.DUMMYFUNCTION("""COMPUTED_VALUE"""),5388915)</f>
        <v>5388915</v>
      </c>
    </row>
    <row r="267" spans="1:6" ht="15.75" customHeight="1">
      <c r="A267" s="10">
        <f ca="1">IFERROR(__xludf.DUMMYFUNCTION("""COMPUTED_VALUE"""),42013.6666666666)</f>
        <v>42013.666666666599</v>
      </c>
      <c r="B267" s="1">
        <f ca="1">IFERROR(__xludf.DUMMYFUNCTION("""COMPUTED_VALUE"""),49.16)</f>
        <v>49.16</v>
      </c>
      <c r="C267" s="1">
        <f ca="1">IFERROR(__xludf.DUMMYFUNCTION("""COMPUTED_VALUE"""),49.26)</f>
        <v>49.26</v>
      </c>
      <c r="D267" s="1">
        <f ca="1">IFERROR(__xludf.DUMMYFUNCTION("""COMPUTED_VALUE"""),45.66)</f>
        <v>45.66</v>
      </c>
      <c r="E267" s="1">
        <f ca="1">IFERROR(__xludf.DUMMYFUNCTION("""COMPUTED_VALUE"""),47.04)</f>
        <v>47.04</v>
      </c>
      <c r="F267" s="1">
        <f ca="1">IFERROR(__xludf.DUMMYFUNCTION("""COMPUTED_VALUE"""),9036452)</f>
        <v>9036452</v>
      </c>
    </row>
    <row r="268" spans="1:6" ht="15.75" customHeight="1">
      <c r="A268" s="10">
        <f ca="1">IFERROR(__xludf.DUMMYFUNCTION("""COMPUTED_VALUE"""),42020.6666666666)</f>
        <v>42020.666666666599</v>
      </c>
      <c r="B268" s="1">
        <f ca="1">IFERROR(__xludf.DUMMYFUNCTION("""COMPUTED_VALUE"""),47.1)</f>
        <v>47.1</v>
      </c>
      <c r="C268" s="1">
        <f ca="1">IFERROR(__xludf.DUMMYFUNCTION("""COMPUTED_VALUE"""),48.25)</f>
        <v>48.25</v>
      </c>
      <c r="D268" s="1">
        <f ca="1">IFERROR(__xludf.DUMMYFUNCTION("""COMPUTED_VALUE"""),45.26)</f>
        <v>45.26</v>
      </c>
      <c r="E268" s="1">
        <f ca="1">IFERROR(__xludf.DUMMYFUNCTION("""COMPUTED_VALUE"""),48.19)</f>
        <v>48.19</v>
      </c>
      <c r="F268" s="1">
        <f ca="1">IFERROR(__xludf.DUMMYFUNCTION("""COMPUTED_VALUE"""),11847661)</f>
        <v>11847661</v>
      </c>
    </row>
    <row r="269" spans="1:6" ht="15.75" customHeight="1">
      <c r="A269" s="10">
        <f ca="1">IFERROR(__xludf.DUMMYFUNCTION("""COMPUTED_VALUE"""),42027.6666666666)</f>
        <v>42027.666666666599</v>
      </c>
      <c r="B269" s="1">
        <f ca="1">IFERROR(__xludf.DUMMYFUNCTION("""COMPUTED_VALUE"""),48.61)</f>
        <v>48.61</v>
      </c>
      <c r="C269" s="1">
        <f ca="1">IFERROR(__xludf.DUMMYFUNCTION("""COMPUTED_VALUE"""),62.74)</f>
        <v>62.74</v>
      </c>
      <c r="D269" s="1">
        <f ca="1">IFERROR(__xludf.DUMMYFUNCTION("""COMPUTED_VALUE"""),47.71)</f>
        <v>47.71</v>
      </c>
      <c r="E269" s="1">
        <f ca="1">IFERROR(__xludf.DUMMYFUNCTION("""COMPUTED_VALUE"""),62.49)</f>
        <v>62.49</v>
      </c>
      <c r="F269" s="1">
        <f ca="1">IFERROR(__xludf.DUMMYFUNCTION("""COMPUTED_VALUE"""),23936829)</f>
        <v>23936829</v>
      </c>
    </row>
    <row r="270" spans="1:6" ht="15.75" customHeight="1">
      <c r="A270" s="10">
        <f ca="1">IFERROR(__xludf.DUMMYFUNCTION("""COMPUTED_VALUE"""),42034.6666666666)</f>
        <v>42034.666666666599</v>
      </c>
      <c r="B270" s="1">
        <f ca="1">IFERROR(__xludf.DUMMYFUNCTION("""COMPUTED_VALUE"""),62.57)</f>
        <v>62.57</v>
      </c>
      <c r="C270" s="1">
        <f ca="1">IFERROR(__xludf.DUMMYFUNCTION("""COMPUTED_VALUE"""),65.34)</f>
        <v>65.34</v>
      </c>
      <c r="D270" s="1">
        <f ca="1">IFERROR(__xludf.DUMMYFUNCTION("""COMPUTED_VALUE"""),61.96)</f>
        <v>61.96</v>
      </c>
      <c r="E270" s="1">
        <f ca="1">IFERROR(__xludf.DUMMYFUNCTION("""COMPUTED_VALUE"""),63.11)</f>
        <v>63.11</v>
      </c>
      <c r="F270" s="1">
        <f ca="1">IFERROR(__xludf.DUMMYFUNCTION("""COMPUTED_VALUE"""),14108285)</f>
        <v>14108285</v>
      </c>
    </row>
    <row r="271" spans="1:6" ht="15.75" customHeight="1">
      <c r="A271" s="10">
        <f ca="1">IFERROR(__xludf.DUMMYFUNCTION("""COMPUTED_VALUE"""),42041.6666666666)</f>
        <v>42041.666666666599</v>
      </c>
      <c r="B271" s="1">
        <f ca="1">IFERROR(__xludf.DUMMYFUNCTION("""COMPUTED_VALUE"""),62.84)</f>
        <v>62.84</v>
      </c>
      <c r="C271" s="1">
        <f ca="1">IFERROR(__xludf.DUMMYFUNCTION("""COMPUTED_VALUE"""),65.47)</f>
        <v>65.47</v>
      </c>
      <c r="D271" s="1">
        <f ca="1">IFERROR(__xludf.DUMMYFUNCTION("""COMPUTED_VALUE"""),61.96)</f>
        <v>61.96</v>
      </c>
      <c r="E271" s="1">
        <f ca="1">IFERROR(__xludf.DUMMYFUNCTION("""COMPUTED_VALUE"""),63.48)</f>
        <v>63.48</v>
      </c>
      <c r="F271" s="1">
        <f ca="1">IFERROR(__xludf.DUMMYFUNCTION("""COMPUTED_VALUE"""),9289804)</f>
        <v>9289804</v>
      </c>
    </row>
    <row r="272" spans="1:6" ht="15.75" customHeight="1">
      <c r="A272" s="10">
        <f ca="1">IFERROR(__xludf.DUMMYFUNCTION("""COMPUTED_VALUE"""),42048.6666666666)</f>
        <v>42048.666666666599</v>
      </c>
      <c r="B272" s="1">
        <f ca="1">IFERROR(__xludf.DUMMYFUNCTION("""COMPUTED_VALUE"""),63.18)</f>
        <v>63.18</v>
      </c>
      <c r="C272" s="1">
        <f ca="1">IFERROR(__xludf.DUMMYFUNCTION("""COMPUTED_VALUE"""),66.63)</f>
        <v>66.63</v>
      </c>
      <c r="D272" s="1">
        <f ca="1">IFERROR(__xludf.DUMMYFUNCTION("""COMPUTED_VALUE"""),62.64)</f>
        <v>62.64</v>
      </c>
      <c r="E272" s="1">
        <f ca="1">IFERROR(__xludf.DUMMYFUNCTION("""COMPUTED_VALUE"""),66.59)</f>
        <v>66.59</v>
      </c>
      <c r="F272" s="1">
        <f ca="1">IFERROR(__xludf.DUMMYFUNCTION("""COMPUTED_VALUE"""),8427456)</f>
        <v>8427456</v>
      </c>
    </row>
    <row r="273" spans="1:6" ht="15.75" customHeight="1">
      <c r="A273" s="10">
        <f ca="1">IFERROR(__xludf.DUMMYFUNCTION("""COMPUTED_VALUE"""),42055.6666666666)</f>
        <v>42055.666666666599</v>
      </c>
      <c r="B273" s="1">
        <f ca="1">IFERROR(__xludf.DUMMYFUNCTION("""COMPUTED_VALUE"""),66.39)</f>
        <v>66.39</v>
      </c>
      <c r="C273" s="1">
        <f ca="1">IFERROR(__xludf.DUMMYFUNCTION("""COMPUTED_VALUE"""),68.71)</f>
        <v>68.709999999999994</v>
      </c>
      <c r="D273" s="1">
        <f ca="1">IFERROR(__xludf.DUMMYFUNCTION("""COMPUTED_VALUE"""),65.94)</f>
        <v>65.94</v>
      </c>
      <c r="E273" s="1">
        <f ca="1">IFERROR(__xludf.DUMMYFUNCTION("""COMPUTED_VALUE"""),68.31)</f>
        <v>68.31</v>
      </c>
      <c r="F273" s="1">
        <f ca="1">IFERROR(__xludf.DUMMYFUNCTION("""COMPUTED_VALUE"""),5906805)</f>
        <v>5906805</v>
      </c>
    </row>
    <row r="274" spans="1:6" ht="15.75" customHeight="1">
      <c r="A274" s="10">
        <f ca="1">IFERROR(__xludf.DUMMYFUNCTION("""COMPUTED_VALUE"""),42062.6666666666)</f>
        <v>42062.666666666599</v>
      </c>
      <c r="B274" s="1">
        <f ca="1">IFERROR(__xludf.DUMMYFUNCTION("""COMPUTED_VALUE"""),68.3)</f>
        <v>68.3</v>
      </c>
      <c r="C274" s="1">
        <f ca="1">IFERROR(__xludf.DUMMYFUNCTION("""COMPUTED_VALUE"""),69.5)</f>
        <v>69.5</v>
      </c>
      <c r="D274" s="1">
        <f ca="1">IFERROR(__xludf.DUMMYFUNCTION("""COMPUTED_VALUE"""),67.14)</f>
        <v>67.14</v>
      </c>
      <c r="E274" s="1">
        <f ca="1">IFERROR(__xludf.DUMMYFUNCTION("""COMPUTED_VALUE"""),67.84)</f>
        <v>67.84</v>
      </c>
      <c r="F274" s="1">
        <f ca="1">IFERROR(__xludf.DUMMYFUNCTION("""COMPUTED_VALUE"""),6333764)</f>
        <v>6333764</v>
      </c>
    </row>
    <row r="275" spans="1:6" ht="15.75" customHeight="1">
      <c r="A275" s="10">
        <f ca="1">IFERROR(__xludf.DUMMYFUNCTION("""COMPUTED_VALUE"""),42069.6666666666)</f>
        <v>42069.666666666599</v>
      </c>
      <c r="B275" s="1">
        <f ca="1">IFERROR(__xludf.DUMMYFUNCTION("""COMPUTED_VALUE"""),67.75)</f>
        <v>67.75</v>
      </c>
      <c r="C275" s="1">
        <f ca="1">IFERROR(__xludf.DUMMYFUNCTION("""COMPUTED_VALUE"""),68.61)</f>
        <v>68.61</v>
      </c>
      <c r="D275" s="1">
        <f ca="1">IFERROR(__xludf.DUMMYFUNCTION("""COMPUTED_VALUE"""),64.84)</f>
        <v>64.84</v>
      </c>
      <c r="E275" s="1">
        <f ca="1">IFERROR(__xludf.DUMMYFUNCTION("""COMPUTED_VALUE"""),64.87)</f>
        <v>64.87</v>
      </c>
      <c r="F275" s="1">
        <f ca="1">IFERROR(__xludf.DUMMYFUNCTION("""COMPUTED_VALUE"""),8457834)</f>
        <v>8457834</v>
      </c>
    </row>
    <row r="276" spans="1:6" ht="15.75" customHeight="1">
      <c r="A276" s="10">
        <f ca="1">IFERROR(__xludf.DUMMYFUNCTION("""COMPUTED_VALUE"""),42076.6666666666)</f>
        <v>42076.666666666599</v>
      </c>
      <c r="B276" s="1">
        <f ca="1">IFERROR(__xludf.DUMMYFUNCTION("""COMPUTED_VALUE"""),64.89)</f>
        <v>64.89</v>
      </c>
      <c r="C276" s="1">
        <f ca="1">IFERROR(__xludf.DUMMYFUNCTION("""COMPUTED_VALUE"""),65.09)</f>
        <v>65.09</v>
      </c>
      <c r="D276" s="1">
        <f ca="1">IFERROR(__xludf.DUMMYFUNCTION("""COMPUTED_VALUE"""),61.98)</f>
        <v>61.98</v>
      </c>
      <c r="E276" s="1">
        <f ca="1">IFERROR(__xludf.DUMMYFUNCTION("""COMPUTED_VALUE"""),62.63)</f>
        <v>62.63</v>
      </c>
      <c r="F276" s="1">
        <f ca="1">IFERROR(__xludf.DUMMYFUNCTION("""COMPUTED_VALUE"""),11156718)</f>
        <v>11156718</v>
      </c>
    </row>
    <row r="277" spans="1:6" ht="15.75" customHeight="1">
      <c r="A277" s="10">
        <f ca="1">IFERROR(__xludf.DUMMYFUNCTION("""COMPUTED_VALUE"""),42083.6666666666)</f>
        <v>42083.666666666599</v>
      </c>
      <c r="B277" s="1">
        <f ca="1">IFERROR(__xludf.DUMMYFUNCTION("""COMPUTED_VALUE"""),61.49)</f>
        <v>61.49</v>
      </c>
      <c r="C277" s="1">
        <f ca="1">IFERROR(__xludf.DUMMYFUNCTION("""COMPUTED_VALUE"""),61.79)</f>
        <v>61.79</v>
      </c>
      <c r="D277" s="1">
        <f ca="1">IFERROR(__xludf.DUMMYFUNCTION("""COMPUTED_VALUE"""),59.3)</f>
        <v>59.3</v>
      </c>
      <c r="E277" s="1">
        <f ca="1">IFERROR(__xludf.DUMMYFUNCTION("""COMPUTED_VALUE"""),61.19)</f>
        <v>61.19</v>
      </c>
      <c r="F277" s="1">
        <f ca="1">IFERROR(__xludf.DUMMYFUNCTION("""COMPUTED_VALUE"""),12135835)</f>
        <v>12135835</v>
      </c>
    </row>
    <row r="278" spans="1:6" ht="15.75" customHeight="1">
      <c r="A278" s="10">
        <f ca="1">IFERROR(__xludf.DUMMYFUNCTION("""COMPUTED_VALUE"""),42090.6666666666)</f>
        <v>42090.666666666599</v>
      </c>
      <c r="B278" s="1">
        <f ca="1">IFERROR(__xludf.DUMMYFUNCTION("""COMPUTED_VALUE"""),60.91)</f>
        <v>60.91</v>
      </c>
      <c r="C278" s="1">
        <f ca="1">IFERROR(__xludf.DUMMYFUNCTION("""COMPUTED_VALUE"""),63.1)</f>
        <v>63.1</v>
      </c>
      <c r="D278" s="1">
        <f ca="1">IFERROR(__xludf.DUMMYFUNCTION("""COMPUTED_VALUE"""),58.57)</f>
        <v>58.57</v>
      </c>
      <c r="E278" s="1">
        <f ca="1">IFERROR(__xludf.DUMMYFUNCTION("""COMPUTED_VALUE"""),59.25)</f>
        <v>59.25</v>
      </c>
      <c r="F278" s="1">
        <f ca="1">IFERROR(__xludf.DUMMYFUNCTION("""COMPUTED_VALUE"""),11156565)</f>
        <v>11156565</v>
      </c>
    </row>
    <row r="279" spans="1:6" ht="15.75" customHeight="1">
      <c r="A279" s="10">
        <f ca="1">IFERROR(__xludf.DUMMYFUNCTION("""COMPUTED_VALUE"""),42096.6666666666)</f>
        <v>42096.666666666599</v>
      </c>
      <c r="B279" s="1">
        <f ca="1">IFERROR(__xludf.DUMMYFUNCTION("""COMPUTED_VALUE"""),59.72)</f>
        <v>59.72</v>
      </c>
      <c r="C279" s="1">
        <f ca="1">IFERROR(__xludf.DUMMYFUNCTION("""COMPUTED_VALUE"""),60.56)</f>
        <v>60.56</v>
      </c>
      <c r="D279" s="1">
        <f ca="1">IFERROR(__xludf.DUMMYFUNCTION("""COMPUTED_VALUE"""),58.7)</f>
        <v>58.7</v>
      </c>
      <c r="E279" s="1">
        <f ca="1">IFERROR(__xludf.DUMMYFUNCTION("""COMPUTED_VALUE"""),59.15)</f>
        <v>59.15</v>
      </c>
      <c r="F279" s="1">
        <f ca="1">IFERROR(__xludf.DUMMYFUNCTION("""COMPUTED_VALUE"""),7432134)</f>
        <v>7432134</v>
      </c>
    </row>
    <row r="280" spans="1:6" ht="15.75" customHeight="1">
      <c r="A280" s="10">
        <f ca="1">IFERROR(__xludf.DUMMYFUNCTION("""COMPUTED_VALUE"""),42104.6666666666)</f>
        <v>42104.666666666599</v>
      </c>
      <c r="B280" s="1">
        <f ca="1">IFERROR(__xludf.DUMMYFUNCTION("""COMPUTED_VALUE"""),58.72)</f>
        <v>58.72</v>
      </c>
      <c r="C280" s="1">
        <f ca="1">IFERROR(__xludf.DUMMYFUNCTION("""COMPUTED_VALUE"""),65)</f>
        <v>65</v>
      </c>
      <c r="D280" s="1">
        <f ca="1">IFERROR(__xludf.DUMMYFUNCTION("""COMPUTED_VALUE"""),58.46)</f>
        <v>58.46</v>
      </c>
      <c r="E280" s="1">
        <f ca="1">IFERROR(__xludf.DUMMYFUNCTION("""COMPUTED_VALUE"""),64.94)</f>
        <v>64.94</v>
      </c>
      <c r="F280" s="1">
        <f ca="1">IFERROR(__xludf.DUMMYFUNCTION("""COMPUTED_VALUE"""),11265482)</f>
        <v>11265482</v>
      </c>
    </row>
    <row r="281" spans="1:6" ht="15.75" customHeight="1">
      <c r="A281" s="10">
        <f ca="1">IFERROR(__xludf.DUMMYFUNCTION("""COMPUTED_VALUE"""),42111.6666666666)</f>
        <v>42111.666666666599</v>
      </c>
      <c r="B281" s="1">
        <f ca="1">IFERROR(__xludf.DUMMYFUNCTION("""COMPUTED_VALUE"""),67.24)</f>
        <v>67.239999999999995</v>
      </c>
      <c r="C281" s="1">
        <f ca="1">IFERROR(__xludf.DUMMYFUNCTION("""COMPUTED_VALUE"""),82.14)</f>
        <v>82.14</v>
      </c>
      <c r="D281" s="1">
        <f ca="1">IFERROR(__xludf.DUMMYFUNCTION("""COMPUTED_VALUE"""),67.06)</f>
        <v>67.06</v>
      </c>
      <c r="E281" s="1">
        <f ca="1">IFERROR(__xludf.DUMMYFUNCTION("""COMPUTED_VALUE"""),81.65)</f>
        <v>81.650000000000006</v>
      </c>
      <c r="F281" s="1">
        <f ca="1">IFERROR(__xludf.DUMMYFUNCTION("""COMPUTED_VALUE"""),39773545)</f>
        <v>39773545</v>
      </c>
    </row>
    <row r="282" spans="1:6" ht="15.75" customHeight="1">
      <c r="A282" s="10">
        <f ca="1">IFERROR(__xludf.DUMMYFUNCTION("""COMPUTED_VALUE"""),42118.6666666666)</f>
        <v>42118.666666666599</v>
      </c>
      <c r="B282" s="1">
        <f ca="1">IFERROR(__xludf.DUMMYFUNCTION("""COMPUTED_VALUE"""),81.79)</f>
        <v>81.790000000000006</v>
      </c>
      <c r="C282" s="1">
        <f ca="1">IFERROR(__xludf.DUMMYFUNCTION("""COMPUTED_VALUE"""),82.3)</f>
        <v>82.3</v>
      </c>
      <c r="D282" s="1">
        <f ca="1">IFERROR(__xludf.DUMMYFUNCTION("""COMPUTED_VALUE"""),78.96)</f>
        <v>78.959999999999994</v>
      </c>
      <c r="E282" s="1">
        <f ca="1">IFERROR(__xludf.DUMMYFUNCTION("""COMPUTED_VALUE"""),79.77)</f>
        <v>79.77</v>
      </c>
      <c r="F282" s="1">
        <f ca="1">IFERROR(__xludf.DUMMYFUNCTION("""COMPUTED_VALUE"""),11787715)</f>
        <v>11787715</v>
      </c>
    </row>
    <row r="283" spans="1:6" ht="15.75" customHeight="1">
      <c r="A283" s="10">
        <f ca="1">IFERROR(__xludf.DUMMYFUNCTION("""COMPUTED_VALUE"""),42125.6666666666)</f>
        <v>42125.666666666599</v>
      </c>
      <c r="B283" s="1">
        <f ca="1">IFERROR(__xludf.DUMMYFUNCTION("""COMPUTED_VALUE"""),80.41)</f>
        <v>80.41</v>
      </c>
      <c r="C283" s="1">
        <f ca="1">IFERROR(__xludf.DUMMYFUNCTION("""COMPUTED_VALUE"""),81.79)</f>
        <v>81.790000000000006</v>
      </c>
      <c r="D283" s="1">
        <f ca="1">IFERROR(__xludf.DUMMYFUNCTION("""COMPUTED_VALUE"""),78.89)</f>
        <v>78.89</v>
      </c>
      <c r="E283" s="1">
        <f ca="1">IFERROR(__xludf.DUMMYFUNCTION("""COMPUTED_VALUE"""),79.58)</f>
        <v>79.58</v>
      </c>
      <c r="F283" s="1">
        <f ca="1">IFERROR(__xludf.DUMMYFUNCTION("""COMPUTED_VALUE"""),7583612)</f>
        <v>7583612</v>
      </c>
    </row>
    <row r="284" spans="1:6" ht="15.75" customHeight="1">
      <c r="A284" s="10">
        <f ca="1">IFERROR(__xludf.DUMMYFUNCTION("""COMPUTED_VALUE"""),42132.6666666666)</f>
        <v>42132.666666666599</v>
      </c>
      <c r="B284" s="1">
        <f ca="1">IFERROR(__xludf.DUMMYFUNCTION("""COMPUTED_VALUE"""),79.55)</f>
        <v>79.55</v>
      </c>
      <c r="C284" s="1">
        <f ca="1">IFERROR(__xludf.DUMMYFUNCTION("""COMPUTED_VALUE"""),82.44)</f>
        <v>82.44</v>
      </c>
      <c r="D284" s="1">
        <f ca="1">IFERROR(__xludf.DUMMYFUNCTION("""COMPUTED_VALUE"""),78.9)</f>
        <v>78.900000000000006</v>
      </c>
      <c r="E284" s="1">
        <f ca="1">IFERROR(__xludf.DUMMYFUNCTION("""COMPUTED_VALUE"""),82.09)</f>
        <v>82.09</v>
      </c>
      <c r="F284" s="1">
        <f ca="1">IFERROR(__xludf.DUMMYFUNCTION("""COMPUTED_VALUE"""),10090960)</f>
        <v>10090960</v>
      </c>
    </row>
    <row r="285" spans="1:6" ht="15.75" customHeight="1">
      <c r="A285" s="10">
        <f ca="1">IFERROR(__xludf.DUMMYFUNCTION("""COMPUTED_VALUE"""),42139.6666666666)</f>
        <v>42139.666666666599</v>
      </c>
      <c r="B285" s="1">
        <f ca="1">IFERROR(__xludf.DUMMYFUNCTION("""COMPUTED_VALUE"""),82.33)</f>
        <v>82.33</v>
      </c>
      <c r="C285" s="1">
        <f ca="1">IFERROR(__xludf.DUMMYFUNCTION("""COMPUTED_VALUE"""),88.35)</f>
        <v>88.35</v>
      </c>
      <c r="D285" s="1">
        <f ca="1">IFERROR(__xludf.DUMMYFUNCTION("""COMPUTED_VALUE"""),82.19)</f>
        <v>82.19</v>
      </c>
      <c r="E285" s="1">
        <f ca="1">IFERROR(__xludf.DUMMYFUNCTION("""COMPUTED_VALUE"""),87.61)</f>
        <v>87.61</v>
      </c>
      <c r="F285" s="1">
        <f ca="1">IFERROR(__xludf.DUMMYFUNCTION("""COMPUTED_VALUE"""),13270964)</f>
        <v>13270964</v>
      </c>
    </row>
    <row r="286" spans="1:6" ht="15.75" customHeight="1">
      <c r="A286" s="10">
        <f ca="1">IFERROR(__xludf.DUMMYFUNCTION("""COMPUTED_VALUE"""),42146.6666666666)</f>
        <v>42146.666666666599</v>
      </c>
      <c r="B286" s="1">
        <f ca="1">IFERROR(__xludf.DUMMYFUNCTION("""COMPUTED_VALUE"""),87.54)</f>
        <v>87.54</v>
      </c>
      <c r="C286" s="1">
        <f ca="1">IFERROR(__xludf.DUMMYFUNCTION("""COMPUTED_VALUE"""),89.79)</f>
        <v>89.79</v>
      </c>
      <c r="D286" s="1">
        <f ca="1">IFERROR(__xludf.DUMMYFUNCTION("""COMPUTED_VALUE"""),87.02)</f>
        <v>87.02</v>
      </c>
      <c r="E286" s="1">
        <f ca="1">IFERROR(__xludf.DUMMYFUNCTION("""COMPUTED_VALUE"""),88.84)</f>
        <v>88.84</v>
      </c>
      <c r="F286" s="1">
        <f ca="1">IFERROR(__xludf.DUMMYFUNCTION("""COMPUTED_VALUE"""),9557634)</f>
        <v>9557634</v>
      </c>
    </row>
    <row r="287" spans="1:6" ht="15.75" customHeight="1">
      <c r="A287" s="10">
        <f ca="1">IFERROR(__xludf.DUMMYFUNCTION("""COMPUTED_VALUE"""),42153.6666666666)</f>
        <v>42153.666666666599</v>
      </c>
      <c r="B287" s="1">
        <f ca="1">IFERROR(__xludf.DUMMYFUNCTION("""COMPUTED_VALUE"""),88.87)</f>
        <v>88.87</v>
      </c>
      <c r="C287" s="1">
        <f ca="1">IFERROR(__xludf.DUMMYFUNCTION("""COMPUTED_VALUE"""),90.21)</f>
        <v>90.21</v>
      </c>
      <c r="D287" s="1">
        <f ca="1">IFERROR(__xludf.DUMMYFUNCTION("""COMPUTED_VALUE"""),87.79)</f>
        <v>87.79</v>
      </c>
      <c r="E287" s="1">
        <f ca="1">IFERROR(__xludf.DUMMYFUNCTION("""COMPUTED_VALUE"""),89.15)</f>
        <v>89.15</v>
      </c>
      <c r="F287" s="1">
        <f ca="1">IFERROR(__xludf.DUMMYFUNCTION("""COMPUTED_VALUE"""),5812241)</f>
        <v>5812241</v>
      </c>
    </row>
    <row r="288" spans="1:6" ht="15.75" customHeight="1">
      <c r="A288" s="10">
        <f ca="1">IFERROR(__xludf.DUMMYFUNCTION("""COMPUTED_VALUE"""),42160.6666666666)</f>
        <v>42160.666666666599</v>
      </c>
      <c r="B288" s="1">
        <f ca="1">IFERROR(__xludf.DUMMYFUNCTION("""COMPUTED_VALUE"""),88.92)</f>
        <v>88.92</v>
      </c>
      <c r="C288" s="1">
        <f ca="1">IFERROR(__xludf.DUMMYFUNCTION("""COMPUTED_VALUE"""),90.54)</f>
        <v>90.54</v>
      </c>
      <c r="D288" s="1">
        <f ca="1">IFERROR(__xludf.DUMMYFUNCTION("""COMPUTED_VALUE"""),87.94)</f>
        <v>87.94</v>
      </c>
      <c r="E288" s="1">
        <f ca="1">IFERROR(__xludf.DUMMYFUNCTION("""COMPUTED_VALUE"""),90.46)</f>
        <v>90.46</v>
      </c>
      <c r="F288" s="1">
        <f ca="1">IFERROR(__xludf.DUMMYFUNCTION("""COMPUTED_VALUE"""),6484497)</f>
        <v>6484497</v>
      </c>
    </row>
    <row r="289" spans="1:6" ht="15.75" customHeight="1">
      <c r="A289" s="10">
        <f ca="1">IFERROR(__xludf.DUMMYFUNCTION("""COMPUTED_VALUE"""),42167.6666666666)</f>
        <v>42167.666666666599</v>
      </c>
      <c r="B289" s="1">
        <f ca="1">IFERROR(__xludf.DUMMYFUNCTION("""COMPUTED_VALUE"""),90.72)</f>
        <v>90.72</v>
      </c>
      <c r="C289" s="1">
        <f ca="1">IFERROR(__xludf.DUMMYFUNCTION("""COMPUTED_VALUE"""),98.97)</f>
        <v>98.97</v>
      </c>
      <c r="D289" s="1">
        <f ca="1">IFERROR(__xludf.DUMMYFUNCTION("""COMPUTED_VALUE"""),89)</f>
        <v>89</v>
      </c>
      <c r="E289" s="1">
        <f ca="1">IFERROR(__xludf.DUMMYFUNCTION("""COMPUTED_VALUE"""),94.42)</f>
        <v>94.42</v>
      </c>
      <c r="F289" s="1">
        <f ca="1">IFERROR(__xludf.DUMMYFUNCTION("""COMPUTED_VALUE"""),18171083)</f>
        <v>18171083</v>
      </c>
    </row>
    <row r="290" spans="1:6" ht="15.75" customHeight="1">
      <c r="A290" s="10">
        <f ca="1">IFERROR(__xludf.DUMMYFUNCTION("""COMPUTED_VALUE"""),42174.6666666666)</f>
        <v>42174.666666666599</v>
      </c>
      <c r="B290" s="1">
        <f ca="1">IFERROR(__xludf.DUMMYFUNCTION("""COMPUTED_VALUE"""),92.87)</f>
        <v>92.87</v>
      </c>
      <c r="C290" s="1">
        <f ca="1">IFERROR(__xludf.DUMMYFUNCTION("""COMPUTED_VALUE"""),96.42)</f>
        <v>96.42</v>
      </c>
      <c r="D290" s="1">
        <f ca="1">IFERROR(__xludf.DUMMYFUNCTION("""COMPUTED_VALUE"""),91.66)</f>
        <v>91.66</v>
      </c>
      <c r="E290" s="1">
        <f ca="1">IFERROR(__xludf.DUMMYFUNCTION("""COMPUTED_VALUE"""),93.87)</f>
        <v>93.87</v>
      </c>
      <c r="F290" s="1">
        <f ca="1">IFERROR(__xludf.DUMMYFUNCTION("""COMPUTED_VALUE"""),10540002)</f>
        <v>10540002</v>
      </c>
    </row>
    <row r="291" spans="1:6" ht="15.75" customHeight="1">
      <c r="A291" s="10">
        <f ca="1">IFERROR(__xludf.DUMMYFUNCTION("""COMPUTED_VALUE"""),42181.6666666666)</f>
        <v>42181.666666666599</v>
      </c>
      <c r="B291" s="1">
        <f ca="1">IFERROR(__xludf.DUMMYFUNCTION("""COMPUTED_VALUE"""),95.04)</f>
        <v>95.04</v>
      </c>
      <c r="C291" s="1">
        <f ca="1">IFERROR(__xludf.DUMMYFUNCTION("""COMPUTED_VALUE"""),100.89)</f>
        <v>100.89</v>
      </c>
      <c r="D291" s="1">
        <f ca="1">IFERROR(__xludf.DUMMYFUNCTION("""COMPUTED_VALUE"""),93.09)</f>
        <v>93.09</v>
      </c>
      <c r="E291" s="1">
        <f ca="1">IFERROR(__xludf.DUMMYFUNCTION("""COMPUTED_VALUE"""),93.09)</f>
        <v>93.09</v>
      </c>
      <c r="F291" s="1">
        <f ca="1">IFERROR(__xludf.DUMMYFUNCTION("""COMPUTED_VALUE"""),25919434)</f>
        <v>25919434</v>
      </c>
    </row>
    <row r="292" spans="1:6" ht="15.75" customHeight="1">
      <c r="A292" s="10">
        <f ca="1">IFERROR(__xludf.DUMMYFUNCTION("""COMPUTED_VALUE"""),42187.6666666666)</f>
        <v>42187.666666666599</v>
      </c>
      <c r="B292" s="1">
        <f ca="1">IFERROR(__xludf.DUMMYFUNCTION("""COMPUTED_VALUE"""),91.51)</f>
        <v>91.51</v>
      </c>
      <c r="C292" s="1">
        <f ca="1">IFERROR(__xludf.DUMMYFUNCTION("""COMPUTED_VALUE"""),95.24)</f>
        <v>95.24</v>
      </c>
      <c r="D292" s="1">
        <f ca="1">IFERROR(__xludf.DUMMYFUNCTION("""COMPUTED_VALUE"""),91.12)</f>
        <v>91.12</v>
      </c>
      <c r="E292" s="1">
        <f ca="1">IFERROR(__xludf.DUMMYFUNCTION("""COMPUTED_VALUE"""),94.04)</f>
        <v>94.04</v>
      </c>
      <c r="F292" s="1">
        <f ca="1">IFERROR(__xludf.DUMMYFUNCTION("""COMPUTED_VALUE"""),9601285)</f>
        <v>9601285</v>
      </c>
    </row>
    <row r="293" spans="1:6" ht="15.75" customHeight="1">
      <c r="A293" s="10">
        <f ca="1">IFERROR(__xludf.DUMMYFUNCTION("""COMPUTED_VALUE"""),42195.6666666666)</f>
        <v>42195.666666666599</v>
      </c>
      <c r="B293" s="1">
        <f ca="1">IFERROR(__xludf.DUMMYFUNCTION("""COMPUTED_VALUE"""),93.47)</f>
        <v>93.47</v>
      </c>
      <c r="C293" s="1">
        <f ca="1">IFERROR(__xludf.DUMMYFUNCTION("""COMPUTED_VALUE"""),98.5)</f>
        <v>98.5</v>
      </c>
      <c r="D293" s="1">
        <f ca="1">IFERROR(__xludf.DUMMYFUNCTION("""COMPUTED_VALUE"""),92.28)</f>
        <v>92.28</v>
      </c>
      <c r="E293" s="1">
        <f ca="1">IFERROR(__xludf.DUMMYFUNCTION("""COMPUTED_VALUE"""),97.23)</f>
        <v>97.23</v>
      </c>
      <c r="F293" s="1">
        <f ca="1">IFERROR(__xludf.DUMMYFUNCTION("""COMPUTED_VALUE"""),12105751)</f>
        <v>12105751</v>
      </c>
    </row>
    <row r="294" spans="1:6" ht="15.75" customHeight="1">
      <c r="A294" s="10">
        <f ca="1">IFERROR(__xludf.DUMMYFUNCTION("""COMPUTED_VALUE"""),42202.6666666666)</f>
        <v>42202.666666666599</v>
      </c>
      <c r="B294" s="1">
        <f ca="1">IFERROR(__xludf.DUMMYFUNCTION("""COMPUTED_VALUE"""),98.1)</f>
        <v>98.1</v>
      </c>
      <c r="C294" s="1">
        <f ca="1">IFERROR(__xludf.DUMMYFUNCTION("""COMPUTED_VALUE"""),117.88)</f>
        <v>117.88</v>
      </c>
      <c r="D294" s="1">
        <f ca="1">IFERROR(__xludf.DUMMYFUNCTION("""COMPUTED_VALUE"""),97.05)</f>
        <v>97.05</v>
      </c>
      <c r="E294" s="1">
        <f ca="1">IFERROR(__xludf.DUMMYFUNCTION("""COMPUTED_VALUE"""),114.77)</f>
        <v>114.77</v>
      </c>
      <c r="F294" s="1">
        <f ca="1">IFERROR(__xludf.DUMMYFUNCTION("""COMPUTED_VALUE"""),127059598)</f>
        <v>127059598</v>
      </c>
    </row>
    <row r="295" spans="1:6" ht="15.75" customHeight="1">
      <c r="A295" s="10">
        <f ca="1">IFERROR(__xludf.DUMMYFUNCTION("""COMPUTED_VALUE"""),42209.6666666666)</f>
        <v>42209.666666666599</v>
      </c>
      <c r="B295" s="1">
        <f ca="1">IFERROR(__xludf.DUMMYFUNCTION("""COMPUTED_VALUE"""),114.7)</f>
        <v>114.7</v>
      </c>
      <c r="C295" s="1">
        <f ca="1">IFERROR(__xludf.DUMMYFUNCTION("""COMPUTED_VALUE"""),114.7)</f>
        <v>114.7</v>
      </c>
      <c r="D295" s="1">
        <f ca="1">IFERROR(__xludf.DUMMYFUNCTION("""COMPUTED_VALUE"""),108.9)</f>
        <v>108.9</v>
      </c>
      <c r="E295" s="1">
        <f ca="1">IFERROR(__xludf.DUMMYFUNCTION("""COMPUTED_VALUE"""),109.34)</f>
        <v>109.34</v>
      </c>
      <c r="F295" s="1">
        <f ca="1">IFERROR(__xludf.DUMMYFUNCTION("""COMPUTED_VALUE"""),63694722)</f>
        <v>63694722</v>
      </c>
    </row>
    <row r="296" spans="1:6" ht="15.75" customHeight="1">
      <c r="A296" s="10">
        <f ca="1">IFERROR(__xludf.DUMMYFUNCTION("""COMPUTED_VALUE"""),42216.6666666666)</f>
        <v>42216.666666666599</v>
      </c>
      <c r="B296" s="1">
        <f ca="1">IFERROR(__xludf.DUMMYFUNCTION("""COMPUTED_VALUE"""),107.79)</f>
        <v>107.79</v>
      </c>
      <c r="C296" s="1">
        <f ca="1">IFERROR(__xludf.DUMMYFUNCTION("""COMPUTED_VALUE"""),115)</f>
        <v>115</v>
      </c>
      <c r="D296" s="1">
        <f ca="1">IFERROR(__xludf.DUMMYFUNCTION("""COMPUTED_VALUE"""),103.88)</f>
        <v>103.88</v>
      </c>
      <c r="E296" s="1">
        <f ca="1">IFERROR(__xludf.DUMMYFUNCTION("""COMPUTED_VALUE"""),114.31)</f>
        <v>114.31</v>
      </c>
      <c r="F296" s="1">
        <f ca="1">IFERROR(__xludf.DUMMYFUNCTION("""COMPUTED_VALUE"""),59732476)</f>
        <v>59732476</v>
      </c>
    </row>
    <row r="297" spans="1:6" ht="15.75" customHeight="1">
      <c r="A297" s="10">
        <f ca="1">IFERROR(__xludf.DUMMYFUNCTION("""COMPUTED_VALUE"""),42223.6666666666)</f>
        <v>42223.666666666599</v>
      </c>
      <c r="B297" s="1">
        <f ca="1">IFERROR(__xludf.DUMMYFUNCTION("""COMPUTED_VALUE"""),114.6)</f>
        <v>114.6</v>
      </c>
      <c r="C297" s="1">
        <f ca="1">IFERROR(__xludf.DUMMYFUNCTION("""COMPUTED_VALUE"""),129.29)</f>
        <v>129.29</v>
      </c>
      <c r="D297" s="1">
        <f ca="1">IFERROR(__xludf.DUMMYFUNCTION("""COMPUTED_VALUE"""),111.78)</f>
        <v>111.78</v>
      </c>
      <c r="E297" s="1">
        <f ca="1">IFERROR(__xludf.DUMMYFUNCTION("""COMPUTED_VALUE"""),123.52)</f>
        <v>123.52</v>
      </c>
      <c r="F297" s="1">
        <f ca="1">IFERROR(__xludf.DUMMYFUNCTION("""COMPUTED_VALUE"""),108822041)</f>
        <v>108822041</v>
      </c>
    </row>
    <row r="298" spans="1:6" ht="15.75" customHeight="1">
      <c r="A298" s="10">
        <f ca="1">IFERROR(__xludf.DUMMYFUNCTION("""COMPUTED_VALUE"""),42230.6666666666)</f>
        <v>42230.666666666599</v>
      </c>
      <c r="B298" s="1">
        <f ca="1">IFERROR(__xludf.DUMMYFUNCTION("""COMPUTED_VALUE"""),126.09)</f>
        <v>126.09</v>
      </c>
      <c r="C298" s="1">
        <f ca="1">IFERROR(__xludf.DUMMYFUNCTION("""COMPUTED_VALUE"""),126.5)</f>
        <v>126.5</v>
      </c>
      <c r="D298" s="1">
        <f ca="1">IFERROR(__xludf.DUMMYFUNCTION("""COMPUTED_VALUE"""),118.66)</f>
        <v>118.66</v>
      </c>
      <c r="E298" s="1">
        <f ca="1">IFERROR(__xludf.DUMMYFUNCTION("""COMPUTED_VALUE"""),123.39)</f>
        <v>123.39</v>
      </c>
      <c r="F298" s="1">
        <f ca="1">IFERROR(__xludf.DUMMYFUNCTION("""COMPUTED_VALUE"""),62855077)</f>
        <v>62855077</v>
      </c>
    </row>
    <row r="299" spans="1:6" ht="15.75" customHeight="1"/>
    <row r="300" spans="1:6" ht="15.75" customHeight="1"/>
    <row r="301" spans="1:6" ht="15.75" customHeight="1"/>
    <row r="302" spans="1:6" ht="15.75" customHeight="1"/>
    <row r="303" spans="1:6" ht="15.75" customHeight="1"/>
    <row r="304" spans="1: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custom" allowBlank="1" showDropDown="1" showErrorMessage="1" sqref="C2:D2">
      <formula1>OR(NOT(ISERROR(DATEVALUE(C2))), AND(ISNUMBER(C2), LEFT(CELL("format", C2))="D"))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1 - ITC 6 months</vt:lpstr>
      <vt:lpstr>Team 2 - 3M</vt:lpstr>
      <vt:lpstr>Team 3 - SAMSUNG</vt:lpstr>
      <vt:lpstr>Team 4 - BOSCH</vt:lpstr>
      <vt:lpstr>Team 5 - Alpha-Beta</vt:lpstr>
      <vt:lpstr>Team 6 - BRITANNIA</vt:lpstr>
      <vt:lpstr>Team 7 - AMAZON</vt:lpstr>
      <vt:lpstr>Team 8 - YESBANK</vt:lpstr>
      <vt:lpstr>Team 9 - NFLX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Chandru</cp:lastModifiedBy>
  <dcterms:modified xsi:type="dcterms:W3CDTF">2020-12-05T21:45:14Z</dcterms:modified>
</cp:coreProperties>
</file>