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definedNames>
    <definedName name="weapon_pistol">Лист1!$AD$3</definedName>
  </definedNames>
  <calcPr calcId="145621"/>
</workbook>
</file>

<file path=xl/calcChain.xml><?xml version="1.0" encoding="utf-8"?>
<calcChain xmlns="http://schemas.openxmlformats.org/spreadsheetml/2006/main">
  <c r="C61" i="1" l="1"/>
  <c r="C64" i="1" l="1"/>
  <c r="C44" i="1"/>
  <c r="AC60" i="1"/>
  <c r="AD35" i="1"/>
  <c r="AA35" i="1"/>
  <c r="V32" i="1"/>
  <c r="AD32" i="1" s="1"/>
  <c r="V31" i="1"/>
  <c r="AD31" i="1" s="1"/>
  <c r="AD30" i="1"/>
  <c r="AD9" i="1" l="1"/>
  <c r="AC7" i="1"/>
  <c r="AD7" i="1"/>
  <c r="AD21" i="1"/>
  <c r="AD13" i="1"/>
  <c r="Z55" i="1"/>
  <c r="K70" i="1"/>
  <c r="K71" i="1"/>
  <c r="K72" i="1"/>
  <c r="K73" i="1"/>
  <c r="K74" i="1"/>
  <c r="K69" i="1"/>
  <c r="AD29" i="1" l="1"/>
  <c r="L74" i="1" s="1"/>
  <c r="AD28" i="1"/>
  <c r="L73" i="1" s="1"/>
  <c r="AD18" i="1"/>
  <c r="AD17" i="1"/>
  <c r="AD14" i="1"/>
  <c r="AD3" i="1"/>
  <c r="AD2" i="1"/>
  <c r="W112" i="1" l="1"/>
  <c r="W48" i="1"/>
  <c r="X98" i="1"/>
  <c r="AC21" i="1" s="1"/>
  <c r="E66" i="1" l="1"/>
  <c r="E39" i="1"/>
  <c r="Z26" i="1"/>
  <c r="Z27" i="1"/>
  <c r="AD27" i="1" s="1"/>
  <c r="L72" i="1" s="1"/>
  <c r="V26" i="1"/>
  <c r="AD26" i="1" s="1"/>
  <c r="L71" i="1" s="1"/>
  <c r="Z25" i="1" l="1"/>
  <c r="AD25" i="1" s="1"/>
  <c r="L70" i="1" s="1"/>
  <c r="Z24" i="1"/>
  <c r="AD24" i="1" s="1"/>
  <c r="L69" i="1" s="1"/>
  <c r="S24" i="1"/>
  <c r="W57" i="1"/>
  <c r="E67" i="1" s="1"/>
  <c r="N28" i="1"/>
  <c r="N29" i="1"/>
  <c r="L49" i="1"/>
  <c r="D57" i="1" s="1"/>
  <c r="I31" i="1"/>
  <c r="I30" i="1"/>
  <c r="I21" i="1"/>
  <c r="W115" i="1"/>
  <c r="L67" i="1"/>
  <c r="C67" i="1" s="1"/>
  <c r="AD20" i="1"/>
  <c r="AC20" i="1" s="1"/>
  <c r="C66" i="1" s="1"/>
  <c r="S20" i="1"/>
  <c r="K57" i="1"/>
  <c r="K56" i="1"/>
  <c r="K55" i="1"/>
  <c r="K54" i="1"/>
  <c r="K53" i="1"/>
  <c r="K52" i="1"/>
  <c r="K51" i="1"/>
  <c r="K50" i="1"/>
  <c r="K49" i="1"/>
  <c r="E51" i="1" l="1"/>
  <c r="L66" i="1"/>
  <c r="D42" i="1"/>
  <c r="D41" i="1"/>
  <c r="D56" i="1"/>
  <c r="I15" i="1"/>
  <c r="I16" i="1"/>
  <c r="I17" i="1"/>
  <c r="I27" i="1"/>
  <c r="I26" i="1"/>
  <c r="L63" i="1"/>
  <c r="AD19" i="1"/>
  <c r="L65" i="1" s="1"/>
  <c r="L64" i="1"/>
  <c r="AD16" i="1"/>
  <c r="L62" i="1" s="1"/>
  <c r="C51" i="1" s="1"/>
  <c r="AD15" i="1"/>
  <c r="L61" i="1" s="1"/>
  <c r="L60" i="1"/>
  <c r="C53" i="1" s="1"/>
  <c r="L59" i="1"/>
  <c r="C50" i="1" s="1"/>
  <c r="AD10" i="1"/>
  <c r="L57" i="1" s="1"/>
  <c r="D47" i="1" s="1"/>
  <c r="S18" i="1"/>
  <c r="I14" i="1"/>
  <c r="I11" i="1"/>
  <c r="S15" i="1"/>
  <c r="L50" i="1"/>
  <c r="D39" i="1" s="1"/>
  <c r="D52" i="1" l="1"/>
  <c r="C52" i="1"/>
  <c r="C62" i="1"/>
  <c r="D63" i="1"/>
  <c r="C63" i="1"/>
  <c r="D53" i="1"/>
  <c r="D45" i="1"/>
  <c r="D38" i="1"/>
  <c r="D55" i="1"/>
  <c r="D62" i="1"/>
  <c r="D51" i="1"/>
  <c r="D49" i="1"/>
  <c r="D50" i="1"/>
  <c r="X74" i="1"/>
  <c r="X79" i="1"/>
  <c r="X82" i="1"/>
  <c r="X84" i="1"/>
  <c r="X86" i="1"/>
  <c r="X102" i="1"/>
  <c r="X87" i="1"/>
  <c r="X91" i="1"/>
  <c r="X93" i="1"/>
  <c r="X101" i="1"/>
  <c r="X105" i="1"/>
  <c r="X107" i="1"/>
  <c r="W114" i="1"/>
  <c r="W113" i="1"/>
  <c r="W66" i="1"/>
  <c r="W51" i="1"/>
  <c r="E65" i="1" s="1"/>
  <c r="I2" i="1"/>
  <c r="L56" i="1"/>
  <c r="D48" i="1" s="1"/>
  <c r="AD8" i="1"/>
  <c r="L55" i="1" s="1"/>
  <c r="D46" i="1" s="1"/>
  <c r="L54" i="1"/>
  <c r="D54" i="1" s="1"/>
  <c r="M54" i="1"/>
  <c r="C54" i="1" s="1"/>
  <c r="AD6" i="1"/>
  <c r="L53" i="1" s="1"/>
  <c r="D60" i="1" s="1"/>
  <c r="AD5" i="1"/>
  <c r="L52" i="1" s="1"/>
  <c r="AD4" i="1"/>
  <c r="L51" i="1" s="1"/>
  <c r="J11" i="1"/>
  <c r="J25" i="1"/>
  <c r="Q107" i="1"/>
  <c r="Q102" i="1"/>
  <c r="Q98" i="1"/>
  <c r="S13" i="1" s="1"/>
  <c r="Q87" i="1"/>
  <c r="S17" i="1" s="1"/>
  <c r="Q86" i="1"/>
  <c r="S2" i="1" s="1"/>
  <c r="AA51" i="1"/>
  <c r="AB51" i="1"/>
  <c r="AB50" i="1"/>
  <c r="AA50" i="1"/>
  <c r="AB49" i="1"/>
  <c r="AA49" i="1"/>
  <c r="AA53" i="1"/>
  <c r="AC53" i="1" s="1"/>
  <c r="AC10" i="1" s="1"/>
  <c r="M57" i="1" s="1"/>
  <c r="C47" i="1" s="1"/>
  <c r="AA52" i="1"/>
  <c r="AC52" i="1" s="1"/>
  <c r="AA48" i="1"/>
  <c r="AC48" i="1" s="1"/>
  <c r="E60" i="1" l="1"/>
  <c r="E61" i="1"/>
  <c r="AC2" i="1"/>
  <c r="M49" i="1" s="1"/>
  <c r="AC3" i="1"/>
  <c r="M50" i="1" s="1"/>
  <c r="AC9" i="1"/>
  <c r="M56" i="1" s="1"/>
  <c r="E38" i="1"/>
  <c r="E55" i="1"/>
  <c r="E56" i="1" s="1"/>
  <c r="E64" i="1"/>
  <c r="E41" i="1"/>
  <c r="E53" i="1"/>
  <c r="F53" i="1" s="1"/>
  <c r="N17" i="1" s="1"/>
  <c r="E54" i="1"/>
  <c r="F54" i="1" s="1"/>
  <c r="N18" i="1" s="1"/>
  <c r="E40" i="1"/>
  <c r="F40" i="1" s="1"/>
  <c r="N4" i="1" s="1"/>
  <c r="F66" i="1"/>
  <c r="N30" i="1" s="1"/>
  <c r="E52" i="1"/>
  <c r="F52" i="1" s="1"/>
  <c r="N16" i="1" s="1"/>
  <c r="E63" i="1"/>
  <c r="F63" i="1" s="1"/>
  <c r="N27" i="1" s="1"/>
  <c r="E62" i="1"/>
  <c r="F62" i="1" s="1"/>
  <c r="N26" i="1" s="1"/>
  <c r="E47" i="1"/>
  <c r="F47" i="1" s="1"/>
  <c r="N11" i="1" s="1"/>
  <c r="E58" i="1"/>
  <c r="E44" i="1"/>
  <c r="E57" i="1"/>
  <c r="E49" i="1"/>
  <c r="E42" i="1"/>
  <c r="E59" i="1"/>
  <c r="E43" i="1"/>
  <c r="E45" i="1"/>
  <c r="E50" i="1"/>
  <c r="F50" i="1" s="1"/>
  <c r="N14" i="1" s="1"/>
  <c r="E46" i="1"/>
  <c r="E48" i="1"/>
  <c r="D59" i="1"/>
  <c r="D44" i="1"/>
  <c r="D61" i="1"/>
  <c r="AC49" i="1"/>
  <c r="AC5" i="1" s="1"/>
  <c r="M52" i="1" s="1"/>
  <c r="D58" i="1"/>
  <c r="F61" i="1"/>
  <c r="N25" i="1" s="1"/>
  <c r="D43" i="1"/>
  <c r="AC50" i="1"/>
  <c r="AC6" i="1" s="1"/>
  <c r="M53" i="1" s="1"/>
  <c r="C60" i="1" s="1"/>
  <c r="F60" i="1" s="1"/>
  <c r="F51" i="1"/>
  <c r="N15" i="1" s="1"/>
  <c r="F67" i="1"/>
  <c r="N31" i="1" s="1"/>
  <c r="AC51" i="1"/>
  <c r="AC4" i="1"/>
  <c r="M51" i="1" s="1"/>
  <c r="I13" i="1"/>
  <c r="I12" i="1"/>
  <c r="J26" i="1"/>
  <c r="I25" i="1"/>
  <c r="I24" i="1"/>
  <c r="I23" i="1"/>
  <c r="I22" i="1"/>
  <c r="I20" i="1"/>
  <c r="I19" i="1"/>
  <c r="I18" i="1"/>
  <c r="J13" i="1"/>
  <c r="J27" i="1"/>
  <c r="J24" i="1"/>
  <c r="J23" i="1"/>
  <c r="J22" i="1"/>
  <c r="J21" i="1"/>
  <c r="J20" i="1"/>
  <c r="J19" i="1"/>
  <c r="J18" i="1"/>
  <c r="J17" i="1"/>
  <c r="J16" i="1"/>
  <c r="J15" i="1"/>
  <c r="J14" i="1"/>
  <c r="J12" i="1"/>
  <c r="J10" i="1"/>
  <c r="J9" i="1"/>
  <c r="J8" i="1"/>
  <c r="J7" i="1"/>
  <c r="J6" i="1"/>
  <c r="J5" i="1"/>
  <c r="J4" i="1"/>
  <c r="J3" i="1"/>
  <c r="J2" i="1"/>
  <c r="I10" i="1"/>
  <c r="C70" i="1" s="1"/>
  <c r="I9" i="1"/>
  <c r="I8" i="1"/>
  <c r="I7" i="1"/>
  <c r="I6" i="1"/>
  <c r="I5" i="1"/>
  <c r="I3" i="1"/>
  <c r="S3" i="1"/>
  <c r="S4" i="1"/>
  <c r="S5" i="1"/>
  <c r="S6" i="1"/>
  <c r="S9" i="1"/>
  <c r="S8" i="1"/>
  <c r="S7" i="1"/>
  <c r="C49" i="1" l="1"/>
  <c r="C39" i="1"/>
  <c r="C45" i="1"/>
  <c r="C38" i="1"/>
  <c r="F38" i="1" s="1"/>
  <c r="N2" i="1" s="1"/>
  <c r="C55" i="1"/>
  <c r="F55" i="1" s="1"/>
  <c r="N19" i="1" s="1"/>
  <c r="C57" i="1"/>
  <c r="F57" i="1" s="1"/>
  <c r="N21" i="1" s="1"/>
  <c r="C56" i="1"/>
  <c r="F56" i="1" s="1"/>
  <c r="N20" i="1" s="1"/>
  <c r="C42" i="1"/>
  <c r="F42" i="1" s="1"/>
  <c r="N6" i="1" s="1"/>
  <c r="C41" i="1"/>
  <c r="C43" i="1"/>
  <c r="C58" i="1"/>
  <c r="C48" i="1"/>
  <c r="F48" i="1" s="1"/>
  <c r="N12" i="1" s="1"/>
  <c r="C59" i="1"/>
  <c r="F59" i="1" s="1"/>
  <c r="N23" i="1" s="1"/>
  <c r="F44" i="1"/>
  <c r="N8" i="1" s="1"/>
  <c r="AC8" i="1"/>
  <c r="M55" i="1" s="1"/>
  <c r="N24" i="1"/>
  <c r="F43" i="1"/>
  <c r="N7" i="1" s="1"/>
  <c r="F58" i="1"/>
  <c r="N22" i="1" s="1"/>
  <c r="F41" i="1"/>
  <c r="N5" i="1" s="1"/>
  <c r="F39" i="1"/>
  <c r="N3" i="1" s="1"/>
  <c r="F49" i="1"/>
  <c r="N13" i="1" s="1"/>
  <c r="F45" i="1"/>
  <c r="N9" i="1" s="1"/>
  <c r="C46" i="1" l="1"/>
  <c r="F46" i="1" s="1"/>
  <c r="N10" i="1" s="1"/>
</calcChain>
</file>

<file path=xl/comments1.xml><?xml version="1.0" encoding="utf-8"?>
<comments xmlns="http://schemas.openxmlformats.org/spreadsheetml/2006/main">
  <authors>
    <author>Леонид</author>
  </authors>
  <commentLis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Add engagedistance variable for this unit.</t>
        </r>
      </text>
    </comment>
    <comment ref="AB23" authorId="0">
      <text>
        <r>
          <rPr>
            <b/>
            <sz val="9"/>
            <color indexed="81"/>
            <rFont val="Tahoma"/>
            <family val="2"/>
            <charset val="204"/>
          </rPr>
          <t>Max unit energy/ability costs</t>
        </r>
      </text>
    </comment>
    <comment ref="T24" authorId="0">
      <text>
        <r>
          <rPr>
            <sz val="9"/>
            <color indexed="81"/>
            <rFont val="Tahoma"/>
            <family val="2"/>
            <charset val="204"/>
          </rPr>
          <t xml:space="preserve">TODO
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Mr. Darlness:
~3.5 sec</t>
        </r>
      </text>
    </comment>
    <comment ref="D27" authorId="0">
      <text>
        <r>
          <rPr>
            <b/>
            <sz val="9"/>
            <color indexed="81"/>
            <rFont val="Tahoma"/>
            <family val="2"/>
            <charset val="204"/>
          </rPr>
          <t>Max energy. His initial energy is 75.</t>
        </r>
      </text>
    </comment>
    <comment ref="T27" authorId="0">
      <text>
        <r>
          <rPr>
            <b/>
            <sz val="9"/>
            <color indexed="81"/>
            <rFont val="Tahoma"/>
            <family val="2"/>
            <charset val="204"/>
          </rPr>
          <t>TODO</t>
        </r>
      </text>
    </comment>
    <comment ref="U28" authorId="0">
      <text>
        <r>
          <rPr>
            <b/>
            <sz val="9"/>
            <color indexed="81"/>
            <rFont val="Tahoma"/>
            <charset val="1"/>
          </rPr>
          <t>This number is very flexible and varies depending on what the distance is from the start position to end position. Thus, the end PWR may vary.</t>
        </r>
      </text>
    </comment>
    <comment ref="Z28" authorId="0">
      <text>
        <r>
          <rPr>
            <b/>
            <sz val="9"/>
            <color indexed="81"/>
            <rFont val="Tahoma"/>
            <charset val="1"/>
          </rPr>
          <t>Also insta-kills any unit, except for higher tier ones, such as Striders and Dogs.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Power! Not unit energy.
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TODO
</t>
        </r>
      </text>
    </comment>
    <comment ref="Z29" authorId="0">
      <text>
        <r>
          <rPr>
            <b/>
            <sz val="9"/>
            <color indexed="81"/>
            <rFont val="Tahoma"/>
            <family val="2"/>
            <charset val="204"/>
          </rPr>
          <t>Damage at the closest range.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Requisition! Not unit energy.</t>
        </r>
      </text>
    </comment>
    <comment ref="E67" authorId="0">
      <text>
        <r>
          <rPr>
            <b/>
            <sz val="9"/>
            <color indexed="81"/>
            <rFont val="Tahoma"/>
            <family val="2"/>
            <charset val="204"/>
          </rPr>
          <t>Mr. Darkness: Number is so big due to high movement speed. That's normal.</t>
        </r>
      </text>
    </comment>
  </commentList>
</comments>
</file>

<file path=xl/sharedStrings.xml><?xml version="1.0" encoding="utf-8"?>
<sst xmlns="http://schemas.openxmlformats.org/spreadsheetml/2006/main" count="374" uniqueCount="200">
  <si>
    <t>Unit name</t>
  </si>
  <si>
    <t>Health</t>
  </si>
  <si>
    <t>Speed</t>
  </si>
  <si>
    <t>Damage</t>
  </si>
  <si>
    <t>Accuracy</t>
  </si>
  <si>
    <t>Tier</t>
  </si>
  <si>
    <t>Engineer</t>
  </si>
  <si>
    <t>Scout</t>
  </si>
  <si>
    <t>Partisan SMG</t>
  </si>
  <si>
    <t>Partisan Molotov</t>
  </si>
  <si>
    <t>Rebel</t>
  </si>
  <si>
    <t>Rebel SG</t>
  </si>
  <si>
    <t>Rebel AR2</t>
  </si>
  <si>
    <t>Rebel RPG</t>
  </si>
  <si>
    <t>Rebel Flamer</t>
  </si>
  <si>
    <t>Rebel Saboteur</t>
  </si>
  <si>
    <t>Vortigaunt</t>
  </si>
  <si>
    <t>Dog</t>
  </si>
  <si>
    <t>Combine</t>
  </si>
  <si>
    <t>Stalker</t>
  </si>
  <si>
    <t>Loyal Citizen</t>
  </si>
  <si>
    <t>Metrocop Riot</t>
  </si>
  <si>
    <t>Metrocop Pistol</t>
  </si>
  <si>
    <t>Metrocop SMG</t>
  </si>
  <si>
    <t>Combine SG</t>
  </si>
  <si>
    <t>Combine AR2</t>
  </si>
  <si>
    <t>Combine Sniper</t>
  </si>
  <si>
    <t>Combine Elite</t>
  </si>
  <si>
    <t>Hunter</t>
  </si>
  <si>
    <t>Strider</t>
  </si>
  <si>
    <t>Production Time</t>
  </si>
  <si>
    <t>Rebel Medic</t>
  </si>
  <si>
    <t>Rebel Veteran</t>
  </si>
  <si>
    <t>ID</t>
  </si>
  <si>
    <t>Weapon</t>
  </si>
  <si>
    <t>weapon_smg1</t>
  </si>
  <si>
    <t>weapon_pistol</t>
  </si>
  <si>
    <t>weapon_ar2</t>
  </si>
  <si>
    <t>weapon_crossbow</t>
  </si>
  <si>
    <t>weapon_rpg</t>
  </si>
  <si>
    <t>weapon_flamer</t>
  </si>
  <si>
    <t>weapon_stunstick</t>
  </si>
  <si>
    <t>weapon_sniperrifle</t>
  </si>
  <si>
    <t>Weapons:</t>
  </si>
  <si>
    <t>Attribute</t>
  </si>
  <si>
    <t>bullet</t>
  </si>
  <si>
    <t>pulse</t>
  </si>
  <si>
    <t>plasma</t>
  </si>
  <si>
    <t>shock</t>
  </si>
  <si>
    <t>fire</t>
  </si>
  <si>
    <t>Attributes:</t>
  </si>
  <si>
    <t>Constant Bonus Damage</t>
  </si>
  <si>
    <t>Scale Bonus Damage</t>
  </si>
  <si>
    <t>Attribute ID</t>
  </si>
  <si>
    <t>Attributes affected</t>
  </si>
  <si>
    <t>creature</t>
  </si>
  <si>
    <t>molotovfire</t>
  </si>
  <si>
    <t>synth</t>
  </si>
  <si>
    <t>explosive</t>
  </si>
  <si>
    <t>slash</t>
  </si>
  <si>
    <t>bite</t>
  </si>
  <si>
    <t>metal</t>
  </si>
  <si>
    <t>energyball</t>
  </si>
  <si>
    <t>bunker</t>
  </si>
  <si>
    <t>light</t>
  </si>
  <si>
    <t>medium</t>
  </si>
  <si>
    <t>rpg</t>
  </si>
  <si>
    <t>building</t>
  </si>
  <si>
    <t>heavy</t>
  </si>
  <si>
    <t>crush</t>
  </si>
  <si>
    <t>pulse_elite</t>
  </si>
  <si>
    <t>defece</t>
  </si>
  <si>
    <t>burn</t>
  </si>
  <si>
    <t>acid</t>
  </si>
  <si>
    <t>dogslamimpact</t>
  </si>
  <si>
    <t>mortar</t>
  </si>
  <si>
    <t>Attributes</t>
  </si>
  <si>
    <t>…</t>
  </si>
  <si>
    <t>-</t>
  </si>
  <si>
    <t>Receives from:</t>
  </si>
  <si>
    <t>Deals to:</t>
  </si>
  <si>
    <t>Scanner</t>
  </si>
  <si>
    <t>Synth Scanner</t>
  </si>
  <si>
    <t>Manhack</t>
  </si>
  <si>
    <t>Rollermine</t>
  </si>
  <si>
    <t>This balance sheet will be used for balancing our current units and buildings in game. Further on I hope to get this to have more entries and formulas for easier balancing.</t>
  </si>
  <si>
    <t>SMG1</t>
  </si>
  <si>
    <t>Pistol</t>
  </si>
  <si>
    <t>Shotgun</t>
  </si>
  <si>
    <t>AR2</t>
  </si>
  <si>
    <t>Sniper Rifle</t>
  </si>
  <si>
    <t>Stun Stick</t>
  </si>
  <si>
    <t>Crossbow</t>
  </si>
  <si>
    <t>Flame Thrower</t>
  </si>
  <si>
    <t>RPG</t>
  </si>
  <si>
    <t>Attack Speed</t>
  </si>
  <si>
    <t>Minimum Burst</t>
  </si>
  <si>
    <t>Maximum Burst</t>
  </si>
  <si>
    <t>Minimum Reset Time</t>
  </si>
  <si>
    <t>Maximum Reset Time</t>
  </si>
  <si>
    <t>This table is needed to compare units of similar type and their power</t>
  </si>
  <si>
    <t>Costs: Requisition</t>
  </si>
  <si>
    <t>Costs: Scrap/Power</t>
  </si>
  <si>
    <t>Attribute PWR:</t>
  </si>
  <si>
    <t>SUM Constant Bonus DMG</t>
  </si>
  <si>
    <t>SUM Scale Bonus DMG</t>
  </si>
  <si>
    <t>SUM PWR</t>
  </si>
  <si>
    <t>PWR (unit)</t>
  </si>
  <si>
    <t>WPNPWR</t>
  </si>
  <si>
    <t>ATTRREC = attr CBD * attr SBD</t>
  </si>
  <si>
    <t>PWR - Power; WPNPWR - Weapon Power; ATTR - Attribute SUM;</t>
  </si>
  <si>
    <t>ATTRREC - Attribute Damage Received; CBD and SBD - Constant and Scale Bonus Damage</t>
  </si>
  <si>
    <t>Usefulness in Combat</t>
  </si>
  <si>
    <t>Usefulness in Defense</t>
  </si>
  <si>
    <t>weapon_shotgun</t>
  </si>
  <si>
    <t>PWR = (WPNPWR * Accuracy * Attributes * Tier) / Production Time + Costs</t>
  </si>
  <si>
    <t>Formulas:</t>
  </si>
  <si>
    <t>Abbreviations:</t>
  </si>
  <si>
    <t>At closest range!</t>
  </si>
  <si>
    <t>&lt;-</t>
  </si>
  <si>
    <t>Usability</t>
  </si>
  <si>
    <t>Usability only describes its potential vs all possible attributes</t>
  </si>
  <si>
    <t>ATTRREC</t>
  </si>
  <si>
    <t>ATTRDMG</t>
  </si>
  <si>
    <t>Survivability</t>
  </si>
  <si>
    <t>Survivability = (Health/ATTRREC) * ( Speed/100)</t>
  </si>
  <si>
    <t>Advantage</t>
  </si>
  <si>
    <t>Advantage = PWR + Survivability</t>
  </si>
  <si>
    <t>&lt;- Something's off…</t>
  </si>
  <si>
    <t>Maxrange</t>
  </si>
  <si>
    <t>Attackspeed</t>
  </si>
  <si>
    <t>Vortigaunt Beam</t>
  </si>
  <si>
    <t>Fists</t>
  </si>
  <si>
    <t>Stalker Beam</t>
  </si>
  <si>
    <t>Dog Fists</t>
  </si>
  <si>
    <t>Flechette</t>
  </si>
  <si>
    <t>Strider Minigun</t>
  </si>
  <si>
    <t>Hunter Melee</t>
  </si>
  <si>
    <t>Unit Attacks:</t>
  </si>
  <si>
    <t>WPNPWR = Range/100 * (Attack Speed * Burst * Damage * Shots / Reset Time)</t>
  </si>
  <si>
    <t>ATTR = (attributesBonus + attributesBonus) * attributeScale * attributeScale</t>
  </si>
  <si>
    <t>Usability = WPNPWR * ATTR</t>
  </si>
  <si>
    <t>Abilities :</t>
  </si>
  <si>
    <t>Cooldown</t>
  </si>
  <si>
    <t>Damage Instance</t>
  </si>
  <si>
    <t>Damage Total</t>
  </si>
  <si>
    <t>Special Effects</t>
  </si>
  <si>
    <t>Ability Usability</t>
  </si>
  <si>
    <t>Ability PWR</t>
  </si>
  <si>
    <t>Costs</t>
  </si>
  <si>
    <t>???</t>
  </si>
  <si>
    <t>Manhack Blades</t>
  </si>
  <si>
    <t>mechanic</t>
  </si>
  <si>
    <t>TBD</t>
  </si>
  <si>
    <t>The more survivability a unit has, the more it's suited for Combat. The more Power - the more for Defense</t>
  </si>
  <si>
    <t>Dog Jump</t>
  </si>
  <si>
    <t>dogjump</t>
  </si>
  <si>
    <t>Duration (ms)</t>
  </si>
  <si>
    <t>Stun</t>
  </si>
  <si>
    <t>Damage Radius</t>
  </si>
  <si>
    <t>Dog Slam</t>
  </si>
  <si>
    <t>Hunter Charge</t>
  </si>
  <si>
    <t>chargehunter</t>
  </si>
  <si>
    <t>Strider Cannon</t>
  </si>
  <si>
    <t>stridercannon</t>
  </si>
  <si>
    <t>slamground</t>
  </si>
  <si>
    <t>Combine Ball</t>
  </si>
  <si>
    <t>combineball</t>
  </si>
  <si>
    <t>Grenade</t>
  </si>
  <si>
    <t>grenade</t>
  </si>
  <si>
    <t>explosion</t>
  </si>
  <si>
    <t>View Range</t>
  </si>
  <si>
    <t>Energy</t>
  </si>
  <si>
    <t>Minrange</t>
  </si>
  <si>
    <t>AbiPWR</t>
  </si>
  <si>
    <t>UnitAbilities:</t>
  </si>
  <si>
    <t>Description</t>
  </si>
  <si>
    <t>A regular stun effect that stops unit movement and abilities</t>
  </si>
  <si>
    <t>Power multiplier</t>
  </si>
  <si>
    <t>Slow</t>
  </si>
  <si>
    <t>An effect that reduces unit movement</t>
  </si>
  <si>
    <t>Knockback</t>
  </si>
  <si>
    <t>Knocks back enemy units</t>
  </si>
  <si>
    <t>Ignition</t>
  </si>
  <si>
    <t>Effect that sets enemy units on fire</t>
  </si>
  <si>
    <t>Ignition (7)</t>
  </si>
  <si>
    <t>Stun (2)</t>
  </si>
  <si>
    <t>Steady Position</t>
  </si>
  <si>
    <t>steadyposition</t>
  </si>
  <si>
    <t>infiltrate</t>
  </si>
  <si>
    <t>Infiltrate Sniper</t>
  </si>
  <si>
    <t>Infiltrate Scout</t>
  </si>
  <si>
    <t>Smoke Grenade</t>
  </si>
  <si>
    <t>Explosive Bolt</t>
  </si>
  <si>
    <t>Flash</t>
  </si>
  <si>
    <t>Blind</t>
  </si>
  <si>
    <t>Blinds enemy units in the reach</t>
  </si>
  <si>
    <t>flash</t>
  </si>
  <si>
    <t>Molotov</t>
  </si>
  <si>
    <t>Stink 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</si>
</sst>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 diagonalUp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ck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Down="1"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24" xfId="0" applyFill="1" applyBorder="1"/>
    <xf numFmtId="0" fontId="0" fillId="5" borderId="25" xfId="0" applyFill="1" applyBorder="1"/>
    <xf numFmtId="0" fontId="0" fillId="0" borderId="1" xfId="0" applyBorder="1" applyAlignment="1">
      <alignment horizontal="center"/>
    </xf>
    <xf numFmtId="0" fontId="1" fillId="4" borderId="2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/>
    <xf numFmtId="0" fontId="1" fillId="4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2" fontId="0" fillId="6" borderId="27" xfId="0" applyNumberFormat="1" applyFill="1" applyBorder="1"/>
    <xf numFmtId="2" fontId="1" fillId="4" borderId="0" xfId="0" applyNumberFormat="1" applyFont="1" applyFill="1"/>
    <xf numFmtId="2" fontId="1" fillId="4" borderId="27" xfId="0" applyNumberFormat="1" applyFont="1" applyFill="1" applyBorder="1"/>
    <xf numFmtId="2" fontId="1" fillId="4" borderId="28" xfId="0" applyNumberFormat="1" applyFont="1" applyFill="1" applyBorder="1"/>
    <xf numFmtId="2" fontId="1" fillId="4" borderId="1" xfId="0" applyNumberFormat="1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1" xfId="0" applyFont="1" applyFill="1" applyBorder="1"/>
    <xf numFmtId="0" fontId="2" fillId="6" borderId="0" xfId="0" applyFont="1" applyFill="1" applyAlignment="1">
      <alignment horizontal="center"/>
    </xf>
    <xf numFmtId="2" fontId="2" fillId="6" borderId="0" xfId="0" applyNumberFormat="1" applyFont="1" applyFill="1"/>
    <xf numFmtId="0" fontId="2" fillId="6" borderId="30" xfId="0" applyFont="1" applyFill="1" applyBorder="1" applyAlignment="1">
      <alignment horizontal="center"/>
    </xf>
    <xf numFmtId="2" fontId="1" fillId="4" borderId="31" xfId="0" applyNumberFormat="1" applyFont="1" applyFill="1" applyBorder="1"/>
    <xf numFmtId="2" fontId="2" fillId="6" borderId="1" xfId="0" applyNumberFormat="1" applyFont="1" applyFill="1" applyBorder="1"/>
    <xf numFmtId="2" fontId="2" fillId="6" borderId="33" xfId="0" applyNumberFormat="1" applyFont="1" applyFill="1" applyBorder="1"/>
    <xf numFmtId="0" fontId="0" fillId="0" borderId="1" xfId="0" applyFill="1" applyBorder="1" applyAlignment="1">
      <alignment horizontal="center"/>
    </xf>
    <xf numFmtId="2" fontId="0" fillId="6" borderId="28" xfId="0" applyNumberFormat="1" applyFill="1" applyBorder="1"/>
    <xf numFmtId="2" fontId="1" fillId="4" borderId="35" xfId="0" applyNumberFormat="1" applyFont="1" applyFill="1" applyBorder="1"/>
    <xf numFmtId="2" fontId="2" fillId="6" borderId="36" xfId="0" applyNumberFormat="1" applyFont="1" applyFill="1" applyBorder="1"/>
    <xf numFmtId="2" fontId="2" fillId="6" borderId="28" xfId="0" applyNumberFormat="1" applyFont="1" applyFill="1" applyBorder="1"/>
    <xf numFmtId="0" fontId="0" fillId="6" borderId="37" xfId="0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4" xfId="0" applyFill="1" applyBorder="1"/>
    <xf numFmtId="0" fontId="0" fillId="0" borderId="34" xfId="0" applyBorder="1"/>
    <xf numFmtId="0" fontId="1" fillId="0" borderId="34" xfId="0" applyFont="1" applyBorder="1"/>
    <xf numFmtId="0" fontId="0" fillId="0" borderId="34" xfId="0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2" fontId="0" fillId="6" borderId="27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5" borderId="42" xfId="0" applyFill="1" applyBorder="1"/>
    <xf numFmtId="0" fontId="0" fillId="5" borderId="43" xfId="0" applyFill="1" applyBorder="1"/>
    <xf numFmtId="0" fontId="0" fillId="3" borderId="3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8" borderId="0" xfId="0" applyFill="1"/>
    <xf numFmtId="0" fontId="0" fillId="2" borderId="50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/>
    <xf numFmtId="2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/>
    <xf numFmtId="2" fontId="1" fillId="11" borderId="1" xfId="0" applyNumberFormat="1" applyFont="1" applyFill="1" applyBorder="1"/>
    <xf numFmtId="2" fontId="0" fillId="2" borderId="9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53" xfId="0" applyBorder="1"/>
    <xf numFmtId="0" fontId="0" fillId="6" borderId="18" xfId="0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" xfId="0" applyNumberFormat="1" applyFill="1" applyBorder="1"/>
    <xf numFmtId="2" fontId="0" fillId="6" borderId="1" xfId="0" applyNumberForma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0" borderId="54" xfId="0" applyBorder="1"/>
    <xf numFmtId="0" fontId="0" fillId="7" borderId="55" xfId="0" applyFill="1" applyBorder="1"/>
    <xf numFmtId="2" fontId="0" fillId="0" borderId="34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8" borderId="0" xfId="0" applyFill="1" applyBorder="1" applyAlignment="1">
      <alignment horizontal="center"/>
    </xf>
    <xf numFmtId="0" fontId="0" fillId="0" borderId="1" xfId="0" applyFill="1" applyBorder="1"/>
    <xf numFmtId="0" fontId="0" fillId="5" borderId="55" xfId="0" applyFill="1" applyBorder="1"/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right"/>
    </xf>
    <xf numFmtId="0" fontId="0" fillId="2" borderId="1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2" fontId="0" fillId="3" borderId="31" xfId="0" applyNumberForma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0" borderId="57" xfId="0" applyBorder="1"/>
    <xf numFmtId="0" fontId="0" fillId="0" borderId="48" xfId="0" applyBorder="1" applyAlignment="1">
      <alignment horizontal="center"/>
    </xf>
    <xf numFmtId="2" fontId="0" fillId="0" borderId="23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0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3" borderId="63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14" borderId="66" xfId="0" applyFill="1" applyBorder="1"/>
    <xf numFmtId="0" fontId="0" fillId="14" borderId="65" xfId="0" applyFill="1" applyBorder="1"/>
    <xf numFmtId="0" fontId="0" fillId="14" borderId="24" xfId="0" applyFill="1" applyBorder="1"/>
    <xf numFmtId="0" fontId="0" fillId="14" borderId="25" xfId="0" applyFill="1" applyBorder="1"/>
    <xf numFmtId="2" fontId="2" fillId="6" borderId="32" xfId="0" applyNumberFormat="1" applyFon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0" fontId="0" fillId="6" borderId="13" xfId="0" applyNumberFormat="1" applyFill="1" applyBorder="1" applyAlignment="1"/>
    <xf numFmtId="2" fontId="0" fillId="0" borderId="13" xfId="0" applyNumberFormat="1" applyBorder="1" applyAlignment="1">
      <alignment horizontal="left"/>
    </xf>
    <xf numFmtId="2" fontId="0" fillId="0" borderId="13" xfId="0" applyNumberFormat="1" applyBorder="1"/>
    <xf numFmtId="0" fontId="0" fillId="0" borderId="51" xfId="0" applyBorder="1"/>
    <xf numFmtId="2" fontId="0" fillId="0" borderId="28" xfId="0" applyNumberFormat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0" fontId="0" fillId="7" borderId="30" xfId="0" applyFill="1" applyBorder="1"/>
    <xf numFmtId="0" fontId="1" fillId="4" borderId="67" xfId="0" applyFont="1" applyFill="1" applyBorder="1"/>
    <xf numFmtId="0" fontId="0" fillId="8" borderId="68" xfId="0" applyFill="1" applyBorder="1"/>
    <xf numFmtId="0" fontId="0" fillId="0" borderId="69" xfId="0" applyBorder="1"/>
    <xf numFmtId="0" fontId="0" fillId="0" borderId="71" xfId="0" applyBorder="1"/>
    <xf numFmtId="0" fontId="0" fillId="0" borderId="70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8" borderId="53" xfId="0" applyFill="1" applyBorder="1" applyAlignment="1">
      <alignment horizontal="left"/>
    </xf>
    <xf numFmtId="0" fontId="0" fillId="8" borderId="75" xfId="0" applyFill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E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16"/>
  <sheetViews>
    <sheetView tabSelected="1" topLeftCell="Q10" zoomScale="70" zoomScaleNormal="70" workbookViewId="0">
      <selection activeCell="R31" sqref="R31"/>
    </sheetView>
  </sheetViews>
  <sheetFormatPr defaultRowHeight="15" x14ac:dyDescent="0.25"/>
  <cols>
    <col min="1" max="1" width="16.42578125" customWidth="1"/>
    <col min="2" max="2" width="18" customWidth="1"/>
    <col min="3" max="3" width="10.7109375" customWidth="1"/>
    <col min="4" max="4" width="13.85546875" customWidth="1"/>
    <col min="5" max="5" width="11.42578125" customWidth="1"/>
    <col min="6" max="6" width="20" customWidth="1"/>
    <col min="7" max="7" width="24.28515625" customWidth="1"/>
    <col min="8" max="8" width="24.5703125" customWidth="1"/>
    <col min="9" max="9" width="21.42578125" customWidth="1"/>
    <col min="10" max="10" width="13.42578125" customWidth="1"/>
    <col min="11" max="11" width="18.5703125" customWidth="1"/>
    <col min="12" max="12" width="20.85546875" customWidth="1"/>
    <col min="13" max="13" width="15.42578125" customWidth="1"/>
    <col min="14" max="14" width="18.7109375" customWidth="1"/>
    <col min="15" max="15" width="23.7109375" customWidth="1"/>
    <col min="16" max="16" width="24" customWidth="1"/>
    <col min="17" max="17" width="22.28515625" customWidth="1"/>
    <col min="18" max="18" width="25.42578125" customWidth="1"/>
    <col min="19" max="19" width="25.28515625" customWidth="1"/>
    <col min="20" max="20" width="27.5703125" customWidth="1"/>
    <col min="21" max="21" width="26.85546875" customWidth="1"/>
    <col min="22" max="22" width="18.140625" customWidth="1"/>
    <col min="23" max="23" width="23.7109375" customWidth="1"/>
    <col min="24" max="24" width="24" customWidth="1"/>
    <col min="25" max="25" width="21" customWidth="1"/>
    <col min="26" max="26" width="19" customWidth="1"/>
    <col min="27" max="27" width="27.140625" customWidth="1"/>
    <col min="28" max="28" width="22.28515625" customWidth="1"/>
    <col min="29" max="29" width="16.42578125" customWidth="1"/>
    <col min="30" max="30" width="15.28515625" customWidth="1"/>
    <col min="31" max="31" width="17.5703125" customWidth="1"/>
  </cols>
  <sheetData>
    <row r="1" spans="1:36" ht="16.5" thickTop="1" thickBot="1" x14ac:dyDescent="0.3">
      <c r="A1" s="29" t="s">
        <v>33</v>
      </c>
      <c r="B1" s="36" t="s">
        <v>0</v>
      </c>
      <c r="C1" s="35" t="s">
        <v>1</v>
      </c>
      <c r="D1" s="82" t="s">
        <v>172</v>
      </c>
      <c r="E1" s="34" t="s">
        <v>2</v>
      </c>
      <c r="F1" s="31" t="s">
        <v>171</v>
      </c>
      <c r="G1" s="31" t="s">
        <v>101</v>
      </c>
      <c r="H1" s="30" t="s">
        <v>102</v>
      </c>
      <c r="I1" s="82" t="s">
        <v>34</v>
      </c>
      <c r="J1" s="31" t="s">
        <v>76</v>
      </c>
      <c r="K1" s="34" t="s">
        <v>4</v>
      </c>
      <c r="L1" s="37" t="s">
        <v>30</v>
      </c>
      <c r="M1" s="33" t="s">
        <v>5</v>
      </c>
      <c r="N1" s="34" t="s">
        <v>126</v>
      </c>
      <c r="Q1" s="25" t="s">
        <v>43</v>
      </c>
      <c r="R1" s="30" t="s">
        <v>33</v>
      </c>
      <c r="S1" s="30" t="s">
        <v>44</v>
      </c>
      <c r="T1" s="30" t="s">
        <v>173</v>
      </c>
      <c r="U1" s="31" t="s">
        <v>129</v>
      </c>
      <c r="V1" s="31" t="s">
        <v>95</v>
      </c>
      <c r="W1" s="31" t="s">
        <v>96</v>
      </c>
      <c r="X1" s="31" t="s">
        <v>97</v>
      </c>
      <c r="Y1" s="31" t="s">
        <v>98</v>
      </c>
      <c r="Z1" s="31" t="s">
        <v>99</v>
      </c>
      <c r="AA1" s="31" t="s">
        <v>3</v>
      </c>
      <c r="AB1" s="31" t="s">
        <v>146</v>
      </c>
      <c r="AC1" s="38" t="s">
        <v>120</v>
      </c>
      <c r="AD1" s="31" t="s">
        <v>108</v>
      </c>
      <c r="AE1" s="107" t="s">
        <v>119</v>
      </c>
      <c r="AF1" s="108" t="s">
        <v>121</v>
      </c>
      <c r="AG1" s="109"/>
      <c r="AH1" s="109"/>
      <c r="AI1" s="109"/>
      <c r="AJ1" s="110"/>
    </row>
    <row r="2" spans="1:36" ht="15.75" thickTop="1" x14ac:dyDescent="0.25">
      <c r="A2" s="26">
        <v>1</v>
      </c>
      <c r="B2" s="2" t="s">
        <v>6</v>
      </c>
      <c r="C2" s="3">
        <v>50</v>
      </c>
      <c r="D2" s="83">
        <v>0</v>
      </c>
      <c r="E2" s="4">
        <v>224</v>
      </c>
      <c r="F2" s="102">
        <v>1024</v>
      </c>
      <c r="G2" s="8">
        <v>20</v>
      </c>
      <c r="H2" s="7">
        <v>0</v>
      </c>
      <c r="I2" s="83" t="str">
        <f>R3</f>
        <v>weapon_pistol</v>
      </c>
      <c r="J2" s="80" t="str">
        <f>Q112</f>
        <v>light</v>
      </c>
      <c r="K2" s="118">
        <v>0.9</v>
      </c>
      <c r="L2" s="102">
        <v>15</v>
      </c>
      <c r="M2" s="144">
        <v>1</v>
      </c>
      <c r="N2" s="150">
        <f t="shared" ref="N2:N31" si="0">F38</f>
        <v>3.4133333333333344</v>
      </c>
      <c r="Q2" s="99" t="s">
        <v>86</v>
      </c>
      <c r="R2" s="28" t="s">
        <v>35</v>
      </c>
      <c r="S2" s="28" t="str">
        <f>Q86</f>
        <v>bullet</v>
      </c>
      <c r="T2" s="100">
        <v>0</v>
      </c>
      <c r="U2" s="183">
        <v>650</v>
      </c>
      <c r="V2" s="28">
        <v>7.0000000000000007E-2</v>
      </c>
      <c r="W2" s="106">
        <v>3</v>
      </c>
      <c r="X2" s="106">
        <v>3</v>
      </c>
      <c r="Y2" s="100">
        <v>0.3</v>
      </c>
      <c r="Z2" s="100">
        <v>0.4</v>
      </c>
      <c r="AA2" s="28">
        <v>1</v>
      </c>
      <c r="AB2" s="28">
        <v>1</v>
      </c>
      <c r="AC2" s="105">
        <f>U2/100*((X2*AA2*AB2)*AC48)/(V2*Z2)</f>
        <v>1392.8571428571427</v>
      </c>
      <c r="AD2" s="105">
        <f>(U2/100)*(X2*AA2*AB2)/(V2*Z2)</f>
        <v>696.42857142857133</v>
      </c>
    </row>
    <row r="3" spans="1:36" x14ac:dyDescent="0.25">
      <c r="A3" s="26">
        <v>2</v>
      </c>
      <c r="B3" s="5" t="s">
        <v>7</v>
      </c>
      <c r="C3" s="6">
        <v>35</v>
      </c>
      <c r="D3" s="84">
        <v>50</v>
      </c>
      <c r="E3" s="7">
        <v>300</v>
      </c>
      <c r="F3" s="8">
        <v>1300</v>
      </c>
      <c r="G3" s="8">
        <v>10</v>
      </c>
      <c r="H3" s="7">
        <v>0</v>
      </c>
      <c r="I3" s="84" t="str">
        <f>R3</f>
        <v>weapon_pistol</v>
      </c>
      <c r="J3" s="80" t="str">
        <f>Q112</f>
        <v>light</v>
      </c>
      <c r="K3" s="80">
        <v>1</v>
      </c>
      <c r="L3" s="8">
        <v>12</v>
      </c>
      <c r="M3" s="8">
        <v>1</v>
      </c>
      <c r="N3" s="151">
        <f t="shared" si="0"/>
        <v>8.9764835858585847</v>
      </c>
      <c r="Q3" s="99" t="s">
        <v>87</v>
      </c>
      <c r="R3" s="28" t="s">
        <v>36</v>
      </c>
      <c r="S3" s="28" t="str">
        <f>Q86</f>
        <v>bullet</v>
      </c>
      <c r="T3" s="100">
        <v>0</v>
      </c>
      <c r="U3" s="183">
        <v>750</v>
      </c>
      <c r="V3" s="28">
        <v>0.5</v>
      </c>
      <c r="W3" s="106">
        <v>1</v>
      </c>
      <c r="X3" s="106">
        <v>1</v>
      </c>
      <c r="Y3" s="100">
        <v>0</v>
      </c>
      <c r="Z3" s="100">
        <v>0</v>
      </c>
      <c r="AA3" s="28">
        <v>1</v>
      </c>
      <c r="AB3" s="28">
        <v>1</v>
      </c>
      <c r="AC3" s="105">
        <f>U3/100*(X3*AA3*AB3)*(AC48/(V3*3))</f>
        <v>10</v>
      </c>
      <c r="AD3" s="105">
        <f>U3/100*(X3*AA3*AB3)/(V3*3)</f>
        <v>5</v>
      </c>
    </row>
    <row r="4" spans="1:36" x14ac:dyDescent="0.25">
      <c r="A4" s="26">
        <v>3</v>
      </c>
      <c r="B4" s="5" t="s">
        <v>9</v>
      </c>
      <c r="C4" s="6">
        <v>50</v>
      </c>
      <c r="D4" s="84">
        <v>0</v>
      </c>
      <c r="E4" s="7">
        <v>210</v>
      </c>
      <c r="F4" s="8">
        <v>800</v>
      </c>
      <c r="G4" s="8">
        <v>10</v>
      </c>
      <c r="H4" s="7">
        <v>1</v>
      </c>
      <c r="I4" s="84">
        <v>0</v>
      </c>
      <c r="J4" s="80" t="str">
        <f>Q112</f>
        <v>light</v>
      </c>
      <c r="K4" s="80">
        <v>1</v>
      </c>
      <c r="L4" s="8">
        <v>12</v>
      </c>
      <c r="M4" s="8">
        <v>1</v>
      </c>
      <c r="N4" s="151">
        <f t="shared" si="0"/>
        <v>1.2152777777777779</v>
      </c>
      <c r="Q4" s="99" t="s">
        <v>88</v>
      </c>
      <c r="R4" s="28" t="s">
        <v>114</v>
      </c>
      <c r="S4" s="28" t="str">
        <f>Q86</f>
        <v>bullet</v>
      </c>
      <c r="T4" s="100">
        <v>0</v>
      </c>
      <c r="U4" s="183">
        <v>500</v>
      </c>
      <c r="V4" s="28">
        <v>0.8</v>
      </c>
      <c r="W4" s="106">
        <v>1</v>
      </c>
      <c r="X4" s="106">
        <v>1</v>
      </c>
      <c r="Y4" s="100">
        <v>0</v>
      </c>
      <c r="Z4" s="100">
        <v>0</v>
      </c>
      <c r="AA4" s="28">
        <v>50</v>
      </c>
      <c r="AB4" s="28">
        <v>10</v>
      </c>
      <c r="AC4" s="105">
        <f>U4/100*(X4*AA4*AB4)*AC48/V4</f>
        <v>6250</v>
      </c>
      <c r="AD4" s="105">
        <f>U4/100*(X4*AA4*AB4)/V4</f>
        <v>3125</v>
      </c>
      <c r="AE4" s="39" t="s">
        <v>119</v>
      </c>
      <c r="AF4" t="s">
        <v>118</v>
      </c>
    </row>
    <row r="5" spans="1:36" x14ac:dyDescent="0.25">
      <c r="A5" s="26">
        <v>4</v>
      </c>
      <c r="B5" s="5" t="s">
        <v>8</v>
      </c>
      <c r="C5" s="6">
        <v>50</v>
      </c>
      <c r="D5" s="84">
        <v>0</v>
      </c>
      <c r="E5" s="7">
        <v>210</v>
      </c>
      <c r="F5" s="8">
        <v>800</v>
      </c>
      <c r="G5" s="8">
        <v>12</v>
      </c>
      <c r="H5" s="7">
        <v>3</v>
      </c>
      <c r="I5" s="84" t="str">
        <f>R2</f>
        <v>weapon_smg1</v>
      </c>
      <c r="J5" s="80" t="str">
        <f>Q112</f>
        <v>light</v>
      </c>
      <c r="K5" s="80">
        <v>0.75</v>
      </c>
      <c r="L5" s="8">
        <v>12</v>
      </c>
      <c r="M5" s="8">
        <v>1</v>
      </c>
      <c r="N5" s="151">
        <f t="shared" si="0"/>
        <v>376.15740740740739</v>
      </c>
      <c r="Q5" s="99" t="s">
        <v>89</v>
      </c>
      <c r="R5" s="28" t="s">
        <v>37</v>
      </c>
      <c r="S5" s="28" t="str">
        <f>Q87</f>
        <v>pulse</v>
      </c>
      <c r="T5" s="100">
        <v>0</v>
      </c>
      <c r="U5" s="183">
        <v>800</v>
      </c>
      <c r="V5" s="28">
        <v>0.1</v>
      </c>
      <c r="W5" s="106">
        <v>3</v>
      </c>
      <c r="X5" s="106">
        <v>3</v>
      </c>
      <c r="Y5" s="100">
        <v>0.4</v>
      </c>
      <c r="Z5" s="100">
        <v>0.6</v>
      </c>
      <c r="AA5" s="28">
        <v>2</v>
      </c>
      <c r="AB5" s="28">
        <v>1</v>
      </c>
      <c r="AC5" s="105">
        <f>U5/100*(X5*AA5*AB5)*AC49/(V5*Z5)</f>
        <v>22400</v>
      </c>
      <c r="AD5" s="105">
        <f>U5/100*(X5*AA5*AB5)/(V5*Z5)</f>
        <v>800</v>
      </c>
    </row>
    <row r="6" spans="1:36" x14ac:dyDescent="0.25">
      <c r="A6" s="26">
        <v>5</v>
      </c>
      <c r="B6" s="5" t="s">
        <v>10</v>
      </c>
      <c r="C6" s="6">
        <v>160</v>
      </c>
      <c r="D6" s="84">
        <v>0</v>
      </c>
      <c r="E6" s="7">
        <v>224</v>
      </c>
      <c r="F6" s="8">
        <v>800</v>
      </c>
      <c r="G6" s="8">
        <v>30</v>
      </c>
      <c r="H6" s="7">
        <v>0</v>
      </c>
      <c r="I6" s="84" t="str">
        <f>R2</f>
        <v>weapon_smg1</v>
      </c>
      <c r="J6" s="80" t="str">
        <f>Q113</f>
        <v>medium</v>
      </c>
      <c r="K6" s="80">
        <v>1</v>
      </c>
      <c r="L6" s="8">
        <v>22</v>
      </c>
      <c r="M6" s="8">
        <v>2</v>
      </c>
      <c r="N6" s="151">
        <f t="shared" si="0"/>
        <v>7529.4117647058802</v>
      </c>
      <c r="Q6" s="99" t="s">
        <v>90</v>
      </c>
      <c r="R6" s="28" t="s">
        <v>42</v>
      </c>
      <c r="S6" s="28" t="str">
        <f>Q93</f>
        <v>plasma</v>
      </c>
      <c r="T6" s="100">
        <v>500</v>
      </c>
      <c r="U6" s="183">
        <v>1470</v>
      </c>
      <c r="V6" s="100">
        <v>2</v>
      </c>
      <c r="W6" s="106">
        <v>1</v>
      </c>
      <c r="X6" s="106">
        <v>1</v>
      </c>
      <c r="Y6" s="100">
        <v>0</v>
      </c>
      <c r="Z6" s="100">
        <v>0</v>
      </c>
      <c r="AA6" s="28">
        <v>100</v>
      </c>
      <c r="AB6" s="28">
        <v>1</v>
      </c>
      <c r="AC6" s="105">
        <f>U6/100*(X6*AA6*AB6)*AC50/V6</f>
        <v>31237.5</v>
      </c>
      <c r="AD6" s="105">
        <f>U6/100*(X6*AA6*AB6)/V6</f>
        <v>735</v>
      </c>
    </row>
    <row r="7" spans="1:36" x14ac:dyDescent="0.25">
      <c r="A7" s="26">
        <v>6</v>
      </c>
      <c r="B7" s="5" t="s">
        <v>11</v>
      </c>
      <c r="C7" s="6">
        <v>160</v>
      </c>
      <c r="D7" s="84">
        <v>0</v>
      </c>
      <c r="E7" s="7">
        <v>250</v>
      </c>
      <c r="F7" s="8">
        <v>800</v>
      </c>
      <c r="G7" s="8">
        <v>30</v>
      </c>
      <c r="H7" s="7">
        <v>5</v>
      </c>
      <c r="I7" s="84" t="str">
        <f>R4</f>
        <v>weapon_shotgun</v>
      </c>
      <c r="J7" s="80" t="str">
        <f>Q113</f>
        <v>medium</v>
      </c>
      <c r="K7" s="80">
        <v>1</v>
      </c>
      <c r="L7" s="8">
        <v>22</v>
      </c>
      <c r="M7" s="8">
        <v>2</v>
      </c>
      <c r="N7" s="151">
        <f t="shared" si="0"/>
        <v>34399.724802201577</v>
      </c>
      <c r="Q7" s="99" t="s">
        <v>91</v>
      </c>
      <c r="R7" s="28" t="s">
        <v>41</v>
      </c>
      <c r="S7" s="28" t="str">
        <f>Q98</f>
        <v>shock</v>
      </c>
      <c r="T7" s="100">
        <v>0</v>
      </c>
      <c r="U7" s="183">
        <v>55</v>
      </c>
      <c r="V7" s="100">
        <v>1</v>
      </c>
      <c r="W7" s="106">
        <v>1</v>
      </c>
      <c r="X7" s="106">
        <v>1</v>
      </c>
      <c r="Y7" s="100">
        <v>0</v>
      </c>
      <c r="Z7" s="100">
        <v>0</v>
      </c>
      <c r="AA7" s="28">
        <v>15</v>
      </c>
      <c r="AB7" s="28" t="s">
        <v>186</v>
      </c>
      <c r="AC7" s="105">
        <f>U7/100*(X7*AA7*2)*1/V7</f>
        <v>16.5</v>
      </c>
      <c r="AD7" s="105">
        <f>U7/100*(X7*AA7*2)/V7</f>
        <v>16.5</v>
      </c>
    </row>
    <row r="8" spans="1:36" x14ac:dyDescent="0.25">
      <c r="A8" s="26">
        <v>7</v>
      </c>
      <c r="B8" s="5" t="s">
        <v>12</v>
      </c>
      <c r="C8" s="6">
        <v>160</v>
      </c>
      <c r="D8" s="84">
        <v>0</v>
      </c>
      <c r="E8" s="7">
        <v>182</v>
      </c>
      <c r="F8" s="8">
        <v>1040</v>
      </c>
      <c r="G8" s="8">
        <v>35</v>
      </c>
      <c r="H8" s="7">
        <v>10</v>
      </c>
      <c r="I8" s="84" t="str">
        <f>R5</f>
        <v>weapon_ar2</v>
      </c>
      <c r="J8" s="80" t="str">
        <f>Q113</f>
        <v>medium</v>
      </c>
      <c r="K8" s="80">
        <v>1</v>
      </c>
      <c r="L8" s="8">
        <v>22</v>
      </c>
      <c r="M8" s="8">
        <v>2</v>
      </c>
      <c r="N8" s="151">
        <f t="shared" si="0"/>
        <v>99265.367281240848</v>
      </c>
      <c r="Q8" s="99" t="s">
        <v>92</v>
      </c>
      <c r="R8" s="28" t="s">
        <v>38</v>
      </c>
      <c r="S8" s="28" t="str">
        <f>Q93</f>
        <v>plasma</v>
      </c>
      <c r="T8" s="100">
        <v>320</v>
      </c>
      <c r="U8" s="183">
        <v>1100</v>
      </c>
      <c r="V8" s="100">
        <v>2</v>
      </c>
      <c r="W8" s="106">
        <v>1</v>
      </c>
      <c r="X8" s="106">
        <v>1</v>
      </c>
      <c r="Y8" s="100">
        <v>0</v>
      </c>
      <c r="Z8" s="100">
        <v>0</v>
      </c>
      <c r="AA8" s="28">
        <v>160</v>
      </c>
      <c r="AB8" s="28">
        <v>1</v>
      </c>
      <c r="AC8" s="105">
        <f>U8/100*(X8*AA8*AB8)*AC50/V8</f>
        <v>37400</v>
      </c>
      <c r="AD8" s="105">
        <f>U8/100*(X8*AA8*AB8)/V8</f>
        <v>880</v>
      </c>
    </row>
    <row r="9" spans="1:36" x14ac:dyDescent="0.25">
      <c r="A9" s="26">
        <v>8</v>
      </c>
      <c r="B9" s="5" t="s">
        <v>31</v>
      </c>
      <c r="C9" s="6">
        <v>160</v>
      </c>
      <c r="D9" s="84">
        <v>100</v>
      </c>
      <c r="E9" s="7">
        <v>220</v>
      </c>
      <c r="F9" s="8">
        <v>900</v>
      </c>
      <c r="G9" s="8">
        <v>15</v>
      </c>
      <c r="H9" s="7">
        <v>10</v>
      </c>
      <c r="I9" s="84" t="str">
        <f>R3</f>
        <v>weapon_pistol</v>
      </c>
      <c r="J9" s="80" t="str">
        <f>Q113</f>
        <v>medium</v>
      </c>
      <c r="K9" s="80">
        <v>1</v>
      </c>
      <c r="L9" s="8">
        <v>22</v>
      </c>
      <c r="M9" s="8">
        <v>2</v>
      </c>
      <c r="N9" s="151">
        <f t="shared" si="0"/>
        <v>66.082603254067578</v>
      </c>
      <c r="Q9" s="99" t="s">
        <v>93</v>
      </c>
      <c r="R9" s="28" t="s">
        <v>40</v>
      </c>
      <c r="S9" s="28" t="str">
        <f>Q102</f>
        <v>fire</v>
      </c>
      <c r="T9" s="100">
        <v>0</v>
      </c>
      <c r="U9" s="183">
        <v>350</v>
      </c>
      <c r="V9" s="100">
        <v>0.1</v>
      </c>
      <c r="W9" s="106">
        <v>3</v>
      </c>
      <c r="X9" s="106">
        <v>5</v>
      </c>
      <c r="Y9" s="100">
        <v>0.4</v>
      </c>
      <c r="Z9" s="100">
        <v>0.6</v>
      </c>
      <c r="AA9" s="28">
        <v>2</v>
      </c>
      <c r="AB9" s="28" t="s">
        <v>185</v>
      </c>
      <c r="AC9" s="105">
        <f>U9/100*(X9*AA9*2)*AC52/V9</f>
        <v>19600</v>
      </c>
      <c r="AD9" s="105">
        <f>U9/100*(X9*AA9*2)/V9</f>
        <v>700</v>
      </c>
    </row>
    <row r="10" spans="1:36" x14ac:dyDescent="0.25">
      <c r="A10" s="26">
        <v>9</v>
      </c>
      <c r="B10" s="5" t="s">
        <v>32</v>
      </c>
      <c r="C10" s="6">
        <v>120</v>
      </c>
      <c r="D10" s="84">
        <v>0</v>
      </c>
      <c r="E10" s="7">
        <v>192</v>
      </c>
      <c r="F10" s="8">
        <v>1000</v>
      </c>
      <c r="G10" s="8">
        <v>40</v>
      </c>
      <c r="H10" s="7">
        <v>30</v>
      </c>
      <c r="I10" s="84" t="str">
        <f>R8</f>
        <v>weapon_crossbow</v>
      </c>
      <c r="J10" s="80" t="str">
        <f>Q114</f>
        <v>heavy</v>
      </c>
      <c r="K10" s="80">
        <v>1</v>
      </c>
      <c r="L10" s="8">
        <v>35</v>
      </c>
      <c r="M10" s="8">
        <v>3</v>
      </c>
      <c r="N10" s="151">
        <f t="shared" si="0"/>
        <v>55827.405247813418</v>
      </c>
      <c r="Q10" s="99" t="s">
        <v>94</v>
      </c>
      <c r="R10" s="59" t="s">
        <v>39</v>
      </c>
      <c r="S10" s="28" t="s">
        <v>58</v>
      </c>
      <c r="T10" s="100">
        <v>196</v>
      </c>
      <c r="U10" s="183">
        <v>1100</v>
      </c>
      <c r="V10" s="100">
        <v>3.5</v>
      </c>
      <c r="W10" s="106">
        <v>1</v>
      </c>
      <c r="X10" s="106">
        <v>1</v>
      </c>
      <c r="Y10" s="100">
        <v>0</v>
      </c>
      <c r="Z10" s="100">
        <v>0</v>
      </c>
      <c r="AA10" s="28">
        <v>130</v>
      </c>
      <c r="AB10" s="28">
        <v>1</v>
      </c>
      <c r="AC10" s="105">
        <f>U10/100*(X10*AA10*AB10)*AC53/V10</f>
        <v>18385.714285714286</v>
      </c>
      <c r="AD10" s="105">
        <f>U10/100*(X10*AA10*AB10)/V10</f>
        <v>408.57142857142856</v>
      </c>
    </row>
    <row r="11" spans="1:36" x14ac:dyDescent="0.25">
      <c r="A11" s="26">
        <v>10</v>
      </c>
      <c r="B11" s="5" t="s">
        <v>13</v>
      </c>
      <c r="C11" s="6">
        <v>240</v>
      </c>
      <c r="D11" s="84">
        <v>0</v>
      </c>
      <c r="E11" s="7">
        <v>157</v>
      </c>
      <c r="F11" s="7">
        <v>900</v>
      </c>
      <c r="G11" s="7">
        <v>40</v>
      </c>
      <c r="H11" s="7">
        <v>40</v>
      </c>
      <c r="I11" s="84" t="str">
        <f>R10</f>
        <v>weapon_rpg</v>
      </c>
      <c r="J11" s="80" t="str">
        <f>Q113</f>
        <v>medium</v>
      </c>
      <c r="K11" s="80">
        <v>1</v>
      </c>
      <c r="L11" s="8">
        <v>45</v>
      </c>
      <c r="M11" s="8">
        <v>3</v>
      </c>
      <c r="N11" s="151">
        <f t="shared" si="0"/>
        <v>73352.510924369737</v>
      </c>
    </row>
    <row r="12" spans="1:36" x14ac:dyDescent="0.25">
      <c r="A12" s="26">
        <v>11</v>
      </c>
      <c r="B12" s="5" t="s">
        <v>14</v>
      </c>
      <c r="C12" s="6">
        <v>325</v>
      </c>
      <c r="D12" s="84">
        <v>0</v>
      </c>
      <c r="E12" s="7">
        <v>251</v>
      </c>
      <c r="F12" s="8">
        <v>700</v>
      </c>
      <c r="G12" s="8">
        <v>40</v>
      </c>
      <c r="H12" s="7">
        <v>25</v>
      </c>
      <c r="I12" s="84" t="str">
        <f>R9</f>
        <v>weapon_flamer</v>
      </c>
      <c r="J12" s="80" t="str">
        <f>Q114</f>
        <v>heavy</v>
      </c>
      <c r="K12" s="80">
        <v>1</v>
      </c>
      <c r="L12" s="8">
        <v>38</v>
      </c>
      <c r="M12" s="8">
        <v>3</v>
      </c>
      <c r="N12" s="151">
        <f t="shared" si="0"/>
        <v>221757.28155339806</v>
      </c>
      <c r="O12" s="39"/>
      <c r="Q12" s="25" t="s">
        <v>138</v>
      </c>
      <c r="R12" s="38" t="s">
        <v>33</v>
      </c>
      <c r="S12" s="38" t="s">
        <v>44</v>
      </c>
      <c r="T12" s="30" t="s">
        <v>173</v>
      </c>
      <c r="U12" s="38" t="s">
        <v>129</v>
      </c>
      <c r="V12" s="38" t="s">
        <v>130</v>
      </c>
      <c r="W12" s="38" t="s">
        <v>96</v>
      </c>
      <c r="X12" s="38" t="s">
        <v>97</v>
      </c>
      <c r="Y12" s="38" t="s">
        <v>98</v>
      </c>
      <c r="Z12" s="38" t="s">
        <v>99</v>
      </c>
      <c r="AA12" s="38" t="s">
        <v>3</v>
      </c>
      <c r="AB12" s="38" t="s">
        <v>146</v>
      </c>
      <c r="AC12" s="38" t="s">
        <v>120</v>
      </c>
      <c r="AD12" s="38" t="s">
        <v>108</v>
      </c>
      <c r="AF12" t="s">
        <v>139</v>
      </c>
    </row>
    <row r="13" spans="1:36" x14ac:dyDescent="0.25">
      <c r="A13" s="26">
        <v>12</v>
      </c>
      <c r="B13" s="5" t="s">
        <v>15</v>
      </c>
      <c r="C13" s="6">
        <v>60</v>
      </c>
      <c r="D13" s="84">
        <v>100</v>
      </c>
      <c r="E13" s="7">
        <v>230</v>
      </c>
      <c r="F13" s="8">
        <v>1000</v>
      </c>
      <c r="G13" s="8">
        <v>20</v>
      </c>
      <c r="H13" s="7">
        <v>20</v>
      </c>
      <c r="I13" s="84" t="str">
        <f>R3</f>
        <v>weapon_pistol</v>
      </c>
      <c r="J13" s="80" t="str">
        <f>Q113</f>
        <v>medium</v>
      </c>
      <c r="K13" s="80">
        <v>1</v>
      </c>
      <c r="L13" s="8">
        <v>22</v>
      </c>
      <c r="M13" s="8">
        <v>3</v>
      </c>
      <c r="N13" s="151">
        <f t="shared" si="0"/>
        <v>32.732447817836807</v>
      </c>
      <c r="Q13" s="99" t="s">
        <v>131</v>
      </c>
      <c r="R13" s="134"/>
      <c r="S13" s="167" t="str">
        <f>Q98</f>
        <v>shock</v>
      </c>
      <c r="T13" s="100">
        <v>0</v>
      </c>
      <c r="U13" s="183">
        <v>700</v>
      </c>
      <c r="V13" s="100">
        <v>2</v>
      </c>
      <c r="W13" s="73"/>
      <c r="X13" s="73"/>
      <c r="Y13" s="73"/>
      <c r="Z13" s="73"/>
      <c r="AA13" s="28">
        <v>30</v>
      </c>
      <c r="AB13" s="28" t="s">
        <v>158</v>
      </c>
      <c r="AC13" s="137"/>
      <c r="AD13" s="137">
        <f>(U13/100)*(AA13/V13)*3</f>
        <v>315</v>
      </c>
      <c r="AF13" t="s">
        <v>141</v>
      </c>
    </row>
    <row r="14" spans="1:36" x14ac:dyDescent="0.25">
      <c r="A14" s="26">
        <v>13</v>
      </c>
      <c r="B14" s="5" t="s">
        <v>16</v>
      </c>
      <c r="C14" s="6">
        <v>320</v>
      </c>
      <c r="D14" s="84">
        <v>200</v>
      </c>
      <c r="E14" s="7">
        <v>245</v>
      </c>
      <c r="F14" s="8">
        <v>1200</v>
      </c>
      <c r="G14" s="8">
        <v>70</v>
      </c>
      <c r="H14" s="7">
        <v>55</v>
      </c>
      <c r="I14" s="84" t="str">
        <f>Q13</f>
        <v>Vortigaunt Beam</v>
      </c>
      <c r="J14" s="7" t="str">
        <f>Q48</f>
        <v>creature</v>
      </c>
      <c r="K14" s="80">
        <v>1</v>
      </c>
      <c r="L14" s="8">
        <v>40</v>
      </c>
      <c r="M14" s="8">
        <v>3</v>
      </c>
      <c r="N14" s="151">
        <f t="shared" si="0"/>
        <v>1320.6417112299468</v>
      </c>
      <c r="Q14" s="99" t="s">
        <v>132</v>
      </c>
      <c r="R14" s="134"/>
      <c r="S14" s="167">
        <v>1</v>
      </c>
      <c r="T14" s="100">
        <v>0</v>
      </c>
      <c r="U14" s="183">
        <v>55</v>
      </c>
      <c r="V14" s="100">
        <v>2</v>
      </c>
      <c r="W14" s="73"/>
      <c r="X14" s="73"/>
      <c r="Y14" s="73"/>
      <c r="Z14" s="73"/>
      <c r="AA14" s="28">
        <v>4</v>
      </c>
      <c r="AB14" s="28">
        <v>1</v>
      </c>
      <c r="AC14" s="137"/>
      <c r="AD14" s="137">
        <f>AA14*(U14/(V14*100))</f>
        <v>1.1000000000000001</v>
      </c>
    </row>
    <row r="15" spans="1:36" ht="15.75" thickBot="1" x14ac:dyDescent="0.3">
      <c r="A15" s="26">
        <v>14</v>
      </c>
      <c r="B15" s="147" t="s">
        <v>17</v>
      </c>
      <c r="C15" s="9">
        <v>1900</v>
      </c>
      <c r="D15" s="85">
        <v>100</v>
      </c>
      <c r="E15" s="10">
        <v>350</v>
      </c>
      <c r="F15" s="11">
        <v>750</v>
      </c>
      <c r="G15" s="11">
        <v>90</v>
      </c>
      <c r="H15" s="10">
        <v>90</v>
      </c>
      <c r="I15" s="85" t="str">
        <f>Q16</f>
        <v>Dog Fists</v>
      </c>
      <c r="J15" s="10" t="str">
        <f>Q57</f>
        <v>metal</v>
      </c>
      <c r="K15" s="119">
        <v>1</v>
      </c>
      <c r="L15" s="11">
        <v>90</v>
      </c>
      <c r="M15" s="11">
        <v>3</v>
      </c>
      <c r="N15" s="152">
        <f t="shared" si="0"/>
        <v>219907.40740740733</v>
      </c>
      <c r="Q15" s="99" t="s">
        <v>133</v>
      </c>
      <c r="R15" s="134"/>
      <c r="S15" s="167" t="str">
        <f>Q101</f>
        <v>burn</v>
      </c>
      <c r="T15" s="100">
        <v>0</v>
      </c>
      <c r="U15" s="183">
        <v>820</v>
      </c>
      <c r="V15" s="100">
        <v>1</v>
      </c>
      <c r="W15" s="73"/>
      <c r="X15" s="73"/>
      <c r="Y15" s="73"/>
      <c r="Z15" s="73"/>
      <c r="AA15" s="28">
        <v>10</v>
      </c>
      <c r="AB15" s="28">
        <v>1</v>
      </c>
      <c r="AC15" s="137"/>
      <c r="AD15" s="138">
        <f>(AA15+1)*U15/V15/100</f>
        <v>90.2</v>
      </c>
    </row>
    <row r="16" spans="1:36" ht="15.75" thickTop="1" x14ac:dyDescent="0.25">
      <c r="A16" s="26">
        <v>15</v>
      </c>
      <c r="B16" s="12" t="s">
        <v>19</v>
      </c>
      <c r="C16" s="13">
        <v>150</v>
      </c>
      <c r="D16" s="86">
        <v>0</v>
      </c>
      <c r="E16" s="14">
        <v>95</v>
      </c>
      <c r="F16" s="15">
        <v>1024</v>
      </c>
      <c r="G16" s="15">
        <v>20</v>
      </c>
      <c r="H16" s="14">
        <v>0</v>
      </c>
      <c r="I16" s="86" t="str">
        <f>Q15</f>
        <v>Stalker Beam</v>
      </c>
      <c r="J16" s="120" t="str">
        <f>Q112</f>
        <v>light</v>
      </c>
      <c r="K16" s="120">
        <v>1</v>
      </c>
      <c r="L16" s="15">
        <v>12</v>
      </c>
      <c r="M16" s="15">
        <v>1</v>
      </c>
      <c r="N16" s="150">
        <f t="shared" si="0"/>
        <v>47.605555555555554</v>
      </c>
      <c r="Q16" s="99" t="s">
        <v>134</v>
      </c>
      <c r="R16" s="134"/>
      <c r="S16" s="184">
        <v>1</v>
      </c>
      <c r="T16" s="100">
        <v>0</v>
      </c>
      <c r="U16" s="183">
        <v>90</v>
      </c>
      <c r="V16" s="100">
        <v>1.35</v>
      </c>
      <c r="W16" s="73"/>
      <c r="X16" s="73"/>
      <c r="Y16" s="73"/>
      <c r="Z16" s="73"/>
      <c r="AA16" s="28">
        <v>50</v>
      </c>
      <c r="AB16" s="136">
        <v>1</v>
      </c>
      <c r="AC16" s="137"/>
      <c r="AD16" s="137">
        <f>AA16*U16/V16/100</f>
        <v>33.333333333333329</v>
      </c>
    </row>
    <row r="17" spans="1:30" x14ac:dyDescent="0.25">
      <c r="A17" s="26">
        <v>16</v>
      </c>
      <c r="B17" s="16" t="s">
        <v>20</v>
      </c>
      <c r="C17" s="17">
        <v>50</v>
      </c>
      <c r="D17" s="87">
        <v>0</v>
      </c>
      <c r="E17" s="18">
        <v>240</v>
      </c>
      <c r="F17" s="19">
        <v>900</v>
      </c>
      <c r="G17" s="19">
        <v>5</v>
      </c>
      <c r="H17" s="18">
        <v>0</v>
      </c>
      <c r="I17" s="87" t="str">
        <f>Q14</f>
        <v>Fists</v>
      </c>
      <c r="J17" s="81" t="str">
        <f>Q112</f>
        <v>light</v>
      </c>
      <c r="K17" s="81">
        <v>1</v>
      </c>
      <c r="L17" s="19">
        <v>8</v>
      </c>
      <c r="M17" s="19">
        <v>1</v>
      </c>
      <c r="N17" s="151">
        <f t="shared" si="0"/>
        <v>1.0576923076923077</v>
      </c>
      <c r="Q17" s="99" t="s">
        <v>135</v>
      </c>
      <c r="R17" s="134"/>
      <c r="S17" s="167" t="str">
        <f>Q87</f>
        <v>pulse</v>
      </c>
      <c r="T17" s="100">
        <v>0</v>
      </c>
      <c r="U17" s="183">
        <v>550</v>
      </c>
      <c r="V17" s="100">
        <v>0.1</v>
      </c>
      <c r="W17" s="28">
        <v>10</v>
      </c>
      <c r="X17" s="136">
        <v>10</v>
      </c>
      <c r="Y17" s="28">
        <v>1.1000000000000001</v>
      </c>
      <c r="Z17" s="28">
        <v>1.3</v>
      </c>
      <c r="AA17" s="28">
        <v>10</v>
      </c>
      <c r="AB17" s="136">
        <v>1</v>
      </c>
      <c r="AC17" s="137"/>
      <c r="AD17" s="137">
        <f>U17/100*(V17*X17*AA17*(AB17/Z17))</f>
        <v>42.307692307692307</v>
      </c>
    </row>
    <row r="18" spans="1:30" x14ac:dyDescent="0.25">
      <c r="A18" s="26">
        <v>17</v>
      </c>
      <c r="B18" s="20" t="s">
        <v>21</v>
      </c>
      <c r="C18" s="17">
        <v>150</v>
      </c>
      <c r="D18" s="87">
        <v>0</v>
      </c>
      <c r="E18" s="18">
        <v>260</v>
      </c>
      <c r="F18" s="19">
        <v>800</v>
      </c>
      <c r="G18" s="19">
        <v>20</v>
      </c>
      <c r="H18" s="18">
        <v>0</v>
      </c>
      <c r="I18" s="87" t="str">
        <f>R7</f>
        <v>weapon_stunstick</v>
      </c>
      <c r="J18" s="81" t="str">
        <f>Q112</f>
        <v>light</v>
      </c>
      <c r="K18" s="81">
        <v>1</v>
      </c>
      <c r="L18" s="19">
        <v>17</v>
      </c>
      <c r="M18" s="19">
        <v>1</v>
      </c>
      <c r="N18" s="151">
        <f t="shared" si="0"/>
        <v>16.103603603603602</v>
      </c>
      <c r="Q18" s="99" t="s">
        <v>137</v>
      </c>
      <c r="R18" s="134"/>
      <c r="S18" s="184" t="str">
        <f>Q79</f>
        <v>slash</v>
      </c>
      <c r="T18" s="100">
        <v>0</v>
      </c>
      <c r="U18" s="183">
        <v>64</v>
      </c>
      <c r="V18" s="100">
        <v>1.5</v>
      </c>
      <c r="W18" s="73"/>
      <c r="X18" s="73"/>
      <c r="Y18" s="73"/>
      <c r="Z18" s="73"/>
      <c r="AA18" s="28">
        <v>70</v>
      </c>
      <c r="AB18" s="136">
        <v>1</v>
      </c>
      <c r="AC18" s="137"/>
      <c r="AD18" s="137">
        <f>(U18/100)*AA18*(AB18/V18)</f>
        <v>29.866666666666667</v>
      </c>
    </row>
    <row r="19" spans="1:30" x14ac:dyDescent="0.25">
      <c r="A19" s="26">
        <v>18</v>
      </c>
      <c r="B19" s="20" t="s">
        <v>22</v>
      </c>
      <c r="C19" s="17">
        <v>180</v>
      </c>
      <c r="D19" s="87">
        <v>0</v>
      </c>
      <c r="E19" s="18">
        <v>211</v>
      </c>
      <c r="F19" s="19">
        <v>1005</v>
      </c>
      <c r="G19" s="19">
        <v>20</v>
      </c>
      <c r="H19" s="18">
        <v>1</v>
      </c>
      <c r="I19" s="87" t="str">
        <f>R3</f>
        <v>weapon_pistol</v>
      </c>
      <c r="J19" s="81" t="str">
        <f>Q112</f>
        <v>light</v>
      </c>
      <c r="K19" s="81">
        <v>1</v>
      </c>
      <c r="L19" s="19">
        <v>17</v>
      </c>
      <c r="M19" s="19">
        <v>1</v>
      </c>
      <c r="N19" s="151">
        <f t="shared" si="0"/>
        <v>11.62582236842105</v>
      </c>
      <c r="Q19" s="99" t="s">
        <v>136</v>
      </c>
      <c r="R19" s="134"/>
      <c r="S19" s="167" t="s">
        <v>46</v>
      </c>
      <c r="T19" s="100">
        <v>0</v>
      </c>
      <c r="U19" s="183">
        <v>950</v>
      </c>
      <c r="V19" s="100">
        <v>0.1</v>
      </c>
      <c r="W19" s="28">
        <v>1</v>
      </c>
      <c r="X19" s="28">
        <v>1</v>
      </c>
      <c r="Y19" s="135"/>
      <c r="Z19" s="135"/>
      <c r="AA19" s="28">
        <v>6</v>
      </c>
      <c r="AB19" s="28">
        <v>1</v>
      </c>
      <c r="AC19" s="137"/>
      <c r="AD19" s="137">
        <f>U19/100/V19*AA19*AB19</f>
        <v>570</v>
      </c>
    </row>
    <row r="20" spans="1:30" x14ac:dyDescent="0.25">
      <c r="A20" s="26">
        <v>19</v>
      </c>
      <c r="B20" s="20" t="s">
        <v>23</v>
      </c>
      <c r="C20" s="17">
        <v>180</v>
      </c>
      <c r="D20" s="87">
        <v>0</v>
      </c>
      <c r="E20" s="18">
        <v>211</v>
      </c>
      <c r="F20" s="19">
        <v>821</v>
      </c>
      <c r="G20" s="19">
        <v>25</v>
      </c>
      <c r="H20" s="18">
        <v>5</v>
      </c>
      <c r="I20" s="87" t="str">
        <f>R2</f>
        <v>weapon_smg1</v>
      </c>
      <c r="J20" s="81" t="str">
        <f>Q112</f>
        <v>light</v>
      </c>
      <c r="K20" s="81">
        <v>1</v>
      </c>
      <c r="L20" s="19">
        <v>17</v>
      </c>
      <c r="M20" s="19">
        <v>1</v>
      </c>
      <c r="N20" s="151">
        <f t="shared" si="0"/>
        <v>1069.5303001519753</v>
      </c>
      <c r="Q20" s="140" t="s">
        <v>151</v>
      </c>
      <c r="R20" s="141"/>
      <c r="S20" s="167" t="str">
        <f>Q79</f>
        <v>slash</v>
      </c>
      <c r="T20" s="100">
        <v>0</v>
      </c>
      <c r="U20" s="159">
        <v>0.1</v>
      </c>
      <c r="V20" s="28">
        <v>0.4</v>
      </c>
      <c r="W20" s="75"/>
      <c r="X20" s="75"/>
      <c r="Y20" s="75"/>
      <c r="Z20" s="75"/>
      <c r="AA20" s="28">
        <v>3</v>
      </c>
      <c r="AB20" s="28">
        <v>1</v>
      </c>
      <c r="AC20" s="137">
        <f>AD20*T79+T80</f>
        <v>10.225</v>
      </c>
      <c r="AD20" s="137">
        <f>U20/100/V20*AA20</f>
        <v>7.4999999999999997E-3</v>
      </c>
    </row>
    <row r="21" spans="1:30" x14ac:dyDescent="0.25">
      <c r="A21" s="26">
        <v>20</v>
      </c>
      <c r="B21" s="20" t="s">
        <v>18</v>
      </c>
      <c r="C21" s="17">
        <v>240</v>
      </c>
      <c r="D21" s="87">
        <v>0</v>
      </c>
      <c r="E21" s="18">
        <v>216</v>
      </c>
      <c r="F21" s="19">
        <v>800</v>
      </c>
      <c r="G21" s="19">
        <v>40</v>
      </c>
      <c r="H21" s="18">
        <v>0</v>
      </c>
      <c r="I21" s="87" t="str">
        <f>R2</f>
        <v>weapon_smg1</v>
      </c>
      <c r="J21" s="81" t="str">
        <f>Q113</f>
        <v>medium</v>
      </c>
      <c r="K21" s="81">
        <v>1</v>
      </c>
      <c r="L21" s="19">
        <v>23</v>
      </c>
      <c r="M21" s="19">
        <v>2</v>
      </c>
      <c r="N21" s="151">
        <f t="shared" si="0"/>
        <v>8989.195678271306</v>
      </c>
      <c r="Q21" s="140" t="s">
        <v>84</v>
      </c>
      <c r="R21" s="141"/>
      <c r="S21" s="167" t="s">
        <v>48</v>
      </c>
      <c r="T21" s="100">
        <v>0</v>
      </c>
      <c r="U21" s="185">
        <v>0.1</v>
      </c>
      <c r="V21" s="142">
        <v>1</v>
      </c>
      <c r="W21" s="73"/>
      <c r="X21" s="73"/>
      <c r="Y21" s="73"/>
      <c r="Z21" s="73"/>
      <c r="AA21" s="59">
        <v>4</v>
      </c>
      <c r="AB21" s="59" t="s">
        <v>158</v>
      </c>
      <c r="AC21" s="137">
        <f>AD21*X98</f>
        <v>0.14400000000000002</v>
      </c>
      <c r="AD21" s="99">
        <f>AA21*(U21/100)*3</f>
        <v>1.2E-2</v>
      </c>
    </row>
    <row r="22" spans="1:30" x14ac:dyDescent="0.25">
      <c r="A22" s="26">
        <v>21</v>
      </c>
      <c r="B22" s="20" t="s">
        <v>24</v>
      </c>
      <c r="C22" s="17">
        <v>240</v>
      </c>
      <c r="D22" s="87">
        <v>0</v>
      </c>
      <c r="E22" s="18">
        <v>247</v>
      </c>
      <c r="F22" s="19">
        <v>800</v>
      </c>
      <c r="G22" s="19">
        <v>45</v>
      </c>
      <c r="H22" s="18">
        <v>5</v>
      </c>
      <c r="I22" s="87" t="str">
        <f>R4</f>
        <v>weapon_shotgun</v>
      </c>
      <c r="J22" s="81" t="str">
        <f>Q113</f>
        <v>medium</v>
      </c>
      <c r="K22" s="81">
        <v>1</v>
      </c>
      <c r="L22" s="19">
        <v>23</v>
      </c>
      <c r="M22" s="19">
        <v>2</v>
      </c>
      <c r="N22" s="151">
        <f t="shared" si="0"/>
        <v>39806.607574536654</v>
      </c>
    </row>
    <row r="23" spans="1:30" x14ac:dyDescent="0.25">
      <c r="A23" s="26">
        <v>22</v>
      </c>
      <c r="B23" s="20" t="s">
        <v>25</v>
      </c>
      <c r="C23" s="17">
        <v>240</v>
      </c>
      <c r="D23" s="87">
        <v>0</v>
      </c>
      <c r="E23" s="18">
        <v>180</v>
      </c>
      <c r="F23" s="19">
        <v>900</v>
      </c>
      <c r="G23" s="19">
        <v>50</v>
      </c>
      <c r="H23" s="18">
        <v>10</v>
      </c>
      <c r="I23" s="87" t="str">
        <f>R5</f>
        <v>weapon_ar2</v>
      </c>
      <c r="J23" s="81" t="str">
        <f>Q113</f>
        <v>medium</v>
      </c>
      <c r="K23" s="81">
        <v>1</v>
      </c>
      <c r="L23" s="19">
        <v>23</v>
      </c>
      <c r="M23" s="19">
        <v>2</v>
      </c>
      <c r="N23" s="151">
        <f t="shared" si="0"/>
        <v>102871.72218284904</v>
      </c>
      <c r="Q23" s="25" t="s">
        <v>142</v>
      </c>
      <c r="R23" s="38" t="s">
        <v>33</v>
      </c>
      <c r="S23" s="38" t="s">
        <v>44</v>
      </c>
      <c r="T23" s="30" t="s">
        <v>173</v>
      </c>
      <c r="U23" s="38" t="s">
        <v>129</v>
      </c>
      <c r="V23" s="38" t="s">
        <v>157</v>
      </c>
      <c r="W23" s="38" t="s">
        <v>143</v>
      </c>
      <c r="X23" s="38" t="s">
        <v>144</v>
      </c>
      <c r="Y23" s="38" t="s">
        <v>159</v>
      </c>
      <c r="Z23" s="38" t="s">
        <v>145</v>
      </c>
      <c r="AA23" s="38" t="s">
        <v>146</v>
      </c>
      <c r="AB23" s="38" t="s">
        <v>149</v>
      </c>
      <c r="AC23" s="38" t="s">
        <v>147</v>
      </c>
      <c r="AD23" s="38" t="s">
        <v>148</v>
      </c>
    </row>
    <row r="24" spans="1:30" x14ac:dyDescent="0.25">
      <c r="A24" s="26">
        <v>23</v>
      </c>
      <c r="B24" s="20" t="s">
        <v>26</v>
      </c>
      <c r="C24" s="17">
        <v>100</v>
      </c>
      <c r="D24" s="87">
        <v>100</v>
      </c>
      <c r="E24" s="18">
        <v>165</v>
      </c>
      <c r="F24" s="19">
        <v>950</v>
      </c>
      <c r="G24" s="19">
        <v>50</v>
      </c>
      <c r="H24" s="18">
        <v>35</v>
      </c>
      <c r="I24" s="87" t="str">
        <f>R6</f>
        <v>weapon_sniperrifle</v>
      </c>
      <c r="J24" s="81" t="str">
        <f>Q114</f>
        <v>heavy</v>
      </c>
      <c r="K24" s="81">
        <v>1</v>
      </c>
      <c r="L24" s="19">
        <v>45</v>
      </c>
      <c r="M24" s="19">
        <v>3</v>
      </c>
      <c r="N24" s="151">
        <f t="shared" si="0"/>
        <v>64056.49038461539</v>
      </c>
      <c r="Q24" s="99" t="s">
        <v>155</v>
      </c>
      <c r="R24" s="99" t="s">
        <v>156</v>
      </c>
      <c r="S24" s="167" t="str">
        <f>Q110</f>
        <v>dogslamimpact</v>
      </c>
      <c r="T24" s="100">
        <v>256</v>
      </c>
      <c r="U24" s="159">
        <v>1000</v>
      </c>
      <c r="V24" s="28">
        <v>60</v>
      </c>
      <c r="W24" s="28">
        <v>2</v>
      </c>
      <c r="X24" s="28">
        <v>230</v>
      </c>
      <c r="Y24" s="28">
        <v>200</v>
      </c>
      <c r="Z24" s="28">
        <f>X24</f>
        <v>230</v>
      </c>
      <c r="AA24" s="28" t="s">
        <v>158</v>
      </c>
      <c r="AB24" s="28">
        <v>40</v>
      </c>
      <c r="AC24" s="137" t="s">
        <v>153</v>
      </c>
      <c r="AD24" s="194">
        <f>(U24*Z24*Y24*V24)/2</f>
        <v>1380000000</v>
      </c>
    </row>
    <row r="25" spans="1:30" x14ac:dyDescent="0.25">
      <c r="A25" s="26">
        <v>24</v>
      </c>
      <c r="B25" s="20" t="s">
        <v>27</v>
      </c>
      <c r="C25" s="17">
        <v>300</v>
      </c>
      <c r="D25" s="87">
        <v>0</v>
      </c>
      <c r="E25" s="18">
        <v>190</v>
      </c>
      <c r="F25" s="19">
        <v>900</v>
      </c>
      <c r="G25" s="19">
        <v>60</v>
      </c>
      <c r="H25" s="18">
        <v>20</v>
      </c>
      <c r="I25" s="87" t="str">
        <f>R5</f>
        <v>weapon_ar2</v>
      </c>
      <c r="J25" s="81" t="str">
        <f>Q114</f>
        <v>heavy</v>
      </c>
      <c r="K25" s="81">
        <v>1</v>
      </c>
      <c r="L25" s="19">
        <v>38</v>
      </c>
      <c r="M25" s="19">
        <v>3</v>
      </c>
      <c r="N25" s="151">
        <f>F61</f>
        <v>121884.07990314769</v>
      </c>
      <c r="Q25" s="99" t="s">
        <v>160</v>
      </c>
      <c r="R25" s="155" t="s">
        <v>165</v>
      </c>
      <c r="S25" s="167" t="s">
        <v>74</v>
      </c>
      <c r="T25" s="100">
        <v>0</v>
      </c>
      <c r="U25" s="159">
        <v>200</v>
      </c>
      <c r="V25" s="28">
        <v>60</v>
      </c>
      <c r="W25" s="28">
        <v>2</v>
      </c>
      <c r="X25" s="28">
        <v>230</v>
      </c>
      <c r="Y25" s="28">
        <v>200</v>
      </c>
      <c r="Z25" s="28">
        <f>X25</f>
        <v>230</v>
      </c>
      <c r="AA25" s="28" t="s">
        <v>158</v>
      </c>
      <c r="AB25" s="28">
        <v>15</v>
      </c>
      <c r="AC25" s="137"/>
      <c r="AD25" s="194">
        <f>(U25/100)*Z25*Y25*(V25/W25)</f>
        <v>2760000</v>
      </c>
    </row>
    <row r="26" spans="1:30" x14ac:dyDescent="0.25">
      <c r="A26" s="26">
        <v>25</v>
      </c>
      <c r="B26" s="20" t="s">
        <v>28</v>
      </c>
      <c r="C26" s="17">
        <v>300</v>
      </c>
      <c r="D26" s="87">
        <v>0</v>
      </c>
      <c r="E26" s="18">
        <v>349</v>
      </c>
      <c r="F26" s="88">
        <v>1100</v>
      </c>
      <c r="G26" s="88">
        <v>50</v>
      </c>
      <c r="H26" s="18">
        <v>50</v>
      </c>
      <c r="I26" s="87" t="str">
        <f>Q17</f>
        <v>Flechette</v>
      </c>
      <c r="J26" s="18" t="str">
        <f>Q51</f>
        <v>synth</v>
      </c>
      <c r="K26" s="81">
        <v>1</v>
      </c>
      <c r="L26" s="19">
        <v>45</v>
      </c>
      <c r="M26" s="19">
        <v>3</v>
      </c>
      <c r="N26" s="151">
        <f t="shared" si="0"/>
        <v>18660.921612511047</v>
      </c>
      <c r="Q26" s="99" t="s">
        <v>161</v>
      </c>
      <c r="R26" s="155" t="s">
        <v>162</v>
      </c>
      <c r="S26" s="167">
        <v>1</v>
      </c>
      <c r="T26" s="100">
        <v>0</v>
      </c>
      <c r="U26" s="159">
        <v>1500</v>
      </c>
      <c r="V26" s="28">
        <f>1500/(E26*1.2)*60</f>
        <v>214.89971346704871</v>
      </c>
      <c r="W26" s="28">
        <v>10</v>
      </c>
      <c r="X26" s="28">
        <v>600</v>
      </c>
      <c r="Y26" s="28">
        <v>128</v>
      </c>
      <c r="Z26" s="28">
        <f>X26</f>
        <v>600</v>
      </c>
      <c r="AA26" s="28">
        <v>1</v>
      </c>
      <c r="AB26" s="28">
        <v>0</v>
      </c>
      <c r="AC26" s="137"/>
      <c r="AD26" s="194">
        <f>(U26/100)*V26*Z26*(Y26/W26)</f>
        <v>24756446.991404012</v>
      </c>
    </row>
    <row r="27" spans="1:30" x14ac:dyDescent="0.25">
      <c r="A27" s="89">
        <v>26</v>
      </c>
      <c r="B27" s="20" t="s">
        <v>29</v>
      </c>
      <c r="C27" s="94">
        <v>1500</v>
      </c>
      <c r="D27" s="157">
        <v>150</v>
      </c>
      <c r="E27" s="88">
        <v>144</v>
      </c>
      <c r="F27" s="88">
        <v>780</v>
      </c>
      <c r="G27" s="88">
        <v>90</v>
      </c>
      <c r="H27" s="91">
        <v>90</v>
      </c>
      <c r="I27" s="145" t="str">
        <f>Q19</f>
        <v>Strider Minigun</v>
      </c>
      <c r="J27" s="91" t="str">
        <f>Q51</f>
        <v>synth</v>
      </c>
      <c r="K27" s="146">
        <v>1</v>
      </c>
      <c r="L27" s="88">
        <v>90</v>
      </c>
      <c r="M27" s="88">
        <v>3</v>
      </c>
      <c r="N27" s="151">
        <f t="shared" si="0"/>
        <v>231562.49999999994</v>
      </c>
      <c r="Q27" s="99" t="s">
        <v>163</v>
      </c>
      <c r="R27" s="155" t="s">
        <v>164</v>
      </c>
      <c r="S27" s="167" t="s">
        <v>46</v>
      </c>
      <c r="T27" s="100">
        <v>320</v>
      </c>
      <c r="U27" s="159">
        <v>1300</v>
      </c>
      <c r="V27" s="28">
        <v>1</v>
      </c>
      <c r="W27" s="28">
        <v>2</v>
      </c>
      <c r="X27" s="28">
        <v>350</v>
      </c>
      <c r="Y27" s="28">
        <v>160</v>
      </c>
      <c r="Z27" s="28">
        <f>X27</f>
        <v>350</v>
      </c>
      <c r="AA27" s="28">
        <v>1</v>
      </c>
      <c r="AB27" s="28">
        <v>30</v>
      </c>
      <c r="AC27" s="137"/>
      <c r="AD27" s="194">
        <f>(U27/100)*Y27*(Z27/W27)</f>
        <v>364000</v>
      </c>
    </row>
    <row r="28" spans="1:30" x14ac:dyDescent="0.25">
      <c r="A28" s="90">
        <v>27</v>
      </c>
      <c r="B28" s="20" t="s">
        <v>81</v>
      </c>
      <c r="C28" s="87">
        <v>50</v>
      </c>
      <c r="D28" s="87">
        <v>0</v>
      </c>
      <c r="E28" s="18">
        <v>350</v>
      </c>
      <c r="F28" s="18">
        <v>1600</v>
      </c>
      <c r="G28" s="92">
        <v>5</v>
      </c>
      <c r="H28" s="19">
        <v>5</v>
      </c>
      <c r="I28" s="18">
        <v>0</v>
      </c>
      <c r="J28" s="18" t="s">
        <v>152</v>
      </c>
      <c r="K28" s="81">
        <v>1</v>
      </c>
      <c r="L28" s="92">
        <v>10</v>
      </c>
      <c r="M28" s="19">
        <v>1</v>
      </c>
      <c r="N28" s="151">
        <f t="shared" si="0"/>
        <v>0</v>
      </c>
      <c r="Q28" s="99" t="s">
        <v>166</v>
      </c>
      <c r="R28" s="155" t="s">
        <v>167</v>
      </c>
      <c r="S28" s="167" t="s">
        <v>46</v>
      </c>
      <c r="T28" s="100">
        <v>0</v>
      </c>
      <c r="U28" s="159">
        <v>10000</v>
      </c>
      <c r="V28" s="28">
        <v>240</v>
      </c>
      <c r="W28" s="28">
        <v>20</v>
      </c>
      <c r="X28" s="28">
        <v>300</v>
      </c>
      <c r="Y28" s="28">
        <v>10</v>
      </c>
      <c r="Z28" s="28">
        <v>300</v>
      </c>
      <c r="AA28" s="28" t="s">
        <v>158</v>
      </c>
      <c r="AB28" s="28">
        <v>10</v>
      </c>
      <c r="AC28" s="137"/>
      <c r="AD28" s="194">
        <f>(U28/100)*Z28*Y28*(V28/W28)</f>
        <v>3600000</v>
      </c>
    </row>
    <row r="29" spans="1:30" x14ac:dyDescent="0.25">
      <c r="A29" s="90">
        <v>28</v>
      </c>
      <c r="B29" s="20" t="s">
        <v>82</v>
      </c>
      <c r="C29" s="87">
        <v>55</v>
      </c>
      <c r="D29" s="87">
        <v>0</v>
      </c>
      <c r="E29" s="18">
        <v>250</v>
      </c>
      <c r="F29" s="18">
        <v>1600</v>
      </c>
      <c r="G29" s="92">
        <v>20</v>
      </c>
      <c r="H29" s="19">
        <v>30</v>
      </c>
      <c r="I29" s="18">
        <v>0</v>
      </c>
      <c r="J29" s="18" t="s">
        <v>57</v>
      </c>
      <c r="K29" s="81">
        <v>1</v>
      </c>
      <c r="L29" s="92">
        <v>15</v>
      </c>
      <c r="M29" s="19">
        <v>1</v>
      </c>
      <c r="N29" s="151">
        <f t="shared" si="0"/>
        <v>0</v>
      </c>
      <c r="Q29" s="99" t="s">
        <v>168</v>
      </c>
      <c r="R29" s="155" t="s">
        <v>169</v>
      </c>
      <c r="S29" s="167" t="s">
        <v>170</v>
      </c>
      <c r="T29" s="100">
        <v>192</v>
      </c>
      <c r="U29" s="159">
        <v>800</v>
      </c>
      <c r="V29" s="28">
        <v>1</v>
      </c>
      <c r="W29" s="28">
        <v>120</v>
      </c>
      <c r="X29" s="28">
        <v>200</v>
      </c>
      <c r="Y29" s="28">
        <v>300</v>
      </c>
      <c r="Z29" s="28">
        <v>200</v>
      </c>
      <c r="AA29" s="28">
        <v>1</v>
      </c>
      <c r="AB29" s="28">
        <v>10</v>
      </c>
      <c r="AC29" s="137"/>
      <c r="AD29" s="194">
        <f>(U29/100)*Y29*(Z29/W29)</f>
        <v>4000</v>
      </c>
    </row>
    <row r="30" spans="1:30" x14ac:dyDescent="0.25">
      <c r="A30" s="90">
        <v>29</v>
      </c>
      <c r="B30" s="20" t="s">
        <v>83</v>
      </c>
      <c r="C30" s="87">
        <v>30</v>
      </c>
      <c r="D30" s="87">
        <v>0</v>
      </c>
      <c r="E30" s="18">
        <v>320</v>
      </c>
      <c r="F30" s="18">
        <v>700</v>
      </c>
      <c r="G30" s="18">
        <v>10</v>
      </c>
      <c r="H30" s="19">
        <v>0</v>
      </c>
      <c r="I30" s="18" t="str">
        <f>Q20</f>
        <v>Manhack Blades</v>
      </c>
      <c r="J30" s="18" t="s">
        <v>152</v>
      </c>
      <c r="K30" s="81">
        <v>1</v>
      </c>
      <c r="L30" s="92">
        <v>8</v>
      </c>
      <c r="M30" s="19">
        <v>1</v>
      </c>
      <c r="N30" s="151">
        <f t="shared" si="0"/>
        <v>4.4182098765432105</v>
      </c>
      <c r="Q30" s="99" t="s">
        <v>187</v>
      </c>
      <c r="R30" s="155" t="s">
        <v>188</v>
      </c>
      <c r="S30" s="167">
        <v>1</v>
      </c>
      <c r="T30" s="100">
        <v>0</v>
      </c>
      <c r="U30" s="159" t="s">
        <v>78</v>
      </c>
      <c r="V30" s="28">
        <v>3</v>
      </c>
      <c r="W30" s="28">
        <v>1</v>
      </c>
      <c r="X30" s="28">
        <v>0</v>
      </c>
      <c r="Y30" s="28">
        <v>0</v>
      </c>
      <c r="Z30" s="28">
        <v>0</v>
      </c>
      <c r="AA30" s="28">
        <v>1</v>
      </c>
      <c r="AB30" s="28">
        <v>0</v>
      </c>
      <c r="AC30" s="137"/>
      <c r="AD30" s="194">
        <f>S30/V30</f>
        <v>0.33333333333333331</v>
      </c>
    </row>
    <row r="31" spans="1:30" ht="15.75" thickBot="1" x14ac:dyDescent="0.3">
      <c r="A31" s="27">
        <v>30</v>
      </c>
      <c r="B31" s="93" t="s">
        <v>84</v>
      </c>
      <c r="C31" s="21">
        <v>100</v>
      </c>
      <c r="D31" s="158">
        <v>0</v>
      </c>
      <c r="E31" s="22">
        <v>1200</v>
      </c>
      <c r="F31" s="22">
        <v>800</v>
      </c>
      <c r="G31" s="22">
        <v>10</v>
      </c>
      <c r="H31" s="23">
        <v>10</v>
      </c>
      <c r="I31" s="22" t="str">
        <f>Q21</f>
        <v>Rollermine</v>
      </c>
      <c r="J31" s="22" t="s">
        <v>61</v>
      </c>
      <c r="K31" s="121">
        <v>1</v>
      </c>
      <c r="L31" s="103">
        <v>20</v>
      </c>
      <c r="M31" s="23">
        <v>1</v>
      </c>
      <c r="N31" s="153">
        <f t="shared" si="0"/>
        <v>34.285714285714285</v>
      </c>
      <c r="Q31" s="99" t="s">
        <v>191</v>
      </c>
      <c r="R31" s="99" t="s">
        <v>189</v>
      </c>
      <c r="S31" s="28" t="s">
        <v>78</v>
      </c>
      <c r="T31" s="28" t="s">
        <v>78</v>
      </c>
      <c r="U31" s="28" t="s">
        <v>78</v>
      </c>
      <c r="V31" s="28">
        <f>D3/2</f>
        <v>25</v>
      </c>
      <c r="W31" s="28" t="s">
        <v>78</v>
      </c>
      <c r="X31" s="28" t="s">
        <v>78</v>
      </c>
      <c r="Y31" s="28" t="s">
        <v>78</v>
      </c>
      <c r="Z31" s="28" t="s">
        <v>78</v>
      </c>
      <c r="AA31" s="28">
        <v>1</v>
      </c>
      <c r="AB31" s="28">
        <v>20</v>
      </c>
      <c r="AC31" s="99"/>
      <c r="AD31" s="194">
        <f>V31/AB31</f>
        <v>1.25</v>
      </c>
    </row>
    <row r="32" spans="1:30" ht="15.75" thickTop="1" x14ac:dyDescent="0.25">
      <c r="A32" s="1"/>
      <c r="B32" s="95" t="s">
        <v>77</v>
      </c>
      <c r="Q32" s="99" t="s">
        <v>190</v>
      </c>
      <c r="R32" s="99" t="s">
        <v>189</v>
      </c>
      <c r="S32" s="28" t="s">
        <v>78</v>
      </c>
      <c r="T32" s="28" t="s">
        <v>78</v>
      </c>
      <c r="U32" s="28" t="s">
        <v>78</v>
      </c>
      <c r="V32" s="28">
        <f>D24/2</f>
        <v>50</v>
      </c>
      <c r="W32" s="28" t="s">
        <v>78</v>
      </c>
      <c r="X32" s="28" t="s">
        <v>78</v>
      </c>
      <c r="Y32" s="28" t="s">
        <v>78</v>
      </c>
      <c r="Z32" s="28" t="s">
        <v>78</v>
      </c>
      <c r="AA32" s="28">
        <v>1</v>
      </c>
      <c r="AB32" s="28">
        <v>20</v>
      </c>
      <c r="AC32" s="99"/>
      <c r="AD32" s="194">
        <f>V32/AB32</f>
        <v>2.5</v>
      </c>
    </row>
    <row r="33" spans="1:30" ht="15.75" thickBot="1" x14ac:dyDescent="0.3">
      <c r="A33" s="1"/>
      <c r="Q33" s="99" t="s">
        <v>192</v>
      </c>
      <c r="R33" s="155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99"/>
    </row>
    <row r="34" spans="1:30" ht="15.75" thickBot="1" x14ac:dyDescent="0.3">
      <c r="A34" s="96" t="s">
        <v>85</v>
      </c>
      <c r="B34" s="97"/>
      <c r="C34" s="97"/>
      <c r="D34" s="97"/>
      <c r="E34" s="97"/>
      <c r="F34" s="97"/>
      <c r="G34" s="97"/>
      <c r="H34" s="97"/>
      <c r="I34" s="97"/>
      <c r="J34" s="97"/>
      <c r="K34" s="98"/>
      <c r="L34" s="133"/>
      <c r="Q34" s="99" t="s">
        <v>193</v>
      </c>
      <c r="R34" s="155"/>
      <c r="S34" s="28"/>
      <c r="T34" s="28"/>
      <c r="U34" s="28"/>
      <c r="V34" s="28"/>
      <c r="W34" s="28"/>
      <c r="X34" s="28"/>
      <c r="Y34" s="28"/>
      <c r="Z34" s="28"/>
      <c r="AA34" s="99"/>
      <c r="AB34" s="28"/>
      <c r="AC34" s="28"/>
      <c r="AD34" s="99"/>
    </row>
    <row r="35" spans="1:30" ht="15.75" thickBot="1" x14ac:dyDescent="0.3">
      <c r="A35" s="96"/>
      <c r="B35" s="97"/>
      <c r="C35" s="97"/>
      <c r="D35" s="97"/>
      <c r="E35" s="97"/>
      <c r="F35" s="97"/>
      <c r="G35" s="149" t="s">
        <v>154</v>
      </c>
      <c r="H35" s="97"/>
      <c r="I35" s="97"/>
      <c r="J35" s="97"/>
      <c r="K35" s="98"/>
      <c r="Q35" s="99" t="s">
        <v>194</v>
      </c>
      <c r="R35" s="155" t="s">
        <v>197</v>
      </c>
      <c r="S35" s="28">
        <v>0.75</v>
      </c>
      <c r="T35" s="28" t="s">
        <v>78</v>
      </c>
      <c r="U35" s="28" t="s">
        <v>78</v>
      </c>
      <c r="V35" s="28">
        <v>30</v>
      </c>
      <c r="W35" s="28">
        <v>25</v>
      </c>
      <c r="X35" s="28" t="s">
        <v>78</v>
      </c>
      <c r="Y35" s="28" t="s">
        <v>78</v>
      </c>
      <c r="Z35" s="28" t="s">
        <v>78</v>
      </c>
      <c r="AA35" s="28" t="str">
        <f>Z60</f>
        <v>Blind</v>
      </c>
      <c r="AB35" s="28">
        <v>0</v>
      </c>
      <c r="AC35" s="28"/>
      <c r="AD35" s="99">
        <f>(V35/S35)/W35</f>
        <v>1.6</v>
      </c>
    </row>
    <row r="36" spans="1:30" x14ac:dyDescent="0.25">
      <c r="A36" s="148"/>
      <c r="B36" s="197" t="s">
        <v>100</v>
      </c>
      <c r="C36" s="198"/>
      <c r="D36" s="198"/>
      <c r="E36" s="198"/>
      <c r="F36" s="198"/>
      <c r="G36" s="198"/>
      <c r="H36" s="199"/>
      <c r="I36" s="148"/>
      <c r="Q36" s="99" t="s">
        <v>198</v>
      </c>
      <c r="R36" s="155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99"/>
    </row>
    <row r="37" spans="1:30" x14ac:dyDescent="0.25">
      <c r="A37" s="170"/>
      <c r="B37" s="159" t="s">
        <v>0</v>
      </c>
      <c r="C37" s="28" t="s">
        <v>107</v>
      </c>
      <c r="D37" s="28" t="s">
        <v>108</v>
      </c>
      <c r="E37" s="28" t="s">
        <v>124</v>
      </c>
      <c r="F37" s="59" t="s">
        <v>126</v>
      </c>
      <c r="G37" s="28" t="s">
        <v>112</v>
      </c>
      <c r="H37" s="167" t="s">
        <v>113</v>
      </c>
      <c r="I37" s="168"/>
      <c r="K37" s="104" t="s">
        <v>116</v>
      </c>
      <c r="Q37" s="99" t="s">
        <v>199</v>
      </c>
      <c r="R37" s="155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99"/>
    </row>
    <row r="38" spans="1:30" x14ac:dyDescent="0.25">
      <c r="A38" s="170"/>
      <c r="B38" s="160" t="s">
        <v>6</v>
      </c>
      <c r="C38" s="173">
        <f>M50*M2*(F2/100)*K2/(L2+G2)</f>
        <v>2.6331428571428575</v>
      </c>
      <c r="D38" s="105">
        <f>L50</f>
        <v>5</v>
      </c>
      <c r="E38" s="106">
        <f>(C2/W112)*(E2/100)</f>
        <v>1.2962962962962965</v>
      </c>
      <c r="F38" s="156">
        <f>C38*E38</f>
        <v>3.4133333333333344</v>
      </c>
      <c r="G38" s="174"/>
      <c r="H38" s="175"/>
      <c r="I38" s="168"/>
      <c r="K38" t="s">
        <v>115</v>
      </c>
      <c r="Q38" s="99"/>
      <c r="R38" s="155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99"/>
    </row>
    <row r="39" spans="1:30" x14ac:dyDescent="0.25">
      <c r="A39" s="170"/>
      <c r="B39" s="161" t="s">
        <v>7</v>
      </c>
      <c r="C39" s="173">
        <f>M50*M3*(F3/100)*K3/(L3+G3+H3)</f>
        <v>5.9090909090909092</v>
      </c>
      <c r="D39" s="105">
        <f>L50</f>
        <v>5</v>
      </c>
      <c r="E39" s="106">
        <f>(C3/W112)*(E3/100)*AD31</f>
        <v>1.5190972222222221</v>
      </c>
      <c r="F39" s="156">
        <f>C39*E39</f>
        <v>8.9764835858585847</v>
      </c>
      <c r="G39" s="174"/>
      <c r="H39" s="175"/>
      <c r="I39" s="168"/>
      <c r="K39" t="s">
        <v>139</v>
      </c>
      <c r="Q39" s="99"/>
      <c r="R39" s="155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99"/>
    </row>
    <row r="40" spans="1:30" x14ac:dyDescent="0.25">
      <c r="A40" s="170"/>
      <c r="B40" s="161" t="s">
        <v>9</v>
      </c>
      <c r="C40" s="176">
        <v>1</v>
      </c>
      <c r="D40" s="99">
        <v>1</v>
      </c>
      <c r="E40" s="106">
        <f>(C4/W112)*(E4/100)</f>
        <v>1.2152777777777779</v>
      </c>
      <c r="F40" s="156">
        <f>E40*C40</f>
        <v>1.2152777777777779</v>
      </c>
      <c r="G40" s="174"/>
      <c r="H40" s="175"/>
      <c r="I40" s="168"/>
      <c r="K40" t="s">
        <v>140</v>
      </c>
      <c r="Q40" s="99"/>
      <c r="R40" s="155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99"/>
    </row>
    <row r="41" spans="1:30" x14ac:dyDescent="0.25">
      <c r="A41" s="170"/>
      <c r="B41" s="161" t="s">
        <v>8</v>
      </c>
      <c r="C41" s="173">
        <f>M49*K5*M5*(F5/100)/(L5+G5+H5)</f>
        <v>309.52380952380946</v>
      </c>
      <c r="D41" s="105">
        <f>L49</f>
        <v>696.42857142857133</v>
      </c>
      <c r="E41" s="106">
        <f>(C4/W112)*(E4/100)</f>
        <v>1.2152777777777779</v>
      </c>
      <c r="F41" s="156">
        <f t="shared" ref="F41:F63" si="1">C41*E41</f>
        <v>376.15740740740739</v>
      </c>
      <c r="G41" s="174"/>
      <c r="H41" s="175"/>
      <c r="I41" s="168"/>
      <c r="K41" t="s">
        <v>109</v>
      </c>
      <c r="Q41" s="99"/>
      <c r="R41" s="155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99"/>
    </row>
    <row r="42" spans="1:30" x14ac:dyDescent="0.25">
      <c r="A42" s="170"/>
      <c r="B42" s="161" t="s">
        <v>10</v>
      </c>
      <c r="C42" s="173">
        <f>$M$49*K6*M6*(F6/100)/(L6+G6+H6)</f>
        <v>428.5714285714285</v>
      </c>
      <c r="D42" s="105">
        <f>L49</f>
        <v>696.42857142857133</v>
      </c>
      <c r="E42" s="106">
        <f>(C6/W113)*(E6/100)</f>
        <v>17.56862745098039</v>
      </c>
      <c r="F42" s="156">
        <f t="shared" si="1"/>
        <v>7529.4117647058802</v>
      </c>
      <c r="G42" s="174"/>
      <c r="H42" s="175"/>
      <c r="I42" s="168"/>
      <c r="K42" t="s">
        <v>125</v>
      </c>
    </row>
    <row r="43" spans="1:30" x14ac:dyDescent="0.25">
      <c r="A43" s="170"/>
      <c r="B43" s="161" t="s">
        <v>11</v>
      </c>
      <c r="C43" s="173">
        <f>$M$51*K7*M7*(F7/100)/(L7+G7+H7)</f>
        <v>1754.3859649122808</v>
      </c>
      <c r="D43" s="105">
        <f>L51</f>
        <v>3125</v>
      </c>
      <c r="E43" s="106">
        <f>C7/W113*E7/100</f>
        <v>19.6078431372549</v>
      </c>
      <c r="F43" s="156">
        <f t="shared" si="1"/>
        <v>34399.724802201577</v>
      </c>
      <c r="G43" s="174"/>
      <c r="H43" s="175"/>
      <c r="I43" s="168"/>
      <c r="K43" t="s">
        <v>127</v>
      </c>
    </row>
    <row r="44" spans="1:30" x14ac:dyDescent="0.25">
      <c r="A44" s="170"/>
      <c r="B44" s="161" t="s">
        <v>12</v>
      </c>
      <c r="C44" s="173">
        <f>$M$52*K8*M8*(F8/100)/(L8+G8+H8)</f>
        <v>6954.0298507462685</v>
      </c>
      <c r="D44" s="105">
        <f>L52</f>
        <v>800</v>
      </c>
      <c r="E44" s="106">
        <f>C8/W113*E8/100</f>
        <v>14.274509803921568</v>
      </c>
      <c r="F44" s="156">
        <f t="shared" si="1"/>
        <v>99265.367281240848</v>
      </c>
      <c r="G44" s="174"/>
      <c r="H44" s="175"/>
      <c r="I44" s="168"/>
      <c r="K44" s="104" t="s">
        <v>117</v>
      </c>
    </row>
    <row r="45" spans="1:30" x14ac:dyDescent="0.25">
      <c r="A45" s="170"/>
      <c r="B45" s="161" t="s">
        <v>31</v>
      </c>
      <c r="C45" s="173">
        <f>M50*K9*M9*(F9/100)/(L9+H9+G9)</f>
        <v>3.8297872340425534</v>
      </c>
      <c r="D45" s="105">
        <f>L50</f>
        <v>5</v>
      </c>
      <c r="E45" s="106">
        <f>C9/W113*E9/100</f>
        <v>17.254901960784313</v>
      </c>
      <c r="F45" s="156">
        <f t="shared" si="1"/>
        <v>66.082603254067578</v>
      </c>
      <c r="G45" s="174"/>
      <c r="H45" s="175"/>
      <c r="I45" s="168"/>
      <c r="K45" t="s">
        <v>110</v>
      </c>
    </row>
    <row r="46" spans="1:30" ht="15.75" thickBot="1" x14ac:dyDescent="0.3">
      <c r="A46" s="170"/>
      <c r="B46" s="161" t="s">
        <v>32</v>
      </c>
      <c r="C46" s="173">
        <f>M55*K10*M10*(F10/100)*AD30/(L10+H10+G10)</f>
        <v>3561.9047619047619</v>
      </c>
      <c r="D46" s="105">
        <f>L55</f>
        <v>880</v>
      </c>
      <c r="E46" s="106">
        <f>C10/W114*E10/100</f>
        <v>15.673469387755103</v>
      </c>
      <c r="F46" s="156">
        <f t="shared" si="1"/>
        <v>55827.405247813418</v>
      </c>
      <c r="G46" s="174"/>
      <c r="H46" s="175"/>
      <c r="I46" s="168"/>
      <c r="K46" t="s">
        <v>111</v>
      </c>
      <c r="Q46" s="25" t="s">
        <v>50</v>
      </c>
      <c r="R46" s="31" t="s">
        <v>79</v>
      </c>
      <c r="S46" s="32"/>
      <c r="T46" s="38" t="s">
        <v>80</v>
      </c>
      <c r="U46" s="32"/>
      <c r="V46" s="24"/>
      <c r="W46" s="24"/>
      <c r="X46" s="24"/>
      <c r="Z46" s="101" t="s">
        <v>103</v>
      </c>
      <c r="AA46" s="101"/>
      <c r="AB46" s="101"/>
      <c r="AC46" s="101"/>
    </row>
    <row r="47" spans="1:30" x14ac:dyDescent="0.25">
      <c r="A47" s="170"/>
      <c r="B47" s="161" t="s">
        <v>13</v>
      </c>
      <c r="C47" s="173">
        <f>M57*M11*K11*(F11/100)/(L11+H11+G11)</f>
        <v>3971.3142857142852</v>
      </c>
      <c r="D47" s="105">
        <f>L57</f>
        <v>408.57142857142856</v>
      </c>
      <c r="E47" s="106">
        <f>C11/W113*E11/100</f>
        <v>18.470588235294116</v>
      </c>
      <c r="F47" s="156">
        <f t="shared" si="1"/>
        <v>73352.510924369737</v>
      </c>
      <c r="G47" s="174"/>
      <c r="H47" s="175"/>
      <c r="I47" s="168"/>
      <c r="Q47" s="123" t="s">
        <v>53</v>
      </c>
      <c r="R47" s="41" t="s">
        <v>51</v>
      </c>
      <c r="S47" s="42" t="s">
        <v>52</v>
      </c>
      <c r="T47" s="42" t="s">
        <v>51</v>
      </c>
      <c r="U47" s="42" t="s">
        <v>52</v>
      </c>
      <c r="V47" s="42" t="s">
        <v>54</v>
      </c>
      <c r="W47" s="122" t="s">
        <v>122</v>
      </c>
      <c r="X47" s="59" t="s">
        <v>123</v>
      </c>
      <c r="Z47" s="59" t="s">
        <v>53</v>
      </c>
      <c r="AA47" s="59" t="s">
        <v>104</v>
      </c>
      <c r="AB47" s="59" t="s">
        <v>105</v>
      </c>
      <c r="AC47" s="59" t="s">
        <v>106</v>
      </c>
    </row>
    <row r="48" spans="1:30" x14ac:dyDescent="0.25">
      <c r="A48" s="170"/>
      <c r="B48" s="161" t="s">
        <v>14</v>
      </c>
      <c r="C48" s="173">
        <f>M56*M12*K12*(F12/100)/(L12+H12+G12)</f>
        <v>3996.1165048543689</v>
      </c>
      <c r="D48" s="105">
        <f>L56</f>
        <v>700</v>
      </c>
      <c r="E48" s="106">
        <f>C12/W114*E12/100</f>
        <v>55.493197278911566</v>
      </c>
      <c r="F48" s="156">
        <f t="shared" si="1"/>
        <v>221757.28155339806</v>
      </c>
      <c r="G48" s="174"/>
      <c r="H48" s="175"/>
      <c r="I48" s="168"/>
      <c r="K48" s="30" t="s">
        <v>33</v>
      </c>
      <c r="L48" s="31" t="s">
        <v>108</v>
      </c>
      <c r="M48" s="38" t="s">
        <v>120</v>
      </c>
      <c r="Q48" s="64" t="s">
        <v>55</v>
      </c>
      <c r="R48" s="46">
        <v>0</v>
      </c>
      <c r="S48" s="43">
        <v>1.7</v>
      </c>
      <c r="T48" s="43">
        <v>0</v>
      </c>
      <c r="U48" s="43">
        <v>1</v>
      </c>
      <c r="V48" s="124" t="s">
        <v>49</v>
      </c>
      <c r="W48" s="43">
        <f>R50*S48*S49*S50</f>
        <v>40.799999999999997</v>
      </c>
      <c r="X48" s="43">
        <v>0</v>
      </c>
      <c r="Z48" s="111" t="s">
        <v>45</v>
      </c>
      <c r="AA48" s="112">
        <f>T86</f>
        <v>2</v>
      </c>
      <c r="AB48" s="113">
        <v>0</v>
      </c>
      <c r="AC48" s="114">
        <f>SUM(AA48)</f>
        <v>2</v>
      </c>
    </row>
    <row r="49" spans="1:29" x14ac:dyDescent="0.25">
      <c r="A49" s="170"/>
      <c r="B49" s="161" t="s">
        <v>15</v>
      </c>
      <c r="C49" s="173">
        <f>M50*K13*M13*(F13/100)/(L13+H13+G13)</f>
        <v>4.838709677419355</v>
      </c>
      <c r="D49" s="105">
        <f>L50</f>
        <v>5</v>
      </c>
      <c r="E49" s="106">
        <f>C13/W113*E13/100</f>
        <v>6.7647058823529402</v>
      </c>
      <c r="F49" s="156">
        <f t="shared" si="1"/>
        <v>32.732447817836807</v>
      </c>
      <c r="G49" s="174"/>
      <c r="H49" s="175"/>
      <c r="I49" s="168"/>
      <c r="K49" s="28" t="str">
        <f t="shared" ref="K49:K57" si="2">R2</f>
        <v>weapon_smg1</v>
      </c>
      <c r="L49" s="105">
        <f>AD2</f>
        <v>696.42857142857133</v>
      </c>
      <c r="M49" s="105">
        <f t="shared" ref="M49:M57" si="3">AC2</f>
        <v>1392.8571428571427</v>
      </c>
      <c r="Q49" s="71"/>
      <c r="R49" s="60">
        <v>0</v>
      </c>
      <c r="S49" s="43">
        <v>1.5</v>
      </c>
      <c r="T49" s="43">
        <v>0</v>
      </c>
      <c r="U49" s="46">
        <v>1</v>
      </c>
      <c r="V49" s="124" t="s">
        <v>56</v>
      </c>
      <c r="W49" s="73"/>
      <c r="X49" s="73"/>
      <c r="Z49" s="52" t="s">
        <v>46</v>
      </c>
      <c r="AA49" s="115">
        <f>T87+T88</f>
        <v>7</v>
      </c>
      <c r="AB49" s="116">
        <f>U89*U90</f>
        <v>4</v>
      </c>
      <c r="AC49" s="116">
        <f>AA49*AB49</f>
        <v>28</v>
      </c>
    </row>
    <row r="50" spans="1:29" x14ac:dyDescent="0.25">
      <c r="A50" s="170"/>
      <c r="B50" s="161" t="s">
        <v>16</v>
      </c>
      <c r="C50" s="173">
        <f>L59*K14*M14*(F14/100)/(L14+H14+G14)</f>
        <v>68.727272727272734</v>
      </c>
      <c r="D50" s="99">
        <f>L59</f>
        <v>315</v>
      </c>
      <c r="E50" s="132">
        <f>C14/W48*E14/100</f>
        <v>19.215686274509807</v>
      </c>
      <c r="F50" s="156">
        <f t="shared" si="1"/>
        <v>1320.6417112299468</v>
      </c>
      <c r="G50" s="174"/>
      <c r="H50" s="175"/>
      <c r="I50" s="168"/>
      <c r="K50" s="28" t="str">
        <f t="shared" si="2"/>
        <v>weapon_pistol</v>
      </c>
      <c r="L50" s="105">
        <f>weapon_pistol</f>
        <v>5</v>
      </c>
      <c r="M50" s="105">
        <f t="shared" si="3"/>
        <v>10</v>
      </c>
      <c r="Q50" s="73"/>
      <c r="R50" s="43">
        <v>8</v>
      </c>
      <c r="S50" s="43">
        <v>2</v>
      </c>
      <c r="T50" s="43">
        <v>0</v>
      </c>
      <c r="U50" s="43">
        <v>1</v>
      </c>
      <c r="V50" s="44" t="s">
        <v>48</v>
      </c>
      <c r="W50" s="73"/>
      <c r="X50" s="73"/>
      <c r="Z50" s="113" t="s">
        <v>47</v>
      </c>
      <c r="AA50" s="112">
        <f>T93+T94+T95</f>
        <v>100</v>
      </c>
      <c r="AB50" s="113">
        <f>U96*U97</f>
        <v>0.42499999999999999</v>
      </c>
      <c r="AC50" s="113">
        <f>AA50*AB50</f>
        <v>42.5</v>
      </c>
    </row>
    <row r="51" spans="1:29" ht="15.75" thickBot="1" x14ac:dyDescent="0.3">
      <c r="A51" s="170"/>
      <c r="B51" s="162" t="s">
        <v>17</v>
      </c>
      <c r="C51" s="173">
        <f>L62*M15*K15*(F15/100)/(L15+H15+G15)</f>
        <v>2.7777777777777772</v>
      </c>
      <c r="D51" s="99">
        <f>L62</f>
        <v>33.333333333333329</v>
      </c>
      <c r="E51" s="154">
        <f>C15/W57*E15/100</f>
        <v>79166.666666666657</v>
      </c>
      <c r="F51" s="156">
        <f t="shared" si="1"/>
        <v>219907.40740740733</v>
      </c>
      <c r="G51" s="174"/>
      <c r="H51" s="175"/>
      <c r="I51" s="168"/>
      <c r="K51" s="28" t="str">
        <f t="shared" si="2"/>
        <v>weapon_shotgun</v>
      </c>
      <c r="L51" s="105">
        <f t="shared" ref="L51:L57" si="4">AD4</f>
        <v>3125</v>
      </c>
      <c r="M51" s="105">
        <f t="shared" si="3"/>
        <v>6250</v>
      </c>
      <c r="Q51" s="66" t="s">
        <v>57</v>
      </c>
      <c r="R51" s="48">
        <v>0</v>
      </c>
      <c r="S51" s="49">
        <v>0.4</v>
      </c>
      <c r="T51" s="49">
        <v>0</v>
      </c>
      <c r="U51" s="48">
        <v>1</v>
      </c>
      <c r="V51" s="125" t="s">
        <v>45</v>
      </c>
      <c r="W51" s="52">
        <f>T110*S51*S52*S53*S55*S54*S56</f>
        <v>0.4608000000000001</v>
      </c>
      <c r="X51" s="50">
        <v>0</v>
      </c>
      <c r="Z51" s="116" t="s">
        <v>48</v>
      </c>
      <c r="AA51" s="115">
        <f>T98</f>
        <v>0</v>
      </c>
      <c r="AB51" s="117">
        <f>U98</f>
        <v>0.5</v>
      </c>
      <c r="AC51" s="116">
        <f>AA51*AB51</f>
        <v>0</v>
      </c>
    </row>
    <row r="52" spans="1:29" ht="15.75" thickTop="1" x14ac:dyDescent="0.25">
      <c r="A52" s="170"/>
      <c r="B52" s="163" t="s">
        <v>19</v>
      </c>
      <c r="C52" s="173">
        <f>L61*M16*K16*(F16/100)/(L16+H16+G16)</f>
        <v>28.864000000000001</v>
      </c>
      <c r="D52" s="99">
        <f>L61</f>
        <v>90.2</v>
      </c>
      <c r="E52" s="106">
        <f>C16/W112*E16/100</f>
        <v>1.6493055555555554</v>
      </c>
      <c r="F52" s="156">
        <f t="shared" si="1"/>
        <v>47.605555555555554</v>
      </c>
      <c r="G52" s="174"/>
      <c r="H52" s="175"/>
      <c r="I52" s="168"/>
      <c r="K52" s="28" t="str">
        <f t="shared" si="2"/>
        <v>weapon_ar2</v>
      </c>
      <c r="L52" s="105">
        <f t="shared" si="4"/>
        <v>800</v>
      </c>
      <c r="M52" s="105">
        <f t="shared" si="3"/>
        <v>22400</v>
      </c>
      <c r="Q52" s="72"/>
      <c r="R52" s="49">
        <v>0</v>
      </c>
      <c r="S52" s="50">
        <v>0.6</v>
      </c>
      <c r="T52" s="50">
        <v>0</v>
      </c>
      <c r="U52" s="48">
        <v>1</v>
      </c>
      <c r="V52" s="125" t="s">
        <v>46</v>
      </c>
      <c r="W52" s="73"/>
      <c r="X52" s="73"/>
      <c r="Z52" s="113" t="s">
        <v>49</v>
      </c>
      <c r="AA52" s="112">
        <f>SUM(T102:T104)</f>
        <v>28</v>
      </c>
      <c r="AB52" s="113">
        <v>0</v>
      </c>
      <c r="AC52" s="114">
        <f>AA52</f>
        <v>28</v>
      </c>
    </row>
    <row r="53" spans="1:29" x14ac:dyDescent="0.25">
      <c r="A53" s="170"/>
      <c r="B53" s="164" t="s">
        <v>20</v>
      </c>
      <c r="C53" s="173">
        <f>L60*M17*K17*(F17/100)/(L17+G17)</f>
        <v>0.76153846153846161</v>
      </c>
      <c r="D53" s="99">
        <f>L60</f>
        <v>1.1000000000000001</v>
      </c>
      <c r="E53" s="106">
        <f>C17/W112*E17/100</f>
        <v>1.3888888888888888</v>
      </c>
      <c r="F53" s="156">
        <f t="shared" si="1"/>
        <v>1.0576923076923077</v>
      </c>
      <c r="G53" s="174"/>
      <c r="H53" s="175"/>
      <c r="I53" s="168"/>
      <c r="K53" s="28" t="str">
        <f t="shared" si="2"/>
        <v>weapon_sniperrifle</v>
      </c>
      <c r="L53" s="105">
        <f t="shared" si="4"/>
        <v>735</v>
      </c>
      <c r="M53" s="105">
        <f t="shared" si="3"/>
        <v>31237.5</v>
      </c>
      <c r="Q53" s="72"/>
      <c r="R53" s="49">
        <v>0</v>
      </c>
      <c r="S53" s="50">
        <v>0.8</v>
      </c>
      <c r="T53" s="50">
        <v>0</v>
      </c>
      <c r="U53" s="48">
        <v>1</v>
      </c>
      <c r="V53" s="125" t="s">
        <v>47</v>
      </c>
      <c r="W53" s="73"/>
      <c r="X53" s="73"/>
      <c r="Z53" s="116" t="s">
        <v>58</v>
      </c>
      <c r="AA53" s="115">
        <f>SUM(T107:T109)</f>
        <v>45</v>
      </c>
      <c r="AB53" s="116">
        <v>0</v>
      </c>
      <c r="AC53" s="117">
        <f>AA53</f>
        <v>45</v>
      </c>
    </row>
    <row r="54" spans="1:29" ht="15.75" thickBot="1" x14ac:dyDescent="0.3">
      <c r="A54" s="170"/>
      <c r="B54" s="165" t="s">
        <v>21</v>
      </c>
      <c r="C54" s="173">
        <f>M54*M18*K18*(F18/100)/(L18+G18)</f>
        <v>3.5675675675675675</v>
      </c>
      <c r="D54" s="105">
        <f>L54</f>
        <v>16.5</v>
      </c>
      <c r="E54" s="106">
        <f>C18/W112*E18/100</f>
        <v>4.5138888888888884</v>
      </c>
      <c r="F54" s="156">
        <f t="shared" si="1"/>
        <v>16.103603603603602</v>
      </c>
      <c r="G54" s="174"/>
      <c r="H54" s="175"/>
      <c r="I54" s="168"/>
      <c r="K54" s="28" t="str">
        <f t="shared" si="2"/>
        <v>weapon_stunstick</v>
      </c>
      <c r="L54" s="105">
        <f t="shared" si="4"/>
        <v>16.5</v>
      </c>
      <c r="M54" s="105">
        <f t="shared" si="3"/>
        <v>16.5</v>
      </c>
      <c r="Q54" s="72"/>
      <c r="R54" s="49">
        <v>0</v>
      </c>
      <c r="S54" s="50">
        <v>0.8</v>
      </c>
      <c r="T54" s="50">
        <v>0</v>
      </c>
      <c r="U54" s="48">
        <v>1</v>
      </c>
      <c r="V54" s="125" t="s">
        <v>58</v>
      </c>
      <c r="W54" s="73"/>
      <c r="X54" s="73"/>
    </row>
    <row r="55" spans="1:29" x14ac:dyDescent="0.25">
      <c r="A55" s="170"/>
      <c r="B55" s="165" t="s">
        <v>22</v>
      </c>
      <c r="C55" s="173">
        <f>M50*M19*K19*(F19/100)/(L19+G19+H19)</f>
        <v>2.6447368421052633</v>
      </c>
      <c r="D55" s="105">
        <f>L50</f>
        <v>5</v>
      </c>
      <c r="E55" s="106">
        <f>C19/W112*E19/100</f>
        <v>4.3958333333333321</v>
      </c>
      <c r="F55" s="156">
        <f t="shared" si="1"/>
        <v>11.62582236842105</v>
      </c>
      <c r="G55" s="174"/>
      <c r="H55" s="175"/>
      <c r="I55" s="168"/>
      <c r="K55" s="28" t="str">
        <f t="shared" si="2"/>
        <v>weapon_crossbow</v>
      </c>
      <c r="L55" s="105">
        <f t="shared" si="4"/>
        <v>880</v>
      </c>
      <c r="M55" s="105">
        <f t="shared" si="3"/>
        <v>37400</v>
      </c>
      <c r="Q55" s="72"/>
      <c r="R55" s="49">
        <v>0</v>
      </c>
      <c r="S55" s="50">
        <v>0.2</v>
      </c>
      <c r="T55" s="50">
        <v>0</v>
      </c>
      <c r="U55" s="48">
        <v>1</v>
      </c>
      <c r="V55" s="125" t="s">
        <v>59</v>
      </c>
      <c r="W55" s="73"/>
      <c r="X55" s="73"/>
      <c r="Z55" s="187" t="str">
        <f>AA23</f>
        <v>Special Effects</v>
      </c>
      <c r="AA55" s="195" t="s">
        <v>176</v>
      </c>
      <c r="AB55" s="196"/>
      <c r="AC55" s="188" t="s">
        <v>178</v>
      </c>
    </row>
    <row r="56" spans="1:29" x14ac:dyDescent="0.25">
      <c r="A56" s="170"/>
      <c r="B56" s="165" t="s">
        <v>23</v>
      </c>
      <c r="C56" s="173">
        <f>M49*M20*K20*(F20/100)/(L20+H20+G20)</f>
        <v>243.30547112462006</v>
      </c>
      <c r="D56" s="105">
        <f>L49</f>
        <v>696.42857142857133</v>
      </c>
      <c r="E56" s="106">
        <f>E55</f>
        <v>4.3958333333333321</v>
      </c>
      <c r="F56" s="156">
        <f t="shared" si="1"/>
        <v>1069.5303001519753</v>
      </c>
      <c r="G56" s="174"/>
      <c r="H56" s="175"/>
      <c r="I56" s="168"/>
      <c r="K56" s="28" t="str">
        <f t="shared" si="2"/>
        <v>weapon_flamer</v>
      </c>
      <c r="L56" s="105">
        <f t="shared" si="4"/>
        <v>700</v>
      </c>
      <c r="M56" s="105">
        <f t="shared" si="3"/>
        <v>19600</v>
      </c>
      <c r="Q56" s="72"/>
      <c r="R56" s="49">
        <v>0</v>
      </c>
      <c r="S56" s="50">
        <v>0.1</v>
      </c>
      <c r="T56" s="50">
        <v>0</v>
      </c>
      <c r="U56" s="48">
        <v>1</v>
      </c>
      <c r="V56" s="125" t="s">
        <v>60</v>
      </c>
      <c r="W56" s="73"/>
      <c r="X56" s="73"/>
      <c r="Y56" s="39" t="s">
        <v>128</v>
      </c>
      <c r="Z56" s="189" t="s">
        <v>158</v>
      </c>
      <c r="AA56" s="200" t="s">
        <v>177</v>
      </c>
      <c r="AB56" s="201"/>
      <c r="AC56" s="191">
        <v>3</v>
      </c>
    </row>
    <row r="57" spans="1:29" x14ac:dyDescent="0.25">
      <c r="A57" s="170"/>
      <c r="B57" s="165" t="s">
        <v>18</v>
      </c>
      <c r="C57" s="173">
        <f>M49*M21*K21*(F21/100)/(L21+G21)</f>
        <v>353.7414965986394</v>
      </c>
      <c r="D57" s="105">
        <f>L49</f>
        <v>696.42857142857133</v>
      </c>
      <c r="E57" s="106">
        <f>C21/W113*E21/100</f>
        <v>25.411764705882351</v>
      </c>
      <c r="F57" s="156">
        <f t="shared" si="1"/>
        <v>8989.195678271306</v>
      </c>
      <c r="G57" s="174"/>
      <c r="H57" s="175"/>
      <c r="I57" s="168"/>
      <c r="K57" s="59" t="str">
        <f t="shared" si="2"/>
        <v>weapon_rpg</v>
      </c>
      <c r="L57" s="105">
        <f t="shared" si="4"/>
        <v>408.57142857142856</v>
      </c>
      <c r="M57" s="105">
        <f t="shared" si="3"/>
        <v>18385.714285714286</v>
      </c>
      <c r="Q57" s="67" t="s">
        <v>61</v>
      </c>
      <c r="R57" s="46">
        <v>0</v>
      </c>
      <c r="S57" s="43">
        <v>0.4</v>
      </c>
      <c r="T57" s="43">
        <v>0</v>
      </c>
      <c r="U57" s="46">
        <v>1</v>
      </c>
      <c r="V57" s="124" t="s">
        <v>45</v>
      </c>
      <c r="W57" s="130">
        <f>S57*S58*S59*S60*S61*S62*S63*S64*U90*S65*T76</f>
        <v>8.4000000000000005E-2</v>
      </c>
      <c r="X57" s="43">
        <v>0</v>
      </c>
      <c r="Z57" s="189" t="s">
        <v>179</v>
      </c>
      <c r="AA57" s="200" t="s">
        <v>180</v>
      </c>
      <c r="AB57" s="201"/>
      <c r="AC57" s="192">
        <v>5</v>
      </c>
    </row>
    <row r="58" spans="1:29" x14ac:dyDescent="0.25">
      <c r="A58" s="170"/>
      <c r="B58" s="165" t="s">
        <v>24</v>
      </c>
      <c r="C58" s="173">
        <f>M51*M22*K22*(F22/100)/(L22+H22+G22)</f>
        <v>1369.8630136986301</v>
      </c>
      <c r="D58" s="105">
        <f>L51</f>
        <v>3125</v>
      </c>
      <c r="E58" s="106">
        <f>C22/W113*E22/100</f>
        <v>29.058823529411761</v>
      </c>
      <c r="F58" s="156">
        <f t="shared" si="1"/>
        <v>39806.607574536654</v>
      </c>
      <c r="G58" s="174"/>
      <c r="H58" s="175"/>
      <c r="I58" s="168"/>
      <c r="K58" s="25" t="s">
        <v>138</v>
      </c>
      <c r="L58" s="38" t="s">
        <v>108</v>
      </c>
      <c r="Q58" s="73"/>
      <c r="R58" s="60">
        <v>0</v>
      </c>
      <c r="S58" s="43">
        <v>0.5</v>
      </c>
      <c r="T58" s="43">
        <v>0</v>
      </c>
      <c r="U58" s="46">
        <v>1</v>
      </c>
      <c r="V58" s="124" t="s">
        <v>46</v>
      </c>
      <c r="W58" s="73"/>
      <c r="X58" s="73"/>
      <c r="Z58" s="189" t="s">
        <v>181</v>
      </c>
      <c r="AA58" s="200" t="s">
        <v>182</v>
      </c>
      <c r="AB58" s="201"/>
      <c r="AC58" s="192">
        <v>1.5</v>
      </c>
    </row>
    <row r="59" spans="1:29" x14ac:dyDescent="0.25">
      <c r="A59" s="170"/>
      <c r="B59" s="165" t="s">
        <v>25</v>
      </c>
      <c r="C59" s="173">
        <f>M52*K23*M23*(F23/100)/(L23+H23+G23)</f>
        <v>4857.8313253012047</v>
      </c>
      <c r="D59" s="105">
        <f>L52</f>
        <v>800</v>
      </c>
      <c r="E59" s="106">
        <f>C23/W113*E23/100</f>
        <v>21.176470588235293</v>
      </c>
      <c r="F59" s="156">
        <f t="shared" si="1"/>
        <v>102871.72218284904</v>
      </c>
      <c r="G59" s="174"/>
      <c r="H59" s="175"/>
      <c r="I59" s="168"/>
      <c r="K59" s="99" t="s">
        <v>131</v>
      </c>
      <c r="L59" s="137">
        <f t="shared" ref="L59:L67" si="5">AD13</f>
        <v>315</v>
      </c>
      <c r="Q59" s="73"/>
      <c r="R59" s="60">
        <v>0</v>
      </c>
      <c r="S59" s="43">
        <v>0.3</v>
      </c>
      <c r="T59" s="43">
        <v>0</v>
      </c>
      <c r="U59" s="46">
        <v>1</v>
      </c>
      <c r="V59" s="124" t="s">
        <v>47</v>
      </c>
      <c r="W59" s="73"/>
      <c r="X59" s="73"/>
      <c r="Z59" s="189" t="s">
        <v>183</v>
      </c>
      <c r="AA59" s="200" t="s">
        <v>184</v>
      </c>
      <c r="AB59" s="201"/>
      <c r="AC59" s="192">
        <v>2</v>
      </c>
    </row>
    <row r="60" spans="1:29" ht="15.75" thickBot="1" x14ac:dyDescent="0.3">
      <c r="A60" s="170"/>
      <c r="B60" s="165" t="s">
        <v>26</v>
      </c>
      <c r="C60" s="173">
        <f>M53*M24*K24*(F24/100)*AD30/(L24+H24+G24)</f>
        <v>2282.7403846153848</v>
      </c>
      <c r="D60" s="105">
        <f>L53</f>
        <v>735</v>
      </c>
      <c r="E60" s="106">
        <f>(C24/W114)*(E24/100)*AD32</f>
        <v>28.061224489795919</v>
      </c>
      <c r="F60" s="156">
        <f>C60*E60</f>
        <v>64056.49038461539</v>
      </c>
      <c r="G60" s="174"/>
      <c r="H60" s="175"/>
      <c r="I60" s="168"/>
      <c r="K60" s="99" t="s">
        <v>132</v>
      </c>
      <c r="L60" s="137">
        <f t="shared" si="5"/>
        <v>1.1000000000000001</v>
      </c>
      <c r="Q60" s="73"/>
      <c r="R60" s="60">
        <v>0</v>
      </c>
      <c r="S60" s="43">
        <v>0.7</v>
      </c>
      <c r="T60" s="43">
        <v>0</v>
      </c>
      <c r="U60" s="46">
        <v>1</v>
      </c>
      <c r="V60" s="124" t="s">
        <v>58</v>
      </c>
      <c r="W60" s="73"/>
      <c r="X60" s="73"/>
      <c r="Z60" s="190" t="s">
        <v>195</v>
      </c>
      <c r="AA60" s="202" t="s">
        <v>196</v>
      </c>
      <c r="AB60" s="203"/>
      <c r="AC60" s="193">
        <f>AD35</f>
        <v>1.6</v>
      </c>
    </row>
    <row r="61" spans="1:29" x14ac:dyDescent="0.25">
      <c r="A61" s="170"/>
      <c r="B61" s="165" t="s">
        <v>27</v>
      </c>
      <c r="C61" s="173">
        <f>(L52+L51)/2*(T91+T92)*M25*K25*(F25/100)/(L25+H25+G25)</f>
        <v>3143.3262711864409</v>
      </c>
      <c r="D61" s="105">
        <f>L52</f>
        <v>800</v>
      </c>
      <c r="E61" s="106">
        <f>(C25/W114)*(E25/100)</f>
        <v>38.775510204081627</v>
      </c>
      <c r="F61" s="156">
        <f t="shared" si="1"/>
        <v>121884.07990314769</v>
      </c>
      <c r="G61" s="174"/>
      <c r="H61" s="175"/>
      <c r="I61" s="168"/>
      <c r="K61" s="99" t="s">
        <v>133</v>
      </c>
      <c r="L61" s="138">
        <f t="shared" si="5"/>
        <v>90.2</v>
      </c>
      <c r="Q61" s="73"/>
      <c r="R61" s="60">
        <v>0</v>
      </c>
      <c r="S61" s="43">
        <v>0.5</v>
      </c>
      <c r="T61" s="43">
        <v>0</v>
      </c>
      <c r="U61" s="46">
        <v>1</v>
      </c>
      <c r="V61" s="124" t="s">
        <v>49</v>
      </c>
      <c r="W61" s="73"/>
      <c r="X61" s="73"/>
    </row>
    <row r="62" spans="1:29" x14ac:dyDescent="0.25">
      <c r="A62" s="170"/>
      <c r="B62" s="165" t="s">
        <v>28</v>
      </c>
      <c r="C62" s="173">
        <f>(L63+L64)/2*M26*K26*(F26/100)/(L26+H26+G26)</f>
        <v>8.2129442970822275</v>
      </c>
      <c r="D62" s="99">
        <f>L63+L64/2</f>
        <v>57.241025641025644</v>
      </c>
      <c r="E62" s="106">
        <f>C26/W51*E26/100</f>
        <v>2272.1354166666661</v>
      </c>
      <c r="F62" s="156">
        <f t="shared" si="1"/>
        <v>18660.921612511047</v>
      </c>
      <c r="G62" s="174"/>
      <c r="H62" s="175"/>
      <c r="I62" s="168"/>
      <c r="K62" s="99" t="s">
        <v>134</v>
      </c>
      <c r="L62" s="137">
        <f t="shared" si="5"/>
        <v>33.333333333333329</v>
      </c>
      <c r="Q62" s="73"/>
      <c r="R62" s="60">
        <v>0</v>
      </c>
      <c r="S62" s="43">
        <v>0.1</v>
      </c>
      <c r="T62" s="43">
        <v>0</v>
      </c>
      <c r="U62" s="46">
        <v>1</v>
      </c>
      <c r="V62" s="124" t="s">
        <v>59</v>
      </c>
      <c r="W62" s="73"/>
      <c r="X62" s="73"/>
    </row>
    <row r="63" spans="1:29" x14ac:dyDescent="0.25">
      <c r="A63" s="170"/>
      <c r="B63" s="165" t="s">
        <v>29</v>
      </c>
      <c r="C63" s="173">
        <f>L65*M27*K27*(F27/100)/(L27+H27+G27)</f>
        <v>49.4</v>
      </c>
      <c r="D63" s="99">
        <f>L65</f>
        <v>570</v>
      </c>
      <c r="E63" s="106">
        <f>C27/W51*E27/100</f>
        <v>4687.4999999999991</v>
      </c>
      <c r="F63" s="156">
        <f t="shared" si="1"/>
        <v>231562.49999999994</v>
      </c>
      <c r="G63" s="174"/>
      <c r="H63" s="175"/>
      <c r="I63" s="168"/>
      <c r="K63" s="99" t="s">
        <v>135</v>
      </c>
      <c r="L63" s="137">
        <f t="shared" si="5"/>
        <v>42.307692307692307</v>
      </c>
      <c r="Q63" s="73"/>
      <c r="R63" s="60">
        <v>0</v>
      </c>
      <c r="S63" s="43">
        <v>0.1</v>
      </c>
      <c r="T63" s="43">
        <v>0</v>
      </c>
      <c r="U63" s="46">
        <v>1</v>
      </c>
      <c r="V63" s="124" t="s">
        <v>60</v>
      </c>
      <c r="W63" s="73"/>
      <c r="X63" s="73"/>
    </row>
    <row r="64" spans="1:29" x14ac:dyDescent="0.25">
      <c r="A64" s="170"/>
      <c r="B64" s="165" t="s">
        <v>81</v>
      </c>
      <c r="C64" s="173">
        <f>F28*AD35/((G28+H28)*L28)</f>
        <v>25.6</v>
      </c>
      <c r="D64" s="99">
        <v>0</v>
      </c>
      <c r="E64" s="106">
        <f>C28/W112*E28/100</f>
        <v>2.0254629629629632</v>
      </c>
      <c r="F64" s="156">
        <v>0</v>
      </c>
      <c r="G64" s="174"/>
      <c r="H64" s="175"/>
      <c r="I64" s="168"/>
      <c r="K64" s="99" t="s">
        <v>137</v>
      </c>
      <c r="L64" s="137">
        <f t="shared" si="5"/>
        <v>29.866666666666667</v>
      </c>
      <c r="Q64" s="73"/>
      <c r="R64" s="60">
        <v>0</v>
      </c>
      <c r="S64" s="43">
        <v>1</v>
      </c>
      <c r="T64" s="43">
        <v>0</v>
      </c>
      <c r="U64" s="46">
        <v>1</v>
      </c>
      <c r="V64" s="124" t="s">
        <v>62</v>
      </c>
      <c r="W64" s="73"/>
      <c r="X64" s="73"/>
    </row>
    <row r="65" spans="1:24" x14ac:dyDescent="0.25">
      <c r="A65" s="170"/>
      <c r="B65" s="165" t="s">
        <v>82</v>
      </c>
      <c r="C65" s="173">
        <v>0</v>
      </c>
      <c r="D65" s="99">
        <v>0</v>
      </c>
      <c r="E65" s="132">
        <f>(C29/W51)*(E29/100)</f>
        <v>298.39409722222217</v>
      </c>
      <c r="F65" s="156">
        <v>0</v>
      </c>
      <c r="G65" s="174"/>
      <c r="H65" s="175"/>
      <c r="I65" s="168"/>
      <c r="K65" s="99" t="s">
        <v>136</v>
      </c>
      <c r="L65" s="137">
        <f t="shared" si="5"/>
        <v>570</v>
      </c>
      <c r="Q65" s="73"/>
      <c r="R65" s="43">
        <v>0</v>
      </c>
      <c r="S65" s="43">
        <v>2</v>
      </c>
      <c r="T65" s="43">
        <v>0</v>
      </c>
      <c r="U65" s="46">
        <v>1</v>
      </c>
      <c r="V65" s="44" t="s">
        <v>75</v>
      </c>
      <c r="W65" s="73"/>
      <c r="X65" s="73"/>
    </row>
    <row r="66" spans="1:24" x14ac:dyDescent="0.25">
      <c r="A66" s="170"/>
      <c r="B66" s="165" t="s">
        <v>83</v>
      </c>
      <c r="C66" s="173">
        <f>AC20*M30*(F30/100)/(L30+G30)</f>
        <v>3.9763888888888892</v>
      </c>
      <c r="D66" s="99">
        <v>1</v>
      </c>
      <c r="E66" s="106">
        <f>(C30/W112)*(E30/100)</f>
        <v>1.1111111111111112</v>
      </c>
      <c r="F66" s="156">
        <f>C66*E66</f>
        <v>4.4182098765432105</v>
      </c>
      <c r="G66" s="174"/>
      <c r="H66" s="175"/>
      <c r="I66" s="168"/>
      <c r="K66" s="140" t="s">
        <v>151</v>
      </c>
      <c r="L66" s="99">
        <f t="shared" si="5"/>
        <v>7.4999999999999997E-3</v>
      </c>
      <c r="Q66" s="66" t="s">
        <v>63</v>
      </c>
      <c r="R66" s="48">
        <v>0</v>
      </c>
      <c r="S66" s="50">
        <v>10</v>
      </c>
      <c r="T66" s="50">
        <v>0</v>
      </c>
      <c r="U66" s="48">
        <v>1</v>
      </c>
      <c r="V66" s="125" t="s">
        <v>49</v>
      </c>
      <c r="W66" s="52">
        <f>S66*S67*S68*S69*S70*S71*S72*S73</f>
        <v>2.1</v>
      </c>
      <c r="X66" s="50">
        <v>0</v>
      </c>
    </row>
    <row r="67" spans="1:24" ht="15.75" thickBot="1" x14ac:dyDescent="0.3">
      <c r="A67" s="171"/>
      <c r="B67" s="166" t="s">
        <v>84</v>
      </c>
      <c r="C67" s="177">
        <f>L67*M31*(F31/100)/(L31+G31+H31)</f>
        <v>2.4000000000000002E-3</v>
      </c>
      <c r="D67" s="178">
        <v>1</v>
      </c>
      <c r="E67" s="179">
        <f>(C31/W57)*(E31/100)</f>
        <v>14285.714285714284</v>
      </c>
      <c r="F67" s="180">
        <f>C67*E67</f>
        <v>34.285714285714285</v>
      </c>
      <c r="G67" s="181"/>
      <c r="H67" s="182"/>
      <c r="I67" s="169"/>
      <c r="K67" s="140" t="s">
        <v>84</v>
      </c>
      <c r="L67" s="99">
        <f t="shared" si="5"/>
        <v>1.2E-2</v>
      </c>
      <c r="Q67" s="73"/>
      <c r="R67" s="49">
        <v>0</v>
      </c>
      <c r="S67" s="50">
        <v>0.4</v>
      </c>
      <c r="T67" s="50">
        <v>0</v>
      </c>
      <c r="U67" s="48">
        <v>1</v>
      </c>
      <c r="V67" s="125" t="s">
        <v>58</v>
      </c>
      <c r="W67" s="73"/>
      <c r="X67" s="73"/>
    </row>
    <row r="68" spans="1:24" ht="15.75" thickTop="1" x14ac:dyDescent="0.25">
      <c r="K68" s="186" t="s">
        <v>175</v>
      </c>
      <c r="L68" s="38" t="s">
        <v>174</v>
      </c>
      <c r="Q68" s="73"/>
      <c r="R68" s="49">
        <v>0</v>
      </c>
      <c r="S68" s="50">
        <v>15</v>
      </c>
      <c r="T68" s="50">
        <v>0</v>
      </c>
      <c r="U68" s="48">
        <v>1</v>
      </c>
      <c r="V68" s="125" t="s">
        <v>62</v>
      </c>
      <c r="W68" s="73"/>
      <c r="X68" s="73"/>
    </row>
    <row r="69" spans="1:24" x14ac:dyDescent="0.25">
      <c r="B69" s="139" t="s">
        <v>150</v>
      </c>
      <c r="C69" s="101"/>
      <c r="K69" t="str">
        <f t="shared" ref="K69:K74" si="6">Q24</f>
        <v>Dog Jump</v>
      </c>
      <c r="L69" s="40">
        <f t="shared" ref="L69:L74" si="7">AD24</f>
        <v>1380000000</v>
      </c>
      <c r="Q69" s="73"/>
      <c r="R69" s="49">
        <v>0</v>
      </c>
      <c r="S69" s="50">
        <v>10</v>
      </c>
      <c r="T69" s="50">
        <v>0</v>
      </c>
      <c r="U69" s="48">
        <v>1</v>
      </c>
      <c r="V69" s="125" t="s">
        <v>47</v>
      </c>
      <c r="W69" s="73"/>
      <c r="X69" s="73"/>
    </row>
    <row r="70" spans="1:24" x14ac:dyDescent="0.25">
      <c r="B70" s="2" t="s">
        <v>6</v>
      </c>
      <c r="C70" s="40">
        <f>(VLOOKUP(I2,$R$2:$U$10,3,0)*K2*M2)/(G2*L2)</f>
        <v>0</v>
      </c>
      <c r="K70" t="str">
        <f t="shared" si="6"/>
        <v>Dog Slam</v>
      </c>
      <c r="L70" s="40">
        <f t="shared" si="7"/>
        <v>2760000</v>
      </c>
      <c r="Q70" s="73"/>
      <c r="R70" s="49">
        <v>0</v>
      </c>
      <c r="S70" s="50">
        <v>0.5</v>
      </c>
      <c r="T70" s="50">
        <v>0</v>
      </c>
      <c r="U70" s="48">
        <v>1</v>
      </c>
      <c r="V70" s="125" t="s">
        <v>64</v>
      </c>
      <c r="W70" s="73"/>
      <c r="X70" s="73"/>
    </row>
    <row r="71" spans="1:24" x14ac:dyDescent="0.25">
      <c r="K71" t="str">
        <f t="shared" si="6"/>
        <v>Hunter Charge</v>
      </c>
      <c r="L71" s="40">
        <f t="shared" si="7"/>
        <v>24756446.991404012</v>
      </c>
      <c r="Q71" s="73"/>
      <c r="R71" s="49">
        <v>0</v>
      </c>
      <c r="S71" s="50">
        <v>0.7</v>
      </c>
      <c r="T71" s="50">
        <v>0</v>
      </c>
      <c r="U71" s="48">
        <v>1</v>
      </c>
      <c r="V71" s="125" t="s">
        <v>65</v>
      </c>
      <c r="W71" s="73"/>
      <c r="X71" s="73"/>
    </row>
    <row r="72" spans="1:24" x14ac:dyDescent="0.25">
      <c r="K72" t="str">
        <f t="shared" si="6"/>
        <v>Strider Cannon</v>
      </c>
      <c r="L72" s="40">
        <f t="shared" si="7"/>
        <v>364000</v>
      </c>
      <c r="Q72" s="73"/>
      <c r="R72" s="49">
        <v>0</v>
      </c>
      <c r="S72" s="50">
        <v>0.1</v>
      </c>
      <c r="T72" s="50">
        <v>0</v>
      </c>
      <c r="U72" s="48">
        <v>1</v>
      </c>
      <c r="V72" s="125" t="s">
        <v>59</v>
      </c>
      <c r="W72" s="73"/>
      <c r="X72" s="73"/>
    </row>
    <row r="73" spans="1:24" x14ac:dyDescent="0.25">
      <c r="K73" t="str">
        <f t="shared" si="6"/>
        <v>Combine Ball</v>
      </c>
      <c r="L73" s="40">
        <f t="shared" si="7"/>
        <v>3600000</v>
      </c>
      <c r="Q73" s="73"/>
      <c r="R73" s="49">
        <v>0</v>
      </c>
      <c r="S73" s="50">
        <v>0.1</v>
      </c>
      <c r="T73" s="50">
        <v>0</v>
      </c>
      <c r="U73" s="48">
        <v>1</v>
      </c>
      <c r="V73" s="126" t="s">
        <v>60</v>
      </c>
      <c r="W73" s="73"/>
      <c r="X73" s="73"/>
    </row>
    <row r="74" spans="1:24" x14ac:dyDescent="0.25">
      <c r="K74" t="str">
        <f t="shared" si="6"/>
        <v>Grenade</v>
      </c>
      <c r="L74" s="40">
        <f t="shared" si="7"/>
        <v>4000</v>
      </c>
      <c r="Q74" s="67" t="s">
        <v>66</v>
      </c>
      <c r="R74" s="46">
        <v>0</v>
      </c>
      <c r="S74" s="43">
        <v>0</v>
      </c>
      <c r="T74" s="43">
        <v>70</v>
      </c>
      <c r="U74" s="46">
        <v>1</v>
      </c>
      <c r="V74" s="124" t="s">
        <v>67</v>
      </c>
      <c r="W74" s="45">
        <v>0</v>
      </c>
      <c r="X74" s="43">
        <f>(T74+T75+T76)*U77*U78</f>
        <v>112</v>
      </c>
    </row>
    <row r="75" spans="1:24" x14ac:dyDescent="0.25">
      <c r="Q75" s="73"/>
      <c r="R75" s="60">
        <v>0</v>
      </c>
      <c r="S75" s="43">
        <v>0</v>
      </c>
      <c r="T75" s="43">
        <v>150</v>
      </c>
      <c r="U75" s="46">
        <v>1</v>
      </c>
      <c r="V75" s="124" t="s">
        <v>57</v>
      </c>
      <c r="W75" s="73"/>
      <c r="X75" s="73"/>
    </row>
    <row r="76" spans="1:24" x14ac:dyDescent="0.25">
      <c r="Q76" s="73"/>
      <c r="R76" s="60">
        <v>0</v>
      </c>
      <c r="S76" s="43">
        <v>0</v>
      </c>
      <c r="T76" s="43">
        <v>100</v>
      </c>
      <c r="U76" s="46">
        <v>1</v>
      </c>
      <c r="V76" s="124" t="s">
        <v>61</v>
      </c>
      <c r="W76" s="73"/>
      <c r="X76" s="73"/>
    </row>
    <row r="77" spans="1:24" x14ac:dyDescent="0.25">
      <c r="Q77" s="73"/>
      <c r="R77" s="60">
        <v>0</v>
      </c>
      <c r="S77" s="43">
        <v>0</v>
      </c>
      <c r="T77" s="43">
        <v>0</v>
      </c>
      <c r="U77" s="45">
        <v>0.5</v>
      </c>
      <c r="V77" s="124" t="s">
        <v>65</v>
      </c>
      <c r="W77" s="73"/>
      <c r="X77" s="73"/>
    </row>
    <row r="78" spans="1:24" x14ac:dyDescent="0.25">
      <c r="N78" s="40"/>
      <c r="O78" s="40"/>
      <c r="Q78" s="73"/>
      <c r="R78" s="60">
        <v>0</v>
      </c>
      <c r="S78" s="43">
        <v>0</v>
      </c>
      <c r="T78" s="43">
        <v>0</v>
      </c>
      <c r="U78" s="45">
        <v>0.7</v>
      </c>
      <c r="V78" s="124" t="s">
        <v>68</v>
      </c>
      <c r="W78" s="73"/>
      <c r="X78" s="73"/>
    </row>
    <row r="79" spans="1:24" x14ac:dyDescent="0.25">
      <c r="Q79" s="66" t="s">
        <v>59</v>
      </c>
      <c r="R79" s="48">
        <v>0</v>
      </c>
      <c r="S79" s="48">
        <v>0</v>
      </c>
      <c r="T79" s="50">
        <v>30</v>
      </c>
      <c r="U79" s="50">
        <v>1</v>
      </c>
      <c r="V79" s="125" t="s">
        <v>64</v>
      </c>
      <c r="W79" s="52">
        <v>0</v>
      </c>
      <c r="X79" s="50">
        <f>(T79+T80)*U81</f>
        <v>16</v>
      </c>
    </row>
    <row r="80" spans="1:24" x14ac:dyDescent="0.25">
      <c r="Q80" s="74"/>
      <c r="R80" s="49">
        <v>0</v>
      </c>
      <c r="S80" s="50">
        <v>0</v>
      </c>
      <c r="T80" s="50">
        <v>10</v>
      </c>
      <c r="U80" s="50">
        <v>1</v>
      </c>
      <c r="V80" s="125" t="s">
        <v>65</v>
      </c>
      <c r="W80" s="73"/>
      <c r="X80" s="73"/>
    </row>
    <row r="81" spans="17:24" x14ac:dyDescent="0.25">
      <c r="Q81" s="74"/>
      <c r="R81" s="61">
        <v>0</v>
      </c>
      <c r="S81" s="56">
        <v>0</v>
      </c>
      <c r="T81" s="56">
        <v>0</v>
      </c>
      <c r="U81" s="56">
        <v>0.4</v>
      </c>
      <c r="V81" s="126" t="s">
        <v>67</v>
      </c>
      <c r="W81" s="73"/>
      <c r="X81" s="73"/>
    </row>
    <row r="82" spans="17:24" x14ac:dyDescent="0.25">
      <c r="Q82" s="55" t="s">
        <v>69</v>
      </c>
      <c r="R82" s="57">
        <v>0</v>
      </c>
      <c r="S82" s="57">
        <v>0</v>
      </c>
      <c r="T82" s="57">
        <v>30</v>
      </c>
      <c r="U82" s="57">
        <v>0.4</v>
      </c>
      <c r="V82" s="127" t="s">
        <v>64</v>
      </c>
      <c r="W82" s="45">
        <v>0</v>
      </c>
      <c r="X82" s="43">
        <f>(T82+T83)*U82*U83</f>
        <v>6.4</v>
      </c>
    </row>
    <row r="83" spans="17:24" x14ac:dyDescent="0.25">
      <c r="Q83" s="73"/>
      <c r="R83" s="62">
        <v>0</v>
      </c>
      <c r="S83" s="58">
        <v>0</v>
      </c>
      <c r="T83" s="54">
        <v>10</v>
      </c>
      <c r="U83" s="172">
        <v>0.4</v>
      </c>
      <c r="V83" s="128" t="s">
        <v>65</v>
      </c>
      <c r="W83" s="73"/>
      <c r="X83" s="73"/>
    </row>
    <row r="84" spans="17:24" x14ac:dyDescent="0.25">
      <c r="Q84" s="38" t="s">
        <v>60</v>
      </c>
      <c r="R84" s="47">
        <v>0</v>
      </c>
      <c r="S84" s="47">
        <v>0</v>
      </c>
      <c r="T84" s="47">
        <v>10</v>
      </c>
      <c r="U84" s="47">
        <v>1</v>
      </c>
      <c r="V84" s="38" t="s">
        <v>64</v>
      </c>
      <c r="W84" s="52">
        <v>0</v>
      </c>
      <c r="X84" s="50">
        <f>T84*U85</f>
        <v>1</v>
      </c>
    </row>
    <row r="85" spans="17:24" x14ac:dyDescent="0.25">
      <c r="Q85" s="75"/>
      <c r="R85" s="47">
        <v>0</v>
      </c>
      <c r="S85" s="47">
        <v>0</v>
      </c>
      <c r="T85" s="47">
        <v>0</v>
      </c>
      <c r="U85" s="47">
        <v>0.1</v>
      </c>
      <c r="V85" s="38" t="s">
        <v>67</v>
      </c>
      <c r="W85" s="73"/>
      <c r="X85" s="73"/>
    </row>
    <row r="86" spans="17:24" x14ac:dyDescent="0.25">
      <c r="Q86" s="53" t="str">
        <f>Z48</f>
        <v>bullet</v>
      </c>
      <c r="R86" s="54">
        <v>0</v>
      </c>
      <c r="S86" s="54">
        <v>0</v>
      </c>
      <c r="T86" s="54">
        <v>2</v>
      </c>
      <c r="U86" s="54">
        <v>0</v>
      </c>
      <c r="V86" s="53" t="s">
        <v>64</v>
      </c>
      <c r="W86" s="45">
        <v>0</v>
      </c>
      <c r="X86" s="43">
        <f>T86</f>
        <v>2</v>
      </c>
    </row>
    <row r="87" spans="17:24" x14ac:dyDescent="0.25">
      <c r="Q87" s="51" t="str">
        <f>Z49</f>
        <v>pulse</v>
      </c>
      <c r="R87" s="50">
        <v>0</v>
      </c>
      <c r="S87" s="50">
        <v>0</v>
      </c>
      <c r="T87" s="50">
        <v>4</v>
      </c>
      <c r="U87" s="50">
        <v>1</v>
      </c>
      <c r="V87" s="125" t="s">
        <v>64</v>
      </c>
      <c r="W87" s="52">
        <v>0</v>
      </c>
      <c r="X87" s="50">
        <f>(T87+T88)*U89*U90</f>
        <v>28</v>
      </c>
    </row>
    <row r="88" spans="17:24" x14ac:dyDescent="0.25">
      <c r="Q88" s="75"/>
      <c r="R88" s="49">
        <v>0</v>
      </c>
      <c r="S88" s="50">
        <v>0</v>
      </c>
      <c r="T88" s="50">
        <v>3</v>
      </c>
      <c r="U88" s="50">
        <v>1</v>
      </c>
      <c r="V88" s="125" t="s">
        <v>65</v>
      </c>
      <c r="W88" s="73"/>
      <c r="X88" s="73"/>
    </row>
    <row r="89" spans="17:24" x14ac:dyDescent="0.25">
      <c r="Q89" s="75"/>
      <c r="R89" s="49">
        <v>0</v>
      </c>
      <c r="S89" s="50">
        <v>0</v>
      </c>
      <c r="T89" s="50">
        <v>0</v>
      </c>
      <c r="U89" s="50">
        <v>2</v>
      </c>
      <c r="V89" s="125" t="s">
        <v>57</v>
      </c>
      <c r="W89" s="73"/>
      <c r="X89" s="73"/>
    </row>
    <row r="90" spans="17:24" x14ac:dyDescent="0.25">
      <c r="Q90" s="75"/>
      <c r="R90" s="49">
        <v>0</v>
      </c>
      <c r="S90" s="50">
        <v>0</v>
      </c>
      <c r="T90" s="50">
        <v>0</v>
      </c>
      <c r="U90" s="50">
        <v>2</v>
      </c>
      <c r="V90" s="125" t="s">
        <v>61</v>
      </c>
      <c r="W90" s="73"/>
      <c r="X90" s="73"/>
    </row>
    <row r="91" spans="17:24" x14ac:dyDescent="0.25">
      <c r="Q91" s="68" t="s">
        <v>70</v>
      </c>
      <c r="R91" s="43">
        <v>0</v>
      </c>
      <c r="S91" s="43">
        <v>0</v>
      </c>
      <c r="T91" s="43">
        <v>4</v>
      </c>
      <c r="U91" s="43">
        <v>1</v>
      </c>
      <c r="V91" s="124" t="s">
        <v>64</v>
      </c>
      <c r="W91" s="45">
        <v>0</v>
      </c>
      <c r="X91" s="43">
        <f>T91+T92</f>
        <v>7</v>
      </c>
    </row>
    <row r="92" spans="17:24" x14ac:dyDescent="0.25">
      <c r="Q92" s="75"/>
      <c r="R92" s="60">
        <v>0</v>
      </c>
      <c r="S92" s="43">
        <v>0</v>
      </c>
      <c r="T92" s="43">
        <v>3</v>
      </c>
      <c r="U92" s="43">
        <v>1</v>
      </c>
      <c r="V92" s="124" t="s">
        <v>65</v>
      </c>
      <c r="W92" s="73"/>
      <c r="X92" s="73"/>
    </row>
    <row r="93" spans="17:24" x14ac:dyDescent="0.25">
      <c r="Q93" s="69" t="s">
        <v>47</v>
      </c>
      <c r="R93" s="50">
        <v>0</v>
      </c>
      <c r="S93" s="50">
        <v>0</v>
      </c>
      <c r="T93" s="50">
        <v>50</v>
      </c>
      <c r="U93" s="50">
        <v>1</v>
      </c>
      <c r="V93" s="125" t="s">
        <v>64</v>
      </c>
      <c r="W93" s="52">
        <v>0</v>
      </c>
      <c r="X93" s="50">
        <f>(T93+T94+T95)*U96*U97</f>
        <v>42.5</v>
      </c>
    </row>
    <row r="94" spans="17:24" x14ac:dyDescent="0.25">
      <c r="Q94" s="75"/>
      <c r="R94" s="49">
        <v>0</v>
      </c>
      <c r="S94" s="50">
        <v>0</v>
      </c>
      <c r="T94" s="50">
        <v>30</v>
      </c>
      <c r="U94" s="50">
        <v>1</v>
      </c>
      <c r="V94" s="125" t="s">
        <v>65</v>
      </c>
      <c r="W94" s="73"/>
      <c r="X94" s="73"/>
    </row>
    <row r="95" spans="17:24" x14ac:dyDescent="0.25">
      <c r="Q95" s="75"/>
      <c r="R95" s="49">
        <v>0</v>
      </c>
      <c r="S95" s="50">
        <v>0</v>
      </c>
      <c r="T95" s="50">
        <v>20</v>
      </c>
      <c r="U95" s="50">
        <v>1</v>
      </c>
      <c r="V95" s="125" t="s">
        <v>68</v>
      </c>
      <c r="W95" s="73"/>
      <c r="X95" s="73"/>
    </row>
    <row r="96" spans="17:24" x14ac:dyDescent="0.25">
      <c r="Q96" s="75"/>
      <c r="R96" s="49">
        <v>0</v>
      </c>
      <c r="S96" s="50">
        <v>0</v>
      </c>
      <c r="T96" s="50">
        <v>0</v>
      </c>
      <c r="U96" s="50">
        <v>0.25</v>
      </c>
      <c r="V96" s="125" t="s">
        <v>67</v>
      </c>
      <c r="W96" s="73"/>
      <c r="X96" s="73"/>
    </row>
    <row r="97" spans="17:24" x14ac:dyDescent="0.25">
      <c r="Q97" s="75"/>
      <c r="R97" s="61">
        <v>0</v>
      </c>
      <c r="S97" s="56">
        <v>0</v>
      </c>
      <c r="T97" s="56">
        <v>0</v>
      </c>
      <c r="U97" s="56">
        <v>1.7</v>
      </c>
      <c r="V97" s="126" t="s">
        <v>71</v>
      </c>
      <c r="W97" s="73"/>
      <c r="X97" s="73"/>
    </row>
    <row r="98" spans="17:24" x14ac:dyDescent="0.25">
      <c r="Q98" s="70" t="str">
        <f>Z51</f>
        <v>shock</v>
      </c>
      <c r="R98" s="57">
        <v>0</v>
      </c>
      <c r="S98" s="57">
        <v>0</v>
      </c>
      <c r="T98" s="57">
        <v>0</v>
      </c>
      <c r="U98" s="57">
        <v>0.5</v>
      </c>
      <c r="V98" s="127" t="s">
        <v>67</v>
      </c>
      <c r="W98" s="45">
        <v>0</v>
      </c>
      <c r="X98" s="43">
        <f>(T99+T100)*U98*U99*U100</f>
        <v>12</v>
      </c>
    </row>
    <row r="99" spans="17:24" x14ac:dyDescent="0.25">
      <c r="Q99" s="73"/>
      <c r="R99" s="43">
        <v>0</v>
      </c>
      <c r="S99" s="43">
        <v>0</v>
      </c>
      <c r="T99" s="43">
        <v>8</v>
      </c>
      <c r="U99" s="43">
        <v>2</v>
      </c>
      <c r="V99" s="44" t="s">
        <v>55</v>
      </c>
      <c r="W99" s="73"/>
      <c r="X99" s="73"/>
    </row>
    <row r="100" spans="17:24" x14ac:dyDescent="0.25">
      <c r="Q100" s="73"/>
      <c r="R100" s="43">
        <v>0</v>
      </c>
      <c r="S100" s="43">
        <v>0</v>
      </c>
      <c r="T100" s="43">
        <v>4</v>
      </c>
      <c r="U100" s="43">
        <v>1</v>
      </c>
      <c r="V100" s="44" t="s">
        <v>64</v>
      </c>
      <c r="W100" s="73"/>
      <c r="X100" s="73"/>
    </row>
    <row r="101" spans="17:24" x14ac:dyDescent="0.25">
      <c r="Q101" s="30" t="s">
        <v>72</v>
      </c>
      <c r="R101" s="50">
        <v>0</v>
      </c>
      <c r="S101" s="50">
        <v>0</v>
      </c>
      <c r="T101" s="50">
        <v>1</v>
      </c>
      <c r="U101" s="50">
        <v>1</v>
      </c>
      <c r="V101" s="125" t="s">
        <v>68</v>
      </c>
      <c r="W101" s="52">
        <v>0</v>
      </c>
      <c r="X101" s="50">
        <f>T101</f>
        <v>1</v>
      </c>
    </row>
    <row r="102" spans="17:24" x14ac:dyDescent="0.25">
      <c r="Q102" s="65" t="str">
        <f>Z52</f>
        <v>fire</v>
      </c>
      <c r="R102" s="57">
        <v>0</v>
      </c>
      <c r="S102" s="57">
        <v>0</v>
      </c>
      <c r="T102" s="57">
        <v>12</v>
      </c>
      <c r="U102" s="57">
        <v>1</v>
      </c>
      <c r="V102" s="127" t="s">
        <v>64</v>
      </c>
      <c r="W102" s="45">
        <v>0</v>
      </c>
      <c r="X102" s="43">
        <f>T102+T103+T104</f>
        <v>28</v>
      </c>
    </row>
    <row r="103" spans="17:24" x14ac:dyDescent="0.25">
      <c r="Q103" s="75"/>
      <c r="R103" s="63">
        <v>0</v>
      </c>
      <c r="S103" s="57">
        <v>0</v>
      </c>
      <c r="T103" s="57">
        <v>6</v>
      </c>
      <c r="U103" s="57">
        <v>1</v>
      </c>
      <c r="V103" s="127" t="s">
        <v>65</v>
      </c>
      <c r="W103" s="45"/>
      <c r="X103" s="73"/>
    </row>
    <row r="104" spans="17:24" x14ac:dyDescent="0.25">
      <c r="Q104" s="75"/>
      <c r="R104" s="63">
        <v>0</v>
      </c>
      <c r="S104" s="57">
        <v>0</v>
      </c>
      <c r="T104" s="57">
        <v>10</v>
      </c>
      <c r="U104" s="57">
        <v>1</v>
      </c>
      <c r="V104" s="127" t="s">
        <v>67</v>
      </c>
      <c r="W104" s="45"/>
      <c r="X104" s="73"/>
    </row>
    <row r="105" spans="17:24" x14ac:dyDescent="0.25">
      <c r="Q105" s="38" t="s">
        <v>73</v>
      </c>
      <c r="R105" s="47">
        <v>0</v>
      </c>
      <c r="S105" s="47">
        <v>0</v>
      </c>
      <c r="T105" s="47">
        <v>40</v>
      </c>
      <c r="U105" s="50">
        <v>1</v>
      </c>
      <c r="V105" s="38" t="s">
        <v>64</v>
      </c>
      <c r="W105" s="52">
        <v>0</v>
      </c>
      <c r="X105" s="50">
        <f>T105+T106</f>
        <v>65</v>
      </c>
    </row>
    <row r="106" spans="17:24" x14ac:dyDescent="0.25">
      <c r="Q106" s="75"/>
      <c r="R106" s="47">
        <v>0</v>
      </c>
      <c r="S106" s="47">
        <v>0</v>
      </c>
      <c r="T106" s="47">
        <v>25</v>
      </c>
      <c r="U106" s="50">
        <v>1</v>
      </c>
      <c r="V106" s="38" t="s">
        <v>65</v>
      </c>
      <c r="W106" s="73"/>
      <c r="X106" s="73"/>
    </row>
    <row r="107" spans="17:24" x14ac:dyDescent="0.25">
      <c r="Q107" s="68" t="str">
        <f>Z53</f>
        <v>explosive</v>
      </c>
      <c r="R107" s="57">
        <v>0</v>
      </c>
      <c r="S107" s="57">
        <v>0</v>
      </c>
      <c r="T107" s="57">
        <v>30</v>
      </c>
      <c r="U107" s="57">
        <v>1</v>
      </c>
      <c r="V107" s="127" t="s">
        <v>64</v>
      </c>
      <c r="W107" s="45">
        <v>0</v>
      </c>
      <c r="X107" s="43">
        <f>T107+T108</f>
        <v>45</v>
      </c>
    </row>
    <row r="108" spans="17:24" x14ac:dyDescent="0.25">
      <c r="Q108" s="75"/>
      <c r="R108" s="63">
        <v>0</v>
      </c>
      <c r="S108" s="57">
        <v>0</v>
      </c>
      <c r="T108" s="57">
        <v>15</v>
      </c>
      <c r="U108" s="57">
        <v>1</v>
      </c>
      <c r="V108" s="127" t="s">
        <v>65</v>
      </c>
      <c r="W108" s="73"/>
      <c r="X108" s="73"/>
    </row>
    <row r="109" spans="17:24" x14ac:dyDescent="0.25">
      <c r="Q109" s="75"/>
      <c r="R109" s="63">
        <v>0</v>
      </c>
      <c r="S109" s="57">
        <v>0</v>
      </c>
      <c r="T109" s="57">
        <v>0</v>
      </c>
      <c r="U109" s="57">
        <v>1</v>
      </c>
      <c r="V109" s="127" t="s">
        <v>67</v>
      </c>
      <c r="W109" s="73"/>
      <c r="X109" s="73"/>
    </row>
    <row r="110" spans="17:24" x14ac:dyDescent="0.25">
      <c r="Q110" s="38" t="s">
        <v>74</v>
      </c>
      <c r="R110" s="47">
        <v>0</v>
      </c>
      <c r="S110" s="47">
        <v>0</v>
      </c>
      <c r="T110" s="47">
        <v>150</v>
      </c>
      <c r="U110" s="50">
        <v>1</v>
      </c>
      <c r="V110" s="38" t="s">
        <v>57</v>
      </c>
      <c r="W110" s="52">
        <v>0</v>
      </c>
      <c r="X110" s="52">
        <v>150</v>
      </c>
    </row>
    <row r="111" spans="17:24" x14ac:dyDescent="0.25">
      <c r="Q111" s="44" t="s">
        <v>75</v>
      </c>
      <c r="R111" s="43">
        <v>0</v>
      </c>
      <c r="S111" s="43">
        <v>0</v>
      </c>
      <c r="T111" s="43">
        <v>0</v>
      </c>
      <c r="U111" s="43">
        <v>0.05</v>
      </c>
      <c r="V111" s="124" t="s">
        <v>67</v>
      </c>
      <c r="W111" s="45">
        <v>0</v>
      </c>
      <c r="X111" s="43">
        <v>0</v>
      </c>
    </row>
    <row r="112" spans="17:24" x14ac:dyDescent="0.25">
      <c r="Q112" s="77" t="s">
        <v>64</v>
      </c>
      <c r="R112" s="47">
        <v>0</v>
      </c>
      <c r="S112" s="47">
        <v>0</v>
      </c>
      <c r="T112" s="47">
        <v>0</v>
      </c>
      <c r="U112" s="78">
        <v>1</v>
      </c>
      <c r="V112" s="38" t="s">
        <v>78</v>
      </c>
      <c r="W112" s="52">
        <f>(T102+T105+T107+T93+T91+T87+T86+T84+T82+T79+T100)*U82</f>
        <v>86.4</v>
      </c>
      <c r="X112" s="50">
        <v>0</v>
      </c>
    </row>
    <row r="113" spans="17:24" x14ac:dyDescent="0.25">
      <c r="Q113" s="76" t="s">
        <v>65</v>
      </c>
      <c r="R113" s="46">
        <v>0</v>
      </c>
      <c r="S113" s="46">
        <v>0</v>
      </c>
      <c r="T113" s="46">
        <v>0</v>
      </c>
      <c r="U113" s="79">
        <v>1</v>
      </c>
      <c r="V113" s="129" t="s">
        <v>78</v>
      </c>
      <c r="W113" s="45">
        <f>(T80+T83+T88+T92+T94+T103+T106+T108)*U83*U77</f>
        <v>20.400000000000002</v>
      </c>
      <c r="X113" s="43">
        <v>0</v>
      </c>
    </row>
    <row r="114" spans="17:24" x14ac:dyDescent="0.25">
      <c r="Q114" s="77" t="s">
        <v>68</v>
      </c>
      <c r="R114" s="47">
        <v>0</v>
      </c>
      <c r="S114" s="47">
        <v>0</v>
      </c>
      <c r="T114" s="47">
        <v>0</v>
      </c>
      <c r="U114" s="78">
        <v>1</v>
      </c>
      <c r="V114" s="38" t="s">
        <v>78</v>
      </c>
      <c r="W114" s="52">
        <f>(T95+T101)*U78</f>
        <v>14.7</v>
      </c>
      <c r="X114" s="50">
        <v>0</v>
      </c>
    </row>
    <row r="115" spans="17:24" x14ac:dyDescent="0.25">
      <c r="Q115" s="131" t="s">
        <v>67</v>
      </c>
      <c r="R115" s="43">
        <v>0</v>
      </c>
      <c r="S115" s="43">
        <v>0</v>
      </c>
      <c r="T115" s="43">
        <v>0</v>
      </c>
      <c r="U115" s="143">
        <v>1</v>
      </c>
      <c r="V115" s="44" t="s">
        <v>78</v>
      </c>
      <c r="W115" s="45">
        <f>(T104+T74)*U111*U98*U96*U81*U85</f>
        <v>2.0000000000000004E-2</v>
      </c>
      <c r="X115" s="43">
        <v>0</v>
      </c>
    </row>
    <row r="116" spans="17:24" x14ac:dyDescent="0.25">
      <c r="Q116" s="38" t="s">
        <v>152</v>
      </c>
      <c r="R116" s="47">
        <v>0</v>
      </c>
      <c r="S116" s="78">
        <v>0</v>
      </c>
      <c r="T116" s="47">
        <v>0</v>
      </c>
      <c r="U116" s="47">
        <v>1</v>
      </c>
      <c r="V116" s="38" t="s">
        <v>78</v>
      </c>
      <c r="W116" s="32">
        <v>0</v>
      </c>
      <c r="X116" s="32">
        <v>0</v>
      </c>
    </row>
  </sheetData>
  <mergeCells count="7">
    <mergeCell ref="AA59:AB59"/>
    <mergeCell ref="AA60:AB60"/>
    <mergeCell ref="AA55:AB55"/>
    <mergeCell ref="B36:H36"/>
    <mergeCell ref="AA56:AB56"/>
    <mergeCell ref="AA57:AB57"/>
    <mergeCell ref="AA58:AB58"/>
  </mergeCells>
  <conditionalFormatting sqref="N2:N31">
    <cfRule type="colorScale" priority="3">
      <colorScale>
        <cfvo type="num" val="1000"/>
        <cfvo type="percentile" val="75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25"/>
        <cfvo type="max"/>
        <color theme="6" tint="0.39997558519241921"/>
        <color rgb="FF00B050"/>
        <color rgb="FFFF5050"/>
      </colorScale>
    </cfRule>
  </conditionalFormatting>
  <pageMargins left="0.7" right="0.7" top="0.75" bottom="0.75" header="0.3" footer="0.3"/>
  <pageSetup paperSize="9" orientation="portrait" verticalDpi="300" r:id="rId1"/>
  <ignoredErrors>
    <ignoredError sqref="I6 I15 I2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weapon_pistol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Romantsov</dc:creator>
  <cp:lastModifiedBy>Леонид</cp:lastModifiedBy>
  <dcterms:created xsi:type="dcterms:W3CDTF">2017-06-19T21:08:19Z</dcterms:created>
  <dcterms:modified xsi:type="dcterms:W3CDTF">2017-10-24T15:22:23Z</dcterms:modified>
</cp:coreProperties>
</file>