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defaultThemeVersion="202300"/>
  <mc:AlternateContent xmlns:mc="http://schemas.openxmlformats.org/markup-compatibility/2006">
    <mc:Choice Requires="x15">
      <x15ac:absPath xmlns:x15ac="http://schemas.microsoft.com/office/spreadsheetml/2010/11/ac" url="https://wpfund-my.sharepoint.com/personal/whoeltermann_wpfund_org/Documents/Projects/PTO HR and Personal/"/>
    </mc:Choice>
  </mc:AlternateContent>
  <xr:revisionPtr revIDLastSave="3499" documentId="8_{3961CBBC-D4E0-184C-8FEC-1D50115EC3CF}" xr6:coauthVersionLast="47" xr6:coauthVersionMax="47" xr10:uidLastSave="{AD3DEDA9-512E-4724-9C7B-2F841AC048E7}"/>
  <bookViews>
    <workbookView xWindow="-110" yWindow="-110" windowWidth="19420" windowHeight="11620" firstSheet="5" activeTab="9" xr2:uid="{00000000-000D-0000-FFFF-FFFF00000000}"/>
  </bookViews>
  <sheets>
    <sheet name="Input" sheetId="2" r:id="rId1"/>
    <sheet name="Tools" sheetId="3" r:id="rId2"/>
    <sheet name="Workstations" sheetId="6" r:id="rId3"/>
    <sheet name="Products" sheetId="7" r:id="rId4"/>
    <sheet name="Curios" sheetId="9" r:id="rId5"/>
    <sheet name="Gildings" sheetId="11" r:id="rId6"/>
    <sheet name="Weaponry" sheetId="10" r:id="rId7"/>
    <sheet name="Armory" sheetId="5" r:id="rId8"/>
    <sheet name="Food" sheetId="1" r:id="rId9"/>
    <sheet name="pull" sheetId="12" r:id="rId10"/>
  </sheets>
  <definedNames>
    <definedName name="_xlnm._FilterDatabase" localSheetId="4" hidden="1">Curios!$A$25:$Q$314</definedName>
  </definedNames>
  <calcPr calcId="191028" iterate="1" iterateCount="20"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2" l="1"/>
  <c r="E3" i="5"/>
  <c r="D3" i="5"/>
  <c r="I5" i="5"/>
  <c r="J6" i="10" a="1"/>
  <c r="J6" i="10" s="1"/>
  <c r="K5" i="10"/>
  <c r="G26" i="6" a="1"/>
  <c r="G26" i="6" s="1"/>
  <c r="F26" i="6" a="1"/>
  <c r="F26" i="6" s="1"/>
  <c r="F2" i="7"/>
  <c r="I46" i="9"/>
  <c r="I5" i="2"/>
  <c r="F20" i="3" s="1"/>
  <c r="F8" i="3"/>
  <c r="E8" i="3"/>
  <c r="F46" i="7"/>
  <c r="K73" i="9"/>
  <c r="J56" i="9"/>
  <c r="I56" i="9"/>
  <c r="K64" i="9"/>
  <c r="J64" i="9"/>
  <c r="I64" i="9"/>
  <c r="K69" i="9"/>
  <c r="J69" i="9"/>
  <c r="I69" i="9"/>
  <c r="K113" i="9"/>
  <c r="J113" i="9"/>
  <c r="I113" i="9"/>
  <c r="K181" i="9"/>
  <c r="J181" i="9"/>
  <c r="I181" i="9"/>
  <c r="K223" i="9"/>
  <c r="J223" i="9"/>
  <c r="I223" i="9"/>
  <c r="K103" i="9"/>
  <c r="J103" i="9"/>
  <c r="I103" i="9"/>
  <c r="K74" i="9"/>
  <c r="J74" i="9"/>
  <c r="I74" i="9"/>
  <c r="I202" i="9"/>
  <c r="I245" i="9"/>
  <c r="L66" i="9"/>
  <c r="H66" i="9" s="1"/>
  <c r="C66" i="9" s="1"/>
  <c r="D66" i="9" s="1"/>
  <c r="K67" i="9"/>
  <c r="H67" i="9" s="1"/>
  <c r="C67" i="9" s="1"/>
  <c r="E67" i="9" s="1"/>
  <c r="K79" i="9"/>
  <c r="H79" i="9" s="1"/>
  <c r="C79" i="9" s="1"/>
  <c r="D79" i="9" s="1"/>
  <c r="J99" i="9"/>
  <c r="H99" i="9" s="1"/>
  <c r="C99" i="9" s="1"/>
  <c r="D99" i="9" s="1"/>
  <c r="I77" i="9"/>
  <c r="J109" i="9"/>
  <c r="H109" i="9" s="1"/>
  <c r="C109" i="9" s="1"/>
  <c r="E109" i="9" s="1"/>
  <c r="J114" i="9"/>
  <c r="F82" i="7"/>
  <c r="E82" i="7"/>
  <c r="E79" i="7"/>
  <c r="K79" i="7" s="1"/>
  <c r="E78" i="7"/>
  <c r="K78" i="7" s="1"/>
  <c r="E75" i="7"/>
  <c r="K73" i="7"/>
  <c r="K76" i="7"/>
  <c r="K80" i="7"/>
  <c r="K81" i="7"/>
  <c r="K83" i="7"/>
  <c r="K84" i="7"/>
  <c r="K85" i="7"/>
  <c r="I114" i="9"/>
  <c r="J101" i="9"/>
  <c r="E22" i="3"/>
  <c r="F22" i="3"/>
  <c r="J202" i="9"/>
  <c r="K202" i="9"/>
  <c r="I3" i="2"/>
  <c r="I4" i="2"/>
  <c r="I6" i="2"/>
  <c r="K119" i="9"/>
  <c r="J119" i="9"/>
  <c r="I119" i="9"/>
  <c r="I58" i="9"/>
  <c r="H58" i="9" s="1"/>
  <c r="C58" i="9" s="1"/>
  <c r="I100" i="9"/>
  <c r="I68" i="9"/>
  <c r="J68" i="9"/>
  <c r="F43" i="7"/>
  <c r="E19" i="6"/>
  <c r="F34" i="7"/>
  <c r="G47" i="7"/>
  <c r="F64" i="7"/>
  <c r="I57" i="7"/>
  <c r="F47" i="7"/>
  <c r="G17" i="6"/>
  <c r="B31" i="2"/>
  <c r="E7" i="6" s="1"/>
  <c r="D30" i="2"/>
  <c r="B30" i="2"/>
  <c r="F16" i="6"/>
  <c r="E16" i="6"/>
  <c r="D11" i="3"/>
  <c r="B39" i="2"/>
  <c r="E3" i="3" s="1"/>
  <c r="E7" i="7"/>
  <c r="B7" i="7"/>
  <c r="F6" i="7"/>
  <c r="H25" i="6"/>
  <c r="G25" i="6"/>
  <c r="D24" i="2"/>
  <c r="D25"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52" i="2"/>
  <c r="D251"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50" i="2"/>
  <c r="D249" i="2"/>
  <c r="D248" i="2"/>
  <c r="D247" i="2"/>
  <c r="D246" i="2"/>
  <c r="D245" i="2"/>
  <c r="D244" i="2"/>
  <c r="D243" i="2"/>
  <c r="D242" i="2"/>
  <c r="D241" i="2"/>
  <c r="D240" i="2"/>
  <c r="D239" i="2"/>
  <c r="D238" i="2"/>
  <c r="D237" i="2"/>
  <c r="D236" i="2"/>
  <c r="D235" i="2"/>
  <c r="D234" i="2"/>
  <c r="D233" i="2"/>
  <c r="D232" i="2"/>
  <c r="D231" i="2"/>
  <c r="D230" i="2"/>
  <c r="D229" i="2"/>
  <c r="D228" i="2"/>
  <c r="D227" i="2"/>
  <c r="D224" i="2"/>
  <c r="D223" i="2"/>
  <c r="D222" i="2"/>
  <c r="D221" i="2"/>
  <c r="D220" i="2"/>
  <c r="D219" i="2"/>
  <c r="D218" i="2"/>
  <c r="D217" i="2"/>
  <c r="D216" i="2"/>
  <c r="D215" i="2"/>
  <c r="D214" i="2"/>
  <c r="D213" i="2"/>
  <c r="D212" i="2"/>
  <c r="D211" i="2"/>
  <c r="D210" i="2"/>
  <c r="D209" i="2"/>
  <c r="D208" i="2"/>
  <c r="D207" i="2"/>
  <c r="D206" i="2"/>
  <c r="D205" i="2"/>
  <c r="D204" i="2"/>
  <c r="D202" i="2"/>
  <c r="D201" i="2"/>
  <c r="E10" i="3"/>
  <c r="E64" i="7"/>
  <c r="F48" i="7"/>
  <c r="E48" i="7"/>
  <c r="E5" i="6"/>
  <c r="F17" i="6"/>
  <c r="E18" i="6"/>
  <c r="E17" i="6"/>
  <c r="B35" i="7"/>
  <c r="L20" i="10" s="1"/>
  <c r="B36" i="7"/>
  <c r="G40" i="7"/>
  <c r="G39" i="7"/>
  <c r="G38" i="7"/>
  <c r="G33" i="7"/>
  <c r="I93" i="9"/>
  <c r="H93" i="9" s="1"/>
  <c r="C93" i="9" s="1"/>
  <c r="E93" i="9" s="1"/>
  <c r="K87" i="9"/>
  <c r="J87" i="9"/>
  <c r="F41" i="7"/>
  <c r="I41" i="7"/>
  <c r="H41" i="7"/>
  <c r="G41" i="7"/>
  <c r="E41" i="7"/>
  <c r="F42" i="7"/>
  <c r="E42" i="7"/>
  <c r="F71" i="7"/>
  <c r="F70" i="7"/>
  <c r="E71" i="7"/>
  <c r="E70" i="7"/>
  <c r="I108" i="9"/>
  <c r="H117" i="9"/>
  <c r="C117" i="9" s="1"/>
  <c r="D117" i="9" s="1"/>
  <c r="H94" i="9"/>
  <c r="C94" i="9" s="1"/>
  <c r="E94" i="9" s="1"/>
  <c r="H278" i="9"/>
  <c r="C278" i="9" s="1"/>
  <c r="D278" i="9" s="1"/>
  <c r="H196" i="9"/>
  <c r="C196" i="9" s="1"/>
  <c r="D196" i="9" s="1"/>
  <c r="H294" i="9"/>
  <c r="C294" i="9" s="1"/>
  <c r="E294" i="9" s="1"/>
  <c r="H233" i="9"/>
  <c r="C233" i="9" s="1"/>
  <c r="D233" i="9" s="1"/>
  <c r="H45" i="9"/>
  <c r="C45" i="9" s="1"/>
  <c r="E45" i="9" s="1"/>
  <c r="H59" i="9"/>
  <c r="C59" i="9" s="1"/>
  <c r="D59" i="9" s="1"/>
  <c r="H241" i="9"/>
  <c r="C241" i="9" s="1"/>
  <c r="E241" i="9" s="1"/>
  <c r="H256" i="9"/>
  <c r="C256" i="9" s="1"/>
  <c r="D256" i="9" s="1"/>
  <c r="H192" i="9"/>
  <c r="C192" i="9" s="1"/>
  <c r="E192" i="9" s="1"/>
  <c r="H268" i="9"/>
  <c r="C268" i="9" s="1"/>
  <c r="E268" i="9" s="1"/>
  <c r="H231" i="9"/>
  <c r="C231" i="9" s="1"/>
  <c r="E231" i="9" s="1"/>
  <c r="H224" i="9"/>
  <c r="C224" i="9" s="1"/>
  <c r="F224" i="9" s="1"/>
  <c r="H187" i="9"/>
  <c r="C187" i="9" s="1"/>
  <c r="D187" i="9" s="1"/>
  <c r="H86" i="9"/>
  <c r="C86" i="9" s="1"/>
  <c r="H248" i="9"/>
  <c r="C248" i="9" s="1"/>
  <c r="E248" i="9" s="1"/>
  <c r="H51" i="9"/>
  <c r="C51" i="9" s="1"/>
  <c r="D51" i="9" s="1"/>
  <c r="H309" i="9"/>
  <c r="C309" i="9" s="1"/>
  <c r="E309" i="9" s="1"/>
  <c r="H301" i="9"/>
  <c r="C301" i="9" s="1"/>
  <c r="D301" i="9" s="1"/>
  <c r="H95" i="9"/>
  <c r="C95" i="9" s="1"/>
  <c r="E95" i="9" s="1"/>
  <c r="H153" i="9"/>
  <c r="C153" i="9" s="1"/>
  <c r="D153" i="9" s="1"/>
  <c r="H243" i="9"/>
  <c r="C243" i="9" s="1"/>
  <c r="E243" i="9" s="1"/>
  <c r="H171" i="9"/>
  <c r="C171" i="9" s="1"/>
  <c r="D171" i="9" s="1"/>
  <c r="H166" i="9"/>
  <c r="C166" i="9" s="1"/>
  <c r="E166" i="9" s="1"/>
  <c r="H150" i="9"/>
  <c r="C150" i="9" s="1"/>
  <c r="D150" i="9" s="1"/>
  <c r="H194" i="9"/>
  <c r="C194" i="9" s="1"/>
  <c r="E194" i="9" s="1"/>
  <c r="H226" i="9"/>
  <c r="C226" i="9" s="1"/>
  <c r="D226" i="9" s="1"/>
  <c r="H227" i="9"/>
  <c r="C227" i="9" s="1"/>
  <c r="E227" i="9" s="1"/>
  <c r="H313" i="9"/>
  <c r="C313" i="9" s="1"/>
  <c r="D313" i="9" s="1"/>
  <c r="H154" i="9"/>
  <c r="C154" i="9" s="1"/>
  <c r="E154" i="9" s="1"/>
  <c r="H121" i="9"/>
  <c r="C121" i="9" s="1"/>
  <c r="D121" i="9" s="1"/>
  <c r="H135" i="9"/>
  <c r="C135" i="9" s="1"/>
  <c r="E135" i="9" s="1"/>
  <c r="H209" i="9"/>
  <c r="C209" i="9" s="1"/>
  <c r="D209" i="9" s="1"/>
  <c r="H173" i="9"/>
  <c r="C173" i="9" s="1"/>
  <c r="E173" i="9" s="1"/>
  <c r="H199" i="9"/>
  <c r="C199" i="9" s="1"/>
  <c r="D199" i="9" s="1"/>
  <c r="H203" i="9"/>
  <c r="C203" i="9" s="1"/>
  <c r="D203" i="9" s="1"/>
  <c r="H311" i="9"/>
  <c r="C311" i="9" s="1"/>
  <c r="H302" i="9"/>
  <c r="C302" i="9" s="1"/>
  <c r="D302" i="9" s="1"/>
  <c r="H299" i="9"/>
  <c r="C299" i="9" s="1"/>
  <c r="D299" i="9" s="1"/>
  <c r="H190" i="9"/>
  <c r="C190" i="9" s="1"/>
  <c r="E190" i="9" s="1"/>
  <c r="H143" i="9"/>
  <c r="C143" i="9" s="1"/>
  <c r="D143" i="9" s="1"/>
  <c r="H244" i="9"/>
  <c r="C244" i="9" s="1"/>
  <c r="E244" i="9" s="1"/>
  <c r="H200" i="9"/>
  <c r="C200" i="9" s="1"/>
  <c r="D200" i="9" s="1"/>
  <c r="H195" i="9"/>
  <c r="C195" i="9" s="1"/>
  <c r="H221" i="9"/>
  <c r="C221" i="9" s="1"/>
  <c r="H90" i="9"/>
  <c r="C90" i="9" s="1"/>
  <c r="D90" i="9" s="1"/>
  <c r="H262" i="9"/>
  <c r="C262" i="9" s="1"/>
  <c r="E262" i="9" s="1"/>
  <c r="H162" i="9"/>
  <c r="C162" i="9" s="1"/>
  <c r="D162" i="9" s="1"/>
  <c r="H247" i="9"/>
  <c r="C247" i="9" s="1"/>
  <c r="E247" i="9" s="1"/>
  <c r="H31" i="9"/>
  <c r="C31" i="9" s="1"/>
  <c r="D31" i="9" s="1"/>
  <c r="H314" i="9"/>
  <c r="C314" i="9" s="1"/>
  <c r="E314" i="9" s="1"/>
  <c r="H254" i="9"/>
  <c r="C254" i="9" s="1"/>
  <c r="D254" i="9" s="1"/>
  <c r="H271" i="9"/>
  <c r="C271" i="9" s="1"/>
  <c r="D271" i="9" s="1"/>
  <c r="H204" i="9"/>
  <c r="C204" i="9" s="1"/>
  <c r="E204" i="9" s="1"/>
  <c r="H159" i="9"/>
  <c r="C159" i="9" s="1"/>
  <c r="D159" i="9" s="1"/>
  <c r="H161" i="9"/>
  <c r="C161" i="9" s="1"/>
  <c r="E161" i="9" s="1"/>
  <c r="H91" i="9"/>
  <c r="C91" i="9" s="1"/>
  <c r="D91" i="9" s="1"/>
  <c r="H82" i="9"/>
  <c r="C82" i="9" s="1"/>
  <c r="E82" i="9" s="1"/>
  <c r="H34" i="9"/>
  <c r="C34" i="9" s="1"/>
  <c r="D34" i="9" s="1"/>
  <c r="H191" i="9"/>
  <c r="C191" i="9" s="1"/>
  <c r="E191" i="9" s="1"/>
  <c r="H165" i="9"/>
  <c r="C165" i="9" s="1"/>
  <c r="D165" i="9" s="1"/>
  <c r="H156" i="9"/>
  <c r="C156" i="9" s="1"/>
  <c r="E156" i="9" s="1"/>
  <c r="H303" i="9"/>
  <c r="C303" i="9" s="1"/>
  <c r="D303" i="9" s="1"/>
  <c r="H186" i="9"/>
  <c r="C186" i="9" s="1"/>
  <c r="E186" i="9" s="1"/>
  <c r="H265" i="9"/>
  <c r="C265" i="9" s="1"/>
  <c r="D265" i="9" s="1"/>
  <c r="H97" i="9"/>
  <c r="C97" i="9" s="1"/>
  <c r="H185" i="9"/>
  <c r="C185" i="9" s="1"/>
  <c r="D185" i="9" s="1"/>
  <c r="H98" i="9"/>
  <c r="C98" i="9" s="1"/>
  <c r="E98" i="9" s="1"/>
  <c r="H167" i="9"/>
  <c r="C167" i="9" s="1"/>
  <c r="D167" i="9" s="1"/>
  <c r="H266" i="9"/>
  <c r="C266" i="9" s="1"/>
  <c r="E266" i="9" s="1"/>
  <c r="H210" i="9"/>
  <c r="C210" i="9" s="1"/>
  <c r="D210" i="9" s="1"/>
  <c r="H242" i="9"/>
  <c r="C242" i="9" s="1"/>
  <c r="E242" i="9" s="1"/>
  <c r="H152" i="9"/>
  <c r="C152" i="9" s="1"/>
  <c r="D152" i="9" s="1"/>
  <c r="H269" i="9"/>
  <c r="C269" i="9" s="1"/>
  <c r="E269" i="9" s="1"/>
  <c r="H168" i="9"/>
  <c r="C168" i="9" s="1"/>
  <c r="D168" i="9" s="1"/>
  <c r="H228" i="9"/>
  <c r="C228" i="9" s="1"/>
  <c r="E228" i="9" s="1"/>
  <c r="H193" i="9"/>
  <c r="C193" i="9" s="1"/>
  <c r="D193" i="9" s="1"/>
  <c r="H71" i="9"/>
  <c r="C71" i="9" s="1"/>
  <c r="E71" i="9" s="1"/>
  <c r="H26" i="9"/>
  <c r="C26" i="9" s="1"/>
  <c r="E26" i="9" s="1"/>
  <c r="H115" i="9"/>
  <c r="C115" i="9" s="1"/>
  <c r="D115" i="9" s="1"/>
  <c r="H129" i="9"/>
  <c r="C129" i="9" s="1"/>
  <c r="E129" i="9" s="1"/>
  <c r="H145" i="9"/>
  <c r="C145" i="9" s="1"/>
  <c r="D145" i="9" s="1"/>
  <c r="H149" i="9"/>
  <c r="C149" i="9" s="1"/>
  <c r="E149" i="9" s="1"/>
  <c r="H249" i="9"/>
  <c r="C249" i="9" s="1"/>
  <c r="D249" i="9" s="1"/>
  <c r="H234" i="9"/>
  <c r="C234" i="9" s="1"/>
  <c r="E234" i="9" s="1"/>
  <c r="H201" i="9"/>
  <c r="C201" i="9" s="1"/>
  <c r="E201" i="9" s="1"/>
  <c r="H306" i="9"/>
  <c r="C306" i="9" s="1"/>
  <c r="D306" i="9" s="1"/>
  <c r="H279" i="9"/>
  <c r="C279" i="9" s="1"/>
  <c r="D279" i="9" s="1"/>
  <c r="H136" i="9"/>
  <c r="C136" i="9" s="1"/>
  <c r="E136" i="9" s="1"/>
  <c r="H198" i="9"/>
  <c r="C198" i="9" s="1"/>
  <c r="D198" i="9" s="1"/>
  <c r="H182" i="9"/>
  <c r="C182" i="9" s="1"/>
  <c r="E182" i="9" s="1"/>
  <c r="H141" i="9"/>
  <c r="C141" i="9" s="1"/>
  <c r="D141" i="9" s="1"/>
  <c r="H238" i="9"/>
  <c r="C238" i="9" s="1"/>
  <c r="E238" i="9" s="1"/>
  <c r="H126" i="9"/>
  <c r="C126" i="9" s="1"/>
  <c r="D126" i="9" s="1"/>
  <c r="H29" i="9"/>
  <c r="C29" i="9" s="1"/>
  <c r="E29" i="9" s="1"/>
  <c r="H272" i="9"/>
  <c r="C272" i="9" s="1"/>
  <c r="E272" i="9" s="1"/>
  <c r="H258" i="9"/>
  <c r="C258" i="9" s="1"/>
  <c r="E258" i="9" s="1"/>
  <c r="H225" i="9"/>
  <c r="C225" i="9" s="1"/>
  <c r="D225" i="9" s="1"/>
  <c r="H146" i="9"/>
  <c r="C146" i="9" s="1"/>
  <c r="E146" i="9" s="1"/>
  <c r="H289" i="9"/>
  <c r="C289" i="9" s="1"/>
  <c r="E289" i="9" s="1"/>
  <c r="H293" i="9"/>
  <c r="C293" i="9" s="1"/>
  <c r="E293" i="9" s="1"/>
  <c r="H197" i="9"/>
  <c r="C197" i="9" s="1"/>
  <c r="D197" i="9" s="1"/>
  <c r="H280" i="9"/>
  <c r="C280" i="9" s="1"/>
  <c r="H218" i="9"/>
  <c r="C218" i="9" s="1"/>
  <c r="D218" i="9" s="1"/>
  <c r="H263" i="9"/>
  <c r="C263" i="9" s="1"/>
  <c r="E263" i="9" s="1"/>
  <c r="H236" i="9"/>
  <c r="C236" i="9" s="1"/>
  <c r="D236" i="9" s="1"/>
  <c r="H147" i="9"/>
  <c r="C147" i="9" s="1"/>
  <c r="E147" i="9" s="1"/>
  <c r="H267" i="9"/>
  <c r="C267" i="9" s="1"/>
  <c r="D267" i="9" s="1"/>
  <c r="H297" i="9"/>
  <c r="C297" i="9" s="1"/>
  <c r="E297" i="9" s="1"/>
  <c r="H174" i="9"/>
  <c r="C174" i="9" s="1"/>
  <c r="D174" i="9" s="1"/>
  <c r="H142" i="9"/>
  <c r="C142" i="9" s="1"/>
  <c r="E142" i="9" s="1"/>
  <c r="H39" i="9"/>
  <c r="C39" i="9" s="1"/>
  <c r="D39" i="9" s="1"/>
  <c r="H217" i="9"/>
  <c r="C217" i="9" s="1"/>
  <c r="H27" i="9"/>
  <c r="C27" i="9" s="1"/>
  <c r="D27" i="9" s="1"/>
  <c r="H107" i="9"/>
  <c r="C107" i="9" s="1"/>
  <c r="D107" i="9" s="1"/>
  <c r="H235" i="9"/>
  <c r="C235" i="9" s="1"/>
  <c r="E235" i="9" s="1"/>
  <c r="H261" i="9"/>
  <c r="C261" i="9" s="1"/>
  <c r="D261" i="9" s="1"/>
  <c r="H211" i="9"/>
  <c r="C211" i="9" s="1"/>
  <c r="E211" i="9" s="1"/>
  <c r="H276" i="9"/>
  <c r="C276" i="9" s="1"/>
  <c r="D276" i="9" s="1"/>
  <c r="H308" i="9"/>
  <c r="C308" i="9" s="1"/>
  <c r="E308" i="9" s="1"/>
  <c r="H40" i="9"/>
  <c r="C40" i="9" s="1"/>
  <c r="E40" i="9" s="1"/>
  <c r="H41" i="9"/>
  <c r="C41" i="9" s="1"/>
  <c r="D41" i="9" s="1"/>
  <c r="H134" i="9"/>
  <c r="C134" i="9" s="1"/>
  <c r="E134" i="9" s="1"/>
  <c r="H57" i="9"/>
  <c r="C57" i="9" s="1"/>
  <c r="D57" i="9" s="1"/>
  <c r="H220" i="9"/>
  <c r="C220" i="9" s="1"/>
  <c r="E220" i="9" s="1"/>
  <c r="H28" i="9"/>
  <c r="C28" i="9" s="1"/>
  <c r="D28" i="9" s="1"/>
  <c r="H62" i="9"/>
  <c r="C62" i="9" s="1"/>
  <c r="E62" i="9" s="1"/>
  <c r="H232" i="9"/>
  <c r="C232" i="9" s="1"/>
  <c r="E232" i="9" s="1"/>
  <c r="H250" i="9"/>
  <c r="C250" i="9" s="1"/>
  <c r="E250" i="9" s="1"/>
  <c r="H212" i="9"/>
  <c r="C212" i="9" s="1"/>
  <c r="D212" i="9" s="1"/>
  <c r="H304" i="9"/>
  <c r="C304" i="9" s="1"/>
  <c r="E304" i="9" s="1"/>
  <c r="H310" i="9"/>
  <c r="C310" i="9" s="1"/>
  <c r="E310" i="9" s="1"/>
  <c r="H230" i="9"/>
  <c r="C230" i="9" s="1"/>
  <c r="D230" i="9" s="1"/>
  <c r="H188" i="9"/>
  <c r="C188" i="9" s="1"/>
  <c r="E188" i="9" s="1"/>
  <c r="H213" i="9"/>
  <c r="C213" i="9" s="1"/>
  <c r="H219" i="9"/>
  <c r="C219" i="9" s="1"/>
  <c r="D219" i="9" s="1"/>
  <c r="H157" i="9"/>
  <c r="C157" i="9" s="1"/>
  <c r="D157" i="9" s="1"/>
  <c r="H252" i="9"/>
  <c r="C252" i="9" s="1"/>
  <c r="D252" i="9" s="1"/>
  <c r="H72" i="9"/>
  <c r="C72" i="9" s="1"/>
  <c r="D72" i="9" s="1"/>
  <c r="H222" i="9"/>
  <c r="C222" i="9" s="1"/>
  <c r="D222" i="9" s="1"/>
  <c r="H133" i="9"/>
  <c r="C133" i="9" s="1"/>
  <c r="E133" i="9" s="1"/>
  <c r="H84" i="9"/>
  <c r="C84" i="9" s="1"/>
  <c r="D84" i="9" s="1"/>
  <c r="H312" i="9"/>
  <c r="C312" i="9" s="1"/>
  <c r="E312" i="9" s="1"/>
  <c r="H170" i="9"/>
  <c r="C170" i="9" s="1"/>
  <c r="E170" i="9" s="1"/>
  <c r="H255" i="9"/>
  <c r="C255" i="9" s="1"/>
  <c r="D255" i="9" s="1"/>
  <c r="H30" i="9"/>
  <c r="C30" i="9" s="1"/>
  <c r="H282" i="9"/>
  <c r="C282" i="9" s="1"/>
  <c r="F282" i="9" s="1"/>
  <c r="H273" i="9"/>
  <c r="C273" i="9" s="1"/>
  <c r="E273" i="9" s="1"/>
  <c r="H169" i="9"/>
  <c r="C169" i="9" s="1"/>
  <c r="D169" i="9" s="1"/>
  <c r="H283" i="9"/>
  <c r="C283" i="9" s="1"/>
  <c r="D283" i="9" s="1"/>
  <c r="H35" i="9"/>
  <c r="C35" i="9" s="1"/>
  <c r="D35" i="9" s="1"/>
  <c r="H85" i="9"/>
  <c r="C85" i="9" s="1"/>
  <c r="D85" i="9" s="1"/>
  <c r="H290" i="9"/>
  <c r="C290" i="9" s="1"/>
  <c r="D290" i="9" s="1"/>
  <c r="H36" i="9"/>
  <c r="C36" i="9" s="1"/>
  <c r="D36" i="9" s="1"/>
  <c r="H172" i="9"/>
  <c r="C172" i="9" s="1"/>
  <c r="D172" i="9" s="1"/>
  <c r="H125" i="9"/>
  <c r="C125" i="9" s="1"/>
  <c r="D125" i="9" s="1"/>
  <c r="H253" i="9"/>
  <c r="C253" i="9" s="1"/>
  <c r="E253" i="9" s="1"/>
  <c r="H259" i="9"/>
  <c r="C259" i="9" s="1"/>
  <c r="D259" i="9" s="1"/>
  <c r="H183" i="9"/>
  <c r="C183" i="9" s="1"/>
  <c r="D183" i="9" s="1"/>
  <c r="H148" i="9"/>
  <c r="C148" i="9" s="1"/>
  <c r="D148" i="9" s="1"/>
  <c r="H158" i="9"/>
  <c r="C158" i="9" s="1"/>
  <c r="E158" i="9" s="1"/>
  <c r="H176" i="9"/>
  <c r="C176" i="9" s="1"/>
  <c r="F176" i="9" s="1"/>
  <c r="H277" i="9"/>
  <c r="C277" i="9" s="1"/>
  <c r="D277" i="9" s="1"/>
  <c r="H163" i="9"/>
  <c r="C163" i="9" s="1"/>
  <c r="D163" i="9" s="1"/>
  <c r="H137" i="9"/>
  <c r="C137" i="9" s="1"/>
  <c r="D137" i="9" s="1"/>
  <c r="H184" i="9"/>
  <c r="C184" i="9" s="1"/>
  <c r="D184" i="9" s="1"/>
  <c r="H128" i="9"/>
  <c r="C128" i="9" s="1"/>
  <c r="E128" i="9" s="1"/>
  <c r="H139" i="9"/>
  <c r="C139" i="9" s="1"/>
  <c r="D139" i="9" s="1"/>
  <c r="H291" i="9"/>
  <c r="C291" i="9" s="1"/>
  <c r="D291" i="9" s="1"/>
  <c r="H130" i="9"/>
  <c r="C130" i="9" s="1"/>
  <c r="H177" i="9"/>
  <c r="C177" i="9" s="1"/>
  <c r="D177" i="9" s="1"/>
  <c r="H88" i="9"/>
  <c r="C88" i="9" s="1"/>
  <c r="E88" i="9" s="1"/>
  <c r="H155" i="9"/>
  <c r="C155" i="9" s="1"/>
  <c r="D155" i="9" s="1"/>
  <c r="H205" i="9"/>
  <c r="C205" i="9" s="1"/>
  <c r="D205" i="9" s="1"/>
  <c r="H307" i="9"/>
  <c r="C307" i="9" s="1"/>
  <c r="F307" i="9" s="1"/>
  <c r="H216" i="9"/>
  <c r="C216" i="9" s="1"/>
  <c r="E216" i="9" s="1"/>
  <c r="H76" i="9"/>
  <c r="C76" i="9" s="1"/>
  <c r="D76" i="9" s="1"/>
  <c r="H284" i="9"/>
  <c r="C284" i="9" s="1"/>
  <c r="D284" i="9" s="1"/>
  <c r="H288" i="9"/>
  <c r="C288" i="9" s="1"/>
  <c r="D288" i="9" s="1"/>
  <c r="H63" i="9"/>
  <c r="C63" i="9" s="1"/>
  <c r="D63" i="9" s="1"/>
  <c r="H47" i="9"/>
  <c r="C47" i="9" s="1"/>
  <c r="D47" i="9" s="1"/>
  <c r="H206" i="9"/>
  <c r="C206" i="9" s="1"/>
  <c r="E206" i="9" s="1"/>
  <c r="H214" i="9"/>
  <c r="C214" i="9" s="1"/>
  <c r="D214" i="9" s="1"/>
  <c r="H274" i="9"/>
  <c r="C274" i="9" s="1"/>
  <c r="E274" i="9" s="1"/>
  <c r="H292" i="9"/>
  <c r="C292" i="9" s="1"/>
  <c r="F292" i="9" s="1"/>
  <c r="H33" i="9"/>
  <c r="C33" i="9" s="1"/>
  <c r="E33" i="9" s="1"/>
  <c r="H131" i="9"/>
  <c r="C131" i="9" s="1"/>
  <c r="D131" i="9" s="1"/>
  <c r="H281" i="9"/>
  <c r="C281" i="9" s="1"/>
  <c r="D281" i="9" s="1"/>
  <c r="H300" i="9"/>
  <c r="C300" i="9" s="1"/>
  <c r="D300" i="9" s="1"/>
  <c r="H160" i="9"/>
  <c r="C160" i="9" s="1"/>
  <c r="D160" i="9" s="1"/>
  <c r="H257" i="9"/>
  <c r="C257" i="9" s="1"/>
  <c r="D257" i="9" s="1"/>
  <c r="H42" i="9"/>
  <c r="C42" i="9" s="1"/>
  <c r="D42" i="9" s="1"/>
  <c r="H110" i="9"/>
  <c r="C110" i="9" s="1"/>
  <c r="D110" i="9" s="1"/>
  <c r="H65" i="9"/>
  <c r="C65" i="9" s="1"/>
  <c r="D65" i="9" s="1"/>
  <c r="H89" i="9"/>
  <c r="C89" i="9" s="1"/>
  <c r="H123" i="9"/>
  <c r="C123" i="9" s="1"/>
  <c r="D123" i="9" s="1"/>
  <c r="H207" i="9"/>
  <c r="C207" i="9" s="1"/>
  <c r="E207" i="9" s="1"/>
  <c r="H43" i="9"/>
  <c r="C43" i="9" s="1"/>
  <c r="D43" i="9" s="1"/>
  <c r="H246" i="9"/>
  <c r="C246" i="9" s="1"/>
  <c r="F246" i="9" s="1"/>
  <c r="H305" i="9"/>
  <c r="C305" i="9" s="1"/>
  <c r="E305" i="9" s="1"/>
  <c r="H295" i="9"/>
  <c r="C295" i="9" s="1"/>
  <c r="D295" i="9" s="1"/>
  <c r="H164" i="9"/>
  <c r="C164" i="9" s="1"/>
  <c r="D164" i="9" s="1"/>
  <c r="H251" i="9"/>
  <c r="C251" i="9" s="1"/>
  <c r="D251" i="9" s="1"/>
  <c r="H287" i="9"/>
  <c r="C287" i="9" s="1"/>
  <c r="D287" i="9" s="1"/>
  <c r="H260" i="9"/>
  <c r="C260" i="9" s="1"/>
  <c r="D260" i="9" s="1"/>
  <c r="H286" i="9"/>
  <c r="C286" i="9" s="1"/>
  <c r="D286" i="9" s="1"/>
  <c r="H180" i="9"/>
  <c r="C180" i="9" s="1"/>
  <c r="E180" i="9" s="1"/>
  <c r="H120" i="9"/>
  <c r="C120" i="9" s="1"/>
  <c r="D120" i="9" s="1"/>
  <c r="H96" i="9"/>
  <c r="C96" i="9" s="1"/>
  <c r="D96" i="9" s="1"/>
  <c r="H229" i="9"/>
  <c r="C229" i="9" s="1"/>
  <c r="E229" i="9" s="1"/>
  <c r="H178" i="9"/>
  <c r="C178" i="9" s="1"/>
  <c r="D178" i="9" s="1"/>
  <c r="H104" i="9"/>
  <c r="C104" i="9" s="1"/>
  <c r="H298" i="9"/>
  <c r="C298" i="9" s="1"/>
  <c r="D298" i="9" s="1"/>
  <c r="H285" i="9"/>
  <c r="C285" i="9" s="1"/>
  <c r="D285" i="9" s="1"/>
  <c r="H275" i="9"/>
  <c r="C275" i="9" s="1"/>
  <c r="F275" i="9" s="1"/>
  <c r="H240" i="9"/>
  <c r="C240" i="9" s="1"/>
  <c r="E240" i="9" s="1"/>
  <c r="H215" i="9"/>
  <c r="C215" i="9" s="1"/>
  <c r="D215" i="9" s="1"/>
  <c r="H237" i="9"/>
  <c r="C237" i="9" s="1"/>
  <c r="D237" i="9" s="1"/>
  <c r="H189" i="9"/>
  <c r="C189" i="9" s="1"/>
  <c r="D189" i="9" s="1"/>
  <c r="H111" i="9"/>
  <c r="C111" i="9" s="1"/>
  <c r="D111" i="9" s="1"/>
  <c r="H83" i="9"/>
  <c r="C83" i="9" s="1"/>
  <c r="D83" i="9" s="1"/>
  <c r="H144" i="9"/>
  <c r="C144" i="9" s="1"/>
  <c r="D144" i="9" s="1"/>
  <c r="H151" i="9"/>
  <c r="C151" i="9" s="1"/>
  <c r="E151" i="9" s="1"/>
  <c r="H175" i="9"/>
  <c r="C175" i="9" s="1"/>
  <c r="D175" i="9" s="1"/>
  <c r="H296" i="9"/>
  <c r="C296" i="9" s="1"/>
  <c r="F296" i="9" s="1"/>
  <c r="H75" i="9"/>
  <c r="C75" i="9" s="1"/>
  <c r="D75" i="9" s="1"/>
  <c r="H118" i="9"/>
  <c r="C118" i="9" s="1"/>
  <c r="H32" i="9"/>
  <c r="C32" i="9" s="1"/>
  <c r="F32" i="9" s="1"/>
  <c r="H38" i="9"/>
  <c r="C38" i="9" s="1"/>
  <c r="D38" i="9" s="1"/>
  <c r="H112" i="9"/>
  <c r="C112" i="9" s="1"/>
  <c r="D112" i="9" s="1"/>
  <c r="H37" i="9"/>
  <c r="C37" i="9" s="1"/>
  <c r="D37" i="9" s="1"/>
  <c r="H239" i="9"/>
  <c r="C239" i="9" s="1"/>
  <c r="D239" i="9" s="1"/>
  <c r="H106" i="9"/>
  <c r="C106" i="9" s="1"/>
  <c r="E106" i="9" s="1"/>
  <c r="H116" i="9"/>
  <c r="C116" i="9" s="1"/>
  <c r="D116" i="9" s="1"/>
  <c r="H44" i="9"/>
  <c r="C44" i="9" s="1"/>
  <c r="D44" i="9" s="1"/>
  <c r="H132" i="9"/>
  <c r="C132" i="9" s="1"/>
  <c r="D132" i="9" s="1"/>
  <c r="H179" i="9"/>
  <c r="C179" i="9" s="1"/>
  <c r="D179" i="9" s="1"/>
  <c r="G50" i="7"/>
  <c r="F69" i="7"/>
  <c r="G24" i="6"/>
  <c r="G23" i="6" s="1"/>
  <c r="K102" i="9"/>
  <c r="H102" i="9" s="1"/>
  <c r="C102" i="9" s="1"/>
  <c r="D102" i="9" s="1"/>
  <c r="J52" i="9"/>
  <c r="J54" i="9"/>
  <c r="J80" i="9"/>
  <c r="H80" i="9" s="1"/>
  <c r="C80" i="9" s="1"/>
  <c r="D80" i="9" s="1"/>
  <c r="J53" i="9"/>
  <c r="K105" i="9"/>
  <c r="H105" i="9" s="1"/>
  <c r="C105" i="9" s="1"/>
  <c r="D105" i="9" s="1"/>
  <c r="K48" i="9"/>
  <c r="L92" i="9"/>
  <c r="H92" i="9" s="1"/>
  <c r="C92" i="9" s="1"/>
  <c r="D92" i="9" s="1"/>
  <c r="J124" i="9"/>
  <c r="H124" i="9" s="1"/>
  <c r="C124" i="9" s="1"/>
  <c r="E124" i="9" s="1"/>
  <c r="J49" i="9"/>
  <c r="J138" i="9"/>
  <c r="H138" i="9" s="1"/>
  <c r="C138" i="9" s="1"/>
  <c r="D138" i="9" s="1"/>
  <c r="K70" i="9"/>
  <c r="J60" i="9"/>
  <c r="J127" i="9"/>
  <c r="H127" i="9" s="1"/>
  <c r="C127" i="9" s="1"/>
  <c r="E127" i="9" s="1"/>
  <c r="J140" i="9"/>
  <c r="H140" i="9" s="1"/>
  <c r="C140" i="9" s="1"/>
  <c r="D140" i="9" s="1"/>
  <c r="J122" i="9"/>
  <c r="H122" i="9" s="1"/>
  <c r="C122" i="9" s="1"/>
  <c r="E122" i="9" s="1"/>
  <c r="K56" i="9"/>
  <c r="J245" i="9"/>
  <c r="J21" i="10"/>
  <c r="M81" i="9"/>
  <c r="L81" i="9"/>
  <c r="K81" i="9"/>
  <c r="J81" i="9"/>
  <c r="G68" i="7"/>
  <c r="F68" i="7"/>
  <c r="E68" i="7"/>
  <c r="J20" i="10"/>
  <c r="G65" i="7"/>
  <c r="F65" i="7"/>
  <c r="G66" i="7"/>
  <c r="F67" i="7"/>
  <c r="E65" i="7"/>
  <c r="F38" i="7"/>
  <c r="F33" i="7"/>
  <c r="F51" i="7"/>
  <c r="F40" i="7"/>
  <c r="F39" i="7"/>
  <c r="J22" i="10"/>
  <c r="D4" i="3"/>
  <c r="J4" i="10"/>
  <c r="L14" i="10"/>
  <c r="K22" i="10"/>
  <c r="K4" i="10"/>
  <c r="K16" i="10"/>
  <c r="C21" i="10"/>
  <c r="C20" i="10"/>
  <c r="L50" i="9"/>
  <c r="E49" i="7"/>
  <c r="E53" i="7"/>
  <c r="H55" i="7"/>
  <c r="G55" i="7"/>
  <c r="F55" i="7"/>
  <c r="H3" i="6"/>
  <c r="G3" i="6"/>
  <c r="E4" i="7"/>
  <c r="K4" i="7" s="1"/>
  <c r="E9" i="7"/>
  <c r="F9" i="7"/>
  <c r="G9" i="7"/>
  <c r="H9" i="7"/>
  <c r="E10" i="7"/>
  <c r="F10" i="7"/>
  <c r="G10" i="7"/>
  <c r="H10" i="7"/>
  <c r="E11" i="7"/>
  <c r="F11" i="7"/>
  <c r="G11" i="7"/>
  <c r="H11" i="7"/>
  <c r="E12" i="7"/>
  <c r="F12" i="7"/>
  <c r="G12" i="7"/>
  <c r="H12" i="7"/>
  <c r="E13" i="7"/>
  <c r="F13" i="7"/>
  <c r="G13" i="7"/>
  <c r="H13" i="7"/>
  <c r="E14" i="7"/>
  <c r="F14" i="7"/>
  <c r="G14" i="7"/>
  <c r="H14" i="7"/>
  <c r="E15" i="7"/>
  <c r="F15" i="7"/>
  <c r="G15" i="7"/>
  <c r="H15" i="7"/>
  <c r="E16" i="7"/>
  <c r="F16" i="7"/>
  <c r="G16" i="7"/>
  <c r="H16" i="7"/>
  <c r="E17" i="7"/>
  <c r="F17" i="7"/>
  <c r="G17" i="7"/>
  <c r="H17" i="7"/>
  <c r="E18" i="7"/>
  <c r="F18" i="7"/>
  <c r="G18" i="7"/>
  <c r="H18" i="7"/>
  <c r="E19" i="7"/>
  <c r="F19" i="7"/>
  <c r="G19" i="7"/>
  <c r="H19" i="7"/>
  <c r="E20" i="7"/>
  <c r="F20" i="7"/>
  <c r="G20" i="7"/>
  <c r="H20" i="7"/>
  <c r="E21" i="7"/>
  <c r="F21" i="7"/>
  <c r="G21" i="7"/>
  <c r="H21" i="7"/>
  <c r="E22" i="7"/>
  <c r="F22" i="7"/>
  <c r="G22" i="7"/>
  <c r="H22" i="7"/>
  <c r="E23" i="7"/>
  <c r="F23" i="7"/>
  <c r="G23" i="7"/>
  <c r="H23" i="7"/>
  <c r="E24" i="7"/>
  <c r="F24" i="7"/>
  <c r="G24" i="7"/>
  <c r="H24" i="7"/>
  <c r="E25" i="7"/>
  <c r="F25" i="7"/>
  <c r="G25" i="7"/>
  <c r="H25" i="7"/>
  <c r="E26" i="7"/>
  <c r="F26" i="7"/>
  <c r="G26" i="7"/>
  <c r="H26" i="7"/>
  <c r="E27" i="7"/>
  <c r="F27" i="7"/>
  <c r="G27" i="7"/>
  <c r="H27" i="7"/>
  <c r="E28" i="7"/>
  <c r="F28" i="7"/>
  <c r="G28" i="7"/>
  <c r="H28" i="7"/>
  <c r="E29" i="7"/>
  <c r="F29" i="7"/>
  <c r="G29" i="7"/>
  <c r="H29" i="7"/>
  <c r="E30" i="7"/>
  <c r="F30" i="7"/>
  <c r="G30" i="7"/>
  <c r="H30" i="7"/>
  <c r="E31" i="7"/>
  <c r="F31" i="7"/>
  <c r="G31" i="7"/>
  <c r="H31" i="7"/>
  <c r="G8" i="7"/>
  <c r="F8" i="7"/>
  <c r="E8" i="7"/>
  <c r="H8" i="7"/>
  <c r="E2" i="7"/>
  <c r="K2" i="7" s="1"/>
  <c r="F54" i="7"/>
  <c r="J57" i="7"/>
  <c r="G57" i="7"/>
  <c r="F57" i="7"/>
  <c r="E57" i="7"/>
  <c r="G56" i="7"/>
  <c r="E54" i="7"/>
  <c r="E52" i="7"/>
  <c r="E51" i="7"/>
  <c r="F49" i="7"/>
  <c r="E47" i="7"/>
  <c r="H44" i="7"/>
  <c r="G44" i="7"/>
  <c r="F44" i="7"/>
  <c r="B44" i="7"/>
  <c r="H42" i="7"/>
  <c r="K40" i="7"/>
  <c r="E40" i="7"/>
  <c r="K39" i="7"/>
  <c r="E39" i="7"/>
  <c r="K38" i="7"/>
  <c r="E38" i="7"/>
  <c r="K33" i="7"/>
  <c r="E33" i="7"/>
  <c r="E4" i="6"/>
  <c r="J4" i="6" s="1"/>
  <c r="E13" i="3"/>
  <c r="D2" i="3"/>
  <c r="E11" i="3"/>
  <c r="E12" i="3"/>
  <c r="D7" i="3"/>
  <c r="D9" i="3"/>
  <c r="C16" i="2"/>
  <c r="C3" i="2"/>
  <c r="C7" i="10" s="1"/>
  <c r="C4" i="2"/>
  <c r="C5" i="2"/>
  <c r="C6" i="2"/>
  <c r="C7" i="2"/>
  <c r="C8" i="2"/>
  <c r="C9" i="2"/>
  <c r="C10" i="2"/>
  <c r="C11" i="2"/>
  <c r="C12" i="2"/>
  <c r="C13" i="2"/>
  <c r="C14" i="2"/>
  <c r="C15" i="2"/>
  <c r="E17" i="3" l="1"/>
  <c r="D15" i="3"/>
  <c r="D17" i="3"/>
  <c r="D20" i="3"/>
  <c r="D3" i="3"/>
  <c r="D5" i="3"/>
  <c r="L2" i="5"/>
  <c r="L9" i="5"/>
  <c r="L10" i="5"/>
  <c r="L11" i="5"/>
  <c r="L17" i="5"/>
  <c r="L23" i="5"/>
  <c r="L16" i="5"/>
  <c r="I16" i="5" s="1"/>
  <c r="L24" i="5"/>
  <c r="L15" i="5"/>
  <c r="L25" i="5"/>
  <c r="L26" i="5"/>
  <c r="L27" i="5"/>
  <c r="L28" i="5"/>
  <c r="L14" i="5"/>
  <c r="E32" i="7"/>
  <c r="L31" i="5"/>
  <c r="L35" i="5"/>
  <c r="I22" i="5"/>
  <c r="J5" i="10"/>
  <c r="H5" i="10" s="1"/>
  <c r="E6" i="3"/>
  <c r="E27" i="6"/>
  <c r="H56" i="9"/>
  <c r="C56" i="9" s="1"/>
  <c r="D56" i="9" s="1"/>
  <c r="H114" i="9"/>
  <c r="C114" i="9" s="1"/>
  <c r="D114" i="9" s="1"/>
  <c r="H77" i="9"/>
  <c r="C77" i="9" s="1"/>
  <c r="D77" i="9" s="1"/>
  <c r="K82" i="7"/>
  <c r="J16" i="10"/>
  <c r="J17" i="6"/>
  <c r="H68" i="9"/>
  <c r="C68" i="9" s="1"/>
  <c r="E68" i="9" s="1"/>
  <c r="D10" i="3"/>
  <c r="H10" i="3" s="1"/>
  <c r="D106" i="9"/>
  <c r="D62" i="9"/>
  <c r="D263" i="9"/>
  <c r="D109" i="9"/>
  <c r="E104" i="9"/>
  <c r="D104" i="9"/>
  <c r="E97" i="9"/>
  <c r="D97" i="9"/>
  <c r="E58" i="9"/>
  <c r="D58" i="9"/>
  <c r="D129" i="9"/>
  <c r="D224" i="9"/>
  <c r="D269" i="9"/>
  <c r="D192" i="9"/>
  <c r="D308" i="9"/>
  <c r="D314" i="9"/>
  <c r="D207" i="9"/>
  <c r="D211" i="9"/>
  <c r="E148" i="9"/>
  <c r="H16" i="6"/>
  <c r="K71" i="7"/>
  <c r="B71" i="7" s="1"/>
  <c r="K41" i="7"/>
  <c r="B41" i="7" s="1"/>
  <c r="K70" i="7"/>
  <c r="B70" i="7" s="1"/>
  <c r="E280" i="9"/>
  <c r="D280" i="9"/>
  <c r="E213" i="9"/>
  <c r="D213" i="9"/>
  <c r="E195" i="9"/>
  <c r="D195" i="9"/>
  <c r="E130" i="9"/>
  <c r="D130" i="9"/>
  <c r="F118" i="9"/>
  <c r="D118" i="9"/>
  <c r="E221" i="9"/>
  <c r="D221" i="9"/>
  <c r="E86" i="9"/>
  <c r="D86" i="9"/>
  <c r="E89" i="9"/>
  <c r="D89" i="9"/>
  <c r="E30" i="9"/>
  <c r="D30" i="9"/>
  <c r="E217" i="9"/>
  <c r="D217" i="9"/>
  <c r="E311" i="9"/>
  <c r="D311" i="9"/>
  <c r="D238" i="9"/>
  <c r="D248" i="9"/>
  <c r="D274" i="9"/>
  <c r="D88" i="9"/>
  <c r="D170" i="9"/>
  <c r="D310" i="9"/>
  <c r="D220" i="9"/>
  <c r="D142" i="9"/>
  <c r="D258" i="9"/>
  <c r="D182" i="9"/>
  <c r="D201" i="9"/>
  <c r="D26" i="9"/>
  <c r="D242" i="9"/>
  <c r="D186" i="9"/>
  <c r="D191" i="9"/>
  <c r="D161" i="9"/>
  <c r="D247" i="9"/>
  <c r="D244" i="9"/>
  <c r="D154" i="9"/>
  <c r="D243" i="9"/>
  <c r="D93" i="9"/>
  <c r="D241" i="9"/>
  <c r="D296" i="9"/>
  <c r="D158" i="9"/>
  <c r="D146" i="9"/>
  <c r="D32" i="9"/>
  <c r="D166" i="9"/>
  <c r="D229" i="9"/>
  <c r="D206" i="9"/>
  <c r="D253" i="9"/>
  <c r="D312" i="9"/>
  <c r="D304" i="9"/>
  <c r="D134" i="9"/>
  <c r="D235" i="9"/>
  <c r="D297" i="9"/>
  <c r="D293" i="9"/>
  <c r="D272" i="9"/>
  <c r="D136" i="9"/>
  <c r="D234" i="9"/>
  <c r="D71" i="9"/>
  <c r="D266" i="9"/>
  <c r="D156" i="9"/>
  <c r="D82" i="9"/>
  <c r="D204" i="9"/>
  <c r="D262" i="9"/>
  <c r="D190" i="9"/>
  <c r="D173" i="9"/>
  <c r="D227" i="9"/>
  <c r="D95" i="9"/>
  <c r="D45" i="9"/>
  <c r="D94" i="9"/>
  <c r="D240" i="9"/>
  <c r="D305" i="9"/>
  <c r="D33" i="9"/>
  <c r="D216" i="9"/>
  <c r="D273" i="9"/>
  <c r="D250" i="9"/>
  <c r="D40" i="9"/>
  <c r="D147" i="9"/>
  <c r="D289" i="9"/>
  <c r="D29" i="9"/>
  <c r="D149" i="9"/>
  <c r="D228" i="9"/>
  <c r="D98" i="9"/>
  <c r="D127" i="9"/>
  <c r="D67" i="9"/>
  <c r="D122" i="9"/>
  <c r="D135" i="9"/>
  <c r="D194" i="9"/>
  <c r="D309" i="9"/>
  <c r="D231" i="9"/>
  <c r="D294" i="9"/>
  <c r="D151" i="9"/>
  <c r="D275" i="9"/>
  <c r="D180" i="9"/>
  <c r="D246" i="9"/>
  <c r="D292" i="9"/>
  <c r="D307" i="9"/>
  <c r="D128" i="9"/>
  <c r="D176" i="9"/>
  <c r="D282" i="9"/>
  <c r="D133" i="9"/>
  <c r="D188" i="9"/>
  <c r="D232" i="9"/>
  <c r="D124" i="9"/>
  <c r="D268" i="9"/>
  <c r="F256" i="9"/>
  <c r="F278" i="9"/>
  <c r="E278" i="9"/>
  <c r="E255" i="9"/>
  <c r="F137" i="9"/>
  <c r="E44" i="9"/>
  <c r="F260" i="9"/>
  <c r="E43" i="9"/>
  <c r="F301" i="9"/>
  <c r="F116" i="9"/>
  <c r="F148" i="9"/>
  <c r="F290" i="9"/>
  <c r="K68" i="7"/>
  <c r="B68" i="7" s="1"/>
  <c r="I81" i="9" s="1"/>
  <c r="H81" i="9" s="1"/>
  <c r="C81" i="9" s="1"/>
  <c r="C6" i="10"/>
  <c r="K24" i="7"/>
  <c r="H100" i="9"/>
  <c r="C100" i="9" s="1"/>
  <c r="C2" i="10"/>
  <c r="C14" i="10"/>
  <c r="K65" i="7"/>
  <c r="B65" i="7" s="1"/>
  <c r="E66" i="7" s="1"/>
  <c r="E183" i="9"/>
  <c r="F179" i="9"/>
  <c r="E179" i="9"/>
  <c r="E51" i="9"/>
  <c r="F51" i="9"/>
  <c r="E205" i="9"/>
  <c r="F239" i="9"/>
  <c r="E239" i="9"/>
  <c r="F132" i="9"/>
  <c r="E132" i="9"/>
  <c r="F75" i="9"/>
  <c r="E75" i="9"/>
  <c r="F37" i="9"/>
  <c r="E37" i="9"/>
  <c r="E96" i="9"/>
  <c r="E47" i="9"/>
  <c r="E291" i="9"/>
  <c r="E84" i="9"/>
  <c r="E226" i="9"/>
  <c r="E117" i="9"/>
  <c r="F38" i="9"/>
  <c r="E38" i="9"/>
  <c r="E285" i="9"/>
  <c r="F112" i="9"/>
  <c r="E116" i="9"/>
  <c r="F257" i="9"/>
  <c r="F255" i="9"/>
  <c r="E301" i="9"/>
  <c r="E112" i="9"/>
  <c r="F106" i="9"/>
  <c r="F171" i="9"/>
  <c r="E224" i="9"/>
  <c r="E118" i="9"/>
  <c r="F83" i="9"/>
  <c r="F298" i="9"/>
  <c r="F288" i="9"/>
  <c r="F155" i="9"/>
  <c r="F72" i="9"/>
  <c r="F233" i="9"/>
  <c r="F44" i="9"/>
  <c r="E298" i="9"/>
  <c r="E65" i="9"/>
  <c r="E155" i="9"/>
  <c r="E125" i="9"/>
  <c r="E32" i="9"/>
  <c r="F43" i="9"/>
  <c r="E251" i="9"/>
  <c r="F251" i="9"/>
  <c r="E35" i="9"/>
  <c r="F35" i="9"/>
  <c r="E76" i="9"/>
  <c r="F76" i="9"/>
  <c r="E189" i="9"/>
  <c r="F189" i="9"/>
  <c r="E300" i="9"/>
  <c r="F300" i="9"/>
  <c r="E157" i="9"/>
  <c r="F157" i="9"/>
  <c r="E277" i="9"/>
  <c r="F277" i="9"/>
  <c r="E230" i="9"/>
  <c r="E123" i="9"/>
  <c r="F123" i="9"/>
  <c r="E187" i="9"/>
  <c r="F187" i="9"/>
  <c r="E287" i="9"/>
  <c r="E85" i="9"/>
  <c r="E225" i="9"/>
  <c r="E152" i="9"/>
  <c r="E31" i="9"/>
  <c r="E120" i="9"/>
  <c r="E110" i="9"/>
  <c r="E102" i="9"/>
  <c r="E139" i="9"/>
  <c r="E172" i="9"/>
  <c r="E131" i="9"/>
  <c r="F131" i="9"/>
  <c r="E63" i="9"/>
  <c r="E105" i="9"/>
  <c r="F105" i="9"/>
  <c r="E212" i="9"/>
  <c r="F212" i="9"/>
  <c r="E41" i="9"/>
  <c r="F41" i="9"/>
  <c r="E107" i="9"/>
  <c r="F107" i="9"/>
  <c r="E299" i="9"/>
  <c r="F299" i="9"/>
  <c r="E275" i="9"/>
  <c r="E246" i="9"/>
  <c r="E292" i="9"/>
  <c r="E307" i="9"/>
  <c r="E176" i="9"/>
  <c r="E282" i="9"/>
  <c r="F188" i="9"/>
  <c r="F232" i="9"/>
  <c r="F124" i="9"/>
  <c r="F27" i="9"/>
  <c r="E27" i="9"/>
  <c r="F236" i="9"/>
  <c r="E236" i="9"/>
  <c r="F138" i="9"/>
  <c r="E138" i="9"/>
  <c r="F126" i="9"/>
  <c r="E126" i="9"/>
  <c r="F279" i="9"/>
  <c r="E279" i="9"/>
  <c r="F145" i="9"/>
  <c r="E145" i="9"/>
  <c r="F168" i="9"/>
  <c r="E168" i="9"/>
  <c r="F185" i="9"/>
  <c r="E185" i="9"/>
  <c r="F140" i="9"/>
  <c r="E140" i="9"/>
  <c r="F254" i="9"/>
  <c r="E254" i="9"/>
  <c r="F302" i="9"/>
  <c r="E302" i="9"/>
  <c r="F150" i="9"/>
  <c r="E150" i="9"/>
  <c r="F268" i="9"/>
  <c r="E163" i="9"/>
  <c r="F133" i="9"/>
  <c r="E218" i="9"/>
  <c r="E115" i="9"/>
  <c r="E79" i="9"/>
  <c r="E121" i="9"/>
  <c r="E215" i="9"/>
  <c r="F215" i="9"/>
  <c r="E214" i="9"/>
  <c r="F214" i="9"/>
  <c r="E80" i="9"/>
  <c r="F80" i="9"/>
  <c r="E153" i="9"/>
  <c r="F153" i="9"/>
  <c r="E111" i="9"/>
  <c r="E295" i="9"/>
  <c r="F295" i="9"/>
  <c r="E42" i="9"/>
  <c r="E169" i="9"/>
  <c r="F169" i="9"/>
  <c r="E222" i="9"/>
  <c r="E99" i="9"/>
  <c r="F99" i="9"/>
  <c r="E167" i="9"/>
  <c r="F167" i="9"/>
  <c r="E90" i="9"/>
  <c r="F90" i="9"/>
  <c r="F180" i="9"/>
  <c r="E284" i="9"/>
  <c r="E39" i="9"/>
  <c r="E306" i="9"/>
  <c r="E165" i="9"/>
  <c r="E203" i="9"/>
  <c r="E36" i="9"/>
  <c r="E276" i="9"/>
  <c r="E271" i="9"/>
  <c r="F271" i="9"/>
  <c r="E259" i="9"/>
  <c r="F259" i="9"/>
  <c r="F59" i="9"/>
  <c r="E59" i="9"/>
  <c r="F128" i="9"/>
  <c r="E252" i="9"/>
  <c r="E141" i="9"/>
  <c r="E265" i="9"/>
  <c r="E200" i="9"/>
  <c r="E196" i="9"/>
  <c r="F196" i="9"/>
  <c r="E237" i="9"/>
  <c r="E283" i="9"/>
  <c r="E286" i="9"/>
  <c r="E28" i="9"/>
  <c r="E193" i="9"/>
  <c r="F193" i="9"/>
  <c r="E178" i="9"/>
  <c r="F178" i="9"/>
  <c r="E177" i="9"/>
  <c r="F177" i="9"/>
  <c r="E160" i="9"/>
  <c r="E164" i="9"/>
  <c r="E281" i="9"/>
  <c r="E66" i="9"/>
  <c r="E219" i="9"/>
  <c r="E144" i="9"/>
  <c r="E184" i="9"/>
  <c r="E267" i="9"/>
  <c r="F267" i="9"/>
  <c r="E249" i="9"/>
  <c r="F249" i="9"/>
  <c r="E91" i="9"/>
  <c r="F91" i="9"/>
  <c r="E209" i="9"/>
  <c r="F209" i="9"/>
  <c r="E83" i="9"/>
  <c r="E260" i="9"/>
  <c r="E257" i="9"/>
  <c r="E288" i="9"/>
  <c r="E137" i="9"/>
  <c r="E290" i="9"/>
  <c r="E72" i="9"/>
  <c r="E256" i="9"/>
  <c r="F226" i="9"/>
  <c r="F86" i="9"/>
  <c r="F117" i="9"/>
  <c r="E171" i="9"/>
  <c r="E233" i="9"/>
  <c r="F96" i="9"/>
  <c r="F65" i="9"/>
  <c r="F47" i="9"/>
  <c r="F291" i="9"/>
  <c r="F125" i="9"/>
  <c r="F84" i="9"/>
  <c r="E175" i="9"/>
  <c r="F175" i="9"/>
  <c r="E296" i="9"/>
  <c r="F134" i="9"/>
  <c r="F272" i="9"/>
  <c r="F71" i="9"/>
  <c r="F266" i="9"/>
  <c r="F258" i="9"/>
  <c r="F26" i="9"/>
  <c r="F242" i="9"/>
  <c r="F186" i="9"/>
  <c r="F161" i="9"/>
  <c r="F247" i="9"/>
  <c r="F244" i="9"/>
  <c r="F154" i="9"/>
  <c r="F243" i="9"/>
  <c r="F93" i="9"/>
  <c r="F304" i="9"/>
  <c r="F297" i="9"/>
  <c r="F136" i="9"/>
  <c r="F262" i="9"/>
  <c r="F190" i="9"/>
  <c r="F94" i="9"/>
  <c r="F310" i="9"/>
  <c r="F220" i="9"/>
  <c r="F211" i="9"/>
  <c r="F191" i="9"/>
  <c r="F92" i="9"/>
  <c r="F57" i="9"/>
  <c r="F261" i="9"/>
  <c r="F174" i="9"/>
  <c r="F197" i="9"/>
  <c r="F198" i="9"/>
  <c r="F210" i="9"/>
  <c r="F303" i="9"/>
  <c r="F34" i="9"/>
  <c r="F159" i="9"/>
  <c r="F162" i="9"/>
  <c r="F143" i="9"/>
  <c r="F199" i="9"/>
  <c r="F313" i="9"/>
  <c r="F235" i="9"/>
  <c r="F234" i="9"/>
  <c r="F156" i="9"/>
  <c r="F82" i="9"/>
  <c r="F204" i="9"/>
  <c r="F173" i="9"/>
  <c r="F227" i="9"/>
  <c r="F95" i="9"/>
  <c r="F142" i="9"/>
  <c r="F280" i="9"/>
  <c r="F201" i="9"/>
  <c r="F241" i="9"/>
  <c r="E92" i="9"/>
  <c r="F62" i="9"/>
  <c r="E57" i="9"/>
  <c r="F308" i="9"/>
  <c r="E261" i="9"/>
  <c r="F217" i="9"/>
  <c r="E174" i="9"/>
  <c r="F263" i="9"/>
  <c r="E197" i="9"/>
  <c r="F146" i="9"/>
  <c r="F238" i="9"/>
  <c r="E198" i="9"/>
  <c r="F129" i="9"/>
  <c r="F269" i="9"/>
  <c r="E210" i="9"/>
  <c r="F97" i="9"/>
  <c r="E303" i="9"/>
  <c r="E34" i="9"/>
  <c r="F109" i="9"/>
  <c r="E159" i="9"/>
  <c r="F314" i="9"/>
  <c r="E162" i="9"/>
  <c r="F195" i="9"/>
  <c r="E143" i="9"/>
  <c r="F311" i="9"/>
  <c r="E199" i="9"/>
  <c r="E313" i="9"/>
  <c r="F166" i="9"/>
  <c r="F248" i="9"/>
  <c r="F192" i="9"/>
  <c r="F58" i="9"/>
  <c r="F293" i="9"/>
  <c r="F45" i="9"/>
  <c r="F182" i="9"/>
  <c r="F144" i="9"/>
  <c r="F111" i="9"/>
  <c r="F237" i="9"/>
  <c r="F240" i="9"/>
  <c r="F285" i="9"/>
  <c r="F104" i="9"/>
  <c r="F229" i="9"/>
  <c r="F120" i="9"/>
  <c r="F286" i="9"/>
  <c r="F287" i="9"/>
  <c r="F164" i="9"/>
  <c r="F305" i="9"/>
  <c r="F207" i="9"/>
  <c r="F89" i="9"/>
  <c r="F110" i="9"/>
  <c r="F42" i="9"/>
  <c r="F160" i="9"/>
  <c r="F281" i="9"/>
  <c r="F33" i="9"/>
  <c r="F274" i="9"/>
  <c r="F206" i="9"/>
  <c r="F102" i="9"/>
  <c r="F63" i="9"/>
  <c r="F284" i="9"/>
  <c r="F216" i="9"/>
  <c r="F205" i="9"/>
  <c r="F88" i="9"/>
  <c r="F130" i="9"/>
  <c r="F139" i="9"/>
  <c r="F184" i="9"/>
  <c r="F163" i="9"/>
  <c r="F66" i="9"/>
  <c r="F158" i="9"/>
  <c r="F183" i="9"/>
  <c r="F253" i="9"/>
  <c r="F172" i="9"/>
  <c r="F36" i="9"/>
  <c r="F85" i="9"/>
  <c r="F283" i="9"/>
  <c r="F273" i="9"/>
  <c r="F30" i="9"/>
  <c r="F170" i="9"/>
  <c r="F312" i="9"/>
  <c r="F222" i="9"/>
  <c r="F252" i="9"/>
  <c r="F219" i="9"/>
  <c r="F230" i="9"/>
  <c r="F28" i="9"/>
  <c r="F276" i="9"/>
  <c r="F39" i="9"/>
  <c r="F218" i="9"/>
  <c r="F225" i="9"/>
  <c r="F141" i="9"/>
  <c r="F306" i="9"/>
  <c r="F115" i="9"/>
  <c r="F152" i="9"/>
  <c r="F265" i="9"/>
  <c r="F165" i="9"/>
  <c r="F79" i="9"/>
  <c r="F31" i="9"/>
  <c r="F200" i="9"/>
  <c r="F203" i="9"/>
  <c r="F121" i="9"/>
  <c r="F213" i="9"/>
  <c r="F250" i="9"/>
  <c r="F40" i="9"/>
  <c r="F147" i="9"/>
  <c r="F289" i="9"/>
  <c r="F29" i="9"/>
  <c r="F149" i="9"/>
  <c r="F228" i="9"/>
  <c r="F98" i="9"/>
  <c r="F127" i="9"/>
  <c r="F67" i="9"/>
  <c r="F221" i="9"/>
  <c r="F122" i="9"/>
  <c r="F135" i="9"/>
  <c r="F194" i="9"/>
  <c r="F309" i="9"/>
  <c r="F231" i="9"/>
  <c r="F294" i="9"/>
  <c r="F151" i="9"/>
  <c r="K28" i="7"/>
  <c r="K20" i="7"/>
  <c r="K16" i="7"/>
  <c r="K12" i="7"/>
  <c r="K10" i="7"/>
  <c r="K49" i="7"/>
  <c r="B49" i="7" s="1"/>
  <c r="K29" i="7"/>
  <c r="C25" i="10"/>
  <c r="C13" i="10"/>
  <c r="C5" i="10"/>
  <c r="C24" i="10"/>
  <c r="C3" i="10"/>
  <c r="C23" i="10"/>
  <c r="C11" i="10"/>
  <c r="C12" i="10"/>
  <c r="C19" i="10"/>
  <c r="C10" i="10"/>
  <c r="C17" i="10"/>
  <c r="C8" i="10"/>
  <c r="C18" i="10"/>
  <c r="C9" i="10"/>
  <c r="C15" i="10"/>
  <c r="K9" i="7"/>
  <c r="K26" i="7"/>
  <c r="K22" i="7"/>
  <c r="K30" i="7"/>
  <c r="K25" i="7"/>
  <c r="K17" i="7"/>
  <c r="K13" i="7"/>
  <c r="K18" i="7"/>
  <c r="K14" i="7"/>
  <c r="K21" i="7"/>
  <c r="K19" i="7"/>
  <c r="K23" i="7"/>
  <c r="K15" i="7"/>
  <c r="K27" i="7"/>
  <c r="K11" i="7"/>
  <c r="K31" i="7"/>
  <c r="K8" i="7"/>
  <c r="K47" i="7"/>
  <c r="K57" i="7"/>
  <c r="B57" i="7" s="1"/>
  <c r="E56" i="7" s="1"/>
  <c r="H11" i="3"/>
  <c r="F114" i="9" l="1"/>
  <c r="E56" i="9"/>
  <c r="F56" i="9"/>
  <c r="F68" i="9"/>
  <c r="E114" i="9"/>
  <c r="F77" i="9"/>
  <c r="E77" i="9"/>
  <c r="D68" i="9"/>
  <c r="G43" i="7"/>
  <c r="E50" i="7"/>
  <c r="F100" i="9"/>
  <c r="D100" i="9"/>
  <c r="E81" i="9"/>
  <c r="D81" i="9"/>
  <c r="F81" i="9"/>
  <c r="E100" i="9"/>
  <c r="I42" i="7"/>
  <c r="H3" i="3"/>
  <c r="H245" i="9" l="1"/>
  <c r="C245" i="9" s="1"/>
  <c r="D245" i="9" s="1"/>
  <c r="E245" i="9" l="1"/>
  <c r="F245" i="9"/>
  <c r="G42" i="7"/>
  <c r="K42" i="7" s="1"/>
  <c r="B42" i="7" l="1"/>
  <c r="E16" i="3"/>
  <c r="D18" i="3"/>
  <c r="E55" i="7" l="1"/>
  <c r="K55" i="7"/>
  <c r="H17" i="3"/>
  <c r="L3" i="5" a="1"/>
  <c r="L3" i="5"/>
  <c r="M3" i="5" a="1"/>
  <c r="M3" i="5"/>
  <c r="I4" i="5"/>
  <c r="L4" i="5" a="1"/>
  <c r="L4" i="5"/>
  <c r="M4" i="5" a="1"/>
  <c r="M4" i="5"/>
  <c r="N4" i="5" a="1"/>
  <c r="N4" i="5"/>
  <c r="O5" i="5" a="1"/>
  <c r="O5" i="5"/>
  <c r="N6" i="5" a="1"/>
  <c r="N6" i="5"/>
  <c r="O7" i="5" a="1"/>
  <c r="O7" i="5"/>
  <c r="M8" i="5" a="1"/>
  <c r="M8" i="5"/>
  <c r="N12" i="5" a="1"/>
  <c r="N12" i="5"/>
  <c r="M13" i="5" a="1"/>
  <c r="M13" i="5"/>
  <c r="N18" i="5" a="1"/>
  <c r="N18" i="5"/>
  <c r="M19" i="5" a="1"/>
  <c r="M19" i="5"/>
  <c r="M20" i="5" a="1"/>
  <c r="M20" i="5"/>
  <c r="M21" i="5" a="1"/>
  <c r="M21" i="5"/>
  <c r="M32" i="5" a="1"/>
  <c r="M32" i="5"/>
  <c r="N32" i="5" a="1"/>
  <c r="N32" i="5"/>
  <c r="M33" i="5" a="1"/>
  <c r="M33" i="5"/>
  <c r="N33" i="5" a="1"/>
  <c r="N33" i="5"/>
  <c r="M37" i="5" a="1"/>
  <c r="M37" i="5"/>
  <c r="N37" i="5" a="1"/>
  <c r="N37" i="5"/>
  <c r="M38" i="5" a="1"/>
  <c r="M38" i="5"/>
  <c r="N38" i="5" a="1"/>
  <c r="N38" i="5"/>
  <c r="A3" i="9" a="1"/>
  <c r="A3" i="9"/>
  <c r="R3" i="9"/>
  <c r="R4" i="9"/>
  <c r="R5" i="9"/>
  <c r="R6" i="9"/>
  <c r="R7" i="9"/>
  <c r="R8" i="9"/>
  <c r="R9" i="9"/>
  <c r="R10" i="9"/>
  <c r="R11" i="9"/>
  <c r="R12" i="9"/>
  <c r="R13" i="9"/>
  <c r="R14" i="9"/>
  <c r="R15" i="9"/>
  <c r="R16" i="9"/>
  <c r="R17" i="9"/>
  <c r="R18" i="9"/>
  <c r="R19" i="9"/>
  <c r="R20" i="9"/>
  <c r="R21" i="9"/>
  <c r="R22" i="9"/>
  <c r="C46" i="9"/>
  <c r="D46" i="9"/>
  <c r="E46" i="9"/>
  <c r="F46" i="9"/>
  <c r="H46" i="9"/>
  <c r="J46" i="9" a="1"/>
  <c r="J46" i="9"/>
  <c r="C48" i="9"/>
  <c r="D48" i="9"/>
  <c r="E48" i="9"/>
  <c r="F48" i="9"/>
  <c r="H48" i="9"/>
  <c r="I48" i="9" a="1"/>
  <c r="I48" i="9"/>
  <c r="J48" i="9" a="1"/>
  <c r="J48" i="9"/>
  <c r="C49" i="9"/>
  <c r="D49" i="9"/>
  <c r="E49" i="9"/>
  <c r="F49" i="9"/>
  <c r="H49" i="9"/>
  <c r="I49" i="9" a="1"/>
  <c r="I49" i="9"/>
  <c r="C50" i="9"/>
  <c r="D50" i="9"/>
  <c r="E50" i="9"/>
  <c r="F50" i="9"/>
  <c r="H50" i="9"/>
  <c r="K50" i="9"/>
  <c r="C52" i="9"/>
  <c r="D52" i="9"/>
  <c r="E52" i="9"/>
  <c r="F52" i="9"/>
  <c r="H52" i="9"/>
  <c r="I52" i="9"/>
  <c r="C53" i="9"/>
  <c r="D53" i="9"/>
  <c r="E53" i="9"/>
  <c r="F53" i="9"/>
  <c r="H53" i="9"/>
  <c r="I53" i="9" a="1"/>
  <c r="I53" i="9"/>
  <c r="K53" i="9" a="1"/>
  <c r="K53" i="9"/>
  <c r="L53" i="9" a="1"/>
  <c r="L53" i="9"/>
  <c r="C54" i="9"/>
  <c r="D54" i="9"/>
  <c r="E54" i="9"/>
  <c r="F54" i="9"/>
  <c r="H54" i="9"/>
  <c r="I54" i="9" a="1"/>
  <c r="I54" i="9"/>
  <c r="C55" i="9"/>
  <c r="D55" i="9"/>
  <c r="E55" i="9"/>
  <c r="F55" i="9"/>
  <c r="H55" i="9"/>
  <c r="I55" i="9" a="1"/>
  <c r="I55" i="9"/>
  <c r="J55" i="9"/>
  <c r="C60" i="9"/>
  <c r="D60" i="9"/>
  <c r="E60" i="9"/>
  <c r="F60" i="9"/>
  <c r="H60" i="9"/>
  <c r="I60" i="9" a="1"/>
  <c r="I60" i="9"/>
  <c r="K60" i="9" a="1"/>
  <c r="K60" i="9"/>
  <c r="C61" i="9"/>
  <c r="D61" i="9"/>
  <c r="E61" i="9"/>
  <c r="F61" i="9"/>
  <c r="H61" i="9"/>
  <c r="I61" i="9" a="1"/>
  <c r="I61" i="9"/>
  <c r="C64" i="9"/>
  <c r="D64" i="9"/>
  <c r="E64" i="9"/>
  <c r="F64" i="9"/>
  <c r="H64" i="9"/>
  <c r="L64" i="9"/>
  <c r="C69" i="9"/>
  <c r="D69" i="9"/>
  <c r="E69" i="9"/>
  <c r="F69" i="9"/>
  <c r="H69" i="9"/>
  <c r="L69" i="9"/>
  <c r="C70" i="9"/>
  <c r="D70" i="9"/>
  <c r="E70" i="9"/>
  <c r="F70" i="9"/>
  <c r="H70" i="9"/>
  <c r="I70" i="9"/>
  <c r="C73" i="9"/>
  <c r="D73" i="9"/>
  <c r="E73" i="9"/>
  <c r="F73" i="9"/>
  <c r="H73" i="9"/>
  <c r="I73" i="9"/>
  <c r="J73" i="9" a="1"/>
  <c r="J73" i="9"/>
  <c r="C74" i="9"/>
  <c r="D74" i="9"/>
  <c r="E74" i="9"/>
  <c r="F74" i="9"/>
  <c r="H74" i="9"/>
  <c r="L74" i="9"/>
  <c r="C78" i="9"/>
  <c r="D78" i="9"/>
  <c r="E78" i="9"/>
  <c r="F78" i="9"/>
  <c r="H78" i="9"/>
  <c r="J78" i="9" a="1"/>
  <c r="J78" i="9"/>
  <c r="C87" i="9"/>
  <c r="D87" i="9"/>
  <c r="E87" i="9"/>
  <c r="F87" i="9"/>
  <c r="H87" i="9"/>
  <c r="I87" i="9" a="1"/>
  <c r="I87" i="9"/>
  <c r="C101" i="9"/>
  <c r="D101" i="9"/>
  <c r="E101" i="9"/>
  <c r="F101" i="9"/>
  <c r="H101" i="9"/>
  <c r="I101" i="9"/>
  <c r="C103" i="9"/>
  <c r="D103" i="9"/>
  <c r="E103" i="9"/>
  <c r="F103" i="9"/>
  <c r="H103" i="9"/>
  <c r="L103" i="9"/>
  <c r="C108" i="9"/>
  <c r="D108" i="9"/>
  <c r="E108" i="9"/>
  <c r="F108" i="9"/>
  <c r="H108" i="9"/>
  <c r="J108" i="9"/>
  <c r="C113" i="9"/>
  <c r="D113" i="9"/>
  <c r="E113" i="9"/>
  <c r="F113" i="9"/>
  <c r="H113" i="9"/>
  <c r="L113" i="9"/>
  <c r="C119" i="9"/>
  <c r="D119" i="9"/>
  <c r="E119" i="9"/>
  <c r="F119" i="9"/>
  <c r="H119" i="9"/>
  <c r="L119" i="9"/>
  <c r="C181" i="9"/>
  <c r="D181" i="9"/>
  <c r="E181" i="9"/>
  <c r="F181" i="9"/>
  <c r="H181" i="9"/>
  <c r="L181" i="9"/>
  <c r="C202" i="9"/>
  <c r="D202" i="9"/>
  <c r="E202" i="9"/>
  <c r="F202" i="9"/>
  <c r="H202" i="9"/>
  <c r="L202" i="9"/>
  <c r="C208" i="9"/>
  <c r="D208" i="9"/>
  <c r="E208" i="9"/>
  <c r="F208" i="9"/>
  <c r="H208" i="9"/>
  <c r="I208" i="9"/>
  <c r="C223" i="9"/>
  <c r="D223" i="9"/>
  <c r="E223" i="9"/>
  <c r="F223" i="9"/>
  <c r="H223" i="9"/>
  <c r="L223" i="9"/>
  <c r="K245" i="9"/>
  <c r="C264" i="9"/>
  <c r="D264" i="9"/>
  <c r="E264" i="9"/>
  <c r="F264" i="9"/>
  <c r="H264" i="9"/>
  <c r="I264" i="9" a="1"/>
  <c r="I264" i="9"/>
  <c r="J264" i="9" a="1"/>
  <c r="J264" i="9"/>
  <c r="C270" i="9"/>
  <c r="D270" i="9"/>
  <c r="E270" i="9"/>
  <c r="F270" i="9"/>
  <c r="H270" i="9"/>
  <c r="I270" i="9" a="1"/>
  <c r="I270" i="9"/>
  <c r="J270" i="9" a="1"/>
  <c r="J270" i="9"/>
  <c r="I7" i="2"/>
  <c r="D22" i="2" a="1"/>
  <c r="D22" i="2"/>
  <c r="B32" i="2" a="1"/>
  <c r="B32" i="2"/>
  <c r="D32" i="2"/>
  <c r="B34" i="2"/>
  <c r="B35" i="2" a="1"/>
  <c r="B35" i="2"/>
  <c r="B36" i="2" a="1"/>
  <c r="B36" i="2"/>
  <c r="B37" i="2" a="1"/>
  <c r="B37" i="2"/>
  <c r="B41" i="2"/>
  <c r="E5" i="7"/>
  <c r="K5" i="7"/>
  <c r="E6" i="7"/>
  <c r="K6" i="7"/>
  <c r="F32" i="7" a="1"/>
  <c r="F32" i="7"/>
  <c r="K32" i="7"/>
  <c r="E35" i="7" a="1"/>
  <c r="E35" i="7"/>
  <c r="F35" i="7" a="1"/>
  <c r="F35" i="7"/>
  <c r="E36" i="7" a="1"/>
  <c r="E36" i="7"/>
  <c r="F36" i="7" a="1"/>
  <c r="F36" i="7"/>
  <c r="B43" i="7"/>
  <c r="E43" i="7"/>
  <c r="K43" i="7"/>
  <c r="E44" i="7"/>
  <c r="E46" i="7"/>
  <c r="K46" i="7"/>
  <c r="B48" i="7"/>
  <c r="G48" i="7"/>
  <c r="K48" i="7"/>
  <c r="B50" i="7"/>
  <c r="F50" i="7"/>
  <c r="K50" i="7"/>
  <c r="B51" i="7"/>
  <c r="G51" i="7"/>
  <c r="K51" i="7"/>
  <c r="F52" i="7" a="1"/>
  <c r="F52" i="7"/>
  <c r="K52" i="7"/>
  <c r="B53" i="7"/>
  <c r="F53" i="7"/>
  <c r="K53" i="7"/>
  <c r="G54" i="7"/>
  <c r="K54" i="7"/>
  <c r="B56" i="7"/>
  <c r="F56" i="7"/>
  <c r="K56" i="7"/>
  <c r="B66" i="7"/>
  <c r="F66" i="7"/>
  <c r="K66" i="7"/>
  <c r="B67" i="7"/>
  <c r="E67" i="7"/>
  <c r="K67" i="7"/>
  <c r="E69" i="7"/>
  <c r="G69" i="7"/>
  <c r="K69" i="7"/>
  <c r="E72" i="7"/>
  <c r="K72" i="7"/>
  <c r="F74" i="7" a="1"/>
  <c r="F74" i="7"/>
  <c r="K74" i="7"/>
  <c r="F75" i="7"/>
  <c r="K75" i="7"/>
  <c r="F77" i="7" a="1"/>
  <c r="F77" i="7"/>
  <c r="K77" i="7"/>
  <c r="F86" i="7" a="1"/>
  <c r="F86" i="7"/>
  <c r="K86" i="7"/>
  <c r="E2" i="3" a="1"/>
  <c r="E2" i="3"/>
  <c r="H2" i="3"/>
  <c r="E4" i="3" a="1"/>
  <c r="E4" i="3"/>
  <c r="H4" i="3"/>
  <c r="E5" i="3"/>
  <c r="F5" i="3" a="1"/>
  <c r="F5" i="3"/>
  <c r="H5" i="3"/>
  <c r="D6" i="3" a="1"/>
  <c r="D6" i="3"/>
  <c r="H6" i="3"/>
  <c r="E7" i="3" a="1"/>
  <c r="E7" i="3"/>
  <c r="H7" i="3"/>
  <c r="D8" i="3"/>
  <c r="G8" i="3"/>
  <c r="H8" i="3"/>
  <c r="E9" i="3" a="1"/>
  <c r="E9" i="3"/>
  <c r="H9" i="3"/>
  <c r="D12" i="3" a="1"/>
  <c r="D12" i="3"/>
  <c r="H12" i="3"/>
  <c r="D13" i="3" a="1"/>
  <c r="D13" i="3"/>
  <c r="H13" i="3"/>
  <c r="D14" i="3" a="1"/>
  <c r="D14" i="3"/>
  <c r="E14" i="3" a="1"/>
  <c r="E14" i="3"/>
  <c r="H14" i="3"/>
  <c r="E15" i="3" a="1"/>
  <c r="E15" i="3"/>
  <c r="H15" i="3"/>
  <c r="D16" i="3" a="1"/>
  <c r="D16" i="3"/>
  <c r="H16" i="3"/>
  <c r="E18" i="3" a="1"/>
  <c r="E18" i="3"/>
  <c r="H18" i="3"/>
  <c r="D19" i="3" a="1"/>
  <c r="D19" i="3"/>
  <c r="E19" i="3"/>
  <c r="H19" i="3"/>
  <c r="E20" i="3" a="1"/>
  <c r="E20" i="3"/>
  <c r="H20" i="3"/>
  <c r="D21" i="3" a="1"/>
  <c r="D21" i="3"/>
  <c r="E21" i="3" a="1"/>
  <c r="E21" i="3"/>
  <c r="H21" i="3"/>
  <c r="D22" i="3" a="1"/>
  <c r="D22" i="3"/>
  <c r="G22" i="3"/>
  <c r="H22" i="3"/>
  <c r="B4" i="10"/>
  <c r="C4" i="10"/>
  <c r="H4" i="10"/>
  <c r="L4" i="10" a="1"/>
  <c r="L4" i="10"/>
  <c r="L6" i="10" a="1"/>
  <c r="L6" i="10"/>
  <c r="B16" i="10"/>
  <c r="C16" i="10"/>
  <c r="H16" i="10"/>
  <c r="L16" i="10"/>
  <c r="K20" i="10"/>
  <c r="B22" i="10"/>
  <c r="C22" i="10"/>
  <c r="H22" i="10"/>
  <c r="L22" i="10"/>
  <c r="E2" i="6" a="1"/>
  <c r="E2" i="6"/>
  <c r="F2" i="6" a="1"/>
  <c r="F2" i="6"/>
  <c r="G2" i="6" a="1"/>
  <c r="G2" i="6"/>
  <c r="E3" i="6"/>
  <c r="F3" i="6"/>
  <c r="J3" i="6"/>
  <c r="F5" i="6"/>
  <c r="G5" i="6" a="1"/>
  <c r="G5" i="6"/>
  <c r="H5" i="6" a="1"/>
  <c r="H5" i="6"/>
  <c r="J5" i="6"/>
  <c r="E6" i="6"/>
  <c r="F6" i="6" a="1"/>
  <c r="F6" i="6"/>
  <c r="J6" i="6"/>
  <c r="F7" i="6"/>
  <c r="G7" i="6" a="1"/>
  <c r="G7" i="6"/>
  <c r="J7" i="6"/>
  <c r="E8" i="6" a="1"/>
  <c r="E8" i="6"/>
  <c r="J8" i="6"/>
  <c r="E9" i="6"/>
  <c r="F9" i="6" a="1"/>
  <c r="F9" i="6"/>
  <c r="G9" i="6" a="1"/>
  <c r="G9" i="6"/>
  <c r="J9" i="6"/>
  <c r="E10" i="6" a="1"/>
  <c r="E10" i="6"/>
  <c r="F10" i="6"/>
  <c r="J10" i="6"/>
  <c r="E11" i="6" a="1"/>
  <c r="E11" i="6"/>
  <c r="F11" i="6"/>
  <c r="G11" i="6" a="1"/>
  <c r="G11" i="6"/>
  <c r="J11" i="6"/>
  <c r="E12" i="6"/>
  <c r="F12" i="6" a="1"/>
  <c r="F12" i="6"/>
  <c r="J12" i="6"/>
  <c r="E13" i="6"/>
  <c r="F13" i="6" a="1"/>
  <c r="F13" i="6"/>
  <c r="G13" i="6" a="1"/>
  <c r="G13" i="6"/>
  <c r="H13" i="6" a="1"/>
  <c r="H13" i="6"/>
  <c r="I13" i="6" a="1"/>
  <c r="I13" i="6"/>
  <c r="J13" i="6"/>
  <c r="E14" i="6" a="1"/>
  <c r="E14" i="6"/>
  <c r="J14" i="6"/>
  <c r="E15" i="6" a="1"/>
  <c r="E15" i="6"/>
  <c r="F15" i="6" a="1"/>
  <c r="F15" i="6"/>
  <c r="J15" i="6"/>
  <c r="G16" i="6" a="1"/>
  <c r="G16" i="6"/>
  <c r="J16" i="6"/>
  <c r="F18" i="6" a="1"/>
  <c r="F18" i="6"/>
  <c r="G18" i="6" a="1"/>
  <c r="G18" i="6"/>
  <c r="F19" i="6" a="1"/>
  <c r="F19" i="6"/>
  <c r="J19" i="6"/>
  <c r="E20" i="6" a="1"/>
  <c r="E20" i="6"/>
  <c r="F20" i="6" a="1"/>
  <c r="F20" i="6"/>
  <c r="G20" i="6"/>
  <c r="H20" i="6" a="1"/>
  <c r="H20" i="6"/>
  <c r="I20" i="6" a="1"/>
  <c r="I20" i="6"/>
  <c r="J20" i="6"/>
  <c r="E21" i="6"/>
  <c r="F21" i="6" a="1"/>
  <c r="F21" i="6"/>
  <c r="J21" i="6"/>
  <c r="E22" i="6" a="1"/>
  <c r="E22" i="6"/>
  <c r="F22" i="6"/>
  <c r="G22" i="6"/>
  <c r="J22" i="6"/>
  <c r="E23" i="6" a="1"/>
  <c r="E23" i="6"/>
  <c r="F23" i="6"/>
  <c r="J23" i="6"/>
  <c r="E24" i="6"/>
  <c r="F24" i="6"/>
  <c r="J24" i="6"/>
  <c r="E25" i="6"/>
  <c r="F25" i="6" a="1"/>
  <c r="F25" i="6"/>
  <c r="J25" i="6"/>
  <c r="E26" i="6" a="1"/>
  <c r="E26" i="6"/>
  <c r="H26" i="6"/>
  <c r="J26" i="6"/>
  <c r="F27" i="6"/>
  <c r="J2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<sst xmlns="http://schemas.openxmlformats.org/spreadsheetml/2006/main" count="2647" uniqueCount="1400">
  <si>
    <t>Haven and Hearth stats calculator</t>
  </si>
  <si>
    <t>Name</t>
  </si>
  <si>
    <t>Purpose</t>
  </si>
  <si>
    <t>FEP</t>
  </si>
  <si>
    <t>Hunger</t>
  </si>
  <si>
    <t>Feast</t>
  </si>
  <si>
    <t>Ingredient List</t>
  </si>
  <si>
    <t>Q of 1</t>
  </si>
  <si>
    <t>Q of 2</t>
  </si>
  <si>
    <t>Q of 3</t>
  </si>
  <si>
    <t>Q of 4</t>
  </si>
  <si>
    <t>Skill 1</t>
  </si>
  <si>
    <t>Skill 2</t>
  </si>
  <si>
    <t>Attributes</t>
  </si>
  <si>
    <t>Base</t>
  </si>
  <si>
    <t>Gear</t>
  </si>
  <si>
    <t>Abilities</t>
  </si>
  <si>
    <t>Antler Steak Cutlery</t>
  </si>
  <si>
    <t>Birchbark Kuksa</t>
  </si>
  <si>
    <t>Cake Knife</t>
  </si>
  <si>
    <t>Cast Iron Trivet</t>
  </si>
  <si>
    <t>Coiled Rope Hotpad</t>
  </si>
  <si>
    <t>Copper Kettle</t>
  </si>
  <si>
    <t>Cornucopia</t>
  </si>
  <si>
    <t>Drinking Horn</t>
  </si>
  <si>
    <t>Earthenware Platter</t>
  </si>
  <si>
    <t>Feather Garland</t>
  </si>
  <si>
    <t>Gilded Nautilus</t>
  </si>
  <si>
    <t>Gold Cutlery</t>
  </si>
  <si>
    <t>Gold Plate</t>
  </si>
  <si>
    <t>Golden Table Bell</t>
  </si>
  <si>
    <t>Hard Metal Cutlery</t>
  </si>
  <si>
    <t>Hemp Tablecloth</t>
  </si>
  <si>
    <t>Hop Garland</t>
  </si>
  <si>
    <t>Leaf Cup</t>
  </si>
  <si>
    <t>Leather Tablecloth</t>
  </si>
  <si>
    <t>Linen Napkin</t>
  </si>
  <si>
    <t>Linen Tablecloth</t>
  </si>
  <si>
    <t>Metal Mug</t>
  </si>
  <si>
    <t>Metal Plate</t>
  </si>
  <si>
    <t>Metal Saucière</t>
  </si>
  <si>
    <t>Mug</t>
  </si>
  <si>
    <t>Pepper Shaker</t>
  </si>
  <si>
    <t>Peppermill</t>
  </si>
  <si>
    <t>Poppy Garland</t>
  </si>
  <si>
    <t>Porcelain Plate</t>
  </si>
  <si>
    <t>Silk Napkin</t>
  </si>
  <si>
    <t>Silk Tablecloth</t>
  </si>
  <si>
    <t>Silver Cutlery</t>
  </si>
  <si>
    <t>Silver River Cutlery</t>
  </si>
  <si>
    <t>Silver River Goblet</t>
  </si>
  <si>
    <t>Skull Cup</t>
  </si>
  <si>
    <t>Soft Metal Cutlery</t>
  </si>
  <si>
    <t>Stitched Leather Coaster</t>
  </si>
  <si>
    <t>Stoneware Vase</t>
  </si>
  <si>
    <t>Strange Crystal Glass</t>
  </si>
  <si>
    <t>Tankard</t>
  </si>
  <si>
    <t>Teapot</t>
  </si>
  <si>
    <t>Turtle Shell Bowl</t>
  </si>
  <si>
    <t>Whitemetal Cup</t>
  </si>
  <si>
    <t>Wicker Breadbasket</t>
  </si>
  <si>
    <t>Wine Bottle</t>
  </si>
  <si>
    <t>Wine Glass</t>
  </si>
  <si>
    <t>Wooden Cup</t>
  </si>
  <si>
    <t>Wooden Cutlery</t>
  </si>
  <si>
    <t>Wooden Plate</t>
  </si>
  <si>
    <t>Wool Tablecloth</t>
  </si>
  <si>
    <t>Quality</t>
  </si>
  <si>
    <t>Tanning Tub</t>
  </si>
  <si>
    <t>Spinning Wheel</t>
  </si>
  <si>
    <t>Loom</t>
  </si>
  <si>
    <t>Tool</t>
  </si>
  <si>
    <t>Ingredients</t>
  </si>
  <si>
    <t>Shears</t>
  </si>
  <si>
    <t>Stone Axe</t>
  </si>
  <si>
    <t>Metal Axe</t>
  </si>
  <si>
    <t>Bone Saw</t>
  </si>
  <si>
    <t>Smithy’s Hammer</t>
  </si>
  <si>
    <t>Dowsing Rod</t>
  </si>
  <si>
    <t>Flint Knife</t>
  </si>
  <si>
    <t>Ceramic Knife</t>
  </si>
  <si>
    <t>Tinker’s Throwing Axe</t>
  </si>
  <si>
    <t>Hunter’s Bow</t>
  </si>
  <si>
    <t>Ranger’s Bow</t>
  </si>
  <si>
    <t>Sling</t>
  </si>
  <si>
    <t>Drying Frame</t>
  </si>
  <si>
    <t>Kiln</t>
  </si>
  <si>
    <t>Smelter</t>
  </si>
  <si>
    <t>Anvil</t>
  </si>
  <si>
    <t>Obsidian Dagger</t>
  </si>
  <si>
    <t>Meatgrinder</t>
  </si>
  <si>
    <t>Alchemist’s Table</t>
  </si>
  <si>
    <t>Still</t>
  </si>
  <si>
    <t>Frying Pan</t>
  </si>
  <si>
    <t>Glass Blowing Rod</t>
  </si>
  <si>
    <t>Metal Saw</t>
  </si>
  <si>
    <t>Shovel (Wooden)</t>
  </si>
  <si>
    <t>Shovel (Metal)</t>
  </si>
  <si>
    <t>Tinker’s Shovel</t>
  </si>
  <si>
    <t>Cauldron (Metal)</t>
  </si>
  <si>
    <t>Extraction Press</t>
  </si>
  <si>
    <t>Subject</t>
  </si>
  <si>
    <t>Hunting</t>
  </si>
  <si>
    <t>Bloated Bolete</t>
  </si>
  <si>
    <t>Chiming Bluebell</t>
  </si>
  <si>
    <t>Dandelion</t>
  </si>
  <si>
    <t>Edelweiß</t>
  </si>
  <si>
    <t>Crafting</t>
  </si>
  <si>
    <t>Glimmermoss</t>
  </si>
  <si>
    <t>Farming</t>
  </si>
  <si>
    <t>Peculiar Flotsam</t>
  </si>
  <si>
    <t>Cooking</t>
  </si>
  <si>
    <t>Royal Toadstool</t>
  </si>
  <si>
    <t>Stalagoom</t>
  </si>
  <si>
    <t>Tangled Bramble</t>
  </si>
  <si>
    <t>Thorny Thistle</t>
  </si>
  <si>
    <t>Uncommon Snapdragon</t>
  </si>
  <si>
    <t>Fairy Stone</t>
  </si>
  <si>
    <t>Rock Crystal</t>
  </si>
  <si>
    <t>Ancient Windthrow</t>
  </si>
  <si>
    <t>Geyser</t>
  </si>
  <si>
    <t>Guano Pile</t>
  </si>
  <si>
    <t>Heart of the Woods</t>
  </si>
  <si>
    <t>Potential Quality</t>
  </si>
  <si>
    <t>Current Quality</t>
  </si>
  <si>
    <t>Column1</t>
  </si>
  <si>
    <t>Unarmed Combat</t>
  </si>
  <si>
    <t>Melee Combat</t>
  </si>
  <si>
    <t>Marksmanship</t>
  </si>
  <si>
    <t>Exploration</t>
  </si>
  <si>
    <t>Stealth</t>
  </si>
  <si>
    <t>Sewing</t>
  </si>
  <si>
    <t>Smithing</t>
  </si>
  <si>
    <t>Masonry</t>
  </si>
  <si>
    <t>Carpentry</t>
  </si>
  <si>
    <t>Survival</t>
  </si>
  <si>
    <t>Lore</t>
  </si>
  <si>
    <t>Strength</t>
  </si>
  <si>
    <t>Agility</t>
  </si>
  <si>
    <t>Intelligence</t>
  </si>
  <si>
    <t>Constitution</t>
  </si>
  <si>
    <t>Perception</t>
  </si>
  <si>
    <t>Charisma</t>
  </si>
  <si>
    <t>Dexterity</t>
  </si>
  <si>
    <t>Will</t>
  </si>
  <si>
    <t>Psyche</t>
  </si>
  <si>
    <t xml:space="preserve"> </t>
  </si>
  <si>
    <t xml:space="preserve">Base </t>
  </si>
  <si>
    <t xml:space="preserve">Gear </t>
  </si>
  <si>
    <t>Raw Materials</t>
  </si>
  <si>
    <t>Tree</t>
  </si>
  <si>
    <t>Water</t>
  </si>
  <si>
    <t>Type</t>
  </si>
  <si>
    <t>Nature</t>
  </si>
  <si>
    <t>Crop</t>
  </si>
  <si>
    <t>Carrot</t>
  </si>
  <si>
    <t>Ore</t>
  </si>
  <si>
    <t>Lead Glance</t>
  </si>
  <si>
    <t>Stone</t>
  </si>
  <si>
    <t>Basalt</t>
  </si>
  <si>
    <t>Bone</t>
  </si>
  <si>
    <t>Deer Antler</t>
  </si>
  <si>
    <t>Blood Stern</t>
  </si>
  <si>
    <t>Forage</t>
  </si>
  <si>
    <t>Cow</t>
  </si>
  <si>
    <t>Livestock</t>
  </si>
  <si>
    <t>Chicken</t>
  </si>
  <si>
    <t>Malachite</t>
  </si>
  <si>
    <t>Galena</t>
  </si>
  <si>
    <t>.</t>
  </si>
  <si>
    <t>Alabaster</t>
  </si>
  <si>
    <t>Apatite</t>
  </si>
  <si>
    <t>Arkose</t>
  </si>
  <si>
    <t>Bat Rock</t>
  </si>
  <si>
    <t>Black Coal</t>
  </si>
  <si>
    <t>Bloodstone</t>
  </si>
  <si>
    <t>Breccia</t>
  </si>
  <si>
    <t>Chert</t>
  </si>
  <si>
    <t>Diabase</t>
  </si>
  <si>
    <t>Diorite</t>
  </si>
  <si>
    <t>Dolomite</t>
  </si>
  <si>
    <t>Eclogite</t>
  </si>
  <si>
    <t>Feldspar</t>
  </si>
  <si>
    <t>Flint</t>
  </si>
  <si>
    <t>Gabbro</t>
  </si>
  <si>
    <t>Gneiss</t>
  </si>
  <si>
    <t>Granite</t>
  </si>
  <si>
    <t>Graywacke</t>
  </si>
  <si>
    <t>Greenschist</t>
  </si>
  <si>
    <t>Hornblende</t>
  </si>
  <si>
    <t>Jasper</t>
  </si>
  <si>
    <t>Kyanite</t>
  </si>
  <si>
    <t>Lava Rock</t>
  </si>
  <si>
    <t>Leaf Ore</t>
  </si>
  <si>
    <t>Limestone</t>
  </si>
  <si>
    <t>Marble</t>
  </si>
  <si>
    <t>Mica</t>
  </si>
  <si>
    <t>Microlite</t>
  </si>
  <si>
    <t>Obsidian</t>
  </si>
  <si>
    <t>Olivine</t>
  </si>
  <si>
    <t>Orthoclase</t>
  </si>
  <si>
    <t>Pegmatite</t>
  </si>
  <si>
    <t>Porphyry</t>
  </si>
  <si>
    <t>Pumice</t>
  </si>
  <si>
    <t>Quartz</t>
  </si>
  <si>
    <t>Rhyolite</t>
  </si>
  <si>
    <t>Rock Salt</t>
  </si>
  <si>
    <t>Sandstone</t>
  </si>
  <si>
    <t>Schist</t>
  </si>
  <si>
    <t>Serpentine</t>
  </si>
  <si>
    <t>Shard of Conch</t>
  </si>
  <si>
    <t>Slate</t>
  </si>
  <si>
    <t>Soapstone</t>
  </si>
  <si>
    <t>Sodalite</t>
  </si>
  <si>
    <t>Sunstone</t>
  </si>
  <si>
    <t>Cassiterite</t>
  </si>
  <si>
    <t>Cinnabar</t>
  </si>
  <si>
    <t>Peacock Ore</t>
  </si>
  <si>
    <t>Schrifterz</t>
  </si>
  <si>
    <t>Silvershine</t>
  </si>
  <si>
    <t>Wine Glance</t>
  </si>
  <si>
    <t>Barley</t>
  </si>
  <si>
    <t>Champignon</t>
  </si>
  <si>
    <t>Corn Grass</t>
  </si>
  <si>
    <t>Cucumber</t>
  </si>
  <si>
    <t>Flax</t>
  </si>
  <si>
    <t>Garlic</t>
  </si>
  <si>
    <t>Grapes</t>
  </si>
  <si>
    <t>Green Kale</t>
  </si>
  <si>
    <t>Hemp</t>
  </si>
  <si>
    <t>Hops</t>
  </si>
  <si>
    <t>Leek</t>
  </si>
  <si>
    <t>Lettuce</t>
  </si>
  <si>
    <t>Millet</t>
  </si>
  <si>
    <t>Pea</t>
  </si>
  <si>
    <t>Peppercorn</t>
  </si>
  <si>
    <t>Pipeweed</t>
  </si>
  <si>
    <t>Poppy</t>
  </si>
  <si>
    <t>Pumpkin</t>
  </si>
  <si>
    <t>Red Onion</t>
  </si>
  <si>
    <t>String Grass</t>
  </si>
  <si>
    <t>Turnip</t>
  </si>
  <si>
    <t>Wheat</t>
  </si>
  <si>
    <t>Wild Gourd</t>
  </si>
  <si>
    <t>Wild Kale</t>
  </si>
  <si>
    <t>Wild Onion</t>
  </si>
  <si>
    <t>Oak Tree</t>
  </si>
  <si>
    <t>Fir Tree</t>
  </si>
  <si>
    <t>Maple Tree</t>
  </si>
  <si>
    <t>Birch Tree</t>
  </si>
  <si>
    <t>Pine Tree</t>
  </si>
  <si>
    <t>Willow Tree</t>
  </si>
  <si>
    <t>Apple Tree</t>
  </si>
  <si>
    <t>Mulberry Tree</t>
  </si>
  <si>
    <t>Elm Tree</t>
  </si>
  <si>
    <t>Sheep</t>
  </si>
  <si>
    <t>Pig</t>
  </si>
  <si>
    <t>Goat</t>
  </si>
  <si>
    <t>Horse</t>
  </si>
  <si>
    <t>Rabbit Buck</t>
  </si>
  <si>
    <t>Rabbit Doe</t>
  </si>
  <si>
    <t>Mouflon</t>
  </si>
  <si>
    <t>Wild Horse</t>
  </si>
  <si>
    <t>Wild Goat</t>
  </si>
  <si>
    <t>Reindeer</t>
  </si>
  <si>
    <t>Dewy Lady's Mantle</t>
  </si>
  <si>
    <t>Frog's Crown</t>
  </si>
  <si>
    <t>Lady's Mantle</t>
  </si>
  <si>
    <t>Cavebulb</t>
  </si>
  <si>
    <t>Mistletoe</t>
  </si>
  <si>
    <t>Waybroad</t>
  </si>
  <si>
    <t>Thyme</t>
  </si>
  <si>
    <t>Clover</t>
  </si>
  <si>
    <t>Kvann</t>
  </si>
  <si>
    <t>Chanterelle</t>
  </si>
  <si>
    <t>Spindly Taproot</t>
  </si>
  <si>
    <t>Blueberry</t>
  </si>
  <si>
    <t>Stinging Nettle</t>
  </si>
  <si>
    <t>Wild Windsown Weed</t>
  </si>
  <si>
    <t>Candleberry</t>
  </si>
  <si>
    <t>Inkweed</t>
  </si>
  <si>
    <t>Rustroot</t>
  </si>
  <si>
    <t>River Pearl Mussel</t>
  </si>
  <si>
    <t>Four-Leaf Clover</t>
  </si>
  <si>
    <t>Gray Clay</t>
  </si>
  <si>
    <t>Cave Clay</t>
  </si>
  <si>
    <t>Rabbit Frost</t>
  </si>
  <si>
    <t>Spirited Mandrake Root</t>
  </si>
  <si>
    <t>Lilypad Lotus</t>
  </si>
  <si>
    <t>Jotun Mussel</t>
  </si>
  <si>
    <t>Gardening</t>
  </si>
  <si>
    <t>Chives</t>
  </si>
  <si>
    <t>Liberty Cap</t>
  </si>
  <si>
    <t>Lupine</t>
  </si>
  <si>
    <t>Parasol Mushroom</t>
  </si>
  <si>
    <t>Sage</t>
  </si>
  <si>
    <t>Strawberry</t>
  </si>
  <si>
    <t>Tansy</t>
  </si>
  <si>
    <t>Yarrow</t>
  </si>
  <si>
    <t>Heartsease</t>
  </si>
  <si>
    <t>Troll Mushroom</t>
  </si>
  <si>
    <t>Potential Q</t>
  </si>
  <si>
    <t>Q of Ing1</t>
  </si>
  <si>
    <t>Q of Ing2</t>
  </si>
  <si>
    <t>Q of Ing3</t>
  </si>
  <si>
    <t>Q of Ing4</t>
  </si>
  <si>
    <t>Soil</t>
  </si>
  <si>
    <t>Chalcopyrite</t>
  </si>
  <si>
    <t>Copper Bar 20%</t>
  </si>
  <si>
    <t>Tin Bar 30%</t>
  </si>
  <si>
    <t>Heavy Earth</t>
  </si>
  <si>
    <t>Iron Ochre</t>
  </si>
  <si>
    <t>Black Ore</t>
  </si>
  <si>
    <t>Horn Silver</t>
  </si>
  <si>
    <t>Direvein</t>
  </si>
  <si>
    <t>Meteorite</t>
  </si>
  <si>
    <t>Lead Bar 25%</t>
  </si>
  <si>
    <t>Copper Bar 10%</t>
  </si>
  <si>
    <t>Copper Bar 8%, Cast Iron Bar 4%</t>
  </si>
  <si>
    <t>Copper Bar 30%</t>
  </si>
  <si>
    <t>Quicksilver 12%</t>
  </si>
  <si>
    <t>Cast Iron Bar 6%</t>
  </si>
  <si>
    <t>Cast Iron Bar 12%</t>
  </si>
  <si>
    <t>Cast Iron Bar 20%</t>
  </si>
  <si>
    <t>Cast Iron Bar 30%</t>
  </si>
  <si>
    <t>Silver Nugget 5%, Lead Bar 10%</t>
  </si>
  <si>
    <t>Silver Nugget 20%</t>
  </si>
  <si>
    <t>Silver Nugget 30%</t>
  </si>
  <si>
    <t>Gold Nugget 10%</t>
  </si>
  <si>
    <t>Gold Nugget 35%, Gold Pebbles 35%</t>
  </si>
  <si>
    <t>Gold Nugget 25%, Gold Pebbles 25%</t>
  </si>
  <si>
    <t>Metiron Bar (chance unknown)</t>
  </si>
  <si>
    <t>Common source of logs, branches, and bark; used in general construction and crafting.</t>
  </si>
  <si>
    <t>Hazel Tree</t>
  </si>
  <si>
    <t>Plane Tree</t>
  </si>
  <si>
    <t>Yew Tree</t>
  </si>
  <si>
    <t>Laurel Tree</t>
  </si>
  <si>
    <t>Olive Tree</t>
  </si>
  <si>
    <t>Cork Oak Tree</t>
  </si>
  <si>
    <t>Checker Tree</t>
  </si>
  <si>
    <t>Yields checker tree fruits for food; provides branches and bark; produces two logs when felled.</t>
  </si>
  <si>
    <t>Beech Tree</t>
  </si>
  <si>
    <t>Offers a high yield of wood blocks and boards; efficient for wood production.</t>
  </si>
  <si>
    <t>Q of Ing5</t>
  </si>
  <si>
    <t>Coal</t>
  </si>
  <si>
    <t>Bar of Bronze</t>
  </si>
  <si>
    <t>Sand</t>
  </si>
  <si>
    <t>Acre Clay</t>
  </si>
  <si>
    <t>Ball Clay</t>
  </si>
  <si>
    <t>Sea Clay</t>
  </si>
  <si>
    <t>Pit Clay</t>
  </si>
  <si>
    <t>Soap Clay</t>
  </si>
  <si>
    <t>Coade Clay</t>
  </si>
  <si>
    <t>Bone Clay</t>
  </si>
  <si>
    <t>Potter's Clay</t>
  </si>
  <si>
    <t>Bone Glue</t>
  </si>
  <si>
    <t>Tar Kiln</t>
  </si>
  <si>
    <t>Tar</t>
  </si>
  <si>
    <t>Lye</t>
  </si>
  <si>
    <t>Saltwater</t>
  </si>
  <si>
    <t>Springwater</t>
  </si>
  <si>
    <t>Bone Ash</t>
  </si>
  <si>
    <t>Molten / Raw Glass</t>
  </si>
  <si>
    <t>Ashes</t>
  </si>
  <si>
    <t>Oven</t>
  </si>
  <si>
    <t>Garden Pot</t>
  </si>
  <si>
    <t>Treeplanters Pot</t>
  </si>
  <si>
    <t>Tanning Fluid</t>
  </si>
  <si>
    <t>Leather</t>
  </si>
  <si>
    <t>Processing</t>
  </si>
  <si>
    <t>Hide</t>
  </si>
  <si>
    <t>Exquisite Rot</t>
  </si>
  <si>
    <t>Untanned Rot</t>
  </si>
  <si>
    <t>Entrails</t>
  </si>
  <si>
    <t>Intestines</t>
  </si>
  <si>
    <t>Q of Ing6</t>
  </si>
  <si>
    <t>Vinegar</t>
  </si>
  <si>
    <t>Grapejuice</t>
  </si>
  <si>
    <t>Food</t>
  </si>
  <si>
    <t>Wine</t>
  </si>
  <si>
    <t>Honey</t>
  </si>
  <si>
    <t>Bee Skep</t>
  </si>
  <si>
    <t>Bee Larvae</t>
  </si>
  <si>
    <t>Glass Pane</t>
  </si>
  <si>
    <t>Quicksilver</t>
  </si>
  <si>
    <t>Beeswax</t>
  </si>
  <si>
    <t>Curding Tub</t>
  </si>
  <si>
    <t>Quality of Ingredient 1</t>
  </si>
  <si>
    <t>Quality of Ingredient 2</t>
  </si>
  <si>
    <t>Base LP</t>
  </si>
  <si>
    <t>Mental Weight</t>
  </si>
  <si>
    <t>Alchemy</t>
  </si>
  <si>
    <t>Pottery</t>
  </si>
  <si>
    <t>Tailor</t>
  </si>
  <si>
    <t>Potter's Wheel</t>
  </si>
  <si>
    <t>Clay x35</t>
  </si>
  <si>
    <t>Bar of Common Metal x6</t>
  </si>
  <si>
    <t>Stack Furnance</t>
  </si>
  <si>
    <t>Mulch</t>
  </si>
  <si>
    <t>Compost Bin</t>
  </si>
  <si>
    <t>Glass Pane Frame</t>
  </si>
  <si>
    <t>Hardened Leather</t>
  </si>
  <si>
    <t>Gardenpot (10)
 Earth
 Water
 Plant (8)</t>
  </si>
  <si>
    <t>Cave Clay
 Lye
 Saltwater
 Cauldron
 Water</t>
  </si>
  <si>
    <t>Ball Clay x6
 Brick
 Flint
 Quartz
 Raw Glass</t>
  </si>
  <si>
    <t>Bone Ash x5
 Feldspar
 Soap OR Pit Clay</t>
  </si>
  <si>
    <t>Bone
 Acre
 Gray Clays
 Brick</t>
  </si>
  <si>
    <t>Ash (2)
 Cauldron
 Water</t>
  </si>
  <si>
    <t>Sand
 Lye</t>
  </si>
  <si>
    <t>Cinnabar (2)
 Smelter
 Fuel</t>
  </si>
  <si>
    <t>Water
 Bark or Exquisite Rot</t>
  </si>
  <si>
    <t>Leather
 Wax
 Cauldron
 Water</t>
  </si>
  <si>
    <t>Untanned Rot
 Fluid
 Tub</t>
  </si>
  <si>
    <t>Bone Material
 Intestines
 Entrails
 Vinegar
 Cauldron
 Water</t>
  </si>
  <si>
    <t>Honey
 Cauldron
 Water</t>
  </si>
  <si>
    <t>Compost Bin
Swill</t>
  </si>
  <si>
    <t>Hide 
Tanning Tub 
Tanning Fluid</t>
  </si>
  <si>
    <t>Board ×6
 Block of Wood ×2
 Bone Glue ×2</t>
  </si>
  <si>
    <t>Block of Wood x2
 Board x2
 Straw x10
 Bee Larvae x3</t>
  </si>
  <si>
    <t>Brick x30
 Board x4
 Block of Wood x2
 Stone x5</t>
  </si>
  <si>
    <t>Board x4
 Block of Wood x2</t>
  </si>
  <si>
    <t>Bar of Hard Metal ×3
 Board ×2
 Block of Wood ×2</t>
  </si>
  <si>
    <t>Bar of Copper ×6
 Bar of Any Metal ×4</t>
  </si>
  <si>
    <t>Board x6
 Block of Wood x5
 Bone Glue x2</t>
  </si>
  <si>
    <t>Block of Wood x12
 Board x6</t>
  </si>
  <si>
    <t>Tree Bough x2
 Branch x5
 String x2</t>
  </si>
  <si>
    <t>Board of Wood x4
 Block of Wood x2</t>
  </si>
  <si>
    <t>Board x6
 Block of Wood x8
 Stone x5
 Clay x10
 Rope x1</t>
  </si>
  <si>
    <t>Casting x10
 Hard Metal Bar x5</t>
  </si>
  <si>
    <t>Stone x35
 Clay x50</t>
  </si>
  <si>
    <t>Clay x15
 Stonex10
 Board x2
 Block x4
 Leather x2</t>
  </si>
  <si>
    <t>Board x4
 Block of Wood x6</t>
  </si>
  <si>
    <t>Block of Wood x20
 Board x10
 Branch x15
 String x20</t>
  </si>
  <si>
    <t>Block of Wood x5
 Board x4
 String x4</t>
  </si>
  <si>
    <t>Bone ×1
 Branch ×1</t>
  </si>
  <si>
    <t>Stone ×1
 Branch ×1</t>
  </si>
  <si>
    <t>Casting Material ×5
 Bar of Common Metal ×2</t>
  </si>
  <si>
    <t>Flint ×1
 Branch ×1</t>
  </si>
  <si>
    <t>Obsidian ×1
 Branch ×1</t>
  </si>
  <si>
    <t>Bough ×2
 String ×8</t>
  </si>
  <si>
    <t>Leather ×1
 String ×1</t>
  </si>
  <si>
    <t>Branch ×1
 Bone ×1</t>
  </si>
  <si>
    <t>Casting Material x5
 Bar of Hard Metal</t>
  </si>
  <si>
    <t>Hard Metal Bar ×2
 Block of Wood ×1</t>
  </si>
  <si>
    <t>Block of Wood ×3
 Board ×2</t>
  </si>
  <si>
    <t>Swill</t>
  </si>
  <si>
    <t>Any Crop</t>
  </si>
  <si>
    <t>Beeswax / Bee Larvae</t>
  </si>
  <si>
    <t>Bee Skep, Crop</t>
  </si>
  <si>
    <t>Requirements</t>
  </si>
  <si>
    <t>Study Time (Real Time)</t>
  </si>
  <si>
    <t>Experience Cost</t>
  </si>
  <si>
    <t>LP/Weight</t>
  </si>
  <si>
    <t>A Talking Whale</t>
  </si>
  <si>
    <t>Fishing</t>
  </si>
  <si>
    <t>Adder Fang</t>
  </si>
  <si>
    <t>Amber</t>
  </si>
  <si>
    <t>Jewelry</t>
  </si>
  <si>
    <t>Mining</t>
  </si>
  <si>
    <t>Ambergris</t>
  </si>
  <si>
    <t>Foraging</t>
  </si>
  <si>
    <t>Amethyst</t>
  </si>
  <si>
    <t>An Old Boot</t>
  </si>
  <si>
    <t>Ancient Tooth</t>
  </si>
  <si>
    <t>Beaver</t>
  </si>
  <si>
    <t>Ant Empress</t>
  </si>
  <si>
    <t>Ant Farm</t>
  </si>
  <si>
    <t>Ant Queen</t>
  </si>
  <si>
    <t>Ant Queen's Wings</t>
  </si>
  <si>
    <t>Ant Hill Dungeon</t>
  </si>
  <si>
    <t>Ant Soldiers</t>
  </si>
  <si>
    <t>Ant Wing</t>
  </si>
  <si>
    <t>Arrow-Shattered Arrow</t>
  </si>
  <si>
    <t>Stone Arrow</t>
  </si>
  <si>
    <t>Bone Arrow</t>
  </si>
  <si>
    <t>Metal Arrow</t>
  </si>
  <si>
    <t>Aurochs Hair</t>
  </si>
  <si>
    <t>Animal Husbandry</t>
  </si>
  <si>
    <t>Aurochs</t>
  </si>
  <si>
    <t>Badger Hair</t>
  </si>
  <si>
    <t>Badger Sett</t>
  </si>
  <si>
    <t>Bar of Soap</t>
  </si>
  <si>
    <t>Rendered Animal Fat</t>
  </si>
  <si>
    <t>Barkboat</t>
  </si>
  <si>
    <t>Branch</t>
  </si>
  <si>
    <t>String</t>
  </si>
  <si>
    <t>Barkboat-in-a-Bottle</t>
  </si>
  <si>
    <t>Cork</t>
  </si>
  <si>
    <t>Bat Claw</t>
  </si>
  <si>
    <t>Bat Fang</t>
  </si>
  <si>
    <t>Bat Wings</t>
  </si>
  <si>
    <t>Sharp Tool</t>
  </si>
  <si>
    <t>Batwing Necklace</t>
  </si>
  <si>
    <t>Bear Tooth</t>
  </si>
  <si>
    <t>Bear</t>
  </si>
  <si>
    <t>Beast Unborn</t>
  </si>
  <si>
    <t>Beautiful Ice Sheet</t>
  </si>
  <si>
    <t>Beaver Tail</t>
  </si>
  <si>
    <t>Beaver Teeth</t>
  </si>
  <si>
    <t>Bee Queen's Wings</t>
  </si>
  <si>
    <t>Beehive Dungeon</t>
  </si>
  <si>
    <t>Bee Wings</t>
  </si>
  <si>
    <t>Billygoat Horn</t>
  </si>
  <si>
    <t>Blacksmith's Bauble</t>
  </si>
  <si>
    <t>Metal Working</t>
  </si>
  <si>
    <t>Smithy's Hammer</t>
  </si>
  <si>
    <t>Cat Gold</t>
  </si>
  <si>
    <t>Boar Tusk</t>
  </si>
  <si>
    <t>Boar</t>
  </si>
  <si>
    <t>Bog Turtle Shell</t>
  </si>
  <si>
    <t>Cleaned Bog Turtle</t>
  </si>
  <si>
    <t>Boreworm Beak</t>
  </si>
  <si>
    <t>Boreworm</t>
  </si>
  <si>
    <t>Bouquet of Flowers</t>
  </si>
  <si>
    <t>Brimstone Butterfly</t>
  </si>
  <si>
    <t>Bronze Steed</t>
  </si>
  <si>
    <t>Bug Collection</t>
  </si>
  <si>
    <t>Block of Wood</t>
  </si>
  <si>
    <t>Bullfinch Feather</t>
  </si>
  <si>
    <t>Cachalot Blowhole</t>
  </si>
  <si>
    <t>Cachalot</t>
  </si>
  <si>
    <t>Boulder</t>
  </si>
  <si>
    <t>Dust Pile</t>
  </si>
  <si>
    <t>Cattail Head</t>
  </si>
  <si>
    <t>Cave Angler Light</t>
  </si>
  <si>
    <t>Cave Angler</t>
  </si>
  <si>
    <t>Cave Angler Scales</t>
  </si>
  <si>
    <t>Cave Battery</t>
  </si>
  <si>
    <t>Cave Centipede</t>
  </si>
  <si>
    <t>Cave Coral</t>
  </si>
  <si>
    <t>Cave Lantern</t>
  </si>
  <si>
    <t>Cave Louse Chitin</t>
  </si>
  <si>
    <t>Cave Louse</t>
  </si>
  <si>
    <t>Cave Moth</t>
  </si>
  <si>
    <t>Cave Slime</t>
  </si>
  <si>
    <t>Green Ooze</t>
  </si>
  <si>
    <t>Cavedust</t>
  </si>
  <si>
    <t>Caverat Whiskers</t>
  </si>
  <si>
    <t>Caverat</t>
  </si>
  <si>
    <t>Chewed Fibre</t>
  </si>
  <si>
    <t>Cigar</t>
  </si>
  <si>
    <t>A Beautiful Dream!</t>
  </si>
  <si>
    <t>Cigar Box</t>
  </si>
  <si>
    <t>Wax</t>
  </si>
  <si>
    <t>Clay Cuckoo</t>
  </si>
  <si>
    <t>Coltsfoot</t>
  </si>
  <si>
    <t>Common Starfish</t>
  </si>
  <si>
    <t>Cone Cow</t>
  </si>
  <si>
    <t>Wilderness Survival</t>
  </si>
  <si>
    <t>Corndolly Lantern</t>
  </si>
  <si>
    <t>Baking</t>
  </si>
  <si>
    <t>Crab Claw</t>
  </si>
  <si>
    <t>Crab</t>
  </si>
  <si>
    <t>Crabshell Sunfeather</t>
  </si>
  <si>
    <t>Crude Idol</t>
  </si>
  <si>
    <t>Cruel Bee Stinger</t>
  </si>
  <si>
    <t>Cruel Splinter</t>
  </si>
  <si>
    <t>Lumberjacking</t>
  </si>
  <si>
    <t>Log</t>
  </si>
  <si>
    <t>Crying Red Onion</t>
  </si>
  <si>
    <t>Crying Yellow Onion</t>
  </si>
  <si>
    <t>Curious Needle</t>
  </si>
  <si>
    <t>Dark Effigy</t>
  </si>
  <si>
    <t>Rage</t>
  </si>
  <si>
    <t>Dark Heart</t>
  </si>
  <si>
    <t>Death's Head Chrysalis</t>
  </si>
  <si>
    <t>Silkworm</t>
  </si>
  <si>
    <t>Deep Sea Atavism</t>
  </si>
  <si>
    <t>Bone Material</t>
  </si>
  <si>
    <t>Flipper Bones</t>
  </si>
  <si>
    <t>Diamond</t>
  </si>
  <si>
    <t>Dice</t>
  </si>
  <si>
    <t>Disgusting Tapeworm</t>
  </si>
  <si>
    <t>Divination in Lead</t>
  </si>
  <si>
    <t>Divination in Tin</t>
  </si>
  <si>
    <t>Dust Jewel</t>
  </si>
  <si>
    <t>Eagle Owl Eye</t>
  </si>
  <si>
    <t>Eagle Owl Feather</t>
  </si>
  <si>
    <t>Easter Egg (Blue)</t>
  </si>
  <si>
    <t>Chicken Egg</t>
  </si>
  <si>
    <t>Easter Egg (Green)</t>
  </si>
  <si>
    <t>Easter Egg (Pink)</t>
  </si>
  <si>
    <t>Easter Egg (Red)</t>
  </si>
  <si>
    <t>Elven Lights</t>
  </si>
  <si>
    <t>Emerald</t>
  </si>
  <si>
    <t>Emerald Dragonfly</t>
  </si>
  <si>
    <t>Dragonfly</t>
  </si>
  <si>
    <t>Enthroned Toad</t>
  </si>
  <si>
    <t>Toad</t>
  </si>
  <si>
    <t>Everglowing Ember</t>
  </si>
  <si>
    <t>Board</t>
  </si>
  <si>
    <t>Feather Duster</t>
  </si>
  <si>
    <t>Feather Sunfeather</t>
  </si>
  <si>
    <t>Feather Trinket</t>
  </si>
  <si>
    <t>Firefly</t>
  </si>
  <si>
    <t>Fishy Eyeball</t>
  </si>
  <si>
    <t>Fish</t>
  </si>
  <si>
    <t>Grey Seal</t>
  </si>
  <si>
    <t>Forest Lizard</t>
  </si>
  <si>
    <t>Leaf Pile</t>
  </si>
  <si>
    <t>Fossil Collection</t>
  </si>
  <si>
    <t>Petrified Seashell</t>
  </si>
  <si>
    <t>Foul Smoke</t>
  </si>
  <si>
    <t>Abyssal Chasm</t>
  </si>
  <si>
    <t>Foxfire</t>
  </si>
  <si>
    <t>Fox Hole</t>
  </si>
  <si>
    <t>Frogspawn</t>
  </si>
  <si>
    <t>Fulgurite</t>
  </si>
  <si>
    <t>Garefowl Feather</t>
  </si>
  <si>
    <t>Garefowl</t>
  </si>
  <si>
    <t>Gemdust</t>
  </si>
  <si>
    <t>Ghost Apple</t>
  </si>
  <si>
    <t>Ghostpipe (seed)</t>
  </si>
  <si>
    <t>Ghostpipe</t>
  </si>
  <si>
    <t>Glue Troll</t>
  </si>
  <si>
    <t>Straw</t>
  </si>
  <si>
    <t>Gold Egg</t>
  </si>
  <si>
    <t>Hen</t>
  </si>
  <si>
    <t>Golden Cat</t>
  </si>
  <si>
    <t>Golden Eagle Feather</t>
  </si>
  <si>
    <t>Golden Eagle Talon</t>
  </si>
  <si>
    <t>Golden Tooth</t>
  </si>
  <si>
    <t>Gooseneck Barnacle</t>
  </si>
  <si>
    <t>Grand Haruspex</t>
  </si>
  <si>
    <t>Great Wax Seal</t>
  </si>
  <si>
    <t>Grotesque Tumor</t>
  </si>
  <si>
    <t>Hand Impression</t>
  </si>
  <si>
    <t>Unfired Hand Impression</t>
  </si>
  <si>
    <t>Hedgehog Quills</t>
  </si>
  <si>
    <t>Hopped-up Cone Cow</t>
  </si>
  <si>
    <t>Unusually Large Hop Cone</t>
  </si>
  <si>
    <t>Horrible Knot</t>
  </si>
  <si>
    <t>Horrid Love Dart</t>
  </si>
  <si>
    <t>Chasm Conch</t>
  </si>
  <si>
    <t>Irrlight</t>
  </si>
  <si>
    <t>Itsy Bitsy Spider</t>
  </si>
  <si>
    <t>Itsy Bitsy Weaver</t>
  </si>
  <si>
    <t>Itsy Bitsy's Web</t>
  </si>
  <si>
    <t>Ivory Figurine</t>
  </si>
  <si>
    <t>Mammoth Tusk</t>
  </si>
  <si>
    <t>Jade</t>
  </si>
  <si>
    <t>Jelly Heart</t>
  </si>
  <si>
    <t>Red Pigment</t>
  </si>
  <si>
    <t>Jellyfish</t>
  </si>
  <si>
    <t>Ladybug</t>
  </si>
  <si>
    <t>Lamp Stalk</t>
  </si>
  <si>
    <t>Lather</t>
  </si>
  <si>
    <t>Leather Ball</t>
  </si>
  <si>
    <t>Lucky Rabbit's Foot</t>
  </si>
  <si>
    <t>Wolf's Lair</t>
  </si>
  <si>
    <t>Lynx Claws</t>
  </si>
  <si>
    <t>Magnifying Glass</t>
  </si>
  <si>
    <t>Magpie Feather</t>
  </si>
  <si>
    <t>Magpie's Thieving Claw</t>
  </si>
  <si>
    <t>Mallard Feather</t>
  </si>
  <si>
    <t>Miniature Volcano</t>
  </si>
  <si>
    <t>Mirkwood Offering</t>
  </si>
  <si>
    <t>The Will to Power</t>
  </si>
  <si>
    <t>Block of Mirkwood</t>
  </si>
  <si>
    <t>Mole's Pawbone</t>
  </si>
  <si>
    <t>Mole</t>
  </si>
  <si>
    <t>Monarch Butterfly</t>
  </si>
  <si>
    <t>Moonmoth</t>
  </si>
  <si>
    <t>Moonstone</t>
  </si>
  <si>
    <t>Moose Antlers</t>
  </si>
  <si>
    <t>Mother of Pearl</t>
  </si>
  <si>
    <t>Nine-Tails</t>
  </si>
  <si>
    <t>Squirrel Tail</t>
  </si>
  <si>
    <t>Notes of a Foul Symphony</t>
  </si>
  <si>
    <t>Great Cave Organ</t>
  </si>
  <si>
    <t>Oak Apple</t>
  </si>
  <si>
    <t>Oak Spire</t>
  </si>
  <si>
    <t>Odd Honeycomb</t>
  </si>
  <si>
    <t>Odd Tuber</t>
  </si>
  <si>
    <t>Wooden Shovel</t>
  </si>
  <si>
    <t>Olive Branch</t>
  </si>
  <si>
    <t>Onion Braid</t>
  </si>
  <si>
    <t>Onyx</t>
  </si>
  <si>
    <t>Opal</t>
  </si>
  <si>
    <t>Opium Dragon</t>
  </si>
  <si>
    <t>Opium</t>
  </si>
  <si>
    <t>Orca Brain</t>
  </si>
  <si>
    <t>Orca</t>
  </si>
  <si>
    <t>Ouroboros</t>
  </si>
  <si>
    <t>Oyster Pearl</t>
  </si>
  <si>
    <t>Pelican Feather</t>
  </si>
  <si>
    <t>Perfect Autumn Leaf</t>
  </si>
  <si>
    <t>Petraglyph</t>
  </si>
  <si>
    <t>Pickaxe</t>
  </si>
  <si>
    <t>Plush Bat</t>
  </si>
  <si>
    <t>Poppy Flower</t>
  </si>
  <si>
    <t>Poppycaps</t>
  </si>
  <si>
    <t>Porcelain Doll</t>
  </si>
  <si>
    <t>Potent Rod</t>
  </si>
  <si>
    <t>Precious Snowflake</t>
  </si>
  <si>
    <t>Primitive Doll</t>
  </si>
  <si>
    <t>Prism</t>
  </si>
  <si>
    <t>Ptarmigan Feather</t>
  </si>
  <si>
    <t>Quail Feather</t>
  </si>
  <si>
    <t>Quicksilver Globe</t>
  </si>
  <si>
    <t>Rainbow Shell</t>
  </si>
  <si>
    <t>Rattle-Tattle-Talisman</t>
  </si>
  <si>
    <t>Red Coral</t>
  </si>
  <si>
    <t>Red Deer Antlers</t>
  </si>
  <si>
    <t>Red Deer</t>
  </si>
  <si>
    <t>Reed Ship</t>
  </si>
  <si>
    <t>Reed Ship-in-a-Bottle</t>
  </si>
  <si>
    <t>Reindeer Antlers</t>
  </si>
  <si>
    <t>River Pearl</t>
  </si>
  <si>
    <t>Rock Dove Feather</t>
  </si>
  <si>
    <t>Roe Deer Antlers</t>
  </si>
  <si>
    <t>Roe Deer</t>
  </si>
  <si>
    <t>Roeboat-in-a-Bottle</t>
  </si>
  <si>
    <t>Ruby</t>
  </si>
  <si>
    <t>Ruby Dragonfly</t>
  </si>
  <si>
    <t>Sand Castle</t>
  </si>
  <si>
    <t>Sapphire</t>
  </si>
  <si>
    <t>Scarab Talisman</t>
  </si>
  <si>
    <t>Scent Gland</t>
  </si>
  <si>
    <t>Wolverine</t>
  </si>
  <si>
    <t>Scratch-Marked Bark</t>
  </si>
  <si>
    <t>Seagull Feather</t>
  </si>
  <si>
    <t>Seahorse</t>
  </si>
  <si>
    <t>Seasponge</t>
  </si>
  <si>
    <t>Seer's Bones</t>
  </si>
  <si>
    <t>Seer's Bowl</t>
  </si>
  <si>
    <t>Seer's Spindle</t>
  </si>
  <si>
    <t>Seer's Stones</t>
  </si>
  <si>
    <t>Seer's Tealeaves</t>
  </si>
  <si>
    <t>Shiny Marbles</t>
  </si>
  <si>
    <t>Silken Ribbon</t>
  </si>
  <si>
    <t>Silk Cloth</t>
  </si>
  <si>
    <t>Silver Rose</t>
  </si>
  <si>
    <t>Sleighbell</t>
  </si>
  <si>
    <t>Slinky</t>
  </si>
  <si>
    <t>Sly Ear of the Fox</t>
  </si>
  <si>
    <t>Snow Globe</t>
  </si>
  <si>
    <t>Snow</t>
  </si>
  <si>
    <t>Snowball</t>
  </si>
  <si>
    <t>Sour Grapes</t>
  </si>
  <si>
    <t>Spinning Top</t>
  </si>
  <si>
    <t>Spired Forest Conch</t>
  </si>
  <si>
    <t>Escargots d'Amour</t>
  </si>
  <si>
    <t>Sponge</t>
  </si>
  <si>
    <t>Herbalist Table</t>
  </si>
  <si>
    <t>Springtime Bumblebee</t>
  </si>
  <si>
    <t>Stag Beetle</t>
  </si>
  <si>
    <t>Stained Glass Heart</t>
  </si>
  <si>
    <t>Green Pigment</t>
  </si>
  <si>
    <t>Blue Pigment</t>
  </si>
  <si>
    <t>Stalagoomba</t>
  </si>
  <si>
    <t>Still Life</t>
  </si>
  <si>
    <t>Strange Crystal</t>
  </si>
  <si>
    <t>Strange Root</t>
  </si>
  <si>
    <t>Tinker's Throwing Axe</t>
  </si>
  <si>
    <t>Straw Doll</t>
  </si>
  <si>
    <t>Stuffed Bear</t>
  </si>
  <si>
    <t>Sugar Diamond</t>
  </si>
  <si>
    <t>Swan Feather</t>
  </si>
  <si>
    <t>Tafl Board</t>
  </si>
  <si>
    <t>Tar Doll</t>
  </si>
  <si>
    <t>The Bee That Stung</t>
  </si>
  <si>
    <t>The Other Old Boot</t>
  </si>
  <si>
    <t>The Perfect Hole</t>
  </si>
  <si>
    <t>Tin Warrior</t>
  </si>
  <si>
    <t>Tiny Abacus</t>
  </si>
  <si>
    <t>Toadflax</t>
  </si>
  <si>
    <t>Topaz</t>
  </si>
  <si>
    <t>Toy Chariot</t>
  </si>
  <si>
    <t>Troll Hair</t>
  </si>
  <si>
    <t>Troll</t>
  </si>
  <si>
    <t>Troll Skull</t>
  </si>
  <si>
    <t>Troll Tusks</t>
  </si>
  <si>
    <t>Troll's Third Eye</t>
  </si>
  <si>
    <t>Tuft of Squirrel's Finest Hair</t>
  </si>
  <si>
    <t>Squirrel Cache</t>
  </si>
  <si>
    <t>Turquoise</t>
  </si>
  <si>
    <t>Uncrushed Husk</t>
  </si>
  <si>
    <t>Völva's Wand</t>
  </si>
  <si>
    <t>Walrus Tusk</t>
  </si>
  <si>
    <t>Walrus</t>
  </si>
  <si>
    <t>Washed-up Bladderwrack</t>
  </si>
  <si>
    <t>Waterstrider</t>
  </si>
  <si>
    <t>Weird Beetroot</t>
  </si>
  <si>
    <t>Whale Barnacles</t>
  </si>
  <si>
    <t>Whalebone Scrimshaw</t>
  </si>
  <si>
    <t>Hvalraf</t>
  </si>
  <si>
    <t>Whirling Snowflake</t>
  </si>
  <si>
    <t>Wicked Claw</t>
  </si>
  <si>
    <t>Lobster</t>
  </si>
  <si>
    <t>Wildgoat Horn</t>
  </si>
  <si>
    <t>Wildgoat</t>
  </si>
  <si>
    <t>Wintergreen</t>
  </si>
  <si>
    <t>Wishbone</t>
  </si>
  <si>
    <t>Cleaned Quail</t>
  </si>
  <si>
    <t>Wolf's Claw</t>
  </si>
  <si>
    <t>Wondrous Woodshaving</t>
  </si>
  <si>
    <t>Wood Grouse Feather</t>
  </si>
  <si>
    <t>Wood Incorrupt</t>
  </si>
  <si>
    <t>Woodworm</t>
  </si>
  <si>
    <t>Worm-Eaten Apple</t>
  </si>
  <si>
    <t>Yule Cracker</t>
  </si>
  <si>
    <t>Yule Star</t>
  </si>
  <si>
    <t>Yule Wreath</t>
  </si>
  <si>
    <t>NA</t>
  </si>
  <si>
    <t>Royal Ant, 
Giant Ant x2, 
Glass Pane x2 , 
Sand x2</t>
  </si>
  <si>
    <t>Glass Jug x1, 
Cork x1,
Bark Boat</t>
  </si>
  <si>
    <t>Stone Arrow or 
Bone Arrow</t>
  </si>
  <si>
    <t>Birch Bark, 
String, 
Branch</t>
  </si>
  <si>
    <t>LP</t>
  </si>
  <si>
    <t>LP/HR</t>
  </si>
  <si>
    <t>LP/Exp</t>
  </si>
  <si>
    <t>Dried Batwings x 8, 
String</t>
  </si>
  <si>
    <t>Cloth,
String x2,
Flower x6</t>
  </si>
  <si>
    <t>Bug x6,
Block of Wood x2</t>
  </si>
  <si>
    <t>Cavebulb,
Nugget of Any Metal x2</t>
  </si>
  <si>
    <t>Cured Pipeweed x4, A Beautiful Dream!, String</t>
  </si>
  <si>
    <t>Cigar x4, Block of Wood, Wax, Parchment</t>
  </si>
  <si>
    <t>Fine Clay x2, Water (0.3L), Kiln, Fuel</t>
  </si>
  <si>
    <t>Straw x3 (or grass)</t>
  </si>
  <si>
    <t>Feldspar, Gneiss, Clay</t>
  </si>
  <si>
    <t>Yellow Onion</t>
  </si>
  <si>
    <t>Garden Pot, 
Soil, 
Water, 
Chiming Bluebell</t>
  </si>
  <si>
    <t>Garden Pot, 
Soil, 
Water, 
Dandelion</t>
  </si>
  <si>
    <t>Mandrake Root,
Hide Strap x6,
Ashes 2kg</t>
  </si>
  <si>
    <t>Crab Shell x3, 
String x2, 
Sandstone</t>
  </si>
  <si>
    <t>Bread x2, 
Berry x2, 
Fruit x2</t>
  </si>
  <si>
    <t>Conifer Cone, 
Branch x4</t>
  </si>
  <si>
    <t>Bone Material x3,
Adder Fang x2,
Flipper Bones</t>
  </si>
  <si>
    <t>Bone Material,
Ashes x20</t>
  </si>
  <si>
    <t>Lead Nugget x2,
A Beautiful Dream!,
Cauldron,
Water</t>
  </si>
  <si>
    <t>Tin Nugget x2,
A Beautiful Dream!,
Cauldron,
Water</t>
  </si>
  <si>
    <t>Chicken Egg,
Any Pigment 0.25L</t>
  </si>
  <si>
    <t>Toad,
Royal Toadstool,
Frog's Crown,
A Beautiful Dream!</t>
  </si>
  <si>
    <t>Wood or Board,
Tar Kiln</t>
  </si>
  <si>
    <t>Feather x5,
String,
Block of Wood</t>
  </si>
  <si>
    <t>Feather x4,
String,
Stone</t>
  </si>
  <si>
    <t>Feather x2,
String,
Stone</t>
  </si>
  <si>
    <t>Petrified Seashell x6,
Bone x4,
Block of Wood x2</t>
  </si>
  <si>
    <t>Petrified Seashell,
Cat Gold x3,
Cavedust x200 (2kg)</t>
  </si>
  <si>
    <t>Bone Glue x2,
Straw x2</t>
  </si>
  <si>
    <t>Cat Gold x8,
Cave Slime x300,
Porphyry x2,
Smithy's Hammer,
Anvil</t>
  </si>
  <si>
    <t>Entrails x8,
Intestines x4,
A Beautiful Dream! X2</t>
  </si>
  <si>
    <t>Wax x3,
Cloth</t>
  </si>
  <si>
    <t>Clay x4,
 Water x20 (0.2L),
Cauldron,
Water</t>
  </si>
  <si>
    <t>Unusually Large Hop Cone,
Branch x4</t>
  </si>
  <si>
    <t>Stinging Nettle,
Spindly Taproot,
String x6</t>
  </si>
  <si>
    <t>Dexterity, Sewing, Lore</t>
  </si>
  <si>
    <t>Dexterity, Carpentry, Lore</t>
  </si>
  <si>
    <t>Gelatin x350, 
Red Pigment x10,
Cauldron,
Water</t>
  </si>
  <si>
    <t>Bar of Soap,
Water</t>
  </si>
  <si>
    <t>Leather x4,
String x4</t>
  </si>
  <si>
    <t>Dexterity, Sewing</t>
  </si>
  <si>
    <t>Garden Pot, 
Soil, 
Water, 
Lupine</t>
  </si>
  <si>
    <t>Bar of Tin,
Glass Pane x2</t>
  </si>
  <si>
    <t>Block of Mirkwood,
Tree or Bush Seed,
Entrails</t>
  </si>
  <si>
    <t>Lava Rock x2,
Lava x25</t>
  </si>
  <si>
    <t>Squirrel Tail x9,
String</t>
  </si>
  <si>
    <t>Oak Block x2,
Quartz x2</t>
  </si>
  <si>
    <t>Onion x6,
String x2</t>
  </si>
  <si>
    <t>Poppy,
 Herbalist Table,  
Cauldron, 
Water</t>
  </si>
  <si>
    <t>Adder Hide x3,
Entrails x3,
Intestines,
A Beautiful Dream!</t>
  </si>
  <si>
    <t>Petrified Seashell,
Stone,
Cavedust x10</t>
  </si>
  <si>
    <t>Intelligence, Masonry, Lore</t>
  </si>
  <si>
    <t>Bat Hide,
Bat Wings x2,
Wool,
String</t>
  </si>
  <si>
    <t>Dexterity, Sewing, Stealth, Lore</t>
  </si>
  <si>
    <t>Dexterity, Sewing, Masonry, Lore</t>
  </si>
  <si>
    <t>Bone Clay x2,
Cloth,
String</t>
  </si>
  <si>
    <t>Intelligence, Will, Lore</t>
  </si>
  <si>
    <t>Glass,
Prepared Animal Hide x2</t>
  </si>
  <si>
    <t>Block of Wood x2,
Stone x2,
String x2,
Bone,
Ashes x10</t>
  </si>
  <si>
    <t>Perception, Masonry, Lore</t>
  </si>
  <si>
    <t>Glass x3</t>
  </si>
  <si>
    <t>Dexterity, Smithing, Lore</t>
  </si>
  <si>
    <t>Glass,
Quicksilver x20</t>
  </si>
  <si>
    <t>Psyche, Sewing, Lore</t>
  </si>
  <si>
    <t>Bone x2,
String x2,
Stone x2,
Leather</t>
  </si>
  <si>
    <t>Intelligence, Survival</t>
  </si>
  <si>
    <t>Reeds x2,
String</t>
  </si>
  <si>
    <t>Glass Jug,
Cork,
Reed Ship</t>
  </si>
  <si>
    <t>Glass Jug,
Cork,
Roeboat</t>
  </si>
  <si>
    <t>Intelligence, Masonry</t>
  </si>
  <si>
    <t>Sand x4,
Bone Glue</t>
  </si>
  <si>
    <t>Psyche, Will, Lore</t>
  </si>
  <si>
    <t>Basalt,
Chitin Powder x20</t>
  </si>
  <si>
    <t>Psyche, Lore</t>
  </si>
  <si>
    <t>Bone x5,
A Beautiful Dream!</t>
  </si>
  <si>
    <t>Psyche, Smithing, Lore</t>
  </si>
  <si>
    <t>Copper Nugget x6,
A Beautiful Dream!,
Smithy's Hammer,
Anvil</t>
  </si>
  <si>
    <t>Wool x2,
Block of Wood,
A Beautiful Dream!</t>
  </si>
  <si>
    <t>Psyche, Masonry, Lore</t>
  </si>
  <si>
    <t>Stone x5,
Cloth,
A Beautiful Dream!</t>
  </si>
  <si>
    <t>Psyche, Cooking, Lore</t>
  </si>
  <si>
    <t>Black Tea Leaves, 
Green Tea Leaves, 
Fresh Tea Leaves x2, 
A Beautiful Dream!</t>
  </si>
  <si>
    <t>Glass x2,
Clay x2,
Any Pigment x30</t>
  </si>
  <si>
    <t>Dexterity, Masonry, Lore</t>
  </si>
  <si>
    <t>Psyche, Sewing</t>
  </si>
  <si>
    <t>Silk Cloth,
String</t>
  </si>
  <si>
    <t>Stength, Psyche, Smithing</t>
  </si>
  <si>
    <t>Goldbeater's Skin,
Silver Nugget x3</t>
  </si>
  <si>
    <t>Garden Pot, 
Soil, 
Water, 
Heartsease</t>
  </si>
  <si>
    <t>Steel Nugget x6,
Smithy and Anvil</t>
  </si>
  <si>
    <t>Strength, Smithing</t>
  </si>
  <si>
    <t>Glass,
Nugget of Any Metal x2,
Snow x3</t>
  </si>
  <si>
    <t>Snow x2</t>
  </si>
  <si>
    <t>Block of Wood,
Wood Polish</t>
  </si>
  <si>
    <t>Escargots d'Amour, or
Onioned Escargot</t>
  </si>
  <si>
    <t>Garden Pot, 
Soil, 
Water, 
Stalagoom</t>
  </si>
  <si>
    <t>Prepared Animal Hide,
Bone x2</t>
  </si>
  <si>
    <t>Dexterity, Farming, Lore</t>
  </si>
  <si>
    <t>Straw x4,
String x2</t>
  </si>
  <si>
    <t>Bear Hide,
Wool x4,
String</t>
  </si>
  <si>
    <t>Intelligence, Carpentry</t>
  </si>
  <si>
    <t>Board x2,
Dolomite x2,
Basalt x4</t>
  </si>
  <si>
    <t>Garden Pot, 
Soil, 
Water, 
Tansy</t>
  </si>
  <si>
    <t>Tin Nugget x8</t>
  </si>
  <si>
    <t>Tin Nugget x3,
Nugget of Hard Metal,
Block of Wood x2,
Board</t>
  </si>
  <si>
    <t>Acre Clay,
Pottery Wheel,
Kiln,
Fuel</t>
  </si>
  <si>
    <t>Branch x4,
Bone Glue,
Tar x100</t>
  </si>
  <si>
    <t>Red Pigment 0.1kg, 
Green Pigment 0.1kg, 
Blue Pigment 0.1kg, 
Glass x3, 
Bar of Copper x2, 
Smithy and Anvil</t>
  </si>
  <si>
    <t>Garden Pot, 
Soil, 
Water, 
Lady's Mantle</t>
  </si>
  <si>
    <t>Garden Pot, 
Soil, 
Water, 
Uncommon Snapdragon</t>
  </si>
  <si>
    <t>Wheat, Barley, or Millet</t>
  </si>
  <si>
    <t>Unfired Hand Impression, 
Kiln,
Fuel</t>
  </si>
  <si>
    <t>Bar of Cast Iron x3, 
Bar of Bronze, 
A Beautiful Dream! x2,
Smithy and Anvil</t>
  </si>
  <si>
    <t>Strength, Psyche, Smithing</t>
  </si>
  <si>
    <t>Beetroot</t>
  </si>
  <si>
    <t>Board (when sawing from log)</t>
  </si>
  <si>
    <t>Mulch Quality</t>
  </si>
  <si>
    <t>Mirkwood Log</t>
  </si>
  <si>
    <t>Silken Ribbon, 
Spruce Bough x2, 
Hollyberries x2, 
Decent-sized Conifer Cone x2</t>
  </si>
  <si>
    <t>Quality of Ingredient 3</t>
  </si>
  <si>
    <t>Quality of Ingredient 4</t>
  </si>
  <si>
    <t>Quality of Ingredient 5</t>
  </si>
  <si>
    <t>Damage</t>
  </si>
  <si>
    <t>Armor Penetration</t>
  </si>
  <si>
    <t>Equip Slots</t>
  </si>
  <si>
    <t>Range</t>
  </si>
  <si>
    <t>Battleaxe of the Twelfth Bay</t>
  </si>
  <si>
    <t>5L and 5R</t>
  </si>
  <si>
    <t>Boar Spear</t>
  </si>
  <si>
    <t>Bronze Sword</t>
  </si>
  <si>
    <t>5L or 5R</t>
  </si>
  <si>
    <t>Butcher's Cleaver</t>
  </si>
  <si>
    <t>Cutblade</t>
  </si>
  <si>
    <t>Cutthroat Knuckles</t>
  </si>
  <si>
    <t>4L</t>
  </si>
  <si>
    <t>Fyrdsman's Sword</t>
  </si>
  <si>
    <t>Giant Needle</t>
  </si>
  <si>
    <t>Hirdsman's Sword</t>
  </si>
  <si>
    <t>Hunter's Bow</t>
  </si>
  <si>
    <t>Lynx Claw Gloves</t>
  </si>
  <si>
    <t>Ranger's Bow</t>
  </si>
  <si>
    <t>Woodsman's Axe</t>
  </si>
  <si>
    <t>baseDamage</t>
  </si>
  <si>
    <t>Qual of Ing 1</t>
  </si>
  <si>
    <t>Qual of Ing 2</t>
  </si>
  <si>
    <t>Qual of Ing 3</t>
  </si>
  <si>
    <t>String x5,
Prepared Animal Hide x2</t>
  </si>
  <si>
    <t>Stone,
String,
Branch x2</t>
  </si>
  <si>
    <t>Bone,
String,
Branch x2</t>
  </si>
  <si>
    <t>Any Nugget,
String,
Branch x2,
Smithy and Anvil</t>
  </si>
  <si>
    <t>Leather,
Tree Bough x2,
String x8</t>
  </si>
  <si>
    <t>Yew Bough x2,
Silk Thread x8,
Steel Nugget x4</t>
  </si>
  <si>
    <t>Silk Filament</t>
  </si>
  <si>
    <t>Silk Thread</t>
  </si>
  <si>
    <t>Silk Cocoon</t>
  </si>
  <si>
    <t>Silk Cocoon,
Cauldron,
Water</t>
  </si>
  <si>
    <t>Silk Filament x10,
Branch,
Spinning Wheel</t>
  </si>
  <si>
    <t>Silk Thread x10,
Loom</t>
  </si>
  <si>
    <t>Animal Fat x3,
Cauldron,
Water</t>
  </si>
  <si>
    <t>Highest Tree</t>
  </si>
  <si>
    <t>Highest Livestock</t>
  </si>
  <si>
    <t>Rendered Animal Fat x3, 
Limestone x2, 
Lye 0.05 kg, 
Cauldron,
Water</t>
  </si>
  <si>
    <t>Bat</t>
  </si>
  <si>
    <t>Moose</t>
  </si>
  <si>
    <t>Block of Wood x4,
Board x4,
String x8</t>
  </si>
  <si>
    <t>Brick x35,
Stone x10,
Bar of Hard Metal x3</t>
  </si>
  <si>
    <t>Brick</t>
  </si>
  <si>
    <t>Clay, Kiln, Fuel</t>
  </si>
  <si>
    <t>Molten Glass
 Quicksilver
 Glass Pane Frame</t>
  </si>
  <si>
    <t>Black Pine Tree</t>
  </si>
  <si>
    <t>Cedar Tree</t>
  </si>
  <si>
    <t>Larch Tree</t>
  </si>
  <si>
    <t>Spruce Tree</t>
  </si>
  <si>
    <t>Stone Pine Tree</t>
  </si>
  <si>
    <t>Hemp Cloth</t>
  </si>
  <si>
    <t>Linen Cloth</t>
  </si>
  <si>
    <t>Hemp Fibre, Loom</t>
  </si>
  <si>
    <t>Flax Fibre, Loom</t>
  </si>
  <si>
    <t>Strength, Smithing, Lore</t>
  </si>
  <si>
    <t>Ore(2) 
 Smelter
 Coal</t>
  </si>
  <si>
    <t>Copper,
Tin</t>
  </si>
  <si>
    <t>Wrought Iron,
Coal,
Fuel,
Steel Crucible</t>
  </si>
  <si>
    <t>Steel Crucible</t>
  </si>
  <si>
    <t>Wrought Iron,
Brick x10,
Stone x5</t>
  </si>
  <si>
    <t>Bone (2)
 Kiln
Fuel</t>
  </si>
  <si>
    <t>Mead Must / Mead</t>
  </si>
  <si>
    <t>Apples,
Extraction Press</t>
  </si>
  <si>
    <t>Applejuice / Cider</t>
  </si>
  <si>
    <t>Pearjuice / Perry</t>
  </si>
  <si>
    <t>Pears,
Extraction Press</t>
  </si>
  <si>
    <t>Grapes,
Extraction Press</t>
  </si>
  <si>
    <t>Bough</t>
  </si>
  <si>
    <t>Willow Weep</t>
  </si>
  <si>
    <t>Column2</t>
  </si>
  <si>
    <t>Acacia Tree</t>
  </si>
  <si>
    <t>Alder Tree</t>
  </si>
  <si>
    <t>Almond Tree</t>
  </si>
  <si>
    <t>Ash Tree</t>
  </si>
  <si>
    <t>Aspen Tree</t>
  </si>
  <si>
    <t>Bay Willow Tree</t>
  </si>
  <si>
    <t>Birdcherry Tree</t>
  </si>
  <si>
    <t>Black Poplar Tree</t>
  </si>
  <si>
    <t>Buckthorn Tree</t>
  </si>
  <si>
    <t>Carob Tree</t>
  </si>
  <si>
    <t>Charred Tree</t>
  </si>
  <si>
    <t>Chaste Tree</t>
  </si>
  <si>
    <t>Cherry Tree</t>
  </si>
  <si>
    <t>Chestnut Tree</t>
  </si>
  <si>
    <t>Conker Tree</t>
  </si>
  <si>
    <t>Crabapple Tree</t>
  </si>
  <si>
    <t>Cypress Tree</t>
  </si>
  <si>
    <t>Dogwood Tree</t>
  </si>
  <si>
    <t>Dwarf Pine</t>
  </si>
  <si>
    <t>Fig Tree</t>
  </si>
  <si>
    <t>Gloomcap</t>
  </si>
  <si>
    <t>Gnome's Cap</t>
  </si>
  <si>
    <t>Goldenchain Tree</t>
  </si>
  <si>
    <t>Gray Alder Tree</t>
  </si>
  <si>
    <t>Green Apple Tree</t>
  </si>
  <si>
    <t>Hornbeam Tree</t>
  </si>
  <si>
    <t>Juniper Tree</t>
  </si>
  <si>
    <t>King's Oak Tree</t>
  </si>
  <si>
    <t>Lemon Tree</t>
  </si>
  <si>
    <t>Linden Tree</t>
  </si>
  <si>
    <t>Lote Tree</t>
  </si>
  <si>
    <t>Mayflower Tree</t>
  </si>
  <si>
    <t>Medlar Tree</t>
  </si>
  <si>
    <t>Mound Tree</t>
  </si>
  <si>
    <t>Orange Tree</t>
  </si>
  <si>
    <t>Osier Tree</t>
  </si>
  <si>
    <t>Pear Tree</t>
  </si>
  <si>
    <t>Persimmon Tree</t>
  </si>
  <si>
    <t>Plum Tree</t>
  </si>
  <si>
    <t>Poplar Tree</t>
  </si>
  <si>
    <t>Quince Tree</t>
  </si>
  <si>
    <t>Rowan Tree</t>
  </si>
  <si>
    <t>Sallow Tree</t>
  </si>
  <si>
    <t>Silver Fir Tree</t>
  </si>
  <si>
    <t>Sorb Tree</t>
  </si>
  <si>
    <t>Sweetgum Tree</t>
  </si>
  <si>
    <t>Sycamore Tree</t>
  </si>
  <si>
    <t>Tamarisk Tree</t>
  </si>
  <si>
    <t>Terebinth Tree</t>
  </si>
  <si>
    <t>Towercap</t>
  </si>
  <si>
    <t>Tree Heath Tree</t>
  </si>
  <si>
    <t>Trumpet Chantrelle</t>
  </si>
  <si>
    <t>Walnut Tree</t>
  </si>
  <si>
    <t>Warty Birch Tree</t>
  </si>
  <si>
    <t>Whitebeam Tree</t>
  </si>
  <si>
    <t>Wood Strawberry Tree</t>
  </si>
  <si>
    <t>Wych Elm Tree</t>
  </si>
  <si>
    <t>Zelkova Tree</t>
  </si>
  <si>
    <t>Arrowwood Bush</t>
  </si>
  <si>
    <t>Bittersweet Nightshade Bush</t>
  </si>
  <si>
    <t>Blackberry Bush</t>
  </si>
  <si>
    <t>Blackcurrant Bush</t>
  </si>
  <si>
    <t>Blackthorn Bush</t>
  </si>
  <si>
    <t>Bog-Myrtle Bush</t>
  </si>
  <si>
    <t>Boxwood Bush</t>
  </si>
  <si>
    <t>Caprifole Bush</t>
  </si>
  <si>
    <t>Cave Fern</t>
  </si>
  <si>
    <t>Crampbark Bush</t>
  </si>
  <si>
    <t>Dog Rose Bush</t>
  </si>
  <si>
    <t>Elderberry Bush</t>
  </si>
  <si>
    <t>Fly Woodbine Bush</t>
  </si>
  <si>
    <t>Gooseberry Bush</t>
  </si>
  <si>
    <t>Gorse Bush</t>
  </si>
  <si>
    <t>Hawthorn Bush</t>
  </si>
  <si>
    <t>Hoarwithy Bush</t>
  </si>
  <si>
    <t>Holly Bush</t>
  </si>
  <si>
    <t>Mastic Bush</t>
  </si>
  <si>
    <t>Raspberry Bush</t>
  </si>
  <si>
    <t>Redcurrant Bush</t>
  </si>
  <si>
    <t>Sandthorn Bush</t>
  </si>
  <si>
    <t>Spindle Bush</t>
  </si>
  <si>
    <t>Tea Bush</t>
  </si>
  <si>
    <t>Tibast Bush</t>
  </si>
  <si>
    <t>Tundra Rose Bush</t>
  </si>
  <si>
    <t>Witherstand</t>
  </si>
  <si>
    <t>Bush</t>
  </si>
  <si>
    <t>Smoke Shed</t>
  </si>
  <si>
    <t>Board x12,
Block of Wood x4,
Thatching Material x6,
Brick x10</t>
  </si>
  <si>
    <t>Board of Wood</t>
  </si>
  <si>
    <t>Log,
Saw</t>
  </si>
  <si>
    <t>Building</t>
  </si>
  <si>
    <t>Rope</t>
  </si>
  <si>
    <t>String,
Ropewalk</t>
  </si>
  <si>
    <t>Spice</t>
  </si>
  <si>
    <t>Tuber</t>
  </si>
  <si>
    <t>String, Bud, Veg. Oil</t>
  </si>
  <si>
    <t>Beer</t>
  </si>
  <si>
    <t>Leaf</t>
  </si>
  <si>
    <t>Onion</t>
  </si>
  <si>
    <t>Opium, Flowers</t>
  </si>
  <si>
    <t>Milk</t>
  </si>
  <si>
    <t>Feather, Egg</t>
  </si>
  <si>
    <t>Milk, Wool</t>
  </si>
  <si>
    <t>Nature, Tree</t>
  </si>
  <si>
    <t>Tea</t>
  </si>
  <si>
    <t>Curio</t>
  </si>
  <si>
    <t>Lemon</t>
  </si>
  <si>
    <t>Apple</t>
  </si>
  <si>
    <t>Nuts</t>
  </si>
  <si>
    <t>Birchbark</t>
  </si>
  <si>
    <t>Apple?</t>
  </si>
  <si>
    <t>Sap, Leaf</t>
  </si>
  <si>
    <t>Blue!</t>
  </si>
  <si>
    <t>Olives</t>
  </si>
  <si>
    <t>Yew Bough x2
 Silk Thread x8
 Steel Nugget x4</t>
  </si>
  <si>
    <t>Finery Forge</t>
  </si>
  <si>
    <t>Notes from the author:</t>
  </si>
  <si>
    <t>Comments</t>
  </si>
  <si>
    <t>Wood,
TarKiln</t>
  </si>
  <si>
    <t>Axe</t>
  </si>
  <si>
    <t>Saw</t>
  </si>
  <si>
    <t>Cauldron+Water</t>
  </si>
  <si>
    <t>Complete Curio Catalog</t>
  </si>
  <si>
    <t>Adder</t>
  </si>
  <si>
    <t>Ants</t>
  </si>
  <si>
    <t>Badger</t>
  </si>
  <si>
    <t>Bog Turtle</t>
  </si>
  <si>
    <t>Bullfinch</t>
  </si>
  <si>
    <t>Bullfinch Hen</t>
  </si>
  <si>
    <t>Cock</t>
  </si>
  <si>
    <t>Dryad</t>
  </si>
  <si>
    <t>Eagle Owl</t>
  </si>
  <si>
    <t>Forest Snail</t>
  </si>
  <si>
    <t>Fox</t>
  </si>
  <si>
    <t>Frog</t>
  </si>
  <si>
    <t>Golden Eagle</t>
  </si>
  <si>
    <t>Grasshopper</t>
  </si>
  <si>
    <t>Grub</t>
  </si>
  <si>
    <t>Hedgehog</t>
  </si>
  <si>
    <t>Leech</t>
  </si>
  <si>
    <t>Lynx</t>
  </si>
  <si>
    <t>Magpie (Bird)</t>
  </si>
  <si>
    <t>Mallard Drake</t>
  </si>
  <si>
    <t>Mallard Hen</t>
  </si>
  <si>
    <t>Mammoth</t>
  </si>
  <si>
    <t>Nidbane</t>
  </si>
  <si>
    <t>Otter</t>
  </si>
  <si>
    <t>Pelican</t>
  </si>
  <si>
    <t>Ptarmigan</t>
  </si>
  <si>
    <t>Quail</t>
  </si>
  <si>
    <t>Rat</t>
  </si>
  <si>
    <t>Rock Dove</t>
  </si>
  <si>
    <t>Rock Dove Squab</t>
  </si>
  <si>
    <t>Sand Flea</t>
  </si>
  <si>
    <t>Seagull</t>
  </si>
  <si>
    <t>Squirrel</t>
  </si>
  <si>
    <t>Stoat</t>
  </si>
  <si>
    <t>Swan</t>
  </si>
  <si>
    <t>Tame Reindeer</t>
  </si>
  <si>
    <t>Tick</t>
  </si>
  <si>
    <t>Treant</t>
  </si>
  <si>
    <t>Wild horse</t>
  </si>
  <si>
    <t>Wolf</t>
  </si>
  <si>
    <t>Wood Grouse Cock</t>
  </si>
  <si>
    <t>Wood Grouse Hen</t>
  </si>
  <si>
    <t>Animals</t>
  </si>
  <si>
    <t>Fuel (branches)</t>
  </si>
  <si>
    <t>Top 16 Curios</t>
  </si>
  <si>
    <t>Clay x10,
Potter's Wheel,
Kiln,
Branch</t>
  </si>
  <si>
    <t>Clay x10,
Potters Wheel,
Kiln,
Fuel</t>
  </si>
  <si>
    <t>Highest Clay</t>
  </si>
  <si>
    <t>Beige Pigment</t>
  </si>
  <si>
    <t>Black Pigment</t>
  </si>
  <si>
    <t>Ashes (0.20 kg), Solid Fat</t>
  </si>
  <si>
    <t>Blueberries, Bone Glue</t>
  </si>
  <si>
    <t>Brown Pigment</t>
  </si>
  <si>
    <t>Soil ×2, Tanning Fluid (0.10 L)</t>
  </si>
  <si>
    <t>Gray Pigment</t>
  </si>
  <si>
    <t>Ashes (0.10 kg), Quicksilver (0.10 L)</t>
  </si>
  <si>
    <t>Fresh Pipeweed Leaf, Bone Glue</t>
  </si>
  <si>
    <t>Lime Pigment</t>
  </si>
  <si>
    <t>Olivine, Salt Water (0.10 L)</t>
  </si>
  <si>
    <t>Orange Pigment</t>
  </si>
  <si>
    <t>Pumpkin Flesh ×3, Tar (0.10 L)</t>
  </si>
  <si>
    <t>Pink Pigment</t>
  </si>
  <si>
    <t>Red Pigment (0.10 kg), White Pigment (0.10 kg)</t>
  </si>
  <si>
    <t>Purple Pigment</t>
  </si>
  <si>
    <t>Cinnabar ×2, Chicken Egg</t>
  </si>
  <si>
    <t>Poppy Flower ×2, Beetroot</t>
  </si>
  <si>
    <t>Teal Pigment</t>
  </si>
  <si>
    <t>Zincspar, Vinegar (0.10 L)</t>
  </si>
  <si>
    <t>Turquoise Pigment</t>
  </si>
  <si>
    <t>Dross, Chicken Egg</t>
  </si>
  <si>
    <t>White Pigment</t>
  </si>
  <si>
    <t>Limestone, Vegetable Oil (0.10 L)</t>
  </si>
  <si>
    <t>Yellow Pigment</t>
  </si>
  <si>
    <t>Bittersweet Nightshade Berries, Bone Glue ×2</t>
  </si>
  <si>
    <t>Treebark ×2, 
Mastic Fruit</t>
  </si>
  <si>
    <t>Highest Straw</t>
  </si>
  <si>
    <t>Homestead,
Potential Max:</t>
  </si>
  <si>
    <t>Homestead</t>
  </si>
  <si>
    <t>Dream Catcher</t>
  </si>
  <si>
    <t>Bough x4,
String x2</t>
  </si>
  <si>
    <t>Board,
Tar Kiln</t>
  </si>
  <si>
    <t>Clay x2,
Potters Wheel,
Kiln,
Fuel</t>
  </si>
  <si>
    <t>Hard Metal</t>
  </si>
  <si>
    <t>Common Metal</t>
  </si>
  <si>
    <t>Brick x30, 
Bar of Cast Iron x2, 
Hard Metal x3</t>
  </si>
  <si>
    <t>Study Time (Hourly)</t>
  </si>
  <si>
    <t>How many in study desk per day</t>
  </si>
  <si>
    <t>Remaining</t>
  </si>
  <si>
    <t>Seedcrisp Flatbread,
Oven</t>
  </si>
  <si>
    <t>Bronze</t>
  </si>
  <si>
    <t>Steel</t>
  </si>
  <si>
    <t>Meteoric Iron</t>
  </si>
  <si>
    <t>Lead</t>
  </si>
  <si>
    <t>Copper</t>
  </si>
  <si>
    <t>Tin</t>
  </si>
  <si>
    <t>Cast Iron</t>
  </si>
  <si>
    <t>Wrought Iron</t>
  </si>
  <si>
    <r>
      <rPr>
        <b/>
        <sz val="14"/>
        <color theme="1"/>
        <rFont val="Aptos Narrow"/>
        <family val="2"/>
        <scheme val="minor"/>
      </rPr>
      <t xml:space="preserve">Only change values highlighted in yellow. </t>
    </r>
    <r>
      <rPr>
        <sz val="11"/>
        <color theme="1"/>
        <rFont val="Aptos Narrow"/>
        <family val="2"/>
        <scheme val="minor"/>
      </rPr>
      <t xml:space="preserve">
1) This should primarily be on the current page ("Input").
2) Check out effects on other pages as it updates. "Potential Quality" is what the next quality can be with the new inputs
3) You can always play around with theoretical items. Most important part is it's effect on curios/food to see what new item may give best FEP/LP
4) feel free to send me any comments/suggestions, especially on the format. This is kind of a scrapbook dumping ChatGPT generated tables here</t>
    </r>
  </si>
  <si>
    <t>Nature, 
Potter Credo:</t>
  </si>
  <si>
    <t>Nature
Potter Credo:</t>
  </si>
  <si>
    <t>Fine Feather Brooch</t>
  </si>
  <si>
    <t>Coade Clay, Oak Spire</t>
  </si>
  <si>
    <t>Salt</t>
  </si>
  <si>
    <t>Taft Board, Scarab Talisman</t>
  </si>
  <si>
    <t>Taft Board</t>
  </si>
  <si>
    <t>Bone Clay, Crude Idol</t>
  </si>
  <si>
    <t>Smithy and Anvil,
Bronze</t>
  </si>
  <si>
    <t>Wrought Iron x2,
Block of Wood,
Bone Glue</t>
  </si>
  <si>
    <t>Casting Material</t>
  </si>
  <si>
    <t>Anvil+Hammer</t>
  </si>
  <si>
    <t>Anvil and Hammer,
Bloom (Cast Iron)</t>
  </si>
  <si>
    <t>Armor</t>
  </si>
  <si>
    <t>Soft Soak</t>
  </si>
  <si>
    <t>Hard Soak</t>
  </si>
  <si>
    <t>Slot</t>
  </si>
  <si>
    <t>Armored Striders</t>
  </si>
  <si>
    <t>10R</t>
  </si>
  <si>
    <t>Badger Hide Vest</t>
  </si>
  <si>
    <t>3L; 3R</t>
  </si>
  <si>
    <t>Bat Wing</t>
  </si>
  <si>
    <t>10L</t>
  </si>
  <si>
    <t>Beaver Wrist Guards</t>
  </si>
  <si>
    <t>Boar Tusk Helmet</t>
  </si>
  <si>
    <t>1L</t>
  </si>
  <si>
    <t>Bone Greaves</t>
  </si>
  <si>
    <t>9R</t>
  </si>
  <si>
    <t>Boreworm Mask</t>
  </si>
  <si>
    <t>1R and 2R</t>
  </si>
  <si>
    <t>Bronze Helm</t>
  </si>
  <si>
    <t>Bronze Plate</t>
  </si>
  <si>
    <t>3R</t>
  </si>
  <si>
    <t>Chainmail Shirt</t>
  </si>
  <si>
    <t>Chitin Helmet</t>
  </si>
  <si>
    <t>Cutthroat Cuirass</t>
  </si>
  <si>
    <t>Dragon Helm</t>
  </si>
  <si>
    <t>Druid's Helm</t>
  </si>
  <si>
    <t>Grand Troll Helm</t>
  </si>
  <si>
    <t>Hirdsman's Helmet</t>
  </si>
  <si>
    <t>Horse Nomad's Helm</t>
  </si>
  <si>
    <t>Leather Armor</t>
  </si>
  <si>
    <t>Leather Boots</t>
  </si>
  <si>
    <t>Leather Pants</t>
  </si>
  <si>
    <t>Mammoth Guard</t>
  </si>
  <si>
    <t>Miner's Helm</t>
  </si>
  <si>
    <t>Plate Armor</t>
  </si>
  <si>
    <t>Plate Boots</t>
  </si>
  <si>
    <t>Plate Gauntlets</t>
  </si>
  <si>
    <t>Plate Greaves</t>
  </si>
  <si>
    <t>Plate Helmet</t>
  </si>
  <si>
    <t>Raider's Cap</t>
  </si>
  <si>
    <t>Ranger's Boots</t>
  </si>
  <si>
    <t>Thane's Helm</t>
  </si>
  <si>
    <t>Turtleshell Helmet</t>
  </si>
  <si>
    <t>Vapntreyiu</t>
  </si>
  <si>
    <t>3L; 8L</t>
  </si>
  <si>
    <t>Whaler's Jacket</t>
  </si>
  <si>
    <t>Winged Helmet</t>
  </si>
  <si>
    <t>Wooden Roundshield</t>
  </si>
  <si>
    <t>Woodland Cuirass</t>
  </si>
  <si>
    <t>Woodland Greaves</t>
  </si>
  <si>
    <t>Anvil + Hammer
Hard Metal x2
Hardened Leather</t>
  </si>
  <si>
    <t>Badger Hide
String</t>
  </si>
  <si>
    <t>Bat Hide x4
Bat Wings x2
String x2</t>
  </si>
  <si>
    <t>baseHitPoints</t>
  </si>
  <si>
    <t>baseSoft Soak</t>
  </si>
  <si>
    <t>baseHard Soak</t>
  </si>
  <si>
    <t>baseAgility</t>
  </si>
  <si>
    <t>Beaver Hide x2
Wax x2
Leather x2
String x2</t>
  </si>
  <si>
    <t>Boar Tusk x2
Leather x2
String</t>
  </si>
  <si>
    <t>Finebone x2
Bone Material x4
Hide Strap x4
Bone Glue x2
Leather</t>
  </si>
  <si>
    <t>Boreworm Beak
String x2</t>
  </si>
  <si>
    <t>Anvil + Hammer
Leather
Bronze x2</t>
  </si>
  <si>
    <t>Anvil + Hammer
Bronze x6
Leather x2</t>
  </si>
  <si>
    <t>Anvil + Hammer
Wrought Iron</t>
  </si>
  <si>
    <t>Crab Shell x3
Crab Claw x2
String x3</t>
  </si>
  <si>
    <t>Hardened Leather x8
String x4</t>
  </si>
  <si>
    <t>Anvil + Hammer
Steel x2
Gold Nugget x4
Silver Nugget x3,
Bronze Nugget x4</t>
  </si>
  <si>
    <t>Anvil + Hammer
Wrought Iron x3
Red Deer Antlers</t>
  </si>
  <si>
    <t>Anvil + Hammer
Troll Skull
Steel bar x4</t>
  </si>
  <si>
    <t>Anvil + Hammer
Wrought Iron
Block of Wood</t>
  </si>
  <si>
    <t>Horse Hide
Wool x4
Bone Glue
Hardened Leather x2
Hide Strap x4</t>
  </si>
  <si>
    <t>Leather x8
String x4</t>
  </si>
  <si>
    <t>Leather x3
String</t>
  </si>
  <si>
    <t>Leather x4
String x2</t>
  </si>
  <si>
    <t>Hardened Leather x12
Mammoth Hide x2
Mammoth Tusk</t>
  </si>
  <si>
    <t>Anvil + Hammer
Hard Metal x2
Leather</t>
  </si>
  <si>
    <t>Anvil + Hammer
Steel x6
Leather x2</t>
  </si>
  <si>
    <t>Anvil + Hammer
Steel x2
Leather</t>
  </si>
  <si>
    <t>Anvil + Hammer
Steel x2
Leather x2</t>
  </si>
  <si>
    <t>Anvil + Hammer
Steel x4
Leather x2</t>
  </si>
  <si>
    <t>Anvil + Hammer
Steel x2</t>
  </si>
  <si>
    <t>Hardened Leather x4
Hard Metal</t>
  </si>
  <si>
    <t>Leather x4
Silk Thread x4
Hardened Leather x2</t>
  </si>
  <si>
    <t>Gildable?</t>
  </si>
  <si>
    <t>No</t>
  </si>
  <si>
    <t>Yes</t>
  </si>
  <si>
    <t>Anvil + Hammer
Steel x2
Bronze</t>
  </si>
  <si>
    <t>Bog Turtle Shell
String
Sand</t>
  </si>
  <si>
    <t>Cloth x5
Wool x5
String x2</t>
  </si>
  <si>
    <t>Hardened Leather x4
Hvalraf x3
Whale Bone Material</t>
  </si>
  <si>
    <t>Anvil + Hammer
Wrought Iron
Copper
Fine Feather x6</t>
  </si>
  <si>
    <t>Board x2
Leather x2</t>
  </si>
  <si>
    <t>Block of Wood x6
String x4
Bone Glue</t>
  </si>
  <si>
    <t>Block of Wood x4
String x2
Bone Glue</t>
  </si>
  <si>
    <t>Qual of Ing 4</t>
  </si>
  <si>
    <t>Wear</t>
  </si>
  <si>
    <t>Armor, Curios</t>
  </si>
  <si>
    <t>Curios</t>
  </si>
  <si>
    <t>Clothing</t>
  </si>
  <si>
    <t>Slime</t>
  </si>
  <si>
    <t>Bug</t>
  </si>
  <si>
    <t>Ant Farm, Curios</t>
  </si>
  <si>
    <t>Qual of Ing 5</t>
  </si>
  <si>
    <t>Skills Required</t>
  </si>
  <si>
    <t>Strength, Masonry</t>
  </si>
  <si>
    <t>Highest String</t>
  </si>
  <si>
    <t>Finebone</t>
  </si>
  <si>
    <t>Armor, Curios, Finebone</t>
  </si>
  <si>
    <t>Calculations and Info</t>
  </si>
  <si>
    <t>Armor, Curios, Food, Finebone</t>
  </si>
  <si>
    <t>Food, Finebone</t>
  </si>
  <si>
    <t>Clothing, Finebone</t>
  </si>
  <si>
    <t>Tail</t>
  </si>
  <si>
    <t>Anvil + Hammer
Hard Metal</t>
  </si>
  <si>
    <t>Anvil + Hammer
Any Metal</t>
  </si>
  <si>
    <t>Anvil + Hammer,
Hard Metal,
Block of Wood x3</t>
  </si>
  <si>
    <t>Anvil + Hammer,
Bar of Hard Metal,
Bough</t>
  </si>
  <si>
    <t>Anvil + Hammer,
Hard Metal Bar ×1
 Branch ×1</t>
  </si>
  <si>
    <t>Casting Material ×5
Common Metal ×2</t>
  </si>
  <si>
    <t>Casting Material ×5
Common Metal ×3</t>
  </si>
  <si>
    <t xml:space="preserve">Linen Cloth  </t>
  </si>
  <si>
    <t xml:space="preserve">Metal Bar  </t>
  </si>
  <si>
    <t xml:space="preserve">Clay  </t>
  </si>
  <si>
    <t xml:space="preserve">Bone Clay  </t>
  </si>
  <si>
    <t xml:space="preserve">Silk Cloth  </t>
  </si>
  <si>
    <t xml:space="preserve">Whitemetal Bar  </t>
  </si>
  <si>
    <t xml:space="preserve">Block of Wood  </t>
  </si>
  <si>
    <t xml:space="preserve">Birch Bark  </t>
  </si>
  <si>
    <t xml:space="preserve">Hemp Cloth  </t>
  </si>
  <si>
    <t xml:space="preserve">Leaf  </t>
  </si>
  <si>
    <t xml:space="preserve">Leather  </t>
  </si>
  <si>
    <t xml:space="preserve">Wicker  </t>
  </si>
  <si>
    <t xml:space="preserve">Glass  </t>
  </si>
  <si>
    <t xml:space="preserve">Wool Cloth  </t>
  </si>
  <si>
    <t xml:space="preserve">Antler   
Bone  </t>
  </si>
  <si>
    <t xml:space="preserve">Metal Bar   
Board  </t>
  </si>
  <si>
    <t xml:space="preserve">Cast Iron   
Block of Wood  </t>
  </si>
  <si>
    <t xml:space="preserve">Rope  
 Board  </t>
  </si>
  <si>
    <t xml:space="preserve">Horn   Bone  </t>
  </si>
  <si>
    <t xml:space="preserve">Metal Bar   Board  </t>
  </si>
  <si>
    <t xml:space="preserve">Metal Bar   Block of Wood  </t>
  </si>
  <si>
    <t xml:space="preserve">Metal Bar   Peppercorn  </t>
  </si>
  <si>
    <t xml:space="preserve">Metal Bar   Block of Wood   Peppercorn  </t>
  </si>
  <si>
    <t xml:space="preserve">Silver Nugget   Board  </t>
  </si>
  <si>
    <t xml:space="preserve">Silver Nugget   River Pearl  </t>
  </si>
  <si>
    <t xml:space="preserve">Skull   Bone  </t>
  </si>
  <si>
    <t xml:space="preserve">Leather   String  </t>
  </si>
  <si>
    <t xml:space="preserve">Crystal   Glass  </t>
  </si>
  <si>
    <t xml:space="preserve">Clay   Metal Bar  </t>
  </si>
  <si>
    <t xml:space="preserve">Turtle Shell   Bone  </t>
  </si>
  <si>
    <t xml:space="preserve">Block of Wood   Board  </t>
  </si>
  <si>
    <t xml:space="preserve">Straw  Bone  </t>
  </si>
  <si>
    <t xml:space="preserve">Feather  String  </t>
  </si>
  <si>
    <t xml:space="preserve">Hop Flower  String  </t>
  </si>
  <si>
    <t xml:space="preserve">Poppy Flower  String  </t>
  </si>
  <si>
    <t xml:space="preserve">Copper Bar   
Block of Wood  </t>
  </si>
  <si>
    <t xml:space="preserve">Nautilus Shell   
Gold Nugget  </t>
  </si>
  <si>
    <t xml:space="preserve">Gold Nugget   
Board  </t>
  </si>
  <si>
    <t xml:space="preserve">Gold Nugget  
Board  </t>
  </si>
  <si>
    <t xml:space="preserve">Gold Nugget   
Block of Wood   Board  </t>
  </si>
  <si>
    <t>HitPoints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</si>
</sst>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24.75"/>
      <color rgb="FF000000"/>
      <name val="Georgia"/>
      <family val="18"/>
    </font>
    <font>
      <b/>
      <sz val="11"/>
      <color theme="1"/>
      <name val="Aptos Narrow"/>
      <family val="2"/>
      <scheme val="minor"/>
    </font>
    <font>
      <sz val="11"/>
      <color rgb="FFFF0000"/>
      <name val="Aptos Narrow"/>
      <family val="2"/>
      <scheme val="minor"/>
    </font>
    <font>
      <b/>
      <sz val="20"/>
      <color theme="1"/>
      <name val="Aptos Narrow"/>
      <family val="2"/>
      <scheme val="minor"/>
    </font>
    <font>
      <u/>
      <sz val="11"/>
      <color theme="10"/>
      <name val="Aptos Narrow"/>
      <family val="2"/>
      <scheme val="minor"/>
    </font>
    <font>
      <sz val="8"/>
      <name val="Aptos Narrow"/>
      <family val="2"/>
      <scheme val="minor"/>
    </font>
    <font>
      <sz val="12"/>
      <color theme="1"/>
      <name val="Aptos"/>
      <family val="2"/>
    </font>
    <font>
      <sz val="12"/>
      <color rgb="FFFF0000"/>
      <name val="Aptos"/>
      <family val="2"/>
    </font>
    <font>
      <b/>
      <sz val="7"/>
      <color rgb="FF202122"/>
      <name val="Arial"/>
      <family val="2"/>
    </font>
    <font>
      <sz val="7"/>
      <color rgb="FF202122"/>
      <name val="Arial"/>
      <family val="2"/>
    </font>
    <font>
      <b/>
      <sz val="14"/>
      <color theme="1"/>
      <name val="Aptos Narrow"/>
      <family val="2"/>
      <scheme val="minor"/>
    </font>
  </fonts>
  <fills count="12">
    <fill>
      <patternFill patternType="none"/>
    </fill>
    <fill>
      <patternFill patternType="gray125"/>
    </fill>
    <fill>
      <patternFill patternType="solid">
        <fgColor rgb="FFF8F9FA"/>
        <bgColor indexed="64"/>
      </patternFill>
    </fill>
    <fill>
      <patternFill patternType="solid">
        <fgColor theme="1"/>
        <bgColor indexed="64"/>
      </patternFill>
    </fill>
    <fill>
      <patternFill patternType="solid">
        <fgColor theme="0" tint="-0.249977111117893"/>
        <bgColor indexed="64"/>
      </patternFill>
    </fill>
    <fill>
      <patternFill patternType="solid">
        <fgColor rgb="FFEAECF0"/>
        <bgColor indexed="64"/>
      </patternFill>
    </fill>
    <fill>
      <patternFill patternType="solid">
        <fgColor rgb="FFFFFFFF"/>
        <bgColor indexed="64"/>
      </patternFill>
    </fill>
    <fill>
      <patternFill patternType="solid">
        <fgColor rgb="FFEEEEEE"/>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16">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AAAAA"/>
      </left>
      <right style="medium">
        <color rgb="FFA2A9B1"/>
      </right>
      <top style="medium">
        <color rgb="FFAAAAAA"/>
      </top>
      <bottom style="medium">
        <color rgb="FFA2A9B1"/>
      </bottom>
      <diagonal/>
    </border>
    <border>
      <left style="medium">
        <color rgb="FFA2A9B1"/>
      </left>
      <right style="medium">
        <color rgb="FFA2A9B1"/>
      </right>
      <top style="medium">
        <color rgb="FFAAAAAA"/>
      </top>
      <bottom style="medium">
        <color rgb="FFA2A9B1"/>
      </bottom>
      <diagonal/>
    </border>
    <border>
      <left style="medium">
        <color rgb="FFAAAAAA"/>
      </left>
      <right style="medium">
        <color rgb="FFA2A9B1"/>
      </right>
      <top style="medium">
        <color rgb="FFA2A9B1"/>
      </top>
      <bottom style="medium">
        <color rgb="FFA2A9B1"/>
      </bottom>
      <diagonal/>
    </border>
    <border>
      <left style="medium">
        <color rgb="FFA2A9B1"/>
      </left>
      <right style="medium">
        <color rgb="FFAAAAAA"/>
      </right>
      <top style="medium">
        <color rgb="FFA2A9B1"/>
      </top>
      <bottom style="medium">
        <color rgb="FFA2A9B1"/>
      </bottom>
      <diagonal/>
    </border>
    <border>
      <left/>
      <right/>
      <top style="thin">
        <color theme="4" tint="0.39997558519241921"/>
      </top>
      <bottom style="thin">
        <color theme="4" tint="0.39997558519241921"/>
      </bottom>
      <diagonal/>
    </border>
    <border>
      <left style="medium">
        <color rgb="FFAAAAAA"/>
      </left>
      <right style="medium">
        <color rgb="FFA2A9B1"/>
      </right>
      <top style="medium">
        <color rgb="FFA2A9B1"/>
      </top>
      <bottom style="medium">
        <color rgb="FFAAAAAA"/>
      </bottom>
      <diagonal/>
    </border>
    <border>
      <left style="medium">
        <color rgb="FFA2A9B1"/>
      </left>
      <right style="medium">
        <color rgb="FFA2A9B1"/>
      </right>
      <top style="medium">
        <color rgb="FFA2A9B1"/>
      </top>
      <bottom style="medium">
        <color rgb="FFAAAAAA"/>
      </bottom>
      <diagonal/>
    </border>
    <border>
      <left/>
      <right style="medium">
        <color rgb="FFA2A9B1"/>
      </right>
      <top style="medium">
        <color rgb="FFAAAAAA"/>
      </top>
      <bottom style="medium">
        <color rgb="FFA2A9B1"/>
      </bottom>
      <diagonal/>
    </border>
    <border>
      <left/>
      <right style="medium">
        <color rgb="FFA2A9B1"/>
      </right>
      <top style="medium">
        <color rgb="FFA2A9B1"/>
      </top>
      <bottom style="medium">
        <color rgb="FFA2A9B1"/>
      </bottom>
      <diagonal/>
    </border>
    <border>
      <left/>
      <right style="medium">
        <color rgb="FFA2A9B1"/>
      </right>
      <top style="medium">
        <color rgb="FFA2A9B1"/>
      </top>
      <bottom style="medium">
        <color rgb="FFAAAAAA"/>
      </bottom>
      <diagonal/>
    </border>
    <border>
      <left style="thin">
        <color indexed="64"/>
      </left>
      <right style="thin">
        <color indexed="64"/>
      </right>
      <top style="thin">
        <color indexed="64"/>
      </top>
      <bottom style="thin">
        <color indexed="64"/>
      </bottom>
      <diagonal/>
    </border>
    <border>
      <left style="medium">
        <color rgb="FFA2A9B1"/>
      </left>
      <right style="medium">
        <color rgb="FFAAAAAA"/>
      </right>
      <top style="medium">
        <color rgb="FFA2A9B1"/>
      </top>
      <bottom style="medium">
        <color rgb="FFAAAAAA"/>
      </bottom>
      <diagonal/>
    </border>
    <border>
      <left style="medium">
        <color rgb="FFA2A9B1"/>
      </left>
      <right style="medium">
        <color rgb="FFAAAAAA"/>
      </right>
      <top style="medium">
        <color rgb="FFAAAAAA"/>
      </top>
      <bottom style="medium">
        <color rgb="FFA2A9B1"/>
      </bottom>
      <diagonal/>
    </border>
  </borders>
  <cellStyleXfs count="2">
    <xf numFmtId="0" fontId="0" fillId="0" borderId="0"/>
    <xf numFmtId="0" fontId="5" fillId="0" borderId="0" applyNumberFormat="0" applyFill="0" applyBorder="0" applyAlignment="0" applyProtection="0"/>
  </cellStyleXfs>
  <cellXfs count="77">
    <xf numFmtId="0" fontId="0" fillId="0" borderId="0" xfId="0"/>
    <xf numFmtId="0" fontId="0" fillId="2" borderId="0" xfId="0" applyFill="1" applyAlignment="1">
      <alignment wrapText="1"/>
    </xf>
    <xf numFmtId="0" fontId="0" fillId="0" borderId="0" xfId="0" applyAlignment="1">
      <alignment wrapText="1"/>
    </xf>
    <xf numFmtId="0" fontId="2" fillId="0" borderId="0" xfId="0" applyFont="1" applyAlignment="1">
      <alignment wrapText="1"/>
    </xf>
    <xf numFmtId="0" fontId="1" fillId="3" borderId="0" xfId="0" applyFont="1" applyFill="1" applyAlignment="1">
      <alignment wrapText="1"/>
    </xf>
    <xf numFmtId="0" fontId="0" fillId="3" borderId="0" xfId="0" applyFill="1"/>
    <xf numFmtId="0" fontId="0" fillId="3" borderId="0" xfId="0" applyFill="1" applyAlignment="1">
      <alignment wrapText="1"/>
    </xf>
    <xf numFmtId="0" fontId="3" fillId="0" borderId="0" xfId="0" applyFont="1"/>
    <xf numFmtId="0" fontId="4" fillId="4" borderId="0" xfId="0" applyFont="1" applyFill="1" applyAlignment="1">
      <alignment wrapText="1"/>
    </xf>
    <xf numFmtId="0" fontId="0" fillId="4" borderId="0" xfId="0" applyFill="1"/>
    <xf numFmtId="0" fontId="5" fillId="2" borderId="0" xfId="0" applyFont="1" applyFill="1" applyAlignment="1">
      <alignment wrapText="1"/>
    </xf>
    <xf numFmtId="0" fontId="2"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1" fontId="0" fillId="0" borderId="0" xfId="0" applyNumberFormat="1" applyAlignment="1">
      <alignment wrapText="1"/>
    </xf>
    <xf numFmtId="1" fontId="0" fillId="0" borderId="0" xfId="0" applyNumberFormat="1"/>
    <xf numFmtId="1" fontId="3" fillId="0" borderId="0" xfId="0" applyNumberFormat="1" applyFont="1"/>
    <xf numFmtId="1" fontId="0" fillId="0" borderId="0" xfId="0" applyNumberFormat="1" applyAlignment="1">
      <alignment vertical="center" wrapText="1"/>
    </xf>
    <xf numFmtId="0" fontId="7" fillId="0" borderId="0" xfId="0" applyFont="1" applyAlignment="1">
      <alignment wrapText="1"/>
    </xf>
    <xf numFmtId="0" fontId="7" fillId="0" borderId="0" xfId="0" applyFont="1"/>
    <xf numFmtId="0" fontId="8" fillId="0" borderId="0" xfId="0" applyFont="1"/>
    <xf numFmtId="1" fontId="7" fillId="0" borderId="0" xfId="0" applyNumberFormat="1" applyFont="1"/>
    <xf numFmtId="0" fontId="5" fillId="6" borderId="1" xfId="1" applyFill="1" applyBorder="1" applyAlignment="1">
      <alignment vertical="center" wrapText="1"/>
    </xf>
    <xf numFmtId="3" fontId="10" fillId="6" borderId="1" xfId="0" applyNumberFormat="1" applyFont="1" applyFill="1" applyBorder="1" applyAlignment="1">
      <alignment vertical="center" wrapText="1"/>
    </xf>
    <xf numFmtId="0" fontId="10" fillId="6" borderId="1" xfId="0" applyFont="1" applyFill="1" applyBorder="1" applyAlignment="1">
      <alignment vertical="center" wrapText="1"/>
    </xf>
    <xf numFmtId="0" fontId="5" fillId="7" borderId="2" xfId="1" applyFill="1" applyBorder="1" applyAlignment="1">
      <alignment vertical="center" wrapText="1"/>
    </xf>
    <xf numFmtId="3" fontId="10" fillId="7" borderId="2" xfId="0" applyNumberFormat="1" applyFont="1" applyFill="1" applyBorder="1" applyAlignment="1">
      <alignment vertical="center" wrapText="1"/>
    </xf>
    <xf numFmtId="0" fontId="10" fillId="7" borderId="2" xfId="0" applyFont="1" applyFill="1" applyBorder="1" applyAlignment="1">
      <alignment vertical="center" wrapText="1"/>
    </xf>
    <xf numFmtId="0" fontId="5" fillId="6" borderId="2" xfId="1" applyFill="1" applyBorder="1" applyAlignment="1">
      <alignment vertical="center" wrapText="1"/>
    </xf>
    <xf numFmtId="3" fontId="10" fillId="6" borderId="2" xfId="0" applyNumberFormat="1" applyFont="1" applyFill="1" applyBorder="1" applyAlignment="1">
      <alignment vertical="center" wrapText="1"/>
    </xf>
    <xf numFmtId="0" fontId="10" fillId="6" borderId="2" xfId="0" applyFont="1" applyFill="1" applyBorder="1" applyAlignment="1">
      <alignment vertical="center" wrapText="1"/>
    </xf>
    <xf numFmtId="0" fontId="5" fillId="7" borderId="1" xfId="1" applyFill="1" applyBorder="1" applyAlignment="1">
      <alignment vertical="center" wrapText="1"/>
    </xf>
    <xf numFmtId="3" fontId="10" fillId="7" borderId="1" xfId="0" applyNumberFormat="1" applyFont="1" applyFill="1" applyBorder="1" applyAlignment="1">
      <alignment vertical="center" wrapText="1"/>
    </xf>
    <xf numFmtId="0" fontId="10" fillId="7" borderId="1" xfId="0" applyFont="1" applyFill="1" applyBorder="1" applyAlignment="1">
      <alignment vertical="center" wrapText="1"/>
    </xf>
    <xf numFmtId="0" fontId="9" fillId="5" borderId="4" xfId="0" applyFont="1" applyFill="1" applyBorder="1" applyAlignment="1">
      <alignment horizontal="center" vertical="center" wrapText="1"/>
    </xf>
    <xf numFmtId="0" fontId="10" fillId="6" borderId="6" xfId="0" applyFont="1" applyFill="1" applyBorder="1" applyAlignment="1">
      <alignment vertical="center" wrapText="1"/>
    </xf>
    <xf numFmtId="0" fontId="10" fillId="7" borderId="6" xfId="0" applyFont="1" applyFill="1" applyBorder="1" applyAlignment="1">
      <alignment vertical="center" wrapText="1"/>
    </xf>
    <xf numFmtId="0" fontId="10" fillId="7" borderId="0" xfId="0" applyFont="1" applyFill="1" applyAlignment="1">
      <alignment vertical="center" wrapText="1"/>
    </xf>
    <xf numFmtId="0" fontId="10" fillId="6" borderId="0" xfId="0" applyFont="1" applyFill="1" applyAlignment="1">
      <alignment vertical="center" wrapText="1"/>
    </xf>
    <xf numFmtId="0" fontId="10" fillId="6" borderId="1" xfId="0" applyFont="1" applyFill="1" applyBorder="1" applyAlignment="1">
      <alignment horizontal="right" vertical="center" wrapText="1"/>
    </xf>
    <xf numFmtId="0" fontId="10" fillId="7" borderId="1" xfId="0" applyFont="1" applyFill="1" applyBorder="1" applyAlignment="1">
      <alignment horizontal="right" vertical="center" wrapText="1"/>
    </xf>
    <xf numFmtId="0" fontId="9" fillId="5" borderId="3" xfId="0" applyFont="1" applyFill="1" applyBorder="1" applyAlignment="1">
      <alignment horizontal="center" vertical="center" wrapText="1"/>
    </xf>
    <xf numFmtId="0" fontId="5" fillId="6" borderId="5" xfId="1" applyFill="1" applyBorder="1" applyAlignment="1">
      <alignment vertical="center" wrapText="1"/>
    </xf>
    <xf numFmtId="0" fontId="5" fillId="7" borderId="5" xfId="1" applyFill="1" applyBorder="1" applyAlignment="1">
      <alignment vertical="center" wrapText="1"/>
    </xf>
    <xf numFmtId="0" fontId="5" fillId="6" borderId="8" xfId="1" applyFill="1" applyBorder="1" applyAlignment="1">
      <alignment vertical="center" wrapText="1"/>
    </xf>
    <xf numFmtId="0" fontId="10" fillId="6" borderId="9" xfId="0" applyFont="1" applyFill="1" applyBorder="1" applyAlignment="1">
      <alignment horizontal="right" vertical="center" wrapText="1"/>
    </xf>
    <xf numFmtId="0" fontId="10" fillId="6" borderId="9" xfId="0" applyFont="1" applyFill="1" applyBorder="1" applyAlignment="1">
      <alignment vertical="center" wrapText="1"/>
    </xf>
    <xf numFmtId="0" fontId="9" fillId="5" borderId="10" xfId="0" applyFont="1" applyFill="1" applyBorder="1" applyAlignment="1">
      <alignment horizontal="center" vertical="center" wrapText="1"/>
    </xf>
    <xf numFmtId="0" fontId="5" fillId="6" borderId="11" xfId="1" applyFill="1" applyBorder="1" applyAlignment="1">
      <alignment vertical="center" wrapText="1"/>
    </xf>
    <xf numFmtId="0" fontId="5" fillId="7" borderId="11" xfId="1" applyFill="1" applyBorder="1" applyAlignment="1">
      <alignment vertical="center" wrapText="1"/>
    </xf>
    <xf numFmtId="0" fontId="5" fillId="6" borderId="12" xfId="1" applyFill="1" applyBorder="1" applyAlignment="1">
      <alignment vertical="center" wrapText="1"/>
    </xf>
    <xf numFmtId="0" fontId="10" fillId="6" borderId="0" xfId="0" applyFont="1" applyFill="1" applyAlignment="1">
      <alignment horizontal="right" vertical="center" wrapText="1"/>
    </xf>
    <xf numFmtId="0" fontId="10" fillId="7" borderId="0" xfId="0" applyFont="1" applyFill="1" applyAlignment="1">
      <alignment horizontal="right" vertical="center" wrapText="1"/>
    </xf>
    <xf numFmtId="0" fontId="3" fillId="9" borderId="13" xfId="0" applyFont="1" applyFill="1" applyBorder="1"/>
    <xf numFmtId="0" fontId="3" fillId="9" borderId="13" xfId="0" applyFont="1" applyFill="1" applyBorder="1" applyAlignment="1">
      <alignment wrapText="1"/>
    </xf>
    <xf numFmtId="0" fontId="0" fillId="0" borderId="0" xfId="0" applyAlignment="1">
      <alignment vertical="center"/>
    </xf>
    <xf numFmtId="0" fontId="0" fillId="0" borderId="1" xfId="0" applyBorder="1"/>
    <xf numFmtId="2" fontId="0" fillId="0" borderId="0" xfId="0" applyNumberFormat="1"/>
    <xf numFmtId="2" fontId="10" fillId="6" borderId="1" xfId="0" applyNumberFormat="1" applyFont="1" applyFill="1" applyBorder="1" applyAlignment="1">
      <alignment vertical="center" wrapText="1"/>
    </xf>
    <xf numFmtId="2" fontId="10" fillId="7" borderId="2" xfId="0" applyNumberFormat="1" applyFont="1" applyFill="1" applyBorder="1" applyAlignment="1">
      <alignment vertical="center" wrapText="1"/>
    </xf>
    <xf numFmtId="2" fontId="10" fillId="6" borderId="2" xfId="0" applyNumberFormat="1" applyFont="1" applyFill="1" applyBorder="1" applyAlignment="1">
      <alignment vertical="center" wrapText="1"/>
    </xf>
    <xf numFmtId="2" fontId="10" fillId="7" borderId="1" xfId="0" applyNumberFormat="1" applyFont="1" applyFill="1" applyBorder="1" applyAlignment="1">
      <alignment vertical="center" wrapText="1"/>
    </xf>
    <xf numFmtId="3" fontId="10" fillId="7" borderId="0" xfId="0" applyNumberFormat="1" applyFont="1" applyFill="1" applyAlignment="1">
      <alignment vertical="center" wrapText="1"/>
    </xf>
    <xf numFmtId="0" fontId="3" fillId="9" borderId="0" xfId="0" applyFont="1" applyFill="1" applyAlignment="1">
      <alignment vertical="center" wrapText="1"/>
    </xf>
    <xf numFmtId="1" fontId="3" fillId="9" borderId="0" xfId="0" applyNumberFormat="1" applyFont="1" applyFill="1" applyAlignment="1">
      <alignment vertical="center" wrapText="1"/>
    </xf>
    <xf numFmtId="0" fontId="0" fillId="10" borderId="0" xfId="0" applyFill="1"/>
    <xf numFmtId="0" fontId="0" fillId="10" borderId="0" xfId="0" applyFill="1" applyAlignment="1">
      <alignment wrapText="1"/>
    </xf>
    <xf numFmtId="2" fontId="0" fillId="10" borderId="0" xfId="0" applyNumberFormat="1" applyFill="1"/>
    <xf numFmtId="0" fontId="2" fillId="10" borderId="0" xfId="0" applyFont="1" applyFill="1"/>
    <xf numFmtId="0" fontId="7" fillId="8" borderId="7" xfId="0" applyFont="1" applyFill="1" applyBorder="1"/>
    <xf numFmtId="0" fontId="10" fillId="6" borderId="14" xfId="0" applyFont="1" applyFill="1" applyBorder="1" applyAlignment="1">
      <alignment vertical="center" wrapText="1"/>
    </xf>
    <xf numFmtId="0" fontId="9" fillId="5" borderId="0" xfId="0" applyFont="1" applyFill="1" applyAlignment="1">
      <alignment horizontal="center" vertical="center" wrapText="1"/>
    </xf>
    <xf numFmtId="1" fontId="0" fillId="10" borderId="0" xfId="0" applyNumberFormat="1" applyFill="1"/>
    <xf numFmtId="0" fontId="7" fillId="11" borderId="7" xfId="0" applyFont="1" applyFill="1" applyBorder="1"/>
    <xf numFmtId="0" fontId="0" fillId="0" borderId="0" xfId="0" applyAlignment="1">
      <alignment horizontal="left" wrapText="1"/>
    </xf>
    <xf numFmtId="0" fontId="5" fillId="5" borderId="4" xfId="1" applyFill="1" applyBorder="1" applyAlignment="1">
      <alignment horizontal="center" vertical="center" wrapText="1"/>
    </xf>
    <xf numFmtId="0" fontId="5" fillId="5" borderId="15" xfId="1" applyFill="1" applyBorder="1" applyAlignment="1">
      <alignment horizontal="center" vertical="center" wrapText="1"/>
    </xf>
  </cellXfs>
  <cellStyles count="2">
    <cellStyle name="Hyperlink" xfId="1" builtinId="8"/>
    <cellStyle name="Normal" xfId="0" builtinId="0"/>
  </cellStyles>
  <dxfs count="3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dxf>
    <dxf>
      <font>
        <b val="0"/>
        <i val="0"/>
        <strike val="0"/>
        <condense val="0"/>
        <extend val="0"/>
        <outline val="0"/>
        <shadow val="0"/>
        <u val="none"/>
        <vertAlign val="baseline"/>
        <sz val="11"/>
        <color rgb="FFFF0000"/>
        <name val="Aptos Narrow"/>
        <family val="2"/>
        <scheme val="minor"/>
      </font>
    </dxf>
    <dxf>
      <font>
        <b val="0"/>
        <i val="0"/>
        <strike val="0"/>
        <condense val="0"/>
        <extend val="0"/>
        <outline val="0"/>
        <shadow val="0"/>
        <u val="none"/>
        <vertAlign val="baseline"/>
        <sz val="11"/>
        <color rgb="FFFF0000"/>
        <name val="Aptos Narrow"/>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name val="Aptos"/>
        <family val="2"/>
        <scheme val="none"/>
      </font>
    </dxf>
    <dxf>
      <font>
        <strike val="0"/>
        <outline val="0"/>
        <shadow val="0"/>
        <u val="none"/>
        <vertAlign val="baseline"/>
        <sz val="12"/>
        <name val="Aptos"/>
        <family val="2"/>
        <scheme val="none"/>
      </font>
    </dxf>
    <dxf>
      <font>
        <strike val="0"/>
        <outline val="0"/>
        <shadow val="0"/>
        <u val="none"/>
        <vertAlign val="baseline"/>
        <sz val="12"/>
        <name val="Aptos"/>
        <family val="2"/>
        <scheme val="none"/>
      </font>
    </dxf>
    <dxf>
      <font>
        <strike val="0"/>
        <outline val="0"/>
        <shadow val="0"/>
        <u val="none"/>
        <vertAlign val="baseline"/>
        <sz val="12"/>
        <name val="Aptos"/>
        <family val="2"/>
        <scheme val="none"/>
      </font>
    </dxf>
    <dxf>
      <font>
        <strike val="0"/>
        <outline val="0"/>
        <shadow val="0"/>
        <u val="none"/>
        <vertAlign val="baseline"/>
        <sz val="12"/>
        <name val="Aptos"/>
        <family val="2"/>
        <scheme val="none"/>
      </font>
      <numFmt numFmtId="1" formatCode="0"/>
    </dxf>
    <dxf>
      <font>
        <strike val="0"/>
        <outline val="0"/>
        <shadow val="0"/>
        <u val="none"/>
        <vertAlign val="baseline"/>
        <sz val="12"/>
        <name val="Aptos"/>
        <family val="2"/>
        <scheme val="none"/>
      </font>
      <numFmt numFmtId="0" formatCode="General"/>
    </dxf>
    <dxf>
      <font>
        <strike val="0"/>
        <outline val="0"/>
        <shadow val="0"/>
        <u val="none"/>
        <vertAlign val="baseline"/>
        <sz val="12"/>
        <name val="Aptos"/>
        <family val="2"/>
        <scheme val="none"/>
      </font>
      <numFmt numFmtId="0" formatCode="General"/>
    </dxf>
    <dxf>
      <font>
        <strike val="0"/>
        <outline val="0"/>
        <shadow val="0"/>
        <u val="none"/>
        <vertAlign val="baseline"/>
        <sz val="12"/>
        <name val="Aptos"/>
        <family val="2"/>
        <scheme val="none"/>
      </font>
      <alignment horizontal="general" vertical="bottom" textRotation="0" wrapText="1" indent="0" justifyLastLine="0" shrinkToFit="0" readingOrder="0"/>
    </dxf>
    <dxf>
      <font>
        <strike val="0"/>
        <outline val="0"/>
        <shadow val="0"/>
        <u val="none"/>
        <vertAlign val="baseline"/>
        <sz val="12"/>
        <name val="Aptos"/>
        <family val="2"/>
        <scheme val="none"/>
      </font>
    </dxf>
    <dxf>
      <font>
        <strike val="0"/>
        <outline val="0"/>
        <shadow val="0"/>
        <u val="none"/>
        <vertAlign val="baseline"/>
        <sz val="12"/>
        <name val="Aptos"/>
        <family val="2"/>
        <scheme val="none"/>
      </font>
      <alignment horizontal="general" vertical="bottom" textRotation="0" wrapText="1" indent="0" justifyLastLine="0" shrinkToFit="0" readingOrder="0"/>
    </dxf>
    <dxf>
      <font>
        <strike val="0"/>
        <outline val="0"/>
        <shadow val="0"/>
        <u val="none"/>
        <vertAlign val="baseline"/>
        <sz val="12"/>
        <name val="Aptos"/>
        <family val="2"/>
        <scheme val="none"/>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val="0"/>
        <i val="0"/>
        <strike val="0"/>
        <condense val="0"/>
        <extend val="0"/>
        <outline val="0"/>
        <shadow val="0"/>
        <u/>
        <vertAlign val="baseline"/>
        <sz val="11"/>
        <color theme="10"/>
        <name val="Aptos Narrow"/>
        <scheme val="minor"/>
      </font>
      <fill>
        <patternFill patternType="solid">
          <fgColor indexed="64"/>
          <bgColor rgb="FFF8F9FA"/>
        </patternFill>
      </fill>
      <alignment horizontal="general" vertical="bottom" textRotation="0" wrapText="1" indent="0" justifyLastLine="0" shrinkToFit="0" readingOrder="0"/>
    </dxf>
    <dxf>
      <numFmt numFmtId="0" formatCode="General"/>
      <fill>
        <patternFill patternType="solid">
          <fgColor indexed="64"/>
          <bgColor rgb="FFF8F9FA"/>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D04E29-0183-4A5F-B149-C7FA307D7551}" name="Table1" displayName="Table1" ref="A2:I16" totalsRowShown="0">
  <autoFilter ref="A2:I16" xr:uid="{A4D04E29-0183-4A5F-B149-C7FA307D7551}"/>
  <tableColumns count="9">
    <tableColumn id="1" xr3:uid="{BFC42F7F-FE8F-4CE2-AB20-1BB9716AA28E}" name="Attributes"/>
    <tableColumn id="2" xr3:uid="{8F8CBFAB-D71D-4CA7-A997-51B579991E53}" name="Base"/>
    <tableColumn id="3" xr3:uid="{0856983E-D378-4FEC-8282-CD4E9736C91F}" name="Gear" dataDxfId="34">
      <calculatedColumnFormula>Table1[[#This Row],[Base]]*1.7</calculatedColumnFormula>
    </tableColumn>
    <tableColumn id="4" xr3:uid="{35CB8E47-9D0E-49DB-BD90-15AADA112DA7}" name="Abilities" dataDxfId="33"/>
    <tableColumn id="5" xr3:uid="{9B710C8A-C218-46CA-B5B5-F7D38701AC4E}" name="Base "/>
    <tableColumn id="6" xr3:uid="{C9DA7CD6-984D-4A07-AF74-9F13FF161D7C}" name="Gear "/>
    <tableColumn id="7" xr3:uid="{FF00ECA4-0A15-4785-A67C-1354F1277FCA}" name=" "/>
    <tableColumn id="8" xr3:uid="{DB8C3878-6071-4D92-B66B-7A9C37B7EAE8}" name="Tool"/>
    <tableColumn id="9" xr3:uid="{EA6B8BEA-8E08-421E-98B1-648D6F5818BB}" name="Quality"/>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EF2523-355F-4FE2-9CDF-4EAC280B8388}" name="Table2" displayName="Table2" ref="A17:E399" totalsRowShown="0" headerRowDxfId="32" dataDxfId="31">
  <autoFilter ref="A17:E399" xr:uid="{FEEF2523-355F-4FE2-9CDF-4EAC280B8388}">
    <filterColumn colId="0">
      <filters>
        <filter val="Apple Tree"/>
        <filter val="Barley"/>
        <filter val="Basalt"/>
        <filter val="Black Coal"/>
        <filter val="Black Ore"/>
        <filter val="Bloated Bolete"/>
        <filter val="Blood Stern"/>
        <filter val="Bone"/>
        <filter val="Candleberry"/>
        <filter val="Carrot"/>
        <filter val="Cassiterite"/>
        <filter val="Chalcopyrite"/>
        <filter val="Chanterelle"/>
        <filter val="Chert"/>
        <filter val="Chicken"/>
        <filter val="Cork Oak Tree"/>
        <filter val="Corn Grass"/>
        <filter val="Cow"/>
        <filter val="Cucumber"/>
        <filter val="Dandelion"/>
        <filter val="Deer Antler"/>
        <filter val="Dewy Lady's Mantle"/>
        <filter val="Diabase"/>
        <filter val="Diorite"/>
        <filter val="Direvein"/>
        <filter val="Dolomite"/>
        <filter val="Eclogite"/>
        <filter val="Edelweiß"/>
        <filter val="Elm Tree"/>
        <filter val="Fairy Stone"/>
        <filter val="Feldspar"/>
        <filter val="Fir Tree"/>
        <filter val="Flax"/>
        <filter val="Flint"/>
        <filter val="Four-Leaf Clover"/>
        <filter val="Frog's Crown"/>
        <filter val="Gabbro"/>
        <filter val="Galena"/>
        <filter val="Garlic"/>
        <filter val="General Tree"/>
        <filter val="Geyser"/>
        <filter val="Glimmermoss"/>
        <filter val="Gneiss"/>
        <filter val="Goat"/>
        <filter val="Granite"/>
        <filter val="Grapes"/>
        <filter val="Gray Clay"/>
        <filter val="Graywacke"/>
        <filter val="Green Kale"/>
        <filter val="Greenschist"/>
        <filter val="Guano Pile"/>
        <filter val="Hazel Tree"/>
        <filter val="Hazelnut Tree"/>
        <filter val="Heart of the Woods"/>
        <filter val="Heavy Earth"/>
        <filter val="Hemp"/>
        <filter val="Hops"/>
        <filter val="Horn Silver"/>
        <filter val="Hornblende"/>
        <filter val="Horse"/>
        <filter val="Inkweed"/>
        <filter val="Iron Ochre"/>
        <filter val="Jasper"/>
        <filter val="Jotun Mussel"/>
        <filter val="King's Oak"/>
        <filter val="Kvann"/>
        <filter val="Kyanite"/>
        <filter val="Lady's Mantle"/>
        <filter val="Laurel Tree"/>
        <filter val="Lava Rock"/>
        <filter val="Lead Glance"/>
        <filter val="Leaf Ore"/>
        <filter val="Leek"/>
        <filter val="Lettuce"/>
        <filter val="Lilypad Lotus"/>
        <filter val="Limestone"/>
        <filter val="Malachite"/>
        <filter val="Maple Tree"/>
        <filter val="Marble"/>
        <filter val="Meteorite"/>
        <filter val="Mica"/>
        <filter val="Microlite"/>
        <filter val="Millet"/>
        <filter val="Mistletoe"/>
        <filter val="Mouflon"/>
        <filter val="Mulberry Tree"/>
        <filter val="Oak Tree"/>
        <filter val="Obsidian"/>
        <filter val="Olive Tree"/>
        <filter val="Olivine"/>
        <filter val="Orthoclase"/>
        <filter val="Pea"/>
        <filter val="Peacock Ore"/>
        <filter val="Peculiar Flotsam"/>
        <filter val="Pegmatite"/>
        <filter val="Peppercorn"/>
        <filter val="Pig"/>
        <filter val="Pine Tree"/>
        <filter val="Pipeweed"/>
        <filter val="Plane Tree"/>
        <filter val="Poppy"/>
        <filter val="Porphyry"/>
        <filter val="Pumice"/>
        <filter val="Pumpkin"/>
        <filter val="Quartz"/>
        <filter val="Rabbit Buck"/>
        <filter val="Rabbit Doe"/>
        <filter val="Rabbit Frost"/>
        <filter val="Red Onion"/>
        <filter val="Reindeer"/>
        <filter val="Rhyolite"/>
        <filter val="River Pearl Mussel"/>
        <filter val="Rock Crystal"/>
        <filter val="Rock Salt"/>
        <filter val="Royal Toadstool"/>
        <filter val="Rustroot"/>
        <filter val="Sandstone"/>
        <filter val="Schist"/>
        <filter val="Schrifterz"/>
        <filter val="Serpentine"/>
        <filter val="Shard of Conch"/>
        <filter val="Sheep"/>
        <filter val="Silvershine"/>
        <filter val="Slate"/>
        <filter val="Soapstone"/>
        <filter val="Sodalite"/>
        <filter val="Soil"/>
        <filter val="Spindly Taproot"/>
        <filter val="Spirited Mandrake Root"/>
        <filter val="Spruce Tree"/>
        <filter val="Stalagoom"/>
        <filter val="Stinging Nettle"/>
        <filter val="String Grass"/>
        <filter val="Sunstone"/>
        <filter val="Tangled Bramble"/>
        <filter val="Thorny Thistle"/>
        <filter val="Thyme"/>
        <filter val="Turnip"/>
        <filter val="Uncommon Snapdragon"/>
        <filter val="Water"/>
        <filter val="Waybroad"/>
        <filter val="Wheat"/>
        <filter val="Wild Goat"/>
        <filter val="Wild Gourd"/>
        <filter val="Wild Horse"/>
        <filter val="Wild Kale"/>
        <filter val="Wild Onion"/>
        <filter val="Wild Windsown Weed"/>
        <filter val="Willow Tree"/>
        <filter val="Wine Glance"/>
        <filter val="Yew Tree"/>
      </filters>
    </filterColumn>
  </autoFilter>
  <tableColumns count="5">
    <tableColumn id="1" xr3:uid="{7C9796EE-AFBB-48EE-84BF-3155B14BABD6}" name="Name" dataDxfId="30"/>
    <tableColumn id="2" xr3:uid="{12FDD4F9-61E2-47C6-B765-ECAC214E3D45}" name="Quality" dataDxfId="29"/>
    <tableColumn id="3" xr3:uid="{07DA6B2E-AFF4-45A2-9F38-4E92DF1E7EC3}" name="Type" dataDxfId="28"/>
    <tableColumn id="4" xr3:uid="{59D96DD6-8001-491D-833B-1E9FCC44AD3E}" name="Calculations and Info"/>
    <tableColumn id="5" xr3:uid="{8E6D99D8-6099-43E0-8CA5-ABCC2825568E}" name="Comments" dataDxfId="27"/>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E32D5A-0921-495C-B8E0-D07AE1F5C742}" name="Table4" displayName="Table4" ref="A1:J22" totalsRowShown="0" dataDxfId="26">
  <autoFilter ref="A1:J22" xr:uid="{F2E32D5A-0921-495C-B8E0-D07AE1F5C742}"/>
  <tableColumns count="10">
    <tableColumn id="1" xr3:uid="{128C6F70-CB89-4464-B9E6-19CFEC54C476}" name="Name" dataDxfId="25"/>
    <tableColumn id="2" xr3:uid="{8926EA31-4EDA-462E-B269-184C43F55313}" name="Current Quality" dataDxfId="24"/>
    <tableColumn id="3" xr3:uid="{214A62C1-3997-4FC4-A9D4-C4C212F6C584}" name="Ingredients" dataDxfId="23"/>
    <tableColumn id="4" xr3:uid="{42922D82-66FA-4DE3-9E14-D0E5065EC0EF}" name="Q of Ing1" dataDxfId="22">
      <calculatedColumnFormula>Input!B40</calculatedColumnFormula>
    </tableColumn>
    <tableColumn id="5" xr3:uid="{C59874CA-1F3E-4F1A-A9D9-331AA49DB4E5}" name="Q of Ing2" dataDxfId="21">
      <calculatedColumnFormula>GEOMEAN(B4,Input!B32)</calculatedColumnFormula>
    </tableColumn>
    <tableColumn id="6" xr3:uid="{C7A5CD37-01E2-46CD-8A53-13E74938D336}" name="Q of Ing3" dataDxfId="20">
      <calculatedColumnFormula>Products!B26</calculatedColumnFormula>
    </tableColumn>
    <tableColumn id="8" xr3:uid="{0062919B-136F-44B7-93EF-2BD9E97D8DE2}" name="Q of Ing4" dataDxfId="19"/>
    <tableColumn id="7" xr3:uid="{50D1E0EC-2328-4076-A15B-4A15972D0C43}" name="Potential Quality" dataDxfId="18">
      <calculatedColumnFormula>GEOMEAN(D2:G2)</calculatedColumnFormula>
    </tableColumn>
    <tableColumn id="9" xr3:uid="{E2C24D30-EDC3-4ACE-95CC-C482CCC43F90}" name="Column1" dataDxfId="17"/>
    <tableColumn id="10" xr3:uid="{9AEEE816-EEEC-4557-8D49-9D1D46E9124D}" name="Column2"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65ADEE-CD40-484B-B1CB-529464FDB29D}" name="Table57" displayName="Table57" ref="A1:J27" totalsRowShown="0">
  <autoFilter ref="A1:J27" xr:uid="{2C65ADEE-CD40-484B-B1CB-529464FDB29D}"/>
  <sortState xmlns:xlrd2="http://schemas.microsoft.com/office/spreadsheetml/2017/richdata2" ref="A2:J23">
    <sortCondition ref="C28:C49"/>
  </sortState>
  <tableColumns count="10">
    <tableColumn id="1" xr3:uid="{EF822293-BC6A-411F-8285-1DB83AC0E2F3}" name="Name" dataDxfId="15"/>
    <tableColumn id="2" xr3:uid="{B124FF50-D1A3-43C7-8312-98D360D2F6EF}" name="Current Quality"/>
    <tableColumn id="9" xr3:uid="{D78FB00E-A85D-4F9D-9227-EE6DCECC7CB0}" name="Subject"/>
    <tableColumn id="3" xr3:uid="{3E30D6B9-F126-4796-984D-B257609D8CB4}" name="Ingredients" dataDxfId="14"/>
    <tableColumn id="4" xr3:uid="{51657C76-56B2-4E92-906E-BB6DA3C23495}" name="Q of Ing1"/>
    <tableColumn id="5" xr3:uid="{435A7C05-ABDF-49BD-B58A-A988EDD52018}" name="Q of Ing2"/>
    <tableColumn id="6" xr3:uid="{45818792-EEDB-481B-8A51-E59FD0484E7F}" name="Q of Ing3"/>
    <tableColumn id="7" xr3:uid="{7A3BE127-A058-4EA0-B045-1426C149714C}" name="Q of Ing4"/>
    <tableColumn id="10" xr3:uid="{93F278E8-BBDD-4F80-82E0-30984ED7A4DE}" name="Q of Ing5" dataDxfId="13"/>
    <tableColumn id="8" xr3:uid="{1B9723FD-FF76-4147-9CA5-7AFE28B9D252}" name="Potential Q" dataDxfId="12"/>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CD4767-FEC2-4BAC-B159-ACEEEB8FD4A2}" name="Table79" displayName="Table79" ref="A1:K87" totalsRowShown="0" dataDxfId="11">
  <autoFilter ref="A1:K87" xr:uid="{55CD4767-FEC2-4BAC-B159-ACEEEB8FD4A2}"/>
  <tableColumns count="11">
    <tableColumn id="1" xr3:uid="{1DA09E7B-A390-4E76-9947-A8122281875D}" name="Name" dataDxfId="10"/>
    <tableColumn id="2" xr3:uid="{88A0D826-AAD3-4131-920B-907679F3D7A8}" name="Quality" dataDxfId="9"/>
    <tableColumn id="3" xr3:uid="{99BE6498-5689-4BE5-B9F3-98B087613D27}" name="Ingredients" dataDxfId="8"/>
    <tableColumn id="4" xr3:uid="{7F051CE3-EC21-48ED-AFF8-A1B16116A684}" name="Subject" dataDxfId="7"/>
    <tableColumn id="5" xr3:uid="{0CB5D6E4-2C51-40AE-8327-84C3E3EFD7AB}" name="Q of Ing1" dataDxfId="6"/>
    <tableColumn id="6" xr3:uid="{8D67A765-2353-41A0-9989-1BAC41674FB2}" name="Q of Ing2" dataDxfId="5"/>
    <tableColumn id="7" xr3:uid="{127B27FC-EB7C-41F0-806B-A1F9713C1352}" name="Q of Ing3" dataDxfId="4"/>
    <tableColumn id="8" xr3:uid="{12D6B84D-AC13-4DBF-8EF4-F25E8DD2F1DE}" name="Q of Ing4" dataDxfId="3"/>
    <tableColumn id="11" xr3:uid="{8083094C-CA66-44EB-AF7F-D0AF2CEBFC6A}" name="Q of Ing5" dataDxfId="2"/>
    <tableColumn id="10" xr3:uid="{4B0F1AD3-2822-4ED9-8284-E02AB2BD1C7D}" name="Q of Ing6" dataDxfId="1"/>
    <tableColumn id="9" xr3:uid="{2027B0D6-F2AF-40E3-8CF5-40A4D209D941}" name="Potential Q"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17" Type="http://schemas.openxmlformats.org/officeDocument/2006/relationships/hyperlink" Target="https://ringofbrodgar.com/wiki/Glimmermoss" TargetMode="External"/><Relationship Id="rId21" Type="http://schemas.openxmlformats.org/officeDocument/2006/relationships/hyperlink" Target="https://ringofbrodgar.com/wiki/Bat_Fang" TargetMode="External"/><Relationship Id="rId63" Type="http://schemas.openxmlformats.org/officeDocument/2006/relationships/hyperlink" Target="https://ringofbrodgar.com/wiki/Cone_Cow" TargetMode="External"/><Relationship Id="rId159" Type="http://schemas.openxmlformats.org/officeDocument/2006/relationships/hyperlink" Target="https://ringofbrodgar.com/wiki/Moonmoth" TargetMode="External"/><Relationship Id="rId170" Type="http://schemas.openxmlformats.org/officeDocument/2006/relationships/hyperlink" Target="https://ringofbrodgar.com/wiki/Onion_Braid" TargetMode="External"/><Relationship Id="rId226" Type="http://schemas.openxmlformats.org/officeDocument/2006/relationships/hyperlink" Target="https://ringofbrodgar.com/wiki/Sly_Ear_of_the_Fox" TargetMode="External"/><Relationship Id="rId268" Type="http://schemas.openxmlformats.org/officeDocument/2006/relationships/hyperlink" Target="https://ringofbrodgar.com/wiki/Unusually_Large_Hop_Cone" TargetMode="External"/><Relationship Id="rId32" Type="http://schemas.openxmlformats.org/officeDocument/2006/relationships/hyperlink" Target="https://ringofbrodgar.com/wiki/Blacksmith%27s_Bauble" TargetMode="External"/><Relationship Id="rId74" Type="http://schemas.openxmlformats.org/officeDocument/2006/relationships/hyperlink" Target="https://ringofbrodgar.com/wiki/Dandelion" TargetMode="External"/><Relationship Id="rId128" Type="http://schemas.openxmlformats.org/officeDocument/2006/relationships/hyperlink" Target="https://ringofbrodgar.com/wiki/Hand_Impression" TargetMode="External"/><Relationship Id="rId5" Type="http://schemas.openxmlformats.org/officeDocument/2006/relationships/hyperlink" Target="https://ringofbrodgar.com/wiki/Amethyst" TargetMode="External"/><Relationship Id="rId181" Type="http://schemas.openxmlformats.org/officeDocument/2006/relationships/hyperlink" Target="https://ringofbrodgar.com/wiki/Petrified_Seashell" TargetMode="External"/><Relationship Id="rId237" Type="http://schemas.openxmlformats.org/officeDocument/2006/relationships/hyperlink" Target="https://ringofbrodgar.com/wiki/Stalagoom" TargetMode="External"/><Relationship Id="rId279" Type="http://schemas.openxmlformats.org/officeDocument/2006/relationships/hyperlink" Target="https://ringofbrodgar.com/wiki/Wintergreen" TargetMode="External"/><Relationship Id="rId43" Type="http://schemas.openxmlformats.org/officeDocument/2006/relationships/hyperlink" Target="https://ringofbrodgar.com/wiki/Cat_Gold" TargetMode="External"/><Relationship Id="rId139" Type="http://schemas.openxmlformats.org/officeDocument/2006/relationships/hyperlink" Target="https://ringofbrodgar.com/wiki/Jade" TargetMode="External"/><Relationship Id="rId85" Type="http://schemas.openxmlformats.org/officeDocument/2006/relationships/hyperlink" Target="https://ringofbrodgar.com/wiki/Dust_Jewel" TargetMode="External"/><Relationship Id="rId150" Type="http://schemas.openxmlformats.org/officeDocument/2006/relationships/hyperlink" Target="https://ringofbrodgar.com/wiki/Magnifying_Glass" TargetMode="External"/><Relationship Id="rId192" Type="http://schemas.openxmlformats.org/officeDocument/2006/relationships/hyperlink" Target="https://ringofbrodgar.com/wiki/Quicksilver_Globe" TargetMode="External"/><Relationship Id="rId206" Type="http://schemas.openxmlformats.org/officeDocument/2006/relationships/hyperlink" Target="https://ringofbrodgar.com/wiki/Ruby" TargetMode="External"/><Relationship Id="rId248" Type="http://schemas.openxmlformats.org/officeDocument/2006/relationships/hyperlink" Target="https://ringofbrodgar.com/wiki/Tansy" TargetMode="External"/><Relationship Id="rId269" Type="http://schemas.openxmlformats.org/officeDocument/2006/relationships/hyperlink" Target="https://ringofbrodgar.com/wiki/V%C3%B6lva%27s_Wand" TargetMode="External"/><Relationship Id="rId12" Type="http://schemas.openxmlformats.org/officeDocument/2006/relationships/hyperlink" Target="https://ringofbrodgar.com/wiki/Ant_Soldiers" TargetMode="External"/><Relationship Id="rId33" Type="http://schemas.openxmlformats.org/officeDocument/2006/relationships/hyperlink" Target="https://ringofbrodgar.com/wiki/Bloated_Bolete" TargetMode="External"/><Relationship Id="rId108" Type="http://schemas.openxmlformats.org/officeDocument/2006/relationships/hyperlink" Target="https://ringofbrodgar.com/wiki/Foxfire" TargetMode="External"/><Relationship Id="rId129" Type="http://schemas.openxmlformats.org/officeDocument/2006/relationships/hyperlink" Target="https://ringofbrodgar.com/wiki/Heartsease" TargetMode="External"/><Relationship Id="rId280" Type="http://schemas.openxmlformats.org/officeDocument/2006/relationships/hyperlink" Target="https://ringofbrodgar.com/wiki/Wishbone" TargetMode="External"/><Relationship Id="rId54" Type="http://schemas.openxmlformats.org/officeDocument/2006/relationships/hyperlink" Target="https://ringofbrodgar.com/wiki/Cavedust" TargetMode="External"/><Relationship Id="rId75" Type="http://schemas.openxmlformats.org/officeDocument/2006/relationships/hyperlink" Target="https://ringofbrodgar.com/wiki/Dark_Effigy" TargetMode="External"/><Relationship Id="rId96" Type="http://schemas.openxmlformats.org/officeDocument/2006/relationships/hyperlink" Target="https://ringofbrodgar.com/wiki/Enthroned_Toad" TargetMode="External"/><Relationship Id="rId140" Type="http://schemas.openxmlformats.org/officeDocument/2006/relationships/hyperlink" Target="https://ringofbrodgar.com/wiki/Jelly_Heart" TargetMode="External"/><Relationship Id="rId161" Type="http://schemas.openxmlformats.org/officeDocument/2006/relationships/hyperlink" Target="https://ringofbrodgar.com/wiki/Moose_Antlers" TargetMode="External"/><Relationship Id="rId182" Type="http://schemas.openxmlformats.org/officeDocument/2006/relationships/hyperlink" Target="https://ringofbrodgar.com/wiki/Plush_Bat" TargetMode="External"/><Relationship Id="rId217" Type="http://schemas.openxmlformats.org/officeDocument/2006/relationships/hyperlink" Target="https://ringofbrodgar.com/wiki/Seer%27s_Bowl" TargetMode="External"/><Relationship Id="rId6" Type="http://schemas.openxmlformats.org/officeDocument/2006/relationships/hyperlink" Target="https://ringofbrodgar.com/wiki/An_Old_Boot" TargetMode="External"/><Relationship Id="rId238" Type="http://schemas.openxmlformats.org/officeDocument/2006/relationships/hyperlink" Target="https://ringofbrodgar.com/wiki/Stalagoomba" TargetMode="External"/><Relationship Id="rId259" Type="http://schemas.openxmlformats.org/officeDocument/2006/relationships/hyperlink" Target="https://ringofbrodgar.com/wiki/Troll_Hair" TargetMode="External"/><Relationship Id="rId23" Type="http://schemas.openxmlformats.org/officeDocument/2006/relationships/hyperlink" Target="https://ringofbrodgar.com/wiki/Batwing_Necklace" TargetMode="External"/><Relationship Id="rId119" Type="http://schemas.openxmlformats.org/officeDocument/2006/relationships/hyperlink" Target="https://ringofbrodgar.com/wiki/Gold_Egg" TargetMode="External"/><Relationship Id="rId270" Type="http://schemas.openxmlformats.org/officeDocument/2006/relationships/hyperlink" Target="https://ringofbrodgar.com/wiki/Walrus_Tusk" TargetMode="External"/><Relationship Id="rId44" Type="http://schemas.openxmlformats.org/officeDocument/2006/relationships/hyperlink" Target="https://ringofbrodgar.com/wiki/Cattail_Head" TargetMode="External"/><Relationship Id="rId65" Type="http://schemas.openxmlformats.org/officeDocument/2006/relationships/hyperlink" Target="https://ringofbrodgar.com/wiki/Cornucopia" TargetMode="External"/><Relationship Id="rId86" Type="http://schemas.openxmlformats.org/officeDocument/2006/relationships/hyperlink" Target="https://ringofbrodgar.com/wiki/Eagle_Owl_Eye" TargetMode="External"/><Relationship Id="rId130" Type="http://schemas.openxmlformats.org/officeDocument/2006/relationships/hyperlink" Target="https://ringofbrodgar.com/wiki/Hedgehog_Quills" TargetMode="External"/><Relationship Id="rId151" Type="http://schemas.openxmlformats.org/officeDocument/2006/relationships/hyperlink" Target="https://ringofbrodgar.com/wiki/Magpie_Feather" TargetMode="External"/><Relationship Id="rId172" Type="http://schemas.openxmlformats.org/officeDocument/2006/relationships/hyperlink" Target="https://ringofbrodgar.com/wiki/Opal" TargetMode="External"/><Relationship Id="rId193" Type="http://schemas.openxmlformats.org/officeDocument/2006/relationships/hyperlink" Target="https://ringofbrodgar.com/wiki/Rabbit_Frost" TargetMode="External"/><Relationship Id="rId207" Type="http://schemas.openxmlformats.org/officeDocument/2006/relationships/hyperlink" Target="https://ringofbrodgar.com/wiki/Ruby_Dragonfly" TargetMode="External"/><Relationship Id="rId228" Type="http://schemas.openxmlformats.org/officeDocument/2006/relationships/hyperlink" Target="https://ringofbrodgar.com/wiki/Snowball" TargetMode="External"/><Relationship Id="rId249" Type="http://schemas.openxmlformats.org/officeDocument/2006/relationships/hyperlink" Target="https://ringofbrodgar.com/wiki/Tar_Doll" TargetMode="External"/><Relationship Id="rId13" Type="http://schemas.openxmlformats.org/officeDocument/2006/relationships/hyperlink" Target="https://ringofbrodgar.com/wiki/Ant_Wing" TargetMode="External"/><Relationship Id="rId109" Type="http://schemas.openxmlformats.org/officeDocument/2006/relationships/hyperlink" Target="https://ringofbrodgar.com/wiki/Frog%27s_Crown" TargetMode="External"/><Relationship Id="rId260" Type="http://schemas.openxmlformats.org/officeDocument/2006/relationships/hyperlink" Target="https://ringofbrodgar.com/wiki/Troll_Skull" TargetMode="External"/><Relationship Id="rId281" Type="http://schemas.openxmlformats.org/officeDocument/2006/relationships/hyperlink" Target="https://ringofbrodgar.com/wiki/Wolf%27s_Claw" TargetMode="External"/><Relationship Id="rId34" Type="http://schemas.openxmlformats.org/officeDocument/2006/relationships/hyperlink" Target="https://ringofbrodgar.com/wiki/Boar_Tusk" TargetMode="External"/><Relationship Id="rId55" Type="http://schemas.openxmlformats.org/officeDocument/2006/relationships/hyperlink" Target="https://ringofbrodgar.com/wiki/Caverat_Whiskers" TargetMode="External"/><Relationship Id="rId76" Type="http://schemas.openxmlformats.org/officeDocument/2006/relationships/hyperlink" Target="https://ringofbrodgar.com/wiki/Dark_Heart" TargetMode="External"/><Relationship Id="rId97" Type="http://schemas.openxmlformats.org/officeDocument/2006/relationships/hyperlink" Target="https://ringofbrodgar.com/wiki/Everglowing_Ember" TargetMode="External"/><Relationship Id="rId120" Type="http://schemas.openxmlformats.org/officeDocument/2006/relationships/hyperlink" Target="https://ringofbrodgar.com/wiki/Golden_Cat" TargetMode="External"/><Relationship Id="rId141" Type="http://schemas.openxmlformats.org/officeDocument/2006/relationships/hyperlink" Target="https://ringofbrodgar.com/wiki/Jellyfish" TargetMode="External"/><Relationship Id="rId7" Type="http://schemas.openxmlformats.org/officeDocument/2006/relationships/hyperlink" Target="https://ringofbrodgar.com/wiki/Ancient_Tooth" TargetMode="External"/><Relationship Id="rId162" Type="http://schemas.openxmlformats.org/officeDocument/2006/relationships/hyperlink" Target="https://ringofbrodgar.com/wiki/Mother_of_Pearl" TargetMode="External"/><Relationship Id="rId183" Type="http://schemas.openxmlformats.org/officeDocument/2006/relationships/hyperlink" Target="https://ringofbrodgar.com/wiki/Poppy_Flower" TargetMode="External"/><Relationship Id="rId218" Type="http://schemas.openxmlformats.org/officeDocument/2006/relationships/hyperlink" Target="https://ringofbrodgar.com/wiki/Seer%27s_Spindle" TargetMode="External"/><Relationship Id="rId239" Type="http://schemas.openxmlformats.org/officeDocument/2006/relationships/hyperlink" Target="https://ringofbrodgar.com/wiki/Still_Life" TargetMode="External"/><Relationship Id="rId250" Type="http://schemas.openxmlformats.org/officeDocument/2006/relationships/hyperlink" Target="https://ringofbrodgar.com/wiki/The_Bee_That_Stung" TargetMode="External"/><Relationship Id="rId271" Type="http://schemas.openxmlformats.org/officeDocument/2006/relationships/hyperlink" Target="https://ringofbrodgar.com/wiki/Washed-up_Bladderwrack" TargetMode="External"/><Relationship Id="rId24" Type="http://schemas.openxmlformats.org/officeDocument/2006/relationships/hyperlink" Target="https://ringofbrodgar.com/wiki/Bear_Tooth" TargetMode="External"/><Relationship Id="rId45" Type="http://schemas.openxmlformats.org/officeDocument/2006/relationships/hyperlink" Target="https://ringofbrodgar.com/wiki/Cave_Angler_Light" TargetMode="External"/><Relationship Id="rId66" Type="http://schemas.openxmlformats.org/officeDocument/2006/relationships/hyperlink" Target="https://ringofbrodgar.com/wiki/Crab_Claw" TargetMode="External"/><Relationship Id="rId87" Type="http://schemas.openxmlformats.org/officeDocument/2006/relationships/hyperlink" Target="https://ringofbrodgar.com/wiki/Eagle_Owl_Feather" TargetMode="External"/><Relationship Id="rId110" Type="http://schemas.openxmlformats.org/officeDocument/2006/relationships/hyperlink" Target="https://ringofbrodgar.com/wiki/Frogspawn" TargetMode="External"/><Relationship Id="rId131" Type="http://schemas.openxmlformats.org/officeDocument/2006/relationships/hyperlink" Target="https://ringofbrodgar.com/wiki/Hopped-up_Cone_Cow" TargetMode="External"/><Relationship Id="rId152" Type="http://schemas.openxmlformats.org/officeDocument/2006/relationships/hyperlink" Target="https://ringofbrodgar.com/wiki/Magpie%27s_Thieving_Claw" TargetMode="External"/><Relationship Id="rId173" Type="http://schemas.openxmlformats.org/officeDocument/2006/relationships/hyperlink" Target="https://ringofbrodgar.com/wiki/Opium_Dragon" TargetMode="External"/><Relationship Id="rId194" Type="http://schemas.openxmlformats.org/officeDocument/2006/relationships/hyperlink" Target="https://ringofbrodgar.com/wiki/Rainbow_Shell" TargetMode="External"/><Relationship Id="rId208" Type="http://schemas.openxmlformats.org/officeDocument/2006/relationships/hyperlink" Target="https://ringofbrodgar.com/wiki/Sand_Castle" TargetMode="External"/><Relationship Id="rId229" Type="http://schemas.openxmlformats.org/officeDocument/2006/relationships/hyperlink" Target="https://ringofbrodgar.com/wiki/Sour_Grapes" TargetMode="External"/><Relationship Id="rId240" Type="http://schemas.openxmlformats.org/officeDocument/2006/relationships/hyperlink" Target="https://ringofbrodgar.com/wiki/Strange_Crystal" TargetMode="External"/><Relationship Id="rId261" Type="http://schemas.openxmlformats.org/officeDocument/2006/relationships/hyperlink" Target="https://ringofbrodgar.com/wiki/Troll_Tusks" TargetMode="External"/><Relationship Id="rId14" Type="http://schemas.openxmlformats.org/officeDocument/2006/relationships/hyperlink" Target="https://ringofbrodgar.com/wiki/Arrow-Shattered_Arrow" TargetMode="External"/><Relationship Id="rId35" Type="http://schemas.openxmlformats.org/officeDocument/2006/relationships/hyperlink" Target="https://ringofbrodgar.com/wiki/Bog_Turtle_Shell" TargetMode="External"/><Relationship Id="rId56" Type="http://schemas.openxmlformats.org/officeDocument/2006/relationships/hyperlink" Target="https://ringofbrodgar.com/wiki/Chewed_Fibre" TargetMode="External"/><Relationship Id="rId77" Type="http://schemas.openxmlformats.org/officeDocument/2006/relationships/hyperlink" Target="https://ringofbrodgar.com/wiki/Death%27s_Head_Chrysalis" TargetMode="External"/><Relationship Id="rId100" Type="http://schemas.openxmlformats.org/officeDocument/2006/relationships/hyperlink" Target="https://ringofbrodgar.com/wiki/Feather_Trinket" TargetMode="External"/><Relationship Id="rId282" Type="http://schemas.openxmlformats.org/officeDocument/2006/relationships/hyperlink" Target="https://ringofbrodgar.com/wiki/Wondrous_Woodshaving" TargetMode="External"/><Relationship Id="rId8" Type="http://schemas.openxmlformats.org/officeDocument/2006/relationships/hyperlink" Target="https://ringofbrodgar.com/wiki/Ant_Empress" TargetMode="External"/><Relationship Id="rId98" Type="http://schemas.openxmlformats.org/officeDocument/2006/relationships/hyperlink" Target="https://ringofbrodgar.com/wiki/Feather_Duster" TargetMode="External"/><Relationship Id="rId121" Type="http://schemas.openxmlformats.org/officeDocument/2006/relationships/hyperlink" Target="https://ringofbrodgar.com/wiki/Golden_Eagle_Feather" TargetMode="External"/><Relationship Id="rId142" Type="http://schemas.openxmlformats.org/officeDocument/2006/relationships/hyperlink" Target="https://ringofbrodgar.com/wiki/Lady%27s_Mantle" TargetMode="External"/><Relationship Id="rId163" Type="http://schemas.openxmlformats.org/officeDocument/2006/relationships/hyperlink" Target="https://ringofbrodgar.com/wiki/Nine-Tails" TargetMode="External"/><Relationship Id="rId184" Type="http://schemas.openxmlformats.org/officeDocument/2006/relationships/hyperlink" Target="https://ringofbrodgar.com/wiki/Poppycaps" TargetMode="External"/><Relationship Id="rId219" Type="http://schemas.openxmlformats.org/officeDocument/2006/relationships/hyperlink" Target="https://ringofbrodgar.com/wiki/Seer%27s_Stones" TargetMode="External"/><Relationship Id="rId230" Type="http://schemas.openxmlformats.org/officeDocument/2006/relationships/hyperlink" Target="https://ringofbrodgar.com/wiki/Spinning_Top" TargetMode="External"/><Relationship Id="rId251" Type="http://schemas.openxmlformats.org/officeDocument/2006/relationships/hyperlink" Target="https://ringofbrodgar.com/wiki/The_Other_Old_Boot" TargetMode="External"/><Relationship Id="rId25" Type="http://schemas.openxmlformats.org/officeDocument/2006/relationships/hyperlink" Target="https://ringofbrodgar.com/wiki/Beast_Unborn" TargetMode="External"/><Relationship Id="rId46" Type="http://schemas.openxmlformats.org/officeDocument/2006/relationships/hyperlink" Target="https://ringofbrodgar.com/wiki/Cave_Angler_Scales" TargetMode="External"/><Relationship Id="rId67" Type="http://schemas.openxmlformats.org/officeDocument/2006/relationships/hyperlink" Target="https://ringofbrodgar.com/wiki/Crabshell_Sunfeather" TargetMode="External"/><Relationship Id="rId272" Type="http://schemas.openxmlformats.org/officeDocument/2006/relationships/hyperlink" Target="https://ringofbrodgar.com/wiki/Waterstrider" TargetMode="External"/><Relationship Id="rId88" Type="http://schemas.openxmlformats.org/officeDocument/2006/relationships/hyperlink" Target="https://ringofbrodgar.com/wiki/Easter_Egg_(Blue)" TargetMode="External"/><Relationship Id="rId111" Type="http://schemas.openxmlformats.org/officeDocument/2006/relationships/hyperlink" Target="https://ringofbrodgar.com/wiki/Fulgurite" TargetMode="External"/><Relationship Id="rId132" Type="http://schemas.openxmlformats.org/officeDocument/2006/relationships/hyperlink" Target="https://ringofbrodgar.com/wiki/Horrible_Knot" TargetMode="External"/><Relationship Id="rId153" Type="http://schemas.openxmlformats.org/officeDocument/2006/relationships/hyperlink" Target="https://ringofbrodgar.com/wiki/Mallard_Feather" TargetMode="External"/><Relationship Id="rId174" Type="http://schemas.openxmlformats.org/officeDocument/2006/relationships/hyperlink" Target="https://ringofbrodgar.com/wiki/Orca_Brain" TargetMode="External"/><Relationship Id="rId195" Type="http://schemas.openxmlformats.org/officeDocument/2006/relationships/hyperlink" Target="https://ringofbrodgar.com/wiki/Rattle-Tattle-Talisman" TargetMode="External"/><Relationship Id="rId209" Type="http://schemas.openxmlformats.org/officeDocument/2006/relationships/hyperlink" Target="https://ringofbrodgar.com/wiki/Sapphire" TargetMode="External"/><Relationship Id="rId220" Type="http://schemas.openxmlformats.org/officeDocument/2006/relationships/hyperlink" Target="https://ringofbrodgar.com/wiki/Seer%27s_Tealeaves" TargetMode="External"/><Relationship Id="rId241" Type="http://schemas.openxmlformats.org/officeDocument/2006/relationships/hyperlink" Target="https://ringofbrodgar.com/wiki/Strange_Root" TargetMode="External"/><Relationship Id="rId15" Type="http://schemas.openxmlformats.org/officeDocument/2006/relationships/hyperlink" Target="https://ringofbrodgar.com/wiki/Aurochs_Hair" TargetMode="External"/><Relationship Id="rId36" Type="http://schemas.openxmlformats.org/officeDocument/2006/relationships/hyperlink" Target="https://ringofbrodgar.com/wiki/Boreworm_Beak" TargetMode="External"/><Relationship Id="rId57" Type="http://schemas.openxmlformats.org/officeDocument/2006/relationships/hyperlink" Target="https://ringofbrodgar.com/wiki/Chiming_Bluebell" TargetMode="External"/><Relationship Id="rId262" Type="http://schemas.openxmlformats.org/officeDocument/2006/relationships/hyperlink" Target="https://ringofbrodgar.com/wiki/Troll%27s_Third_Eye" TargetMode="External"/><Relationship Id="rId283" Type="http://schemas.openxmlformats.org/officeDocument/2006/relationships/hyperlink" Target="https://ringofbrodgar.com/wiki/Wood_Grouse_Feather" TargetMode="External"/><Relationship Id="rId78" Type="http://schemas.openxmlformats.org/officeDocument/2006/relationships/hyperlink" Target="https://ringofbrodgar.com/wiki/Deep_Sea_Atavism" TargetMode="External"/><Relationship Id="rId99" Type="http://schemas.openxmlformats.org/officeDocument/2006/relationships/hyperlink" Target="https://ringofbrodgar.com/wiki/Feather_Sunfeather" TargetMode="External"/><Relationship Id="rId101" Type="http://schemas.openxmlformats.org/officeDocument/2006/relationships/hyperlink" Target="https://ringofbrodgar.com/wiki/Firefly" TargetMode="External"/><Relationship Id="rId122" Type="http://schemas.openxmlformats.org/officeDocument/2006/relationships/hyperlink" Target="https://ringofbrodgar.com/wiki/Golden_Eagle_Talon" TargetMode="External"/><Relationship Id="rId143" Type="http://schemas.openxmlformats.org/officeDocument/2006/relationships/hyperlink" Target="https://ringofbrodgar.com/wiki/Ladybug" TargetMode="External"/><Relationship Id="rId164" Type="http://schemas.openxmlformats.org/officeDocument/2006/relationships/hyperlink" Target="https://ringofbrodgar.com/wiki/Notes_of_a_Foul_Symphony" TargetMode="External"/><Relationship Id="rId185" Type="http://schemas.openxmlformats.org/officeDocument/2006/relationships/hyperlink" Target="https://ringofbrodgar.com/wiki/Porcelain_Doll" TargetMode="External"/><Relationship Id="rId9" Type="http://schemas.openxmlformats.org/officeDocument/2006/relationships/hyperlink" Target="https://ringofbrodgar.com/wiki/Ant_Farm" TargetMode="External"/><Relationship Id="rId210" Type="http://schemas.openxmlformats.org/officeDocument/2006/relationships/hyperlink" Target="https://ringofbrodgar.com/wiki/Scarab_Talisman" TargetMode="External"/><Relationship Id="rId26" Type="http://schemas.openxmlformats.org/officeDocument/2006/relationships/hyperlink" Target="https://ringofbrodgar.com/wiki/Beautiful_Ice_Sheet" TargetMode="External"/><Relationship Id="rId231" Type="http://schemas.openxmlformats.org/officeDocument/2006/relationships/hyperlink" Target="https://ringofbrodgar.com/wiki/Spired_Forest_Conch" TargetMode="External"/><Relationship Id="rId252" Type="http://schemas.openxmlformats.org/officeDocument/2006/relationships/hyperlink" Target="https://ringofbrodgar.com/wiki/The_Perfect_Hole" TargetMode="External"/><Relationship Id="rId273" Type="http://schemas.openxmlformats.org/officeDocument/2006/relationships/hyperlink" Target="https://ringofbrodgar.com/wiki/Weird_Beetroot" TargetMode="External"/><Relationship Id="rId47" Type="http://schemas.openxmlformats.org/officeDocument/2006/relationships/hyperlink" Target="https://ringofbrodgar.com/wiki/Cave_Battery" TargetMode="External"/><Relationship Id="rId68" Type="http://schemas.openxmlformats.org/officeDocument/2006/relationships/hyperlink" Target="https://ringofbrodgar.com/wiki/Crude_Idol" TargetMode="External"/><Relationship Id="rId89" Type="http://schemas.openxmlformats.org/officeDocument/2006/relationships/hyperlink" Target="https://ringofbrodgar.com/wiki/Easter_Egg_(Green)" TargetMode="External"/><Relationship Id="rId112" Type="http://schemas.openxmlformats.org/officeDocument/2006/relationships/hyperlink" Target="https://ringofbrodgar.com/wiki/Garefowl_Feather" TargetMode="External"/><Relationship Id="rId133" Type="http://schemas.openxmlformats.org/officeDocument/2006/relationships/hyperlink" Target="https://ringofbrodgar.com/wiki/Horrid_Love_Dart" TargetMode="External"/><Relationship Id="rId154" Type="http://schemas.openxmlformats.org/officeDocument/2006/relationships/hyperlink" Target="https://ringofbrodgar.com/wiki/Miniature_Volcano" TargetMode="External"/><Relationship Id="rId175" Type="http://schemas.openxmlformats.org/officeDocument/2006/relationships/hyperlink" Target="https://ringofbrodgar.com/wiki/Ouroboros" TargetMode="External"/><Relationship Id="rId196" Type="http://schemas.openxmlformats.org/officeDocument/2006/relationships/hyperlink" Target="https://ringofbrodgar.com/wiki/Red_Coral" TargetMode="External"/><Relationship Id="rId200" Type="http://schemas.openxmlformats.org/officeDocument/2006/relationships/hyperlink" Target="https://ringofbrodgar.com/wiki/Reindeer_Antlers" TargetMode="External"/><Relationship Id="rId16" Type="http://schemas.openxmlformats.org/officeDocument/2006/relationships/hyperlink" Target="https://ringofbrodgar.com/wiki/Badger_Hair" TargetMode="External"/><Relationship Id="rId221" Type="http://schemas.openxmlformats.org/officeDocument/2006/relationships/hyperlink" Target="https://ringofbrodgar.com/wiki/Shiny_Marbles" TargetMode="External"/><Relationship Id="rId242" Type="http://schemas.openxmlformats.org/officeDocument/2006/relationships/hyperlink" Target="https://ringofbrodgar.com/wiki/Straw_Doll" TargetMode="External"/><Relationship Id="rId263" Type="http://schemas.openxmlformats.org/officeDocument/2006/relationships/hyperlink" Target="https://ringofbrodgar.com/wiki/Tuft_of_Squirrel%27s_Finest_Hair" TargetMode="External"/><Relationship Id="rId284" Type="http://schemas.openxmlformats.org/officeDocument/2006/relationships/hyperlink" Target="https://ringofbrodgar.com/wiki/Wood_Incorrupt" TargetMode="External"/><Relationship Id="rId37" Type="http://schemas.openxmlformats.org/officeDocument/2006/relationships/hyperlink" Target="https://ringofbrodgar.com/wiki/Bouquet_of_Flowers" TargetMode="External"/><Relationship Id="rId58" Type="http://schemas.openxmlformats.org/officeDocument/2006/relationships/hyperlink" Target="https://ringofbrodgar.com/wiki/Cigar" TargetMode="External"/><Relationship Id="rId79" Type="http://schemas.openxmlformats.org/officeDocument/2006/relationships/hyperlink" Target="https://ringofbrodgar.com/wiki/Dewy_Lady%27s_Mantle" TargetMode="External"/><Relationship Id="rId102" Type="http://schemas.openxmlformats.org/officeDocument/2006/relationships/hyperlink" Target="https://ringofbrodgar.com/wiki/Fishy_Eyeball" TargetMode="External"/><Relationship Id="rId123" Type="http://schemas.openxmlformats.org/officeDocument/2006/relationships/hyperlink" Target="https://ringofbrodgar.com/wiki/Golden_Tooth" TargetMode="External"/><Relationship Id="rId144" Type="http://schemas.openxmlformats.org/officeDocument/2006/relationships/hyperlink" Target="https://ringofbrodgar.com/wiki/Lamp_Stalk" TargetMode="External"/><Relationship Id="rId90" Type="http://schemas.openxmlformats.org/officeDocument/2006/relationships/hyperlink" Target="https://ringofbrodgar.com/wiki/Easter_Egg_(Pink)" TargetMode="External"/><Relationship Id="rId165" Type="http://schemas.openxmlformats.org/officeDocument/2006/relationships/hyperlink" Target="https://ringofbrodgar.com/wiki/Oak_Apple" TargetMode="External"/><Relationship Id="rId186" Type="http://schemas.openxmlformats.org/officeDocument/2006/relationships/hyperlink" Target="https://ringofbrodgar.com/wiki/Potent_Rod" TargetMode="External"/><Relationship Id="rId211" Type="http://schemas.openxmlformats.org/officeDocument/2006/relationships/hyperlink" Target="https://ringofbrodgar.com/wiki/Scent_Gland" TargetMode="External"/><Relationship Id="rId232" Type="http://schemas.openxmlformats.org/officeDocument/2006/relationships/hyperlink" Target="https://ringofbrodgar.com/wiki/Sponge" TargetMode="External"/><Relationship Id="rId253" Type="http://schemas.openxmlformats.org/officeDocument/2006/relationships/hyperlink" Target="https://ringofbrodgar.com/wiki/Thorny_Thistle" TargetMode="External"/><Relationship Id="rId274" Type="http://schemas.openxmlformats.org/officeDocument/2006/relationships/hyperlink" Target="https://ringofbrodgar.com/wiki/Whale_Barnacles" TargetMode="External"/><Relationship Id="rId27" Type="http://schemas.openxmlformats.org/officeDocument/2006/relationships/hyperlink" Target="https://ringofbrodgar.com/wiki/Beaver_Tail" TargetMode="External"/><Relationship Id="rId48" Type="http://schemas.openxmlformats.org/officeDocument/2006/relationships/hyperlink" Target="https://ringofbrodgar.com/wiki/Cave_Centipede" TargetMode="External"/><Relationship Id="rId69" Type="http://schemas.openxmlformats.org/officeDocument/2006/relationships/hyperlink" Target="https://ringofbrodgar.com/wiki/Cruel_Bee_Stinger" TargetMode="External"/><Relationship Id="rId113" Type="http://schemas.openxmlformats.org/officeDocument/2006/relationships/hyperlink" Target="https://ringofbrodgar.com/wiki/Gemdust" TargetMode="External"/><Relationship Id="rId134" Type="http://schemas.openxmlformats.org/officeDocument/2006/relationships/hyperlink" Target="https://ringofbrodgar.com/wiki/Irrlight" TargetMode="External"/><Relationship Id="rId80" Type="http://schemas.openxmlformats.org/officeDocument/2006/relationships/hyperlink" Target="https://ringofbrodgar.com/wiki/Diamond" TargetMode="External"/><Relationship Id="rId155" Type="http://schemas.openxmlformats.org/officeDocument/2006/relationships/hyperlink" Target="https://ringofbrodgar.com/wiki/Mirkwood_Offering" TargetMode="External"/><Relationship Id="rId176" Type="http://schemas.openxmlformats.org/officeDocument/2006/relationships/hyperlink" Target="https://ringofbrodgar.com/wiki/Oyster_Pearl" TargetMode="External"/><Relationship Id="rId197" Type="http://schemas.openxmlformats.org/officeDocument/2006/relationships/hyperlink" Target="https://ringofbrodgar.com/wiki/Red_Deer_Antlers" TargetMode="External"/><Relationship Id="rId201" Type="http://schemas.openxmlformats.org/officeDocument/2006/relationships/hyperlink" Target="https://ringofbrodgar.com/wiki/River_Pearl" TargetMode="External"/><Relationship Id="rId222" Type="http://schemas.openxmlformats.org/officeDocument/2006/relationships/hyperlink" Target="https://ringofbrodgar.com/wiki/Silken_Ribbon" TargetMode="External"/><Relationship Id="rId243" Type="http://schemas.openxmlformats.org/officeDocument/2006/relationships/hyperlink" Target="https://ringofbrodgar.com/wiki/Stuffed_Bear" TargetMode="External"/><Relationship Id="rId264" Type="http://schemas.openxmlformats.org/officeDocument/2006/relationships/hyperlink" Target="https://ringofbrodgar.com/wiki/Turquoise" TargetMode="External"/><Relationship Id="rId285" Type="http://schemas.openxmlformats.org/officeDocument/2006/relationships/hyperlink" Target="https://ringofbrodgar.com/wiki/Woodworm" TargetMode="External"/><Relationship Id="rId17" Type="http://schemas.openxmlformats.org/officeDocument/2006/relationships/hyperlink" Target="https://ringofbrodgar.com/wiki/Bar_of_Soap" TargetMode="External"/><Relationship Id="rId38" Type="http://schemas.openxmlformats.org/officeDocument/2006/relationships/hyperlink" Target="https://ringofbrodgar.com/wiki/Brimstone_Butterfly" TargetMode="External"/><Relationship Id="rId59" Type="http://schemas.openxmlformats.org/officeDocument/2006/relationships/hyperlink" Target="https://ringofbrodgar.com/wiki/Cigar_Box" TargetMode="External"/><Relationship Id="rId103" Type="http://schemas.openxmlformats.org/officeDocument/2006/relationships/hyperlink" Target="https://ringofbrodgar.com/wiki/Flipper_Bones" TargetMode="External"/><Relationship Id="rId124" Type="http://schemas.openxmlformats.org/officeDocument/2006/relationships/hyperlink" Target="https://ringofbrodgar.com/wiki/Gooseneck_Barnacle" TargetMode="External"/><Relationship Id="rId70" Type="http://schemas.openxmlformats.org/officeDocument/2006/relationships/hyperlink" Target="https://ringofbrodgar.com/wiki/Cruel_Splinter" TargetMode="External"/><Relationship Id="rId91" Type="http://schemas.openxmlformats.org/officeDocument/2006/relationships/hyperlink" Target="https://ringofbrodgar.com/wiki/Easter_Egg_(Red)" TargetMode="External"/><Relationship Id="rId145" Type="http://schemas.openxmlformats.org/officeDocument/2006/relationships/hyperlink" Target="https://ringofbrodgar.com/wiki/Lather" TargetMode="External"/><Relationship Id="rId166" Type="http://schemas.openxmlformats.org/officeDocument/2006/relationships/hyperlink" Target="https://ringofbrodgar.com/wiki/Oak_Spire" TargetMode="External"/><Relationship Id="rId187" Type="http://schemas.openxmlformats.org/officeDocument/2006/relationships/hyperlink" Target="https://ringofbrodgar.com/wiki/Precious_Snowflake" TargetMode="External"/><Relationship Id="rId1" Type="http://schemas.openxmlformats.org/officeDocument/2006/relationships/hyperlink" Target="https://ringofbrodgar.com/wiki/A_Talking_Whale" TargetMode="External"/><Relationship Id="rId212" Type="http://schemas.openxmlformats.org/officeDocument/2006/relationships/hyperlink" Target="https://ringofbrodgar.com/wiki/Scratch-Marked_Bark" TargetMode="External"/><Relationship Id="rId233" Type="http://schemas.openxmlformats.org/officeDocument/2006/relationships/hyperlink" Target="https://ringofbrodgar.com/wiki/Springtime_Bumblebee" TargetMode="External"/><Relationship Id="rId254" Type="http://schemas.openxmlformats.org/officeDocument/2006/relationships/hyperlink" Target="https://ringofbrodgar.com/wiki/Tin_Warrior" TargetMode="External"/><Relationship Id="rId28" Type="http://schemas.openxmlformats.org/officeDocument/2006/relationships/hyperlink" Target="https://ringofbrodgar.com/wiki/Beaver_Teeth" TargetMode="External"/><Relationship Id="rId49" Type="http://schemas.openxmlformats.org/officeDocument/2006/relationships/hyperlink" Target="https://ringofbrodgar.com/wiki/Cave_Coral" TargetMode="External"/><Relationship Id="rId114" Type="http://schemas.openxmlformats.org/officeDocument/2006/relationships/hyperlink" Target="https://ringofbrodgar.com/wiki/Ghost_Apple" TargetMode="External"/><Relationship Id="rId275" Type="http://schemas.openxmlformats.org/officeDocument/2006/relationships/hyperlink" Target="https://ringofbrodgar.com/wiki/Whalebone_Scrimshaw" TargetMode="External"/><Relationship Id="rId60" Type="http://schemas.openxmlformats.org/officeDocument/2006/relationships/hyperlink" Target="https://ringofbrodgar.com/wiki/Clay_Cuckoo" TargetMode="External"/><Relationship Id="rId81" Type="http://schemas.openxmlformats.org/officeDocument/2006/relationships/hyperlink" Target="https://ringofbrodgar.com/wiki/Dice" TargetMode="External"/><Relationship Id="rId135" Type="http://schemas.openxmlformats.org/officeDocument/2006/relationships/hyperlink" Target="https://ringofbrodgar.com/wiki/Itsy_Bitsy_Spider" TargetMode="External"/><Relationship Id="rId156" Type="http://schemas.openxmlformats.org/officeDocument/2006/relationships/hyperlink" Target="https://ringofbrodgar.com/wiki/Mistletoe" TargetMode="External"/><Relationship Id="rId177" Type="http://schemas.openxmlformats.org/officeDocument/2006/relationships/hyperlink" Target="https://ringofbrodgar.com/wiki/Peculiar_Flotsam" TargetMode="External"/><Relationship Id="rId198" Type="http://schemas.openxmlformats.org/officeDocument/2006/relationships/hyperlink" Target="https://ringofbrodgar.com/wiki/Reed_Ship" TargetMode="External"/><Relationship Id="rId202" Type="http://schemas.openxmlformats.org/officeDocument/2006/relationships/hyperlink" Target="https://ringofbrodgar.com/wiki/Rock_Dove_Feather" TargetMode="External"/><Relationship Id="rId223" Type="http://schemas.openxmlformats.org/officeDocument/2006/relationships/hyperlink" Target="https://ringofbrodgar.com/wiki/Silver_Rose" TargetMode="External"/><Relationship Id="rId244" Type="http://schemas.openxmlformats.org/officeDocument/2006/relationships/hyperlink" Target="https://ringofbrodgar.com/wiki/Sugar_Diamond" TargetMode="External"/><Relationship Id="rId18" Type="http://schemas.openxmlformats.org/officeDocument/2006/relationships/hyperlink" Target="https://ringofbrodgar.com/wiki/Barkboat" TargetMode="External"/><Relationship Id="rId39" Type="http://schemas.openxmlformats.org/officeDocument/2006/relationships/hyperlink" Target="https://ringofbrodgar.com/wiki/Bronze_Steed" TargetMode="External"/><Relationship Id="rId265" Type="http://schemas.openxmlformats.org/officeDocument/2006/relationships/hyperlink" Target="https://ringofbrodgar.com/wiki/Uncommon_Snapdragon" TargetMode="External"/><Relationship Id="rId286" Type="http://schemas.openxmlformats.org/officeDocument/2006/relationships/hyperlink" Target="https://ringofbrodgar.com/wiki/Worm-Eaten_Apple" TargetMode="External"/><Relationship Id="rId50" Type="http://schemas.openxmlformats.org/officeDocument/2006/relationships/hyperlink" Target="https://ringofbrodgar.com/wiki/Cave_Lantern" TargetMode="External"/><Relationship Id="rId104" Type="http://schemas.openxmlformats.org/officeDocument/2006/relationships/hyperlink" Target="https://ringofbrodgar.com/wiki/Forest_Lizard" TargetMode="External"/><Relationship Id="rId125" Type="http://schemas.openxmlformats.org/officeDocument/2006/relationships/hyperlink" Target="https://ringofbrodgar.com/wiki/Grand_Haruspex" TargetMode="External"/><Relationship Id="rId146" Type="http://schemas.openxmlformats.org/officeDocument/2006/relationships/hyperlink" Target="https://ringofbrodgar.com/wiki/Leather_Ball" TargetMode="External"/><Relationship Id="rId167" Type="http://schemas.openxmlformats.org/officeDocument/2006/relationships/hyperlink" Target="https://ringofbrodgar.com/wiki/Odd_Honeycomb" TargetMode="External"/><Relationship Id="rId188" Type="http://schemas.openxmlformats.org/officeDocument/2006/relationships/hyperlink" Target="https://ringofbrodgar.com/wiki/Primitive_Doll" TargetMode="External"/><Relationship Id="rId71" Type="http://schemas.openxmlformats.org/officeDocument/2006/relationships/hyperlink" Target="https://ringofbrodgar.com/wiki/Crying_Red_Onion" TargetMode="External"/><Relationship Id="rId92" Type="http://schemas.openxmlformats.org/officeDocument/2006/relationships/hyperlink" Target="https://ringofbrodgar.com/wiki/Edelwei%C3%9F" TargetMode="External"/><Relationship Id="rId213" Type="http://schemas.openxmlformats.org/officeDocument/2006/relationships/hyperlink" Target="https://ringofbrodgar.com/wiki/Seagull_Feather" TargetMode="External"/><Relationship Id="rId234" Type="http://schemas.openxmlformats.org/officeDocument/2006/relationships/hyperlink" Target="https://ringofbrodgar.com/wiki/Squirrel_Tail" TargetMode="External"/><Relationship Id="rId2" Type="http://schemas.openxmlformats.org/officeDocument/2006/relationships/hyperlink" Target="https://ringofbrodgar.com/wiki/Adder_Fang" TargetMode="External"/><Relationship Id="rId29" Type="http://schemas.openxmlformats.org/officeDocument/2006/relationships/hyperlink" Target="https://ringofbrodgar.com/wiki/Bee_Queen%27s_Wings" TargetMode="External"/><Relationship Id="rId255" Type="http://schemas.openxmlformats.org/officeDocument/2006/relationships/hyperlink" Target="https://ringofbrodgar.com/wiki/Tiny_Abacus" TargetMode="External"/><Relationship Id="rId276" Type="http://schemas.openxmlformats.org/officeDocument/2006/relationships/hyperlink" Target="https://ringofbrodgar.com/wiki/Whirling_Snowflake" TargetMode="External"/><Relationship Id="rId40" Type="http://schemas.openxmlformats.org/officeDocument/2006/relationships/hyperlink" Target="https://ringofbrodgar.com/wiki/Bug_Collection" TargetMode="External"/><Relationship Id="rId115" Type="http://schemas.openxmlformats.org/officeDocument/2006/relationships/hyperlink" Target="https://ringofbrodgar.com/wiki/Ghostpipe_(seed)" TargetMode="External"/><Relationship Id="rId136" Type="http://schemas.openxmlformats.org/officeDocument/2006/relationships/hyperlink" Target="https://ringofbrodgar.com/wiki/Itsy_Bitsy_Weaver" TargetMode="External"/><Relationship Id="rId157" Type="http://schemas.openxmlformats.org/officeDocument/2006/relationships/hyperlink" Target="https://ringofbrodgar.com/wiki/Mole%27s_Pawbone" TargetMode="External"/><Relationship Id="rId178" Type="http://schemas.openxmlformats.org/officeDocument/2006/relationships/hyperlink" Target="https://ringofbrodgar.com/wiki/Pelican_Feather" TargetMode="External"/><Relationship Id="rId61" Type="http://schemas.openxmlformats.org/officeDocument/2006/relationships/hyperlink" Target="https://ringofbrodgar.com/wiki/Coltsfoot" TargetMode="External"/><Relationship Id="rId82" Type="http://schemas.openxmlformats.org/officeDocument/2006/relationships/hyperlink" Target="https://ringofbrodgar.com/wiki/Disgusting_Tapeworm" TargetMode="External"/><Relationship Id="rId199" Type="http://schemas.openxmlformats.org/officeDocument/2006/relationships/hyperlink" Target="https://ringofbrodgar.com/wiki/Reed_Ship-in-a-Bottle" TargetMode="External"/><Relationship Id="rId203" Type="http://schemas.openxmlformats.org/officeDocument/2006/relationships/hyperlink" Target="https://ringofbrodgar.com/wiki/Roe_Deer_Antlers" TargetMode="External"/><Relationship Id="rId19" Type="http://schemas.openxmlformats.org/officeDocument/2006/relationships/hyperlink" Target="https://ringofbrodgar.com/wiki/Barkboat-in-a-Bottle" TargetMode="External"/><Relationship Id="rId224" Type="http://schemas.openxmlformats.org/officeDocument/2006/relationships/hyperlink" Target="https://ringofbrodgar.com/wiki/Sleighbell" TargetMode="External"/><Relationship Id="rId245" Type="http://schemas.openxmlformats.org/officeDocument/2006/relationships/hyperlink" Target="https://ringofbrodgar.com/wiki/Swan_Feather" TargetMode="External"/><Relationship Id="rId266" Type="http://schemas.openxmlformats.org/officeDocument/2006/relationships/hyperlink" Target="https://ringofbrodgar.com/wiki/Uncrushed_Husk" TargetMode="External"/><Relationship Id="rId287" Type="http://schemas.openxmlformats.org/officeDocument/2006/relationships/hyperlink" Target="https://ringofbrodgar.com/wiki/Yule_Cracker" TargetMode="External"/><Relationship Id="rId30" Type="http://schemas.openxmlformats.org/officeDocument/2006/relationships/hyperlink" Target="https://ringofbrodgar.com/wiki/Bee_Wings" TargetMode="External"/><Relationship Id="rId105" Type="http://schemas.openxmlformats.org/officeDocument/2006/relationships/hyperlink" Target="https://ringofbrodgar.com/wiki/Fossil_Collection" TargetMode="External"/><Relationship Id="rId126" Type="http://schemas.openxmlformats.org/officeDocument/2006/relationships/hyperlink" Target="https://ringofbrodgar.com/wiki/Great_Wax_Seal" TargetMode="External"/><Relationship Id="rId147" Type="http://schemas.openxmlformats.org/officeDocument/2006/relationships/hyperlink" Target="https://ringofbrodgar.com/wiki/Lucky_Rabbit%27s_Foot" TargetMode="External"/><Relationship Id="rId168" Type="http://schemas.openxmlformats.org/officeDocument/2006/relationships/hyperlink" Target="https://ringofbrodgar.com/wiki/Odd_Tuber" TargetMode="External"/><Relationship Id="rId51" Type="http://schemas.openxmlformats.org/officeDocument/2006/relationships/hyperlink" Target="https://ringofbrodgar.com/wiki/Cave_Louse_Chitin" TargetMode="External"/><Relationship Id="rId72" Type="http://schemas.openxmlformats.org/officeDocument/2006/relationships/hyperlink" Target="https://ringofbrodgar.com/wiki/Crying_Yellow_Onion" TargetMode="External"/><Relationship Id="rId93" Type="http://schemas.openxmlformats.org/officeDocument/2006/relationships/hyperlink" Target="https://ringofbrodgar.com/wiki/Elven_Lights" TargetMode="External"/><Relationship Id="rId189" Type="http://schemas.openxmlformats.org/officeDocument/2006/relationships/hyperlink" Target="https://ringofbrodgar.com/wiki/Prism" TargetMode="External"/><Relationship Id="rId3" Type="http://schemas.openxmlformats.org/officeDocument/2006/relationships/hyperlink" Target="https://ringofbrodgar.com/wiki/Amber" TargetMode="External"/><Relationship Id="rId214" Type="http://schemas.openxmlformats.org/officeDocument/2006/relationships/hyperlink" Target="https://ringofbrodgar.com/wiki/Seahorse" TargetMode="External"/><Relationship Id="rId235" Type="http://schemas.openxmlformats.org/officeDocument/2006/relationships/hyperlink" Target="https://ringofbrodgar.com/wiki/Stag_Beetle" TargetMode="External"/><Relationship Id="rId256" Type="http://schemas.openxmlformats.org/officeDocument/2006/relationships/hyperlink" Target="https://ringofbrodgar.com/wiki/Toadflax" TargetMode="External"/><Relationship Id="rId277" Type="http://schemas.openxmlformats.org/officeDocument/2006/relationships/hyperlink" Target="https://ringofbrodgar.com/wiki/Wicked_Claw" TargetMode="External"/><Relationship Id="rId116" Type="http://schemas.openxmlformats.org/officeDocument/2006/relationships/hyperlink" Target="https://ringofbrodgar.com/wiki/Gilded_Nautilus" TargetMode="External"/><Relationship Id="rId137" Type="http://schemas.openxmlformats.org/officeDocument/2006/relationships/hyperlink" Target="https://ringofbrodgar.com/wiki/Itsy_Bitsy%27s_Web" TargetMode="External"/><Relationship Id="rId158" Type="http://schemas.openxmlformats.org/officeDocument/2006/relationships/hyperlink" Target="https://ringofbrodgar.com/wiki/Monarch_Butterfly" TargetMode="External"/><Relationship Id="rId20" Type="http://schemas.openxmlformats.org/officeDocument/2006/relationships/hyperlink" Target="https://ringofbrodgar.com/wiki/Bat_Claw" TargetMode="External"/><Relationship Id="rId41" Type="http://schemas.openxmlformats.org/officeDocument/2006/relationships/hyperlink" Target="https://ringofbrodgar.com/wiki/Bullfinch_Feather" TargetMode="External"/><Relationship Id="rId62" Type="http://schemas.openxmlformats.org/officeDocument/2006/relationships/hyperlink" Target="https://ringofbrodgar.com/wiki/Common_Starfish" TargetMode="External"/><Relationship Id="rId83" Type="http://schemas.openxmlformats.org/officeDocument/2006/relationships/hyperlink" Target="https://ringofbrodgar.com/wiki/Divination_in_Lead" TargetMode="External"/><Relationship Id="rId179" Type="http://schemas.openxmlformats.org/officeDocument/2006/relationships/hyperlink" Target="https://ringofbrodgar.com/wiki/Perfect_Autumn_Leaf" TargetMode="External"/><Relationship Id="rId190" Type="http://schemas.openxmlformats.org/officeDocument/2006/relationships/hyperlink" Target="https://ringofbrodgar.com/wiki/Ptarmigan_Feather" TargetMode="External"/><Relationship Id="rId204" Type="http://schemas.openxmlformats.org/officeDocument/2006/relationships/hyperlink" Target="https://ringofbrodgar.com/wiki/Roeboat-in-a-Bottle" TargetMode="External"/><Relationship Id="rId225" Type="http://schemas.openxmlformats.org/officeDocument/2006/relationships/hyperlink" Target="https://ringofbrodgar.com/wiki/Slinky" TargetMode="External"/><Relationship Id="rId246" Type="http://schemas.openxmlformats.org/officeDocument/2006/relationships/hyperlink" Target="https://ringofbrodgar.com/wiki/Tafl_Board" TargetMode="External"/><Relationship Id="rId267" Type="http://schemas.openxmlformats.org/officeDocument/2006/relationships/hyperlink" Target="https://ringofbrodgar.com/wiki/Unfired_Hand_Impression" TargetMode="External"/><Relationship Id="rId288" Type="http://schemas.openxmlformats.org/officeDocument/2006/relationships/hyperlink" Target="https://ringofbrodgar.com/wiki/Yule_Star" TargetMode="External"/><Relationship Id="rId106" Type="http://schemas.openxmlformats.org/officeDocument/2006/relationships/hyperlink" Target="https://ringofbrodgar.com/wiki/Foul_Smoke" TargetMode="External"/><Relationship Id="rId127" Type="http://schemas.openxmlformats.org/officeDocument/2006/relationships/hyperlink" Target="https://ringofbrodgar.com/wiki/Grotesque_Tumor" TargetMode="External"/><Relationship Id="rId10" Type="http://schemas.openxmlformats.org/officeDocument/2006/relationships/hyperlink" Target="https://ringofbrodgar.com/wiki/Ant_Queen" TargetMode="External"/><Relationship Id="rId31" Type="http://schemas.openxmlformats.org/officeDocument/2006/relationships/hyperlink" Target="https://ringofbrodgar.com/wiki/Billygoat_Horn" TargetMode="External"/><Relationship Id="rId52" Type="http://schemas.openxmlformats.org/officeDocument/2006/relationships/hyperlink" Target="https://ringofbrodgar.com/wiki/Cave_Moth" TargetMode="External"/><Relationship Id="rId73" Type="http://schemas.openxmlformats.org/officeDocument/2006/relationships/hyperlink" Target="https://ringofbrodgar.com/wiki/Curious_Needle" TargetMode="External"/><Relationship Id="rId94" Type="http://schemas.openxmlformats.org/officeDocument/2006/relationships/hyperlink" Target="https://ringofbrodgar.com/wiki/Emerald" TargetMode="External"/><Relationship Id="rId148" Type="http://schemas.openxmlformats.org/officeDocument/2006/relationships/hyperlink" Target="https://ringofbrodgar.com/wiki/Lupine" TargetMode="External"/><Relationship Id="rId169" Type="http://schemas.openxmlformats.org/officeDocument/2006/relationships/hyperlink" Target="https://ringofbrodgar.com/wiki/Olive_Branch" TargetMode="External"/><Relationship Id="rId4" Type="http://schemas.openxmlformats.org/officeDocument/2006/relationships/hyperlink" Target="https://ringofbrodgar.com/wiki/Ambergris" TargetMode="External"/><Relationship Id="rId180" Type="http://schemas.openxmlformats.org/officeDocument/2006/relationships/hyperlink" Target="https://ringofbrodgar.com/wiki/Petraglyph" TargetMode="External"/><Relationship Id="rId215" Type="http://schemas.openxmlformats.org/officeDocument/2006/relationships/hyperlink" Target="https://ringofbrodgar.com/wiki/Seasponge" TargetMode="External"/><Relationship Id="rId236" Type="http://schemas.openxmlformats.org/officeDocument/2006/relationships/hyperlink" Target="https://ringofbrodgar.com/wiki/Stained_Glass_Heart" TargetMode="External"/><Relationship Id="rId257" Type="http://schemas.openxmlformats.org/officeDocument/2006/relationships/hyperlink" Target="https://ringofbrodgar.com/wiki/Topaz" TargetMode="External"/><Relationship Id="rId278" Type="http://schemas.openxmlformats.org/officeDocument/2006/relationships/hyperlink" Target="https://ringofbrodgar.com/wiki/Wildgoat_Horn" TargetMode="External"/><Relationship Id="rId42" Type="http://schemas.openxmlformats.org/officeDocument/2006/relationships/hyperlink" Target="https://ringofbrodgar.com/wiki/Cachalot_Blowhole" TargetMode="External"/><Relationship Id="rId84" Type="http://schemas.openxmlformats.org/officeDocument/2006/relationships/hyperlink" Target="https://ringofbrodgar.com/wiki/Divination_in_Tin" TargetMode="External"/><Relationship Id="rId138" Type="http://schemas.openxmlformats.org/officeDocument/2006/relationships/hyperlink" Target="https://ringofbrodgar.com/wiki/Ivory_Figurine" TargetMode="External"/><Relationship Id="rId191" Type="http://schemas.openxmlformats.org/officeDocument/2006/relationships/hyperlink" Target="https://ringofbrodgar.com/wiki/Quail_Feather" TargetMode="External"/><Relationship Id="rId205" Type="http://schemas.openxmlformats.org/officeDocument/2006/relationships/hyperlink" Target="https://ringofbrodgar.com/wiki/Royal_Toadstool" TargetMode="External"/><Relationship Id="rId247" Type="http://schemas.openxmlformats.org/officeDocument/2006/relationships/hyperlink" Target="https://ringofbrodgar.com/wiki/Tangled_Bramble" TargetMode="External"/><Relationship Id="rId107" Type="http://schemas.openxmlformats.org/officeDocument/2006/relationships/hyperlink" Target="https://ringofbrodgar.com/wiki/Four-Leaf_Clover" TargetMode="External"/><Relationship Id="rId289" Type="http://schemas.openxmlformats.org/officeDocument/2006/relationships/hyperlink" Target="https://ringofbrodgar.com/wiki/Yule_Wreath" TargetMode="External"/><Relationship Id="rId11" Type="http://schemas.openxmlformats.org/officeDocument/2006/relationships/hyperlink" Target="https://ringofbrodgar.com/wiki/Ant_Queen%27s_Wings" TargetMode="External"/><Relationship Id="rId53" Type="http://schemas.openxmlformats.org/officeDocument/2006/relationships/hyperlink" Target="https://ringofbrodgar.com/wiki/Cave_Slime" TargetMode="External"/><Relationship Id="rId149" Type="http://schemas.openxmlformats.org/officeDocument/2006/relationships/hyperlink" Target="https://ringofbrodgar.com/wiki/Lynx_Claws" TargetMode="External"/><Relationship Id="rId95" Type="http://schemas.openxmlformats.org/officeDocument/2006/relationships/hyperlink" Target="https://ringofbrodgar.com/wiki/Emerald_Dragonfly" TargetMode="External"/><Relationship Id="rId160" Type="http://schemas.openxmlformats.org/officeDocument/2006/relationships/hyperlink" Target="https://ringofbrodgar.com/wiki/Moonstone" TargetMode="External"/><Relationship Id="rId216" Type="http://schemas.openxmlformats.org/officeDocument/2006/relationships/hyperlink" Target="https://ringofbrodgar.com/wiki/Seer%27s_Bones" TargetMode="External"/><Relationship Id="rId258" Type="http://schemas.openxmlformats.org/officeDocument/2006/relationships/hyperlink" Target="https://ringofbrodgar.com/wiki/Toy_Chariot" TargetMode="External"/><Relationship Id="rId22" Type="http://schemas.openxmlformats.org/officeDocument/2006/relationships/hyperlink" Target="https://ringofbrodgar.com/wiki/Bat_Wings" TargetMode="External"/><Relationship Id="rId64" Type="http://schemas.openxmlformats.org/officeDocument/2006/relationships/hyperlink" Target="https://ringofbrodgar.com/wiki/Corndolly_Lantern" TargetMode="External"/><Relationship Id="rId118" Type="http://schemas.openxmlformats.org/officeDocument/2006/relationships/hyperlink" Target="https://ringofbrodgar.com/wiki/Glue_Troll" TargetMode="External"/><Relationship Id="rId171" Type="http://schemas.openxmlformats.org/officeDocument/2006/relationships/hyperlink" Target="https://ringofbrodgar.com/wiki/Onyx" TargetMode="External"/><Relationship Id="rId227" Type="http://schemas.openxmlformats.org/officeDocument/2006/relationships/hyperlink" Target="https://ringofbrodgar.com/wiki/Snow_Glob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hyperlink" Target="https://ringofbrodgar.com/wiki/Dragon_Helm" TargetMode="External"/><Relationship Id="rId18" Type="http://schemas.openxmlformats.org/officeDocument/2006/relationships/hyperlink" Target="https://ringofbrodgar.com/wiki/Leather_Armor" TargetMode="External"/><Relationship Id="rId26" Type="http://schemas.openxmlformats.org/officeDocument/2006/relationships/hyperlink" Target="https://ringofbrodgar.com/wiki/Plate_Greaves" TargetMode="External"/><Relationship Id="rId21" Type="http://schemas.openxmlformats.org/officeDocument/2006/relationships/hyperlink" Target="https://ringofbrodgar.com/wiki/Mammoth_Guard" TargetMode="External"/><Relationship Id="rId34" Type="http://schemas.openxmlformats.org/officeDocument/2006/relationships/hyperlink" Target="https://ringofbrodgar.com/wiki/Winged_Helmet" TargetMode="External"/><Relationship Id="rId7" Type="http://schemas.openxmlformats.org/officeDocument/2006/relationships/hyperlink" Target="https://ringofbrodgar.com/wiki/Boreworm_Mask" TargetMode="External"/><Relationship Id="rId12" Type="http://schemas.openxmlformats.org/officeDocument/2006/relationships/hyperlink" Target="https://ringofbrodgar.com/wiki/Cutthroat_Cuirass" TargetMode="External"/><Relationship Id="rId17" Type="http://schemas.openxmlformats.org/officeDocument/2006/relationships/hyperlink" Target="https://ringofbrodgar.com/wiki/Horse_Nomad%27s_Helm" TargetMode="External"/><Relationship Id="rId25" Type="http://schemas.openxmlformats.org/officeDocument/2006/relationships/hyperlink" Target="https://ringofbrodgar.com/wiki/Plate_Gauntlets" TargetMode="External"/><Relationship Id="rId33" Type="http://schemas.openxmlformats.org/officeDocument/2006/relationships/hyperlink" Target="https://ringofbrodgar.com/wiki/Whaler%27s_Jacket" TargetMode="External"/><Relationship Id="rId38" Type="http://schemas.openxmlformats.org/officeDocument/2006/relationships/printerSettings" Target="../printerSettings/printerSettings4.bin"/><Relationship Id="rId2" Type="http://schemas.openxmlformats.org/officeDocument/2006/relationships/hyperlink" Target="https://ringofbrodgar.com/wiki/Badger_Hide_Vest" TargetMode="External"/><Relationship Id="rId16" Type="http://schemas.openxmlformats.org/officeDocument/2006/relationships/hyperlink" Target="https://ringofbrodgar.com/wiki/Hirdsman%27s_Helmet" TargetMode="External"/><Relationship Id="rId20" Type="http://schemas.openxmlformats.org/officeDocument/2006/relationships/hyperlink" Target="https://ringofbrodgar.com/wiki/Leather_Pants" TargetMode="External"/><Relationship Id="rId29" Type="http://schemas.openxmlformats.org/officeDocument/2006/relationships/hyperlink" Target="https://ringofbrodgar.com/wiki/Ranger%27s_Boots" TargetMode="External"/><Relationship Id="rId1" Type="http://schemas.openxmlformats.org/officeDocument/2006/relationships/hyperlink" Target="https://ringofbrodgar.com/wiki/Armored_Striders" TargetMode="External"/><Relationship Id="rId6" Type="http://schemas.openxmlformats.org/officeDocument/2006/relationships/hyperlink" Target="https://ringofbrodgar.com/wiki/Bone_Greaves" TargetMode="External"/><Relationship Id="rId11" Type="http://schemas.openxmlformats.org/officeDocument/2006/relationships/hyperlink" Target="https://ringofbrodgar.com/wiki/Chitin_Helmet" TargetMode="External"/><Relationship Id="rId24" Type="http://schemas.openxmlformats.org/officeDocument/2006/relationships/hyperlink" Target="https://ringofbrodgar.com/wiki/Plate_Boots" TargetMode="External"/><Relationship Id="rId32" Type="http://schemas.openxmlformats.org/officeDocument/2006/relationships/hyperlink" Target="https://ringofbrodgar.com/wiki/Vapntreyiu" TargetMode="External"/><Relationship Id="rId37" Type="http://schemas.openxmlformats.org/officeDocument/2006/relationships/hyperlink" Target="https://ringofbrodgar.com/wiki/Woodland_Greaves" TargetMode="External"/><Relationship Id="rId5" Type="http://schemas.openxmlformats.org/officeDocument/2006/relationships/hyperlink" Target="https://ringofbrodgar.com/wiki/Boar_Tusk_Helmet" TargetMode="External"/><Relationship Id="rId15" Type="http://schemas.openxmlformats.org/officeDocument/2006/relationships/hyperlink" Target="https://ringofbrodgar.com/wiki/Grand_Troll_Helm" TargetMode="External"/><Relationship Id="rId23" Type="http://schemas.openxmlformats.org/officeDocument/2006/relationships/hyperlink" Target="https://ringofbrodgar.com/wiki/Plate_Armor" TargetMode="External"/><Relationship Id="rId28" Type="http://schemas.openxmlformats.org/officeDocument/2006/relationships/hyperlink" Target="https://ringofbrodgar.com/wiki/Raider%27s_Cap" TargetMode="External"/><Relationship Id="rId36" Type="http://schemas.openxmlformats.org/officeDocument/2006/relationships/hyperlink" Target="https://ringofbrodgar.com/wiki/Woodland_Cuirass" TargetMode="External"/><Relationship Id="rId10" Type="http://schemas.openxmlformats.org/officeDocument/2006/relationships/hyperlink" Target="https://ringofbrodgar.com/wiki/Chainmail_Shirt" TargetMode="External"/><Relationship Id="rId19" Type="http://schemas.openxmlformats.org/officeDocument/2006/relationships/hyperlink" Target="https://ringofbrodgar.com/wiki/Leather_Boots" TargetMode="External"/><Relationship Id="rId31" Type="http://schemas.openxmlformats.org/officeDocument/2006/relationships/hyperlink" Target="https://ringofbrodgar.com/wiki/Turtleshell_Helmet" TargetMode="External"/><Relationship Id="rId4" Type="http://schemas.openxmlformats.org/officeDocument/2006/relationships/hyperlink" Target="https://ringofbrodgar.com/wiki/Beaver_Wrist_Guards" TargetMode="External"/><Relationship Id="rId9" Type="http://schemas.openxmlformats.org/officeDocument/2006/relationships/hyperlink" Target="https://ringofbrodgar.com/wiki/Bronze_Plate" TargetMode="External"/><Relationship Id="rId14" Type="http://schemas.openxmlformats.org/officeDocument/2006/relationships/hyperlink" Target="https://ringofbrodgar.com/wiki/Druid%27s_Helm" TargetMode="External"/><Relationship Id="rId22" Type="http://schemas.openxmlformats.org/officeDocument/2006/relationships/hyperlink" Target="https://ringofbrodgar.com/wiki/Miner%27s_Helm" TargetMode="External"/><Relationship Id="rId27" Type="http://schemas.openxmlformats.org/officeDocument/2006/relationships/hyperlink" Target="https://ringofbrodgar.com/wiki/Plate_Helmet" TargetMode="External"/><Relationship Id="rId30" Type="http://schemas.openxmlformats.org/officeDocument/2006/relationships/hyperlink" Target="https://ringofbrodgar.com/wiki/Thane%27s_Helm" TargetMode="External"/><Relationship Id="rId35" Type="http://schemas.openxmlformats.org/officeDocument/2006/relationships/hyperlink" Target="https://ringofbrodgar.com/wiki/Wooden_Roundshield" TargetMode="External"/><Relationship Id="rId8" Type="http://schemas.openxmlformats.org/officeDocument/2006/relationships/hyperlink" Target="https://ringofbrodgar.com/wiki/Bronze_Helm" TargetMode="External"/><Relationship Id="rId3" Type="http://schemas.openxmlformats.org/officeDocument/2006/relationships/hyperlink" Target="https://ringofbrodgar.com/wiki/Bat_Wing"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ringofbrodgar.com/wiki/Bronze_Helm" TargetMode="External"/><Relationship Id="rId18" Type="http://schemas.openxmlformats.org/officeDocument/2006/relationships/hyperlink" Target="https://ringofbrodgar.com/wiki/Dragon_Helm" TargetMode="External"/><Relationship Id="rId26" Type="http://schemas.openxmlformats.org/officeDocument/2006/relationships/hyperlink" Target="https://ringofbrodgar.com/wiki/Mammoth_Guard" TargetMode="External"/><Relationship Id="rId39" Type="http://schemas.openxmlformats.org/officeDocument/2006/relationships/hyperlink" Target="https://ringofbrodgar.com/wiki/Winged_Helmet" TargetMode="External"/><Relationship Id="rId21" Type="http://schemas.openxmlformats.org/officeDocument/2006/relationships/hyperlink" Target="https://ringofbrodgar.com/wiki/Hirdsman%27s_Helmet" TargetMode="External"/><Relationship Id="rId34" Type="http://schemas.openxmlformats.org/officeDocument/2006/relationships/hyperlink" Target="https://ringofbrodgar.com/wiki/Ranger%27s_Boots" TargetMode="External"/><Relationship Id="rId42" Type="http://schemas.openxmlformats.org/officeDocument/2006/relationships/hyperlink" Target="https://ringofbrodgar.com/wiki/Woodland_Greaves" TargetMode="External"/><Relationship Id="rId7" Type="http://schemas.openxmlformats.org/officeDocument/2006/relationships/hyperlink" Target="https://ringofbrodgar.com/wiki/Badger_Hide_Vest" TargetMode="External"/><Relationship Id="rId2" Type="http://schemas.openxmlformats.org/officeDocument/2006/relationships/hyperlink" Target="https://ringofbrodgar.com/wiki/Property:AbsorbX" TargetMode="External"/><Relationship Id="rId16" Type="http://schemas.openxmlformats.org/officeDocument/2006/relationships/hyperlink" Target="https://ringofbrodgar.com/wiki/Chitin_Helmet" TargetMode="External"/><Relationship Id="rId20" Type="http://schemas.openxmlformats.org/officeDocument/2006/relationships/hyperlink" Target="https://ringofbrodgar.com/wiki/Grand_Troll_Helm" TargetMode="External"/><Relationship Id="rId29" Type="http://schemas.openxmlformats.org/officeDocument/2006/relationships/hyperlink" Target="https://ringofbrodgar.com/wiki/Plate_Boots" TargetMode="External"/><Relationship Id="rId41" Type="http://schemas.openxmlformats.org/officeDocument/2006/relationships/hyperlink" Target="https://ringofbrodgar.com/wiki/Woodland_Cuirass" TargetMode="External"/><Relationship Id="rId1" Type="http://schemas.openxmlformats.org/officeDocument/2006/relationships/hyperlink" Target="https://ringofbrodgar.com/wiki/Property:Armorhp" TargetMode="External"/><Relationship Id="rId6" Type="http://schemas.openxmlformats.org/officeDocument/2006/relationships/hyperlink" Target="https://ringofbrodgar.com/wiki/Armored_Striders" TargetMode="External"/><Relationship Id="rId11" Type="http://schemas.openxmlformats.org/officeDocument/2006/relationships/hyperlink" Target="https://ringofbrodgar.com/wiki/Bone_Greaves" TargetMode="External"/><Relationship Id="rId24" Type="http://schemas.openxmlformats.org/officeDocument/2006/relationships/hyperlink" Target="https://ringofbrodgar.com/wiki/Leather_Boots" TargetMode="External"/><Relationship Id="rId32" Type="http://schemas.openxmlformats.org/officeDocument/2006/relationships/hyperlink" Target="https://ringofbrodgar.com/wiki/Plate_Helmet" TargetMode="External"/><Relationship Id="rId37" Type="http://schemas.openxmlformats.org/officeDocument/2006/relationships/hyperlink" Target="https://ringofbrodgar.com/wiki/Vapntreyiu" TargetMode="External"/><Relationship Id="rId40" Type="http://schemas.openxmlformats.org/officeDocument/2006/relationships/hyperlink" Target="https://ringofbrodgar.com/wiki/Wooden_Roundshield" TargetMode="External"/><Relationship Id="rId5" Type="http://schemas.openxmlformats.org/officeDocument/2006/relationships/hyperlink" Target="https://ringofbrodgar.com/wiki/Property:Slot" TargetMode="External"/><Relationship Id="rId15" Type="http://schemas.openxmlformats.org/officeDocument/2006/relationships/hyperlink" Target="https://ringofbrodgar.com/wiki/Chainmail_Shirt" TargetMode="External"/><Relationship Id="rId23" Type="http://schemas.openxmlformats.org/officeDocument/2006/relationships/hyperlink" Target="https://ringofbrodgar.com/wiki/Leather_Armor" TargetMode="External"/><Relationship Id="rId28" Type="http://schemas.openxmlformats.org/officeDocument/2006/relationships/hyperlink" Target="https://ringofbrodgar.com/wiki/Plate_Armor" TargetMode="External"/><Relationship Id="rId36" Type="http://schemas.openxmlformats.org/officeDocument/2006/relationships/hyperlink" Target="https://ringofbrodgar.com/wiki/Turtleshell_Helmet" TargetMode="External"/><Relationship Id="rId10" Type="http://schemas.openxmlformats.org/officeDocument/2006/relationships/hyperlink" Target="https://ringofbrodgar.com/wiki/Boar_Tusk_Helmet" TargetMode="External"/><Relationship Id="rId19" Type="http://schemas.openxmlformats.org/officeDocument/2006/relationships/hyperlink" Target="https://ringofbrodgar.com/wiki/Druid%27s_Helm" TargetMode="External"/><Relationship Id="rId31" Type="http://schemas.openxmlformats.org/officeDocument/2006/relationships/hyperlink" Target="https://ringofbrodgar.com/wiki/Plate_Greaves" TargetMode="External"/><Relationship Id="rId4" Type="http://schemas.openxmlformats.org/officeDocument/2006/relationships/hyperlink" Target="https://ringofbrodgar.com/wiki/Property:StatAGI" TargetMode="External"/><Relationship Id="rId9" Type="http://schemas.openxmlformats.org/officeDocument/2006/relationships/hyperlink" Target="https://ringofbrodgar.com/wiki/Beaver_Wrist_Guards" TargetMode="External"/><Relationship Id="rId14" Type="http://schemas.openxmlformats.org/officeDocument/2006/relationships/hyperlink" Target="https://ringofbrodgar.com/wiki/Bronze_Plate" TargetMode="External"/><Relationship Id="rId22" Type="http://schemas.openxmlformats.org/officeDocument/2006/relationships/hyperlink" Target="https://ringofbrodgar.com/wiki/Horse_Nomad%27s_Helm" TargetMode="External"/><Relationship Id="rId27" Type="http://schemas.openxmlformats.org/officeDocument/2006/relationships/hyperlink" Target="https://ringofbrodgar.com/wiki/Miner%27s_Helm" TargetMode="External"/><Relationship Id="rId30" Type="http://schemas.openxmlformats.org/officeDocument/2006/relationships/hyperlink" Target="https://ringofbrodgar.com/wiki/Plate_Gauntlets" TargetMode="External"/><Relationship Id="rId35" Type="http://schemas.openxmlformats.org/officeDocument/2006/relationships/hyperlink" Target="https://ringofbrodgar.com/wiki/Thane%27s_Helm" TargetMode="External"/><Relationship Id="rId8" Type="http://schemas.openxmlformats.org/officeDocument/2006/relationships/hyperlink" Target="https://ringofbrodgar.com/wiki/Bat_Wing" TargetMode="External"/><Relationship Id="rId3" Type="http://schemas.openxmlformats.org/officeDocument/2006/relationships/hyperlink" Target="https://ringofbrodgar.com/wiki/Property:AbsorbY" TargetMode="External"/><Relationship Id="rId12" Type="http://schemas.openxmlformats.org/officeDocument/2006/relationships/hyperlink" Target="https://ringofbrodgar.com/wiki/Boreworm_Mask" TargetMode="External"/><Relationship Id="rId17" Type="http://schemas.openxmlformats.org/officeDocument/2006/relationships/hyperlink" Target="https://ringofbrodgar.com/wiki/Cutthroat_Cuirass" TargetMode="External"/><Relationship Id="rId25" Type="http://schemas.openxmlformats.org/officeDocument/2006/relationships/hyperlink" Target="https://ringofbrodgar.com/wiki/Leather_Pants" TargetMode="External"/><Relationship Id="rId33" Type="http://schemas.openxmlformats.org/officeDocument/2006/relationships/hyperlink" Target="https://ringofbrodgar.com/wiki/Raider%27s_Cap" TargetMode="External"/><Relationship Id="rId38" Type="http://schemas.openxmlformats.org/officeDocument/2006/relationships/hyperlink" Target="https://ringofbrodgar.com/wiki/Whaler%27s_Jac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19A2-D579-E04F-8E43-9C6009E823C7}">
  <dimension ref="A1:I399"/>
  <sheetViews>
    <sheetView zoomScaleNormal="100" zoomScaleSheetLayoutView="100" workbookViewId="0">
      <selection activeCell="C41" sqref="C41"/>
    </sheetView>
  </sheetViews>
  <sheetFormatPr defaultRowHeight="14.5" x14ac:dyDescent="0.35"/>
  <cols>
    <col min="1" max="1" width="21.81640625" bestFit="1" customWidth="1"/>
    <col min="2" max="2" width="34.453125" bestFit="1" customWidth="1"/>
    <col min="3" max="3" width="14.54296875" customWidth="1"/>
    <col min="4" max="4" width="13.1796875" customWidth="1"/>
    <col min="5" max="6" width="11.26953125" bestFit="1" customWidth="1"/>
    <col min="7" max="7" width="18" bestFit="1" customWidth="1"/>
    <col min="8" max="8" width="14.1796875" bestFit="1" customWidth="1"/>
    <col min="9" max="9" width="9.54296875" bestFit="1" customWidth="1"/>
  </cols>
  <sheetData>
    <row r="1" spans="1:9" ht="77.5" customHeight="1" x14ac:dyDescent="0.35">
      <c r="A1" s="55" t="s">
        <v>1122</v>
      </c>
      <c r="B1" s="74" t="s">
        <v>1226</v>
      </c>
      <c r="C1" s="74"/>
      <c r="D1" s="74"/>
      <c r="E1" s="74"/>
      <c r="F1" s="74"/>
      <c r="G1" s="74"/>
      <c r="H1" s="74"/>
      <c r="I1" s="74"/>
    </row>
    <row r="2" spans="1:9" x14ac:dyDescent="0.35">
      <c r="A2" t="s">
        <v>13</v>
      </c>
      <c r="B2" t="s">
        <v>14</v>
      </c>
      <c r="C2" t="s">
        <v>15</v>
      </c>
      <c r="D2" t="s">
        <v>16</v>
      </c>
      <c r="E2" t="s">
        <v>147</v>
      </c>
      <c r="F2" t="s">
        <v>148</v>
      </c>
      <c r="G2" t="s">
        <v>146</v>
      </c>
      <c r="H2" t="s">
        <v>71</v>
      </c>
      <c r="I2" t="s">
        <v>67</v>
      </c>
    </row>
    <row r="3" spans="1:9" x14ac:dyDescent="0.35">
      <c r="A3" t="s">
        <v>137</v>
      </c>
      <c r="B3" s="53">
        <v>40</v>
      </c>
      <c r="C3" s="54">
        <f>Table1[[#This Row],[Base]]*1.7</f>
        <v>68</v>
      </c>
      <c r="D3" t="s">
        <v>126</v>
      </c>
      <c r="E3" s="53">
        <v>10</v>
      </c>
      <c r="F3" s="53">
        <v>10</v>
      </c>
      <c r="H3" t="s">
        <v>1125</v>
      </c>
      <c r="I3">
        <f>MAX(Tools!B4,Tools!B5)</f>
        <v>312</v>
      </c>
    </row>
    <row r="4" spans="1:9" x14ac:dyDescent="0.35">
      <c r="A4" t="s">
        <v>138</v>
      </c>
      <c r="B4" s="53">
        <v>40</v>
      </c>
      <c r="C4" s="54">
        <f>Table1[[#This Row],[Base]]*1.7</f>
        <v>68</v>
      </c>
      <c r="D4" t="s">
        <v>127</v>
      </c>
      <c r="E4" s="53">
        <v>1</v>
      </c>
      <c r="F4" s="53">
        <v>1</v>
      </c>
      <c r="H4" t="s">
        <v>1126</v>
      </c>
      <c r="I4">
        <f>MAX(Tools!B2,Tools!B3)</f>
        <v>251</v>
      </c>
    </row>
    <row r="5" spans="1:9" x14ac:dyDescent="0.35">
      <c r="A5" t="s">
        <v>139</v>
      </c>
      <c r="B5" s="53">
        <v>70</v>
      </c>
      <c r="C5" s="54">
        <f>Table1[[#This Row],[Base]]*1.7</f>
        <v>119</v>
      </c>
      <c r="D5" t="s">
        <v>128</v>
      </c>
      <c r="E5" s="53">
        <v>1</v>
      </c>
      <c r="F5" s="53">
        <v>1</v>
      </c>
      <c r="H5" t="s">
        <v>1238</v>
      </c>
      <c r="I5">
        <f>(3*Tools!B14+4*Workstations!B15)/7</f>
        <v>102.57142857142857</v>
      </c>
    </row>
    <row r="6" spans="1:9" x14ac:dyDescent="0.35">
      <c r="A6" t="s">
        <v>140</v>
      </c>
      <c r="B6" s="53">
        <v>70</v>
      </c>
      <c r="C6" s="54">
        <f>Table1[[#This Row],[Base]]*1.7</f>
        <v>119</v>
      </c>
      <c r="D6" t="s">
        <v>129</v>
      </c>
      <c r="E6" s="53">
        <v>30</v>
      </c>
      <c r="F6" s="53">
        <v>60</v>
      </c>
      <c r="H6" t="s">
        <v>1127</v>
      </c>
      <c r="I6">
        <f>AVERAGE(Workstations!B4,Input!B18)</f>
        <v>136.5</v>
      </c>
    </row>
    <row r="7" spans="1:9" x14ac:dyDescent="0.35">
      <c r="A7" t="s">
        <v>141</v>
      </c>
      <c r="B7" s="53">
        <v>70</v>
      </c>
      <c r="C7" s="54">
        <f>Table1[[#This Row],[Base]]*1.7</f>
        <v>119</v>
      </c>
      <c r="D7" t="s">
        <v>130</v>
      </c>
      <c r="E7" s="53">
        <v>5</v>
      </c>
      <c r="F7" s="53">
        <v>10</v>
      </c>
      <c r="H7" t="s">
        <v>1172</v>
      </c>
      <c r="I7">
        <f ca="1">GEOMEAN(MAX(Tools!B4,Tools!B5),Input!B32)</f>
        <v>231.65491576912413</v>
      </c>
    </row>
    <row r="8" spans="1:9" x14ac:dyDescent="0.35">
      <c r="A8" t="s">
        <v>142</v>
      </c>
      <c r="B8" s="53">
        <v>40</v>
      </c>
      <c r="C8" s="54">
        <f>Table1[[#This Row],[Base]]*1.7</f>
        <v>68</v>
      </c>
      <c r="D8" t="s">
        <v>131</v>
      </c>
      <c r="E8" s="53">
        <v>40</v>
      </c>
      <c r="F8" s="53">
        <v>80</v>
      </c>
    </row>
    <row r="9" spans="1:9" x14ac:dyDescent="0.35">
      <c r="A9" t="s">
        <v>143</v>
      </c>
      <c r="B9" s="53">
        <v>40</v>
      </c>
      <c r="C9" s="54">
        <f>Table1[[#This Row],[Base]]*1.7</f>
        <v>68</v>
      </c>
      <c r="D9" t="s">
        <v>132</v>
      </c>
      <c r="E9" s="53">
        <v>1</v>
      </c>
      <c r="F9" s="53">
        <v>1</v>
      </c>
    </row>
    <row r="10" spans="1:9" x14ac:dyDescent="0.35">
      <c r="A10" t="s">
        <v>144</v>
      </c>
      <c r="B10" s="53">
        <v>40</v>
      </c>
      <c r="C10" s="54">
        <f>Table1[[#This Row],[Base]]*1.7</f>
        <v>68</v>
      </c>
      <c r="D10" t="s">
        <v>133</v>
      </c>
      <c r="E10" s="53">
        <v>5</v>
      </c>
      <c r="F10" s="53">
        <v>5</v>
      </c>
    </row>
    <row r="11" spans="1:9" x14ac:dyDescent="0.35">
      <c r="A11" t="s">
        <v>145</v>
      </c>
      <c r="B11" s="53">
        <v>12</v>
      </c>
      <c r="C11" s="54">
        <f>Table1[[#This Row],[Base]]*1.7</f>
        <v>20.399999999999999</v>
      </c>
      <c r="D11" t="s">
        <v>134</v>
      </c>
      <c r="E11" s="53">
        <v>5</v>
      </c>
      <c r="F11" s="53">
        <v>5</v>
      </c>
    </row>
    <row r="12" spans="1:9" ht="31.5" x14ac:dyDescent="0.65">
      <c r="A12" s="4"/>
      <c r="B12" s="5"/>
      <c r="C12" s="6">
        <f>Table1[[#This Row],[Base]]*1.7</f>
        <v>0</v>
      </c>
      <c r="D12" t="s">
        <v>111</v>
      </c>
      <c r="E12" s="53">
        <v>30</v>
      </c>
      <c r="F12" s="53">
        <v>60</v>
      </c>
    </row>
    <row r="13" spans="1:9" x14ac:dyDescent="0.35">
      <c r="A13" s="5"/>
      <c r="B13" s="5"/>
      <c r="C13" s="6">
        <f>Table1[[#This Row],[Base]]*1.7</f>
        <v>0</v>
      </c>
      <c r="D13" t="s">
        <v>109</v>
      </c>
      <c r="E13" s="53">
        <v>70</v>
      </c>
      <c r="F13" s="53">
        <v>110</v>
      </c>
    </row>
    <row r="14" spans="1:9" x14ac:dyDescent="0.35">
      <c r="A14" s="5"/>
      <c r="B14" s="5"/>
      <c r="C14" s="6">
        <f>Table1[[#This Row],[Base]]*1.7</f>
        <v>0</v>
      </c>
      <c r="D14" t="s">
        <v>135</v>
      </c>
      <c r="E14" s="53">
        <v>30</v>
      </c>
      <c r="F14" s="53">
        <v>60</v>
      </c>
    </row>
    <row r="15" spans="1:9" x14ac:dyDescent="0.35">
      <c r="A15" s="5"/>
      <c r="B15" s="5"/>
      <c r="C15" s="6">
        <f>Table1[[#This Row],[Base]]*1.7</f>
        <v>0</v>
      </c>
      <c r="D15" t="s">
        <v>136</v>
      </c>
      <c r="E15" s="53">
        <v>10</v>
      </c>
      <c r="F15" s="53">
        <v>20</v>
      </c>
    </row>
    <row r="16" spans="1:9" ht="52" x14ac:dyDescent="0.6">
      <c r="A16" s="8" t="s">
        <v>149</v>
      </c>
      <c r="B16" s="9"/>
      <c r="C16" s="1">
        <f>Table1[[#This Row],[Base]]*1.7</f>
        <v>0</v>
      </c>
      <c r="D16" s="10"/>
      <c r="E16" s="9"/>
      <c r="F16" s="9"/>
      <c r="G16" s="9"/>
    </row>
    <row r="17" spans="1:7" ht="31.5" customHeight="1" x14ac:dyDescent="0.35">
      <c r="A17" s="11" t="s">
        <v>1</v>
      </c>
      <c r="B17" s="11" t="s">
        <v>67</v>
      </c>
      <c r="C17" s="11" t="s">
        <v>152</v>
      </c>
      <c r="D17" s="2" t="s">
        <v>1347</v>
      </c>
      <c r="E17" s="11" t="s">
        <v>1123</v>
      </c>
    </row>
    <row r="18" spans="1:7" x14ac:dyDescent="0.35">
      <c r="A18" s="12" t="s">
        <v>151</v>
      </c>
      <c r="B18" s="63">
        <v>101</v>
      </c>
      <c r="C18" s="12" t="s">
        <v>153</v>
      </c>
      <c r="E18" s="12"/>
      <c r="G18" s="7"/>
    </row>
    <row r="19" spans="1:7" x14ac:dyDescent="0.35">
      <c r="A19" s="12" t="s">
        <v>359</v>
      </c>
      <c r="B19" s="63">
        <v>10</v>
      </c>
      <c r="C19" s="12" t="s">
        <v>153</v>
      </c>
      <c r="E19" s="12"/>
      <c r="G19" s="7"/>
    </row>
    <row r="20" spans="1:7" x14ac:dyDescent="0.35">
      <c r="A20" s="12" t="s">
        <v>360</v>
      </c>
      <c r="B20" s="63">
        <v>50</v>
      </c>
      <c r="C20" s="12" t="s">
        <v>153</v>
      </c>
      <c r="E20" s="12"/>
      <c r="G20" s="7"/>
    </row>
    <row r="21" spans="1:7" x14ac:dyDescent="0.35">
      <c r="A21" s="12" t="s">
        <v>306</v>
      </c>
      <c r="B21" s="63">
        <v>50</v>
      </c>
      <c r="C21" s="12" t="s">
        <v>153</v>
      </c>
      <c r="E21" s="12"/>
      <c r="G21" s="7"/>
    </row>
    <row r="22" spans="1:7" x14ac:dyDescent="0.35">
      <c r="A22" s="12" t="s">
        <v>158</v>
      </c>
      <c r="B22" s="63">
        <v>165</v>
      </c>
      <c r="C22" s="12" t="s">
        <v>153</v>
      </c>
      <c r="D22" cm="1">
        <f t="array" aca="1" ref="D22" ca="1">MAX(IF((C2:C493="Stone"), B2:B493))</f>
        <v>155</v>
      </c>
      <c r="E22" s="12"/>
      <c r="G22" s="7"/>
    </row>
    <row r="23" spans="1:7" x14ac:dyDescent="0.35">
      <c r="A23" s="12" t="s">
        <v>346</v>
      </c>
      <c r="B23" s="63">
        <v>35</v>
      </c>
      <c r="C23" s="12" t="s">
        <v>153</v>
      </c>
      <c r="E23" s="12"/>
      <c r="G23" s="7"/>
    </row>
    <row r="24" spans="1:7" ht="29" x14ac:dyDescent="0.35">
      <c r="A24" s="12" t="s">
        <v>347</v>
      </c>
      <c r="B24" s="63">
        <v>30</v>
      </c>
      <c r="C24" s="12" t="s">
        <v>1227</v>
      </c>
      <c r="D24">
        <f>Table2[[#This Row],[Quality]]*1.25</f>
        <v>37.5</v>
      </c>
      <c r="E24" s="12"/>
      <c r="G24" s="7"/>
    </row>
    <row r="25" spans="1:7" ht="29" x14ac:dyDescent="0.35">
      <c r="A25" s="12" t="s">
        <v>348</v>
      </c>
      <c r="B25" s="63">
        <v>40</v>
      </c>
      <c r="C25" s="12" t="s">
        <v>1228</v>
      </c>
      <c r="D25">
        <f>Table2[[#This Row],[Quality]]*1.1</f>
        <v>44</v>
      </c>
      <c r="E25" s="12"/>
      <c r="G25" s="7"/>
    </row>
    <row r="26" spans="1:7" x14ac:dyDescent="0.35">
      <c r="A26" s="12" t="s">
        <v>349</v>
      </c>
      <c r="B26" s="63">
        <v>49</v>
      </c>
      <c r="C26" s="12" t="s">
        <v>153</v>
      </c>
      <c r="E26" s="12"/>
      <c r="G26" s="7"/>
    </row>
    <row r="27" spans="1:7" x14ac:dyDescent="0.35">
      <c r="A27" s="12" t="s">
        <v>350</v>
      </c>
      <c r="B27" s="63">
        <v>20</v>
      </c>
      <c r="C27" s="12" t="s">
        <v>153</v>
      </c>
      <c r="E27" s="12"/>
      <c r="G27" s="7"/>
    </row>
    <row r="28" spans="1:7" x14ac:dyDescent="0.35">
      <c r="A28" s="12" t="s">
        <v>284</v>
      </c>
      <c r="B28" s="63">
        <v>30</v>
      </c>
      <c r="C28" s="12" t="s">
        <v>153</v>
      </c>
      <c r="E28" s="12"/>
      <c r="G28" s="7"/>
    </row>
    <row r="29" spans="1:7" x14ac:dyDescent="0.35">
      <c r="A29" s="12" t="s">
        <v>285</v>
      </c>
      <c r="B29" s="63">
        <v>30</v>
      </c>
      <c r="C29" s="12" t="s">
        <v>153</v>
      </c>
      <c r="E29" s="12"/>
      <c r="G29" s="7"/>
    </row>
    <row r="30" spans="1:7" x14ac:dyDescent="0.35">
      <c r="A30" s="12" t="s">
        <v>1212</v>
      </c>
      <c r="B30" s="64">
        <f>MAX(Products!B40,Products!B38,Products!B39)</f>
        <v>130</v>
      </c>
      <c r="C30" s="12" t="s">
        <v>153</v>
      </c>
      <c r="D30" s="15">
        <f>MAX(Products!B40,Products!B38,Products!B39)</f>
        <v>130</v>
      </c>
      <c r="E30" s="12"/>
      <c r="G30" s="7"/>
    </row>
    <row r="31" spans="1:7" x14ac:dyDescent="0.35">
      <c r="A31" s="12" t="s">
        <v>1211</v>
      </c>
      <c r="B31" s="64">
        <f>MAX(Products!B35,Products!B36,Products!B33,Products!B32)</f>
        <v>128</v>
      </c>
      <c r="C31" s="12" t="s">
        <v>153</v>
      </c>
      <c r="D31" s="15">
        <f>MAX(Products!B35,Products!B36,Products!B33,Products!B32)</f>
        <v>128</v>
      </c>
      <c r="E31" s="12"/>
      <c r="G31" s="7"/>
    </row>
    <row r="32" spans="1:7" ht="29" x14ac:dyDescent="0.35">
      <c r="A32" s="12" t="s">
        <v>971</v>
      </c>
      <c r="B32" s="63" cm="1">
        <f t="array" aca="1" ref="B32" ca="1">MAX(IF((C2:C493="Tree"), B2:B493))</f>
        <v>172</v>
      </c>
      <c r="C32" s="12" t="s">
        <v>1205</v>
      </c>
      <c r="D32">
        <f ca="1">1/25*(2*Products!B2+2*Input!B18+3*Tools!B22+3*Workstations!B24+15*Table2[[#This Row],[Quality]])+5</f>
        <v>179.56</v>
      </c>
      <c r="E32" s="12"/>
      <c r="G32" s="7"/>
    </row>
    <row r="33" spans="1:7" x14ac:dyDescent="0.35">
      <c r="A33" s="12" t="s">
        <v>972</v>
      </c>
      <c r="B33" s="63">
        <v>80</v>
      </c>
      <c r="C33" s="12" t="s">
        <v>165</v>
      </c>
      <c r="E33" s="12"/>
      <c r="G33" s="7"/>
    </row>
    <row r="34" spans="1:7" x14ac:dyDescent="0.35">
      <c r="A34" s="12" t="s">
        <v>1176</v>
      </c>
      <c r="B34" s="64">
        <f ca="1">MAX(B24:B29,Products!B41:B44)</f>
        <v>113.92957631409369</v>
      </c>
      <c r="C34" s="12" t="s">
        <v>1206</v>
      </c>
      <c r="E34" s="12"/>
      <c r="G34" s="7"/>
    </row>
    <row r="35" spans="1:7" x14ac:dyDescent="0.35">
      <c r="A35" s="12" t="s">
        <v>1204</v>
      </c>
      <c r="B35" s="64" cm="1">
        <f t="array" aca="1" ref="B35" ca="1">MAX(IF((A2:A493="Barley")+(A2:A493="Wheat")+(A2:A493="Millet"), B2:B493))</f>
        <v>257</v>
      </c>
      <c r="C35" s="12" t="s">
        <v>1206</v>
      </c>
      <c r="E35" s="12"/>
      <c r="G35" s="7"/>
    </row>
    <row r="36" spans="1:7" x14ac:dyDescent="0.35">
      <c r="A36" s="12" t="s">
        <v>1344</v>
      </c>
      <c r="B36" s="64" cm="1">
        <f t="array" aca="1" ref="B36" ca="1">MAX(IF((A2:A493="Hemp")+(A2:A493="Flax"), B2:B493))</f>
        <v>243</v>
      </c>
      <c r="C36" s="12" t="s">
        <v>1206</v>
      </c>
      <c r="E36" s="12"/>
      <c r="G36" s="7"/>
    </row>
    <row r="37" spans="1:7" x14ac:dyDescent="0.35">
      <c r="A37" s="12" t="s">
        <v>1237</v>
      </c>
      <c r="B37" s="64" cm="1">
        <f t="array" aca="1" ref="B37" ca="1">MAX(IF(Input!A2:A492="Highest Tree",Input!B2:B492))</f>
        <v>172</v>
      </c>
      <c r="C37" s="12"/>
      <c r="E37" s="12"/>
      <c r="G37" s="7"/>
    </row>
    <row r="38" spans="1:7" x14ac:dyDescent="0.35">
      <c r="A38" s="12" t="s">
        <v>966</v>
      </c>
      <c r="B38" s="63">
        <v>44</v>
      </c>
      <c r="C38" s="12" t="s">
        <v>165</v>
      </c>
      <c r="E38" s="12"/>
      <c r="G38" s="7"/>
    </row>
    <row r="39" spans="1:7" x14ac:dyDescent="0.35">
      <c r="A39" s="12" t="s">
        <v>1003</v>
      </c>
      <c r="B39" s="63">
        <f>MAX(B202,B208,B227,B229,B233,B242,B258,B264,B266,B279)</f>
        <v>144</v>
      </c>
      <c r="C39" s="12" t="s">
        <v>1109</v>
      </c>
      <c r="E39" s="12"/>
      <c r="G39" s="7"/>
    </row>
    <row r="40" spans="1:7" x14ac:dyDescent="0.35">
      <c r="A40" s="12" t="s">
        <v>160</v>
      </c>
      <c r="B40" s="63">
        <v>140</v>
      </c>
      <c r="C40" s="12" t="s">
        <v>165</v>
      </c>
      <c r="E40" s="12"/>
      <c r="G40" s="7"/>
    </row>
    <row r="41" spans="1:7" x14ac:dyDescent="0.35">
      <c r="A41" s="12" t="s">
        <v>1345</v>
      </c>
      <c r="B41" s="63">
        <f ca="1">_xlfn.MAXIFS(Input!B2:B493, Input!D2:D493,"*Finebone*")</f>
        <v>96</v>
      </c>
      <c r="C41" s="12"/>
      <c r="E41" s="12"/>
      <c r="G41" s="7"/>
    </row>
    <row r="42" spans="1:7" x14ac:dyDescent="0.35">
      <c r="A42" s="12" t="s">
        <v>370</v>
      </c>
      <c r="B42" s="12">
        <v>78</v>
      </c>
      <c r="C42" s="12" t="s">
        <v>165</v>
      </c>
      <c r="E42" s="12"/>
      <c r="G42" s="7"/>
    </row>
    <row r="43" spans="1:7" x14ac:dyDescent="0.35">
      <c r="A43" s="12" t="s">
        <v>373</v>
      </c>
      <c r="B43" s="12">
        <v>78</v>
      </c>
      <c r="C43" s="12" t="s">
        <v>165</v>
      </c>
      <c r="E43" s="12"/>
      <c r="G43" s="7"/>
    </row>
    <row r="44" spans="1:7" x14ac:dyDescent="0.35">
      <c r="A44" s="12" t="s">
        <v>374</v>
      </c>
      <c r="B44" s="12">
        <v>78</v>
      </c>
      <c r="C44" s="12" t="s">
        <v>165</v>
      </c>
      <c r="E44" s="12"/>
      <c r="G44" s="7"/>
    </row>
    <row r="45" spans="1:7" x14ac:dyDescent="0.35">
      <c r="A45" s="12" t="s">
        <v>382</v>
      </c>
      <c r="B45" s="12">
        <v>60</v>
      </c>
      <c r="C45" s="12" t="s">
        <v>165</v>
      </c>
      <c r="E45" s="12"/>
      <c r="G45" s="7"/>
    </row>
    <row r="46" spans="1:7" x14ac:dyDescent="0.35">
      <c r="A46" s="12" t="s">
        <v>385</v>
      </c>
      <c r="B46" s="12">
        <v>92</v>
      </c>
      <c r="C46" s="12" t="s">
        <v>165</v>
      </c>
      <c r="E46" s="12"/>
      <c r="G46" s="7"/>
    </row>
    <row r="47" spans="1:7" x14ac:dyDescent="0.35">
      <c r="A47" s="12" t="s">
        <v>161</v>
      </c>
      <c r="B47" s="12">
        <v>30</v>
      </c>
      <c r="C47" s="12" t="s">
        <v>153</v>
      </c>
      <c r="E47" s="12"/>
      <c r="G47" s="7"/>
    </row>
    <row r="48" spans="1:7" x14ac:dyDescent="0.35">
      <c r="A48" s="12" t="s">
        <v>162</v>
      </c>
      <c r="B48" s="12">
        <v>30</v>
      </c>
      <c r="C48" s="12" t="s">
        <v>163</v>
      </c>
      <c r="E48" s="12"/>
      <c r="G48" s="7"/>
    </row>
    <row r="49" spans="1:7" x14ac:dyDescent="0.35">
      <c r="A49" s="12" t="s">
        <v>164</v>
      </c>
      <c r="B49" s="12">
        <v>50</v>
      </c>
      <c r="C49" s="12" t="s">
        <v>165</v>
      </c>
      <c r="E49" s="12"/>
      <c r="G49" s="7"/>
    </row>
    <row r="50" spans="1:7" x14ac:dyDescent="0.35">
      <c r="A50" s="12" t="s">
        <v>166</v>
      </c>
      <c r="B50" s="12">
        <v>36</v>
      </c>
      <c r="C50" s="12" t="s">
        <v>165</v>
      </c>
      <c r="E50" s="12"/>
      <c r="G50" s="7"/>
    </row>
    <row r="51" spans="1:7" hidden="1" x14ac:dyDescent="0.35">
      <c r="A51" s="12" t="s">
        <v>170</v>
      </c>
      <c r="B51" s="12">
        <v>60</v>
      </c>
      <c r="C51" s="12" t="s">
        <v>158</v>
      </c>
      <c r="E51" s="12"/>
    </row>
    <row r="52" spans="1:7" hidden="1" x14ac:dyDescent="0.35">
      <c r="A52" s="12" t="s">
        <v>171</v>
      </c>
      <c r="B52" s="12">
        <v>60</v>
      </c>
      <c r="C52" s="12" t="s">
        <v>158</v>
      </c>
      <c r="E52" s="12"/>
    </row>
    <row r="53" spans="1:7" hidden="1" x14ac:dyDescent="0.35">
      <c r="A53" s="12" t="s">
        <v>172</v>
      </c>
      <c r="B53" s="12">
        <v>60</v>
      </c>
      <c r="C53" s="12" t="s">
        <v>158</v>
      </c>
      <c r="E53" s="12"/>
    </row>
    <row r="54" spans="1:7" ht="43.5" x14ac:dyDescent="0.35">
      <c r="A54" s="12" t="s">
        <v>159</v>
      </c>
      <c r="B54" s="12">
        <v>60</v>
      </c>
      <c r="C54" s="12" t="s">
        <v>158</v>
      </c>
      <c r="E54" s="12" t="s">
        <v>1232</v>
      </c>
    </row>
    <row r="55" spans="1:7" hidden="1" x14ac:dyDescent="0.35">
      <c r="A55" s="12" t="s">
        <v>173</v>
      </c>
      <c r="B55" s="12">
        <v>60</v>
      </c>
      <c r="C55" s="12" t="s">
        <v>158</v>
      </c>
      <c r="E55" s="12"/>
    </row>
    <row r="56" spans="1:7" x14ac:dyDescent="0.35">
      <c r="A56" s="12" t="s">
        <v>174</v>
      </c>
      <c r="B56" s="12">
        <v>110</v>
      </c>
      <c r="C56" s="12" t="s">
        <v>158</v>
      </c>
      <c r="E56" s="12"/>
      <c r="G56" t="s">
        <v>169</v>
      </c>
    </row>
    <row r="57" spans="1:7" hidden="1" x14ac:dyDescent="0.35">
      <c r="A57" s="12" t="s">
        <v>175</v>
      </c>
      <c r="B57" s="12">
        <v>60</v>
      </c>
      <c r="C57" s="12" t="s">
        <v>158</v>
      </c>
      <c r="E57" s="12"/>
    </row>
    <row r="58" spans="1:7" hidden="1" x14ac:dyDescent="0.35">
      <c r="A58" s="12" t="s">
        <v>176</v>
      </c>
      <c r="B58" s="12">
        <v>60</v>
      </c>
      <c r="C58" s="12" t="s">
        <v>158</v>
      </c>
      <c r="E58" s="12"/>
    </row>
    <row r="59" spans="1:7" x14ac:dyDescent="0.35">
      <c r="A59" s="12" t="s">
        <v>177</v>
      </c>
      <c r="B59" s="12">
        <v>60</v>
      </c>
      <c r="C59" s="12" t="s">
        <v>158</v>
      </c>
      <c r="E59" s="12"/>
    </row>
    <row r="60" spans="1:7" x14ac:dyDescent="0.35">
      <c r="A60" s="12" t="s">
        <v>178</v>
      </c>
      <c r="B60" s="12">
        <v>60</v>
      </c>
      <c r="C60" s="12" t="s">
        <v>158</v>
      </c>
      <c r="E60" s="12"/>
    </row>
    <row r="61" spans="1:7" x14ac:dyDescent="0.35">
      <c r="A61" s="12" t="s">
        <v>179</v>
      </c>
      <c r="B61" s="12">
        <v>60</v>
      </c>
      <c r="C61" s="12" t="s">
        <v>158</v>
      </c>
      <c r="E61" s="12"/>
    </row>
    <row r="62" spans="1:7" x14ac:dyDescent="0.35">
      <c r="A62" s="12" t="s">
        <v>180</v>
      </c>
      <c r="B62" s="12">
        <v>140</v>
      </c>
      <c r="C62" s="12" t="s">
        <v>158</v>
      </c>
      <c r="E62" s="12" t="s">
        <v>1233</v>
      </c>
    </row>
    <row r="63" spans="1:7" x14ac:dyDescent="0.35">
      <c r="A63" s="12" t="s">
        <v>181</v>
      </c>
      <c r="B63" s="12">
        <v>60</v>
      </c>
      <c r="C63" s="12" t="s">
        <v>158</v>
      </c>
      <c r="E63" s="12"/>
    </row>
    <row r="64" spans="1:7" ht="29" x14ac:dyDescent="0.35">
      <c r="A64" s="12" t="s">
        <v>182</v>
      </c>
      <c r="B64" s="12">
        <v>120</v>
      </c>
      <c r="C64" s="12" t="s">
        <v>158</v>
      </c>
      <c r="E64" s="12" t="s">
        <v>1234</v>
      </c>
    </row>
    <row r="65" spans="1:5" x14ac:dyDescent="0.35">
      <c r="A65" s="12" t="s">
        <v>183</v>
      </c>
      <c r="B65" s="12">
        <v>90</v>
      </c>
      <c r="C65" s="12" t="s">
        <v>158</v>
      </c>
      <c r="E65" s="12" t="s">
        <v>352</v>
      </c>
    </row>
    <row r="66" spans="1:5" x14ac:dyDescent="0.35">
      <c r="A66" s="12" t="s">
        <v>184</v>
      </c>
      <c r="B66" s="12">
        <v>60</v>
      </c>
      <c r="C66" s="12" t="s">
        <v>158</v>
      </c>
      <c r="E66" s="12"/>
    </row>
    <row r="67" spans="1:5" x14ac:dyDescent="0.35">
      <c r="A67" s="12" t="s">
        <v>185</v>
      </c>
      <c r="B67" s="12">
        <v>60</v>
      </c>
      <c r="C67" s="12" t="s">
        <v>158</v>
      </c>
      <c r="E67" s="12" t="s">
        <v>554</v>
      </c>
    </row>
    <row r="68" spans="1:5" ht="29" x14ac:dyDescent="0.35">
      <c r="A68" s="12" t="s">
        <v>186</v>
      </c>
      <c r="B68" s="12">
        <v>95</v>
      </c>
      <c r="C68" s="12" t="s">
        <v>158</v>
      </c>
      <c r="E68" s="12" t="s">
        <v>1229</v>
      </c>
    </row>
    <row r="69" spans="1:5" x14ac:dyDescent="0.35">
      <c r="A69" s="12" t="s">
        <v>187</v>
      </c>
      <c r="B69" s="12">
        <v>60</v>
      </c>
      <c r="C69" s="12" t="s">
        <v>158</v>
      </c>
      <c r="E69" s="12"/>
    </row>
    <row r="70" spans="1:5" x14ac:dyDescent="0.35">
      <c r="A70" s="12" t="s">
        <v>188</v>
      </c>
      <c r="B70" s="12">
        <v>143</v>
      </c>
      <c r="C70" s="12" t="s">
        <v>158</v>
      </c>
      <c r="E70" s="12"/>
    </row>
    <row r="71" spans="1:5" x14ac:dyDescent="0.35">
      <c r="A71" s="12" t="s">
        <v>189</v>
      </c>
      <c r="B71" s="12">
        <v>90</v>
      </c>
      <c r="C71" s="12" t="s">
        <v>158</v>
      </c>
      <c r="E71" s="12"/>
    </row>
    <row r="72" spans="1:5" x14ac:dyDescent="0.35">
      <c r="A72" s="12" t="s">
        <v>190</v>
      </c>
      <c r="B72" s="12">
        <v>60</v>
      </c>
      <c r="C72" s="12" t="s">
        <v>158</v>
      </c>
      <c r="E72" s="12"/>
    </row>
    <row r="73" spans="1:5" x14ac:dyDescent="0.35">
      <c r="A73" s="12" t="s">
        <v>191</v>
      </c>
      <c r="B73" s="12">
        <v>60</v>
      </c>
      <c r="C73" s="12" t="s">
        <v>158</v>
      </c>
      <c r="E73" s="12"/>
    </row>
    <row r="74" spans="1:5" x14ac:dyDescent="0.35">
      <c r="A74" s="12" t="s">
        <v>192</v>
      </c>
      <c r="B74" s="12">
        <v>60</v>
      </c>
      <c r="C74" s="12" t="s">
        <v>158</v>
      </c>
      <c r="E74" s="12"/>
    </row>
    <row r="75" spans="1:5" x14ac:dyDescent="0.35">
      <c r="A75" s="12" t="s">
        <v>193</v>
      </c>
      <c r="B75" s="12">
        <v>60</v>
      </c>
      <c r="C75" s="12" t="s">
        <v>158</v>
      </c>
      <c r="E75" s="12"/>
    </row>
    <row r="76" spans="1:5" x14ac:dyDescent="0.35">
      <c r="A76" s="12" t="s">
        <v>194</v>
      </c>
      <c r="B76" s="12">
        <v>60</v>
      </c>
      <c r="C76" s="12" t="s">
        <v>158</v>
      </c>
      <c r="E76" s="12"/>
    </row>
    <row r="77" spans="1:5" ht="12.75" customHeight="1" x14ac:dyDescent="0.35">
      <c r="A77" s="12" t="s">
        <v>195</v>
      </c>
      <c r="B77" s="12">
        <v>155</v>
      </c>
      <c r="C77" s="12" t="s">
        <v>158</v>
      </c>
      <c r="E77" s="12"/>
    </row>
    <row r="78" spans="1:5" ht="12.75" customHeight="1" x14ac:dyDescent="0.35">
      <c r="A78" s="12" t="s">
        <v>196</v>
      </c>
      <c r="B78" s="12">
        <v>60</v>
      </c>
      <c r="C78" s="12" t="s">
        <v>158</v>
      </c>
      <c r="E78" s="12"/>
    </row>
    <row r="79" spans="1:5" x14ac:dyDescent="0.35">
      <c r="A79" s="12" t="s">
        <v>197</v>
      </c>
      <c r="B79" s="12">
        <v>60</v>
      </c>
      <c r="C79" s="12" t="s">
        <v>158</v>
      </c>
      <c r="E79" s="12"/>
    </row>
    <row r="80" spans="1:5" x14ac:dyDescent="0.35">
      <c r="A80" s="12" t="s">
        <v>198</v>
      </c>
      <c r="B80" s="12">
        <v>60</v>
      </c>
      <c r="C80" s="12" t="s">
        <v>158</v>
      </c>
      <c r="E80" s="12"/>
    </row>
    <row r="81" spans="1:5" x14ac:dyDescent="0.35">
      <c r="A81" s="12" t="s">
        <v>199</v>
      </c>
      <c r="B81" s="12">
        <v>60</v>
      </c>
      <c r="C81" s="12" t="s">
        <v>158</v>
      </c>
      <c r="E81" s="12"/>
    </row>
    <row r="82" spans="1:5" x14ac:dyDescent="0.35">
      <c r="A82" s="12" t="s">
        <v>200</v>
      </c>
      <c r="B82" s="12">
        <v>60</v>
      </c>
      <c r="C82" s="12" t="s">
        <v>158</v>
      </c>
      <c r="E82" s="12"/>
    </row>
    <row r="83" spans="1:5" x14ac:dyDescent="0.35">
      <c r="A83" s="12" t="s">
        <v>201</v>
      </c>
      <c r="B83" s="12">
        <v>60</v>
      </c>
      <c r="C83" s="12" t="s">
        <v>158</v>
      </c>
      <c r="E83" s="12"/>
    </row>
    <row r="84" spans="1:5" x14ac:dyDescent="0.35">
      <c r="A84" s="12" t="s">
        <v>202</v>
      </c>
      <c r="B84" s="12">
        <v>90</v>
      </c>
      <c r="C84" s="12" t="s">
        <v>158</v>
      </c>
      <c r="E84" s="12" t="s">
        <v>618</v>
      </c>
    </row>
    <row r="85" spans="1:5" x14ac:dyDescent="0.35">
      <c r="A85" s="12" t="s">
        <v>203</v>
      </c>
      <c r="B85" s="12">
        <v>60</v>
      </c>
      <c r="C85" s="12" t="s">
        <v>158</v>
      </c>
      <c r="E85" s="12"/>
    </row>
    <row r="86" spans="1:5" ht="29" x14ac:dyDescent="0.35">
      <c r="A86" s="12" t="s">
        <v>204</v>
      </c>
      <c r="B86" s="12">
        <v>60</v>
      </c>
      <c r="C86" s="12" t="s">
        <v>158</v>
      </c>
      <c r="E86" s="12" t="s">
        <v>1230</v>
      </c>
    </row>
    <row r="87" spans="1:5" x14ac:dyDescent="0.35">
      <c r="A87" s="12" t="s">
        <v>205</v>
      </c>
      <c r="B87" s="12">
        <v>60</v>
      </c>
      <c r="C87" s="12" t="s">
        <v>158</v>
      </c>
      <c r="E87" s="12"/>
    </row>
    <row r="88" spans="1:5" x14ac:dyDescent="0.35">
      <c r="A88" s="12" t="s">
        <v>206</v>
      </c>
      <c r="B88" s="12">
        <v>67</v>
      </c>
      <c r="C88" s="12" t="s">
        <v>158</v>
      </c>
      <c r="E88" s="12" t="s">
        <v>1231</v>
      </c>
    </row>
    <row r="89" spans="1:5" x14ac:dyDescent="0.35">
      <c r="A89" s="12" t="s">
        <v>207</v>
      </c>
      <c r="B89" s="12">
        <v>60</v>
      </c>
      <c r="C89" s="12" t="s">
        <v>158</v>
      </c>
      <c r="E89" s="12"/>
    </row>
    <row r="90" spans="1:5" ht="29" x14ac:dyDescent="0.35">
      <c r="A90" s="12" t="s">
        <v>208</v>
      </c>
      <c r="B90" s="12">
        <v>152</v>
      </c>
      <c r="C90" s="12" t="s">
        <v>158</v>
      </c>
      <c r="E90" s="12" t="s">
        <v>1229</v>
      </c>
    </row>
    <row r="91" spans="1:5" x14ac:dyDescent="0.35">
      <c r="A91" s="12" t="s">
        <v>209</v>
      </c>
      <c r="B91" s="12">
        <v>60</v>
      </c>
      <c r="C91" s="12" t="s">
        <v>158</v>
      </c>
      <c r="E91" s="12"/>
    </row>
    <row r="92" spans="1:5" x14ac:dyDescent="0.35">
      <c r="A92" s="12" t="s">
        <v>210</v>
      </c>
      <c r="B92" s="12">
        <v>10</v>
      </c>
      <c r="C92" s="12" t="s">
        <v>158</v>
      </c>
      <c r="E92" s="12"/>
    </row>
    <row r="93" spans="1:5" x14ac:dyDescent="0.35">
      <c r="A93" s="12" t="s">
        <v>211</v>
      </c>
      <c r="B93" s="12">
        <v>60</v>
      </c>
      <c r="C93" s="12" t="s">
        <v>158</v>
      </c>
      <c r="E93" s="12"/>
    </row>
    <row r="94" spans="1:5" x14ac:dyDescent="0.35">
      <c r="A94" s="12" t="s">
        <v>212</v>
      </c>
      <c r="B94" s="12">
        <v>60</v>
      </c>
      <c r="C94" s="12" t="s">
        <v>158</v>
      </c>
      <c r="E94" s="12"/>
    </row>
    <row r="95" spans="1:5" x14ac:dyDescent="0.35">
      <c r="A95" s="12" t="s">
        <v>213</v>
      </c>
      <c r="B95" s="12">
        <v>60</v>
      </c>
      <c r="C95" s="12" t="s">
        <v>158</v>
      </c>
      <c r="E95" s="12"/>
    </row>
    <row r="96" spans="1:5" x14ac:dyDescent="0.35">
      <c r="A96" s="12" t="s">
        <v>214</v>
      </c>
      <c r="B96" s="12">
        <v>60</v>
      </c>
      <c r="C96" s="12" t="s">
        <v>158</v>
      </c>
      <c r="E96" s="12"/>
    </row>
    <row r="97" spans="1:5" x14ac:dyDescent="0.35">
      <c r="A97" s="12" t="s">
        <v>216</v>
      </c>
      <c r="B97" s="12">
        <v>30</v>
      </c>
      <c r="C97" s="12" t="s">
        <v>156</v>
      </c>
      <c r="E97" s="12"/>
    </row>
    <row r="98" spans="1:5" x14ac:dyDescent="0.35">
      <c r="A98" s="12" t="s">
        <v>215</v>
      </c>
      <c r="B98" s="12">
        <v>130</v>
      </c>
      <c r="C98" s="12" t="s">
        <v>156</v>
      </c>
      <c r="D98" s="12" t="s">
        <v>309</v>
      </c>
      <c r="E98" s="12"/>
    </row>
    <row r="99" spans="1:5" x14ac:dyDescent="0.35">
      <c r="A99" s="12" t="s">
        <v>157</v>
      </c>
      <c r="B99" s="12">
        <v>130</v>
      </c>
      <c r="C99" s="12" t="s">
        <v>156</v>
      </c>
      <c r="D99" s="12" t="s">
        <v>316</v>
      </c>
      <c r="E99" s="13"/>
    </row>
    <row r="100" spans="1:5" ht="29" x14ac:dyDescent="0.35">
      <c r="A100" s="12" t="s">
        <v>220</v>
      </c>
      <c r="B100" s="12">
        <v>110</v>
      </c>
      <c r="C100" s="12" t="s">
        <v>156</v>
      </c>
      <c r="D100" s="12" t="s">
        <v>317</v>
      </c>
      <c r="E100" s="12"/>
    </row>
    <row r="101" spans="1:5" ht="43.5" x14ac:dyDescent="0.35">
      <c r="A101" s="12" t="s">
        <v>307</v>
      </c>
      <c r="B101" s="12">
        <v>45</v>
      </c>
      <c r="C101" s="12" t="s">
        <v>156</v>
      </c>
      <c r="D101" s="12" t="s">
        <v>318</v>
      </c>
      <c r="E101" s="13"/>
    </row>
    <row r="102" spans="1:5" ht="29" x14ac:dyDescent="0.35">
      <c r="A102" s="12" t="s">
        <v>167</v>
      </c>
      <c r="B102" s="12">
        <v>90</v>
      </c>
      <c r="C102" s="12" t="s">
        <v>156</v>
      </c>
      <c r="D102" s="12" t="s">
        <v>308</v>
      </c>
      <c r="E102" s="13"/>
    </row>
    <row r="103" spans="1:5" ht="29" x14ac:dyDescent="0.35">
      <c r="A103" s="12" t="s">
        <v>217</v>
      </c>
      <c r="B103" s="12">
        <v>30</v>
      </c>
      <c r="C103" s="12" t="s">
        <v>156</v>
      </c>
      <c r="D103" s="12" t="s">
        <v>319</v>
      </c>
      <c r="E103" s="13"/>
    </row>
    <row r="104" spans="1:5" ht="29" hidden="1" x14ac:dyDescent="0.35">
      <c r="A104" s="12" t="s">
        <v>216</v>
      </c>
      <c r="B104" s="12"/>
      <c r="C104" s="12" t="s">
        <v>156</v>
      </c>
      <c r="D104" s="12" t="s">
        <v>320</v>
      </c>
      <c r="E104" s="13"/>
    </row>
    <row r="105" spans="1:5" ht="29" x14ac:dyDescent="0.35">
      <c r="A105" s="12" t="s">
        <v>310</v>
      </c>
      <c r="B105" s="12">
        <v>80</v>
      </c>
      <c r="C105" s="12" t="s">
        <v>156</v>
      </c>
      <c r="D105" s="12" t="s">
        <v>321</v>
      </c>
      <c r="E105" s="13"/>
    </row>
    <row r="106" spans="1:5" ht="29" x14ac:dyDescent="0.35">
      <c r="A106" s="12" t="s">
        <v>311</v>
      </c>
      <c r="B106" s="12">
        <v>30</v>
      </c>
      <c r="C106" s="12" t="s">
        <v>156</v>
      </c>
      <c r="D106" s="12" t="s">
        <v>322</v>
      </c>
      <c r="E106" s="13"/>
    </row>
    <row r="107" spans="1:5" ht="29" hidden="1" x14ac:dyDescent="0.35">
      <c r="A107" s="12" t="s">
        <v>175</v>
      </c>
      <c r="B107" s="12"/>
      <c r="C107" s="12" t="s">
        <v>156</v>
      </c>
      <c r="D107" s="12" t="s">
        <v>323</v>
      </c>
      <c r="E107" s="13"/>
    </row>
    <row r="108" spans="1:5" ht="29" x14ac:dyDescent="0.35">
      <c r="A108" s="12" t="s">
        <v>312</v>
      </c>
      <c r="B108" s="12">
        <v>30</v>
      </c>
      <c r="C108" s="12" t="s">
        <v>156</v>
      </c>
      <c r="D108" s="12" t="s">
        <v>324</v>
      </c>
      <c r="E108" s="13"/>
    </row>
    <row r="109" spans="1:5" ht="43.5" x14ac:dyDescent="0.35">
      <c r="A109" s="12" t="s">
        <v>168</v>
      </c>
      <c r="B109" s="12">
        <v>30</v>
      </c>
      <c r="C109" s="12" t="s">
        <v>156</v>
      </c>
      <c r="D109" s="12" t="s">
        <v>325</v>
      </c>
      <c r="E109" s="12"/>
    </row>
    <row r="110" spans="1:5" ht="29" x14ac:dyDescent="0.35">
      <c r="A110" s="12" t="s">
        <v>219</v>
      </c>
      <c r="B110" s="12">
        <v>70</v>
      </c>
      <c r="C110" s="12" t="s">
        <v>156</v>
      </c>
      <c r="D110" s="12" t="s">
        <v>326</v>
      </c>
      <c r="E110" s="12"/>
    </row>
    <row r="111" spans="1:5" ht="29" x14ac:dyDescent="0.35">
      <c r="A111" s="12" t="s">
        <v>313</v>
      </c>
      <c r="B111" s="12">
        <v>30</v>
      </c>
      <c r="C111" s="12" t="s">
        <v>156</v>
      </c>
      <c r="D111" s="12" t="s">
        <v>327</v>
      </c>
      <c r="E111" s="12"/>
    </row>
    <row r="112" spans="1:5" ht="29" x14ac:dyDescent="0.35">
      <c r="A112" s="12" t="s">
        <v>314</v>
      </c>
      <c r="B112" s="12">
        <v>30</v>
      </c>
      <c r="C112" s="12" t="s">
        <v>156</v>
      </c>
      <c r="D112" s="12" t="s">
        <v>328</v>
      </c>
      <c r="E112" s="12"/>
    </row>
    <row r="113" spans="1:5" ht="43.5" x14ac:dyDescent="0.35">
      <c r="A113" s="12" t="s">
        <v>218</v>
      </c>
      <c r="B113" s="12">
        <v>30</v>
      </c>
      <c r="C113" s="12" t="s">
        <v>156</v>
      </c>
      <c r="D113" s="12" t="s">
        <v>329</v>
      </c>
      <c r="E113" s="12"/>
    </row>
    <row r="114" spans="1:5" ht="43.5" x14ac:dyDescent="0.35">
      <c r="A114" s="12" t="s">
        <v>193</v>
      </c>
      <c r="B114" s="12">
        <v>30</v>
      </c>
      <c r="C114" s="12" t="s">
        <v>156</v>
      </c>
      <c r="D114" s="12" t="s">
        <v>330</v>
      </c>
      <c r="E114" s="13"/>
    </row>
    <row r="115" spans="1:5" ht="43.5" x14ac:dyDescent="0.35">
      <c r="A115" s="12" t="s">
        <v>315</v>
      </c>
      <c r="B115" s="12">
        <v>0</v>
      </c>
      <c r="C115" s="12" t="s">
        <v>156</v>
      </c>
      <c r="D115" s="12" t="s">
        <v>331</v>
      </c>
      <c r="E115" s="12"/>
    </row>
    <row r="116" spans="1:5" x14ac:dyDescent="0.35">
      <c r="A116" s="12" t="s">
        <v>221</v>
      </c>
      <c r="B116" s="12">
        <v>257</v>
      </c>
      <c r="C116" s="12" t="s">
        <v>154</v>
      </c>
      <c r="D116" s="12" t="s">
        <v>615</v>
      </c>
      <c r="E116" s="12"/>
    </row>
    <row r="117" spans="1:5" x14ac:dyDescent="0.35">
      <c r="A117" s="12" t="s">
        <v>926</v>
      </c>
      <c r="B117" s="12">
        <v>170</v>
      </c>
      <c r="C117" s="12" t="s">
        <v>154</v>
      </c>
      <c r="D117" s="12" t="s">
        <v>1100</v>
      </c>
      <c r="E117" s="12"/>
    </row>
    <row r="118" spans="1:5" x14ac:dyDescent="0.35">
      <c r="A118" s="12" t="s">
        <v>155</v>
      </c>
      <c r="B118" s="12">
        <v>249</v>
      </c>
      <c r="C118" s="12" t="s">
        <v>154</v>
      </c>
      <c r="D118" t="s">
        <v>1100</v>
      </c>
      <c r="E118" s="12"/>
    </row>
    <row r="119" spans="1:5" hidden="1" x14ac:dyDescent="0.35">
      <c r="A119" s="12" t="s">
        <v>222</v>
      </c>
      <c r="B119" s="12"/>
      <c r="C119" s="12" t="s">
        <v>154</v>
      </c>
      <c r="E119" s="12"/>
    </row>
    <row r="120" spans="1:5" x14ac:dyDescent="0.35">
      <c r="A120" s="12" t="s">
        <v>223</v>
      </c>
      <c r="B120" s="12"/>
      <c r="C120" s="12" t="s">
        <v>154</v>
      </c>
      <c r="E120" s="12"/>
    </row>
    <row r="121" spans="1:5" x14ac:dyDescent="0.35">
      <c r="A121" s="12" t="s">
        <v>224</v>
      </c>
      <c r="B121" s="12"/>
      <c r="C121" s="12" t="s">
        <v>154</v>
      </c>
      <c r="E121" s="12"/>
    </row>
    <row r="122" spans="1:5" x14ac:dyDescent="0.35">
      <c r="A122" s="12" t="s">
        <v>225</v>
      </c>
      <c r="B122" s="12">
        <v>243</v>
      </c>
      <c r="C122" s="12" t="s">
        <v>154</v>
      </c>
      <c r="D122" t="s">
        <v>485</v>
      </c>
      <c r="E122" s="12"/>
    </row>
    <row r="123" spans="1:5" x14ac:dyDescent="0.35">
      <c r="A123" s="12" t="s">
        <v>226</v>
      </c>
      <c r="B123" s="12">
        <v>110</v>
      </c>
      <c r="C123" s="12" t="s">
        <v>154</v>
      </c>
      <c r="D123" t="s">
        <v>1099</v>
      </c>
      <c r="E123" s="12"/>
    </row>
    <row r="124" spans="1:5" x14ac:dyDescent="0.35">
      <c r="A124" s="12" t="s">
        <v>227</v>
      </c>
      <c r="B124" s="12">
        <v>260</v>
      </c>
      <c r="C124" s="12" t="s">
        <v>154</v>
      </c>
      <c r="D124" t="s">
        <v>379</v>
      </c>
      <c r="E124" s="12"/>
    </row>
    <row r="125" spans="1:5" x14ac:dyDescent="0.35">
      <c r="A125" s="12" t="s">
        <v>228</v>
      </c>
      <c r="B125" s="12">
        <v>160</v>
      </c>
      <c r="C125" s="12" t="s">
        <v>154</v>
      </c>
      <c r="D125" t="s">
        <v>1103</v>
      </c>
      <c r="E125" s="12"/>
    </row>
    <row r="126" spans="1:5" x14ac:dyDescent="0.35">
      <c r="A126" s="12" t="s">
        <v>229</v>
      </c>
      <c r="B126" s="12">
        <v>206</v>
      </c>
      <c r="C126" s="12" t="s">
        <v>154</v>
      </c>
      <c r="D126" t="s">
        <v>1101</v>
      </c>
      <c r="E126" s="12"/>
    </row>
    <row r="127" spans="1:5" x14ac:dyDescent="0.35">
      <c r="A127" s="12" t="s">
        <v>230</v>
      </c>
      <c r="B127" s="12">
        <v>90</v>
      </c>
      <c r="C127" s="12" t="s">
        <v>154</v>
      </c>
      <c r="D127" t="s">
        <v>1102</v>
      </c>
      <c r="E127" s="12"/>
    </row>
    <row r="128" spans="1:5" x14ac:dyDescent="0.35">
      <c r="A128" s="12" t="s">
        <v>231</v>
      </c>
      <c r="B128" s="12">
        <v>162</v>
      </c>
      <c r="C128" s="12" t="s">
        <v>154</v>
      </c>
      <c r="D128" t="s">
        <v>1104</v>
      </c>
      <c r="E128" s="12"/>
    </row>
    <row r="129" spans="1:5" x14ac:dyDescent="0.35">
      <c r="A129" s="12" t="s">
        <v>232</v>
      </c>
      <c r="B129" s="12">
        <v>140</v>
      </c>
      <c r="C129" s="12" t="s">
        <v>154</v>
      </c>
      <c r="D129" t="s">
        <v>1103</v>
      </c>
      <c r="E129" s="12"/>
    </row>
    <row r="130" spans="1:5" x14ac:dyDescent="0.35">
      <c r="A130" s="12" t="s">
        <v>233</v>
      </c>
      <c r="B130" s="12">
        <v>200</v>
      </c>
      <c r="C130" s="12" t="s">
        <v>154</v>
      </c>
      <c r="D130" t="s">
        <v>615</v>
      </c>
      <c r="E130" s="12"/>
    </row>
    <row r="131" spans="1:5" x14ac:dyDescent="0.35">
      <c r="A131" s="12" t="s">
        <v>234</v>
      </c>
      <c r="B131" s="12">
        <v>77</v>
      </c>
      <c r="C131" s="12" t="s">
        <v>154</v>
      </c>
      <c r="E131" s="12"/>
    </row>
    <row r="132" spans="1:5" x14ac:dyDescent="0.35">
      <c r="A132" s="12" t="s">
        <v>235</v>
      </c>
      <c r="B132" s="12">
        <v>90</v>
      </c>
      <c r="C132" s="12" t="s">
        <v>154</v>
      </c>
      <c r="D132" t="s">
        <v>1099</v>
      </c>
      <c r="E132" s="12"/>
    </row>
    <row r="133" spans="1:5" x14ac:dyDescent="0.35">
      <c r="A133" s="12" t="s">
        <v>236</v>
      </c>
      <c r="B133" s="12">
        <v>180</v>
      </c>
      <c r="C133" s="12" t="s">
        <v>154</v>
      </c>
      <c r="E133" s="12"/>
    </row>
    <row r="134" spans="1:5" x14ac:dyDescent="0.35">
      <c r="A134" s="12" t="s">
        <v>237</v>
      </c>
      <c r="B134" s="12">
        <v>150</v>
      </c>
      <c r="C134" s="12" t="s">
        <v>154</v>
      </c>
      <c r="D134" t="s">
        <v>1105</v>
      </c>
      <c r="E134" s="12"/>
    </row>
    <row r="135" spans="1:5" x14ac:dyDescent="0.35">
      <c r="A135" s="12" t="s">
        <v>238</v>
      </c>
      <c r="B135" s="12">
        <v>126</v>
      </c>
      <c r="C135" s="12" t="s">
        <v>154</v>
      </c>
      <c r="E135" s="12"/>
    </row>
    <row r="136" spans="1:5" x14ac:dyDescent="0.35">
      <c r="A136" s="12" t="s">
        <v>239</v>
      </c>
      <c r="B136" s="12">
        <v>181</v>
      </c>
      <c r="C136" s="12" t="s">
        <v>154</v>
      </c>
      <c r="D136" t="s">
        <v>1104</v>
      </c>
      <c r="E136" s="12"/>
    </row>
    <row r="137" spans="1:5" x14ac:dyDescent="0.35">
      <c r="A137" s="12" t="s">
        <v>240</v>
      </c>
      <c r="B137" s="12">
        <v>0</v>
      </c>
      <c r="C137" s="12" t="s">
        <v>154</v>
      </c>
      <c r="D137" t="s">
        <v>485</v>
      </c>
      <c r="E137" s="12"/>
    </row>
    <row r="138" spans="1:5" x14ac:dyDescent="0.35">
      <c r="A138" s="12" t="s">
        <v>241</v>
      </c>
      <c r="B138" s="12">
        <v>221</v>
      </c>
      <c r="C138" s="12" t="s">
        <v>154</v>
      </c>
      <c r="D138" t="s">
        <v>1100</v>
      </c>
      <c r="E138" s="12"/>
    </row>
    <row r="139" spans="1:5" x14ac:dyDescent="0.35">
      <c r="A139" s="12" t="s">
        <v>242</v>
      </c>
      <c r="B139" s="12">
        <v>252</v>
      </c>
      <c r="C139" s="12" t="s">
        <v>154</v>
      </c>
      <c r="D139" t="s">
        <v>615</v>
      </c>
      <c r="E139" s="12"/>
    </row>
    <row r="140" spans="1:5" x14ac:dyDescent="0.35">
      <c r="A140" s="12" t="s">
        <v>243</v>
      </c>
      <c r="B140" s="12">
        <v>0</v>
      </c>
      <c r="C140" s="12" t="s">
        <v>154</v>
      </c>
      <c r="E140" s="12"/>
    </row>
    <row r="141" spans="1:5" x14ac:dyDescent="0.35">
      <c r="A141" s="12" t="s">
        <v>244</v>
      </c>
      <c r="B141" s="12">
        <v>0</v>
      </c>
      <c r="C141" s="12" t="s">
        <v>154</v>
      </c>
      <c r="E141" s="12"/>
    </row>
    <row r="142" spans="1:5" x14ac:dyDescent="0.35">
      <c r="A142" s="12" t="s">
        <v>245</v>
      </c>
      <c r="B142" s="12">
        <v>0</v>
      </c>
      <c r="C142" s="12" t="s">
        <v>154</v>
      </c>
      <c r="E142" s="12"/>
    </row>
    <row r="143" spans="1:5" hidden="1" x14ac:dyDescent="0.35">
      <c r="A143" s="12" t="s">
        <v>249</v>
      </c>
      <c r="B143" s="12"/>
      <c r="C143" s="12" t="s">
        <v>150</v>
      </c>
      <c r="E143" s="12"/>
    </row>
    <row r="144" spans="1:5" x14ac:dyDescent="0.35">
      <c r="A144" s="12" t="s">
        <v>164</v>
      </c>
      <c r="B144" s="12">
        <v>80</v>
      </c>
      <c r="C144" s="12" t="s">
        <v>165</v>
      </c>
      <c r="D144" t="s">
        <v>1106</v>
      </c>
      <c r="E144" s="12"/>
    </row>
    <row r="145" spans="1:5" x14ac:dyDescent="0.35">
      <c r="A145" s="12" t="s">
        <v>166</v>
      </c>
      <c r="B145" s="12">
        <v>41</v>
      </c>
      <c r="C145" s="12" t="s">
        <v>165</v>
      </c>
      <c r="D145" t="s">
        <v>1107</v>
      </c>
      <c r="E145" s="12"/>
    </row>
    <row r="146" spans="1:5" x14ac:dyDescent="0.35">
      <c r="A146" s="12" t="s">
        <v>255</v>
      </c>
      <c r="B146" s="12">
        <v>70</v>
      </c>
      <c r="C146" s="12" t="s">
        <v>165</v>
      </c>
      <c r="D146" t="s">
        <v>1108</v>
      </c>
      <c r="E146" s="12"/>
    </row>
    <row r="147" spans="1:5" x14ac:dyDescent="0.35">
      <c r="A147" s="12" t="s">
        <v>256</v>
      </c>
      <c r="B147" s="12">
        <v>110</v>
      </c>
      <c r="C147" s="12" t="s">
        <v>165</v>
      </c>
      <c r="E147" s="12"/>
    </row>
    <row r="148" spans="1:5" x14ac:dyDescent="0.35">
      <c r="A148" s="12" t="s">
        <v>257</v>
      </c>
      <c r="B148" s="12">
        <v>40</v>
      </c>
      <c r="C148" s="12" t="s">
        <v>165</v>
      </c>
      <c r="D148" t="s">
        <v>1108</v>
      </c>
      <c r="E148" s="12"/>
    </row>
    <row r="149" spans="1:5" x14ac:dyDescent="0.35">
      <c r="A149" s="12" t="s">
        <v>258</v>
      </c>
      <c r="B149" s="12">
        <v>40</v>
      </c>
      <c r="C149" s="12" t="s">
        <v>165</v>
      </c>
      <c r="E149" s="12"/>
    </row>
    <row r="150" spans="1:5" x14ac:dyDescent="0.35">
      <c r="A150" s="12" t="s">
        <v>259</v>
      </c>
      <c r="B150" s="12">
        <v>36</v>
      </c>
      <c r="C150" s="12" t="s">
        <v>165</v>
      </c>
      <c r="E150" s="12"/>
    </row>
    <row r="151" spans="1:5" x14ac:dyDescent="0.35">
      <c r="A151" s="12" t="s">
        <v>260</v>
      </c>
      <c r="B151" s="12">
        <v>36</v>
      </c>
      <c r="C151" s="12" t="s">
        <v>165</v>
      </c>
      <c r="E151" s="12"/>
    </row>
    <row r="152" spans="1:5" x14ac:dyDescent="0.35">
      <c r="A152" s="12" t="s">
        <v>261</v>
      </c>
      <c r="B152" s="12"/>
      <c r="C152" s="12" t="s">
        <v>165</v>
      </c>
      <c r="E152" s="12"/>
    </row>
    <row r="153" spans="1:5" x14ac:dyDescent="0.35">
      <c r="A153" s="12" t="s">
        <v>262</v>
      </c>
      <c r="B153" s="12"/>
      <c r="C153" s="12" t="s">
        <v>165</v>
      </c>
      <c r="E153" s="12"/>
    </row>
    <row r="154" spans="1:5" x14ac:dyDescent="0.35">
      <c r="A154" s="12" t="s">
        <v>263</v>
      </c>
      <c r="B154" s="12"/>
      <c r="C154" s="12" t="s">
        <v>165</v>
      </c>
      <c r="E154" s="12"/>
    </row>
    <row r="155" spans="1:5" x14ac:dyDescent="0.35">
      <c r="A155" s="12" t="s">
        <v>264</v>
      </c>
      <c r="B155" s="12"/>
      <c r="C155" s="12" t="s">
        <v>165</v>
      </c>
      <c r="E155" s="12"/>
    </row>
    <row r="156" spans="1:5" x14ac:dyDescent="0.35">
      <c r="A156" s="12" t="s">
        <v>103</v>
      </c>
      <c r="B156" s="12"/>
      <c r="C156" s="12" t="s">
        <v>163</v>
      </c>
      <c r="E156" s="12"/>
    </row>
    <row r="157" spans="1:5" hidden="1" x14ac:dyDescent="0.35">
      <c r="A157" s="12" t="s">
        <v>104</v>
      </c>
      <c r="B157" s="12"/>
      <c r="C157" s="12" t="s">
        <v>163</v>
      </c>
      <c r="E157" s="12"/>
    </row>
    <row r="158" spans="1:5" x14ac:dyDescent="0.35">
      <c r="A158" s="12" t="s">
        <v>105</v>
      </c>
      <c r="B158" s="12"/>
      <c r="C158" s="12" t="s">
        <v>163</v>
      </c>
      <c r="E158" s="12"/>
    </row>
    <row r="159" spans="1:5" x14ac:dyDescent="0.35">
      <c r="A159" s="12" t="s">
        <v>265</v>
      </c>
      <c r="B159" s="12"/>
      <c r="C159" s="12" t="s">
        <v>163</v>
      </c>
      <c r="E159" s="12"/>
    </row>
    <row r="160" spans="1:5" x14ac:dyDescent="0.35">
      <c r="A160" s="12" t="s">
        <v>106</v>
      </c>
      <c r="B160" s="12"/>
      <c r="C160" s="12" t="s">
        <v>163</v>
      </c>
      <c r="E160" s="12"/>
    </row>
    <row r="161" spans="1:5" x14ac:dyDescent="0.35">
      <c r="A161" s="12" t="s">
        <v>266</v>
      </c>
      <c r="B161" s="12"/>
      <c r="C161" s="12" t="s">
        <v>163</v>
      </c>
      <c r="E161" s="12"/>
    </row>
    <row r="162" spans="1:5" x14ac:dyDescent="0.35">
      <c r="A162" s="12" t="s">
        <v>108</v>
      </c>
      <c r="B162" s="12"/>
      <c r="C162" s="12" t="s">
        <v>163</v>
      </c>
      <c r="E162" s="12"/>
    </row>
    <row r="163" spans="1:5" x14ac:dyDescent="0.35">
      <c r="A163" s="12" t="s">
        <v>267</v>
      </c>
      <c r="B163" s="12"/>
      <c r="C163" s="12" t="s">
        <v>163</v>
      </c>
      <c r="E163" s="12"/>
    </row>
    <row r="164" spans="1:5" x14ac:dyDescent="0.35">
      <c r="A164" s="12" t="s">
        <v>110</v>
      </c>
      <c r="B164" s="12"/>
      <c r="C164" s="12" t="s">
        <v>163</v>
      </c>
      <c r="E164" s="12"/>
    </row>
    <row r="165" spans="1:5" x14ac:dyDescent="0.35">
      <c r="A165" s="12" t="s">
        <v>112</v>
      </c>
      <c r="B165" s="12"/>
      <c r="C165" s="12" t="s">
        <v>163</v>
      </c>
      <c r="E165" s="12"/>
    </row>
    <row r="166" spans="1:5" x14ac:dyDescent="0.35">
      <c r="A166" s="12" t="s">
        <v>113</v>
      </c>
      <c r="B166" s="12"/>
      <c r="C166" s="12" t="s">
        <v>163</v>
      </c>
      <c r="E166" s="12"/>
    </row>
    <row r="167" spans="1:5" x14ac:dyDescent="0.35">
      <c r="A167" s="12" t="s">
        <v>114</v>
      </c>
      <c r="B167" s="12"/>
      <c r="C167" s="12" t="s">
        <v>163</v>
      </c>
      <c r="E167" s="12"/>
    </row>
    <row r="168" spans="1:5" x14ac:dyDescent="0.35">
      <c r="A168" s="12" t="s">
        <v>115</v>
      </c>
      <c r="B168" s="12"/>
      <c r="C168" s="12" t="s">
        <v>163</v>
      </c>
      <c r="E168" s="12"/>
    </row>
    <row r="169" spans="1:5" x14ac:dyDescent="0.35">
      <c r="A169" s="12" t="s">
        <v>116</v>
      </c>
      <c r="B169" s="12"/>
      <c r="C169" s="12" t="s">
        <v>163</v>
      </c>
      <c r="E169" s="12"/>
    </row>
    <row r="170" spans="1:5" x14ac:dyDescent="0.35">
      <c r="A170" s="12" t="s">
        <v>268</v>
      </c>
      <c r="B170" s="12"/>
      <c r="C170" s="12" t="s">
        <v>163</v>
      </c>
      <c r="E170" s="12"/>
    </row>
    <row r="171" spans="1:5" x14ac:dyDescent="0.35">
      <c r="A171" s="12" t="s">
        <v>269</v>
      </c>
      <c r="B171" s="12"/>
      <c r="C171" s="12" t="s">
        <v>163</v>
      </c>
      <c r="E171" s="12"/>
    </row>
    <row r="172" spans="1:5" x14ac:dyDescent="0.35">
      <c r="A172" s="12" t="s">
        <v>270</v>
      </c>
      <c r="B172" s="12"/>
      <c r="C172" s="12" t="s">
        <v>163</v>
      </c>
      <c r="E172" s="12"/>
    </row>
    <row r="173" spans="1:5" x14ac:dyDescent="0.35">
      <c r="A173" s="12" t="s">
        <v>271</v>
      </c>
      <c r="B173" s="12"/>
      <c r="C173" s="12" t="s">
        <v>163</v>
      </c>
      <c r="E173" s="12"/>
    </row>
    <row r="174" spans="1:5" hidden="1" x14ac:dyDescent="0.35">
      <c r="A174" s="12" t="s">
        <v>272</v>
      </c>
      <c r="B174" s="12"/>
      <c r="C174" s="12" t="s">
        <v>163</v>
      </c>
      <c r="E174" s="12"/>
    </row>
    <row r="175" spans="1:5" x14ac:dyDescent="0.35">
      <c r="A175" s="12" t="s">
        <v>273</v>
      </c>
      <c r="B175" s="12"/>
      <c r="C175" s="12" t="s">
        <v>163</v>
      </c>
      <c r="E175" s="12"/>
    </row>
    <row r="176" spans="1:5" x14ac:dyDescent="0.35">
      <c r="A176" s="12" t="s">
        <v>274</v>
      </c>
      <c r="B176" s="12"/>
      <c r="C176" s="12" t="s">
        <v>163</v>
      </c>
      <c r="E176" s="12"/>
    </row>
    <row r="177" spans="1:5" x14ac:dyDescent="0.35">
      <c r="A177" s="12" t="s">
        <v>275</v>
      </c>
      <c r="B177" s="12"/>
      <c r="C177" s="12" t="s">
        <v>163</v>
      </c>
      <c r="E177" s="12"/>
    </row>
    <row r="178" spans="1:5" hidden="1" x14ac:dyDescent="0.35">
      <c r="A178" s="12" t="s">
        <v>276</v>
      </c>
      <c r="B178" s="12"/>
      <c r="C178" s="12" t="s">
        <v>163</v>
      </c>
      <c r="E178" s="12"/>
    </row>
    <row r="179" spans="1:5" x14ac:dyDescent="0.35">
      <c r="A179" s="12" t="s">
        <v>277</v>
      </c>
      <c r="B179" s="12"/>
      <c r="C179" s="12" t="s">
        <v>163</v>
      </c>
      <c r="E179" s="12"/>
    </row>
    <row r="180" spans="1:5" x14ac:dyDescent="0.35">
      <c r="A180" s="12" t="s">
        <v>278</v>
      </c>
      <c r="B180" s="12"/>
      <c r="C180" s="12" t="s">
        <v>163</v>
      </c>
      <c r="E180" s="12"/>
    </row>
    <row r="181" spans="1:5" x14ac:dyDescent="0.35">
      <c r="A181" s="12" t="s">
        <v>279</v>
      </c>
      <c r="B181" s="12"/>
      <c r="C181" s="12" t="s">
        <v>163</v>
      </c>
      <c r="E181" s="12"/>
    </row>
    <row r="182" spans="1:5" x14ac:dyDescent="0.35">
      <c r="A182" s="12" t="s">
        <v>280</v>
      </c>
      <c r="B182" s="12"/>
      <c r="C182" s="12" t="s">
        <v>163</v>
      </c>
      <c r="E182" s="12"/>
    </row>
    <row r="183" spans="1:5" x14ac:dyDescent="0.35">
      <c r="A183" s="12" t="s">
        <v>281</v>
      </c>
      <c r="B183" s="12"/>
      <c r="C183" s="12" t="s">
        <v>163</v>
      </c>
      <c r="E183" s="12"/>
    </row>
    <row r="184" spans="1:5" x14ac:dyDescent="0.35">
      <c r="A184" s="12" t="s">
        <v>282</v>
      </c>
      <c r="B184" s="12"/>
      <c r="C184" s="12" t="s">
        <v>163</v>
      </c>
      <c r="E184" s="12"/>
    </row>
    <row r="185" spans="1:5" x14ac:dyDescent="0.35">
      <c r="A185" s="12" t="s">
        <v>182</v>
      </c>
      <c r="B185" s="12"/>
      <c r="C185" s="12" t="s">
        <v>163</v>
      </c>
      <c r="E185" s="12"/>
    </row>
    <row r="186" spans="1:5" x14ac:dyDescent="0.35">
      <c r="A186" s="12" t="s">
        <v>162</v>
      </c>
      <c r="B186" s="12"/>
      <c r="C186" s="12" t="s">
        <v>163</v>
      </c>
      <c r="E186" s="12"/>
    </row>
    <row r="187" spans="1:5" x14ac:dyDescent="0.35">
      <c r="A187" s="12" t="s">
        <v>283</v>
      </c>
      <c r="B187" s="12"/>
      <c r="C187" s="12" t="s">
        <v>163</v>
      </c>
      <c r="E187" s="12"/>
    </row>
    <row r="188" spans="1:5" x14ac:dyDescent="0.35">
      <c r="A188" s="12" t="s">
        <v>285</v>
      </c>
      <c r="B188" s="12">
        <v>10</v>
      </c>
      <c r="C188" s="12" t="s">
        <v>163</v>
      </c>
      <c r="E188" s="12"/>
    </row>
    <row r="189" spans="1:5" x14ac:dyDescent="0.35">
      <c r="A189" s="12" t="s">
        <v>284</v>
      </c>
      <c r="B189" s="12">
        <v>10</v>
      </c>
      <c r="C189" s="12" t="s">
        <v>163</v>
      </c>
      <c r="E189" s="12"/>
    </row>
    <row r="190" spans="1:5" hidden="1" x14ac:dyDescent="0.35">
      <c r="A190" s="12" t="s">
        <v>285</v>
      </c>
      <c r="B190" s="12"/>
      <c r="C190" s="12" t="s">
        <v>163</v>
      </c>
      <c r="E190" s="12"/>
    </row>
    <row r="191" spans="1:5" x14ac:dyDescent="0.35">
      <c r="A191" s="12" t="s">
        <v>286</v>
      </c>
      <c r="B191" s="12"/>
      <c r="C191" s="12" t="s">
        <v>163</v>
      </c>
      <c r="E191" s="12"/>
    </row>
    <row r="192" spans="1:5" x14ac:dyDescent="0.35">
      <c r="A192" s="12" t="s">
        <v>287</v>
      </c>
      <c r="B192" s="12"/>
      <c r="C192" s="12" t="s">
        <v>163</v>
      </c>
      <c r="E192" s="12"/>
    </row>
    <row r="193" spans="1:5" x14ac:dyDescent="0.35">
      <c r="A193" s="12" t="s">
        <v>117</v>
      </c>
      <c r="B193" s="12"/>
      <c r="C193" s="12" t="s">
        <v>163</v>
      </c>
      <c r="E193" s="12"/>
    </row>
    <row r="194" spans="1:5" hidden="1" x14ac:dyDescent="0.35">
      <c r="A194" s="12" t="s">
        <v>119</v>
      </c>
      <c r="B194" s="12"/>
      <c r="C194" s="12" t="s">
        <v>163</v>
      </c>
      <c r="E194" s="12"/>
    </row>
    <row r="195" spans="1:5" x14ac:dyDescent="0.35">
      <c r="A195" s="12" t="s">
        <v>120</v>
      </c>
      <c r="B195" s="12"/>
      <c r="C195" s="12" t="s">
        <v>163</v>
      </c>
      <c r="E195" s="12"/>
    </row>
    <row r="196" spans="1:5" x14ac:dyDescent="0.35">
      <c r="A196" s="12" t="s">
        <v>121</v>
      </c>
      <c r="B196" s="12"/>
      <c r="C196" s="12" t="s">
        <v>163</v>
      </c>
      <c r="E196" s="12"/>
    </row>
    <row r="197" spans="1:5" x14ac:dyDescent="0.35">
      <c r="A197" s="12" t="s">
        <v>122</v>
      </c>
      <c r="B197" s="12"/>
      <c r="C197" s="12" t="s">
        <v>163</v>
      </c>
      <c r="E197" s="12"/>
    </row>
    <row r="198" spans="1:5" x14ac:dyDescent="0.35">
      <c r="A198" s="12" t="s">
        <v>118</v>
      </c>
      <c r="B198" s="12"/>
      <c r="C198" s="12" t="s">
        <v>163</v>
      </c>
      <c r="E198" s="12"/>
    </row>
    <row r="199" spans="1:5" x14ac:dyDescent="0.35">
      <c r="A199" s="12" t="s">
        <v>288</v>
      </c>
      <c r="B199" s="12"/>
      <c r="C199" s="12" t="s">
        <v>163</v>
      </c>
      <c r="E199" s="12"/>
    </row>
    <row r="200" spans="1:5" x14ac:dyDescent="0.35">
      <c r="A200" s="12" t="s">
        <v>289</v>
      </c>
      <c r="B200" s="12"/>
      <c r="C200" s="12" t="s">
        <v>163</v>
      </c>
      <c r="E200" s="12"/>
    </row>
    <row r="201" spans="1:5" x14ac:dyDescent="0.35">
      <c r="A201" s="12" t="s">
        <v>1006</v>
      </c>
      <c r="B201" s="12"/>
      <c r="C201" s="12" t="s">
        <v>150</v>
      </c>
      <c r="D201">
        <f>1/25*(2*Products!B2+2*Input!B18+3*Tools!B22+3*Workstations!B24+15*Table2[[#This Row],[Quality]])+5</f>
        <v>76.36</v>
      </c>
      <c r="E201" s="12"/>
    </row>
    <row r="202" spans="1:5" x14ac:dyDescent="0.35">
      <c r="A202" s="12" t="s">
        <v>1007</v>
      </c>
      <c r="B202" s="12"/>
      <c r="C202" s="12" t="s">
        <v>150</v>
      </c>
      <c r="D202" s="12">
        <f>1/25*(2*Products!B2+2*Input!B18+3*Tools!B22+3*Workstations!B24+15*Table2[[#This Row],[Quality]])+5</f>
        <v>76.36</v>
      </c>
      <c r="E202" s="12" t="s">
        <v>1003</v>
      </c>
    </row>
    <row r="203" spans="1:5" ht="101.5" hidden="1" x14ac:dyDescent="0.35">
      <c r="A203" s="12" t="s">
        <v>1008</v>
      </c>
      <c r="B203" s="12"/>
      <c r="C203" s="12" t="s">
        <v>150</v>
      </c>
      <c r="D203" s="12" t="s">
        <v>332</v>
      </c>
      <c r="E203" s="12"/>
    </row>
    <row r="204" spans="1:5" x14ac:dyDescent="0.35">
      <c r="A204" s="12" t="s">
        <v>252</v>
      </c>
      <c r="B204" s="12">
        <v>71</v>
      </c>
      <c r="C204" s="12" t="s">
        <v>150</v>
      </c>
      <c r="D204" s="12">
        <f>1/25*(2*Products!B2+2*Input!B18+3*Tools!B22+3*Workstations!B24+15*Table2[[#This Row],[Quality]])+5</f>
        <v>118.96000000000001</v>
      </c>
      <c r="E204" s="12" t="s">
        <v>1113</v>
      </c>
    </row>
    <row r="205" spans="1:5" x14ac:dyDescent="0.35">
      <c r="A205" s="12" t="s">
        <v>1009</v>
      </c>
      <c r="B205" s="12"/>
      <c r="C205" s="12" t="s">
        <v>150</v>
      </c>
      <c r="D205" s="12">
        <f>1/25*(2*Products!B2+2*Input!B18+3*Tools!B22+3*Workstations!B24+15*Table2[[#This Row],[Quality]])+5</f>
        <v>76.36</v>
      </c>
      <c r="E205" s="12"/>
    </row>
    <row r="206" spans="1:5" x14ac:dyDescent="0.35">
      <c r="A206" s="12" t="s">
        <v>1010</v>
      </c>
      <c r="B206" s="12"/>
      <c r="C206" s="12" t="s">
        <v>150</v>
      </c>
      <c r="D206" s="12">
        <f>1/25*(2*Products!B2+2*Input!B18+3*Tools!B22+3*Workstations!B24+15*Table2[[#This Row],[Quality]])+5</f>
        <v>76.36</v>
      </c>
      <c r="E206" s="12"/>
    </row>
    <row r="207" spans="1:5" x14ac:dyDescent="0.35">
      <c r="A207" s="12" t="s">
        <v>1011</v>
      </c>
      <c r="B207" s="12"/>
      <c r="C207" s="12" t="s">
        <v>150</v>
      </c>
      <c r="D207" s="12">
        <f>1/25*(2*Products!B2+2*Input!B18+3*Tools!B22+3*Workstations!B24+15*Table2[[#This Row],[Quality]])+5</f>
        <v>76.36</v>
      </c>
      <c r="E207" s="12" t="s">
        <v>1004</v>
      </c>
    </row>
    <row r="208" spans="1:5" x14ac:dyDescent="0.35">
      <c r="A208" s="12" t="s">
        <v>341</v>
      </c>
      <c r="B208" s="12">
        <v>144</v>
      </c>
      <c r="C208" s="12" t="s">
        <v>150</v>
      </c>
      <c r="D208" s="12">
        <f>1/25*(2*Products!B2+2*Input!B18+3*Tools!B22+3*Workstations!B24+15*Table2[[#This Row],[Quality]])+5</f>
        <v>162.76</v>
      </c>
      <c r="E208" s="12" t="s">
        <v>1003</v>
      </c>
    </row>
    <row r="209" spans="1:5" x14ac:dyDescent="0.35">
      <c r="A209" s="12" t="s">
        <v>249</v>
      </c>
      <c r="B209" s="12">
        <v>90</v>
      </c>
      <c r="C209" s="12" t="s">
        <v>150</v>
      </c>
      <c r="D209" s="12">
        <f>1/25*(2*Products!B2+2*Input!B18+3*Tools!B22+3*Workstations!B24+15*Table2[[#This Row],[Quality]])+5</f>
        <v>130.36000000000001</v>
      </c>
      <c r="E209" s="12" t="s">
        <v>1115</v>
      </c>
    </row>
    <row r="210" spans="1:5" x14ac:dyDescent="0.35">
      <c r="A210" s="12" t="s">
        <v>1012</v>
      </c>
      <c r="B210" s="12"/>
      <c r="C210" s="12" t="s">
        <v>150</v>
      </c>
      <c r="D210" s="12">
        <f>1/25*(2*Products!B2+2*Input!B18+3*Tools!B22+3*Workstations!B24+15*Table2[[#This Row],[Quality]])+5</f>
        <v>76.36</v>
      </c>
      <c r="E210" s="12"/>
    </row>
    <row r="211" spans="1:5" x14ac:dyDescent="0.35">
      <c r="A211" s="12" t="s">
        <v>981</v>
      </c>
      <c r="B211" s="12"/>
      <c r="C211" s="12" t="s">
        <v>150</v>
      </c>
      <c r="D211" s="12">
        <f>1/25*(2*Products!B2+2*Input!B18+3*Tools!B22+3*Workstations!B24+15*Table2[[#This Row],[Quality]])+5</f>
        <v>76.36</v>
      </c>
      <c r="E211" s="12"/>
    </row>
    <row r="212" spans="1:5" x14ac:dyDescent="0.35">
      <c r="A212" s="12" t="s">
        <v>1013</v>
      </c>
      <c r="B212" s="12"/>
      <c r="C212" s="12" t="s">
        <v>150</v>
      </c>
      <c r="D212" s="12">
        <f>1/25*(2*Products!B2+2*Input!B18+3*Tools!B22+3*Workstations!B24+15*Table2[[#This Row],[Quality]])+5</f>
        <v>76.36</v>
      </c>
      <c r="E212" s="12"/>
    </row>
    <row r="213" spans="1:5" x14ac:dyDescent="0.35">
      <c r="A213" s="12" t="s">
        <v>1014</v>
      </c>
      <c r="B213" s="12"/>
      <c r="C213" s="12" t="s">
        <v>150</v>
      </c>
      <c r="D213" s="12">
        <f>1/25*(2*Products!B2+2*Input!B18+3*Tools!B22+3*Workstations!B24+15*Table2[[#This Row],[Quality]])+5</f>
        <v>76.36</v>
      </c>
      <c r="E213" s="12"/>
    </row>
    <row r="214" spans="1:5" x14ac:dyDescent="0.35">
      <c r="A214" s="12" t="s">
        <v>1015</v>
      </c>
      <c r="B214" s="12"/>
      <c r="C214" s="12" t="s">
        <v>150</v>
      </c>
      <c r="D214" s="12">
        <f>1/25*(2*Products!B2+2*Input!B18+3*Tools!B22+3*Workstations!B24+15*Table2[[#This Row],[Quality]])+5</f>
        <v>76.36</v>
      </c>
      <c r="E214" s="12"/>
    </row>
    <row r="215" spans="1:5" x14ac:dyDescent="0.35">
      <c r="A215" s="12" t="s">
        <v>982</v>
      </c>
      <c r="B215" s="12"/>
      <c r="C215" s="12" t="s">
        <v>150</v>
      </c>
      <c r="D215" s="12">
        <f>1/25*(2*Products!B2+2*Input!B18+3*Tools!B22+3*Workstations!B24+15*Table2[[#This Row],[Quality]])+5</f>
        <v>76.36</v>
      </c>
      <c r="E215" s="12"/>
    </row>
    <row r="216" spans="1:5" x14ac:dyDescent="0.35">
      <c r="A216" s="12" t="s">
        <v>1016</v>
      </c>
      <c r="B216" s="12"/>
      <c r="C216" s="12" t="s">
        <v>150</v>
      </c>
      <c r="D216" s="12">
        <f>1/25*(2*Products!B2+2*Input!B18+3*Tools!B22+3*Workstations!B24+15*Table2[[#This Row],[Quality]])+5</f>
        <v>76.36</v>
      </c>
      <c r="E216" s="12"/>
    </row>
    <row r="217" spans="1:5" x14ac:dyDescent="0.35">
      <c r="A217" s="12" t="s">
        <v>1017</v>
      </c>
      <c r="B217" s="12"/>
      <c r="C217" s="12" t="s">
        <v>150</v>
      </c>
      <c r="D217" s="12">
        <f>1/25*(2*Products!B2+2*Input!B18+3*Tools!B22+3*Workstations!B24+15*Table2[[#This Row],[Quality]])+5</f>
        <v>76.36</v>
      </c>
      <c r="E217" s="12"/>
    </row>
    <row r="218" spans="1:5" x14ac:dyDescent="0.35">
      <c r="A218" s="12" t="s">
        <v>339</v>
      </c>
      <c r="B218" s="12"/>
      <c r="C218" s="12" t="s">
        <v>150</v>
      </c>
      <c r="D218" s="12">
        <f>1/25*(2*Products!B2+2*Input!B18+3*Tools!B22+3*Workstations!B24+15*Table2[[#This Row],[Quality]])+5</f>
        <v>76.36</v>
      </c>
      <c r="E218" s="12"/>
    </row>
    <row r="219" spans="1:5" x14ac:dyDescent="0.35">
      <c r="A219" s="12" t="s">
        <v>1018</v>
      </c>
      <c r="B219" s="12"/>
      <c r="C219" s="12" t="s">
        <v>150</v>
      </c>
      <c r="D219" s="12">
        <f>1/25*(2*Products!B2+2*Input!B18+3*Tools!B22+3*Workstations!B24+15*Table2[[#This Row],[Quality]])+5</f>
        <v>76.36</v>
      </c>
      <c r="E219" s="12"/>
    </row>
    <row r="220" spans="1:5" x14ac:dyDescent="0.35">
      <c r="A220" s="12" t="s">
        <v>1019</v>
      </c>
      <c r="B220" s="12"/>
      <c r="C220" s="12" t="s">
        <v>150</v>
      </c>
      <c r="D220" s="12">
        <f>1/25*(2*Products!B2+2*Input!B18+3*Tools!B22+3*Workstations!B24+15*Table2[[#This Row],[Quality]])+5</f>
        <v>76.36</v>
      </c>
      <c r="E220" s="12" t="s">
        <v>1114</v>
      </c>
    </row>
    <row r="221" spans="1:5" x14ac:dyDescent="0.35">
      <c r="A221" s="12" t="s">
        <v>1020</v>
      </c>
      <c r="B221" s="12"/>
      <c r="C221" s="12" t="s">
        <v>150</v>
      </c>
      <c r="D221" s="12">
        <f>1/25*(2*Products!B2+2*Input!B18+3*Tools!B22+3*Workstations!B24+15*Table2[[#This Row],[Quality]])+5</f>
        <v>76.36</v>
      </c>
      <c r="E221" s="12"/>
    </row>
    <row r="222" spans="1:5" x14ac:dyDescent="0.35">
      <c r="A222" s="12" t="s">
        <v>338</v>
      </c>
      <c r="B222" s="12">
        <v>149</v>
      </c>
      <c r="C222" s="12" t="s">
        <v>150</v>
      </c>
      <c r="D222" s="12">
        <f>1/25*(2*Products!B2+2*Input!B18+3*Tools!B22+3*Workstations!B24+15*Table2[[#This Row],[Quality]])+5</f>
        <v>165.76</v>
      </c>
      <c r="E222" s="12" t="s">
        <v>487</v>
      </c>
    </row>
    <row r="223" spans="1:5" x14ac:dyDescent="0.35">
      <c r="A223" s="12" t="s">
        <v>1021</v>
      </c>
      <c r="B223" s="12"/>
      <c r="C223" s="12" t="s">
        <v>150</v>
      </c>
      <c r="D223" s="12">
        <f>1/25*(2*Products!B2+2*Input!B18+3*Tools!B22+3*Workstations!B24+15*Table2[[#This Row],[Quality]])+5</f>
        <v>76.36</v>
      </c>
      <c r="E223" s="12"/>
    </row>
    <row r="224" spans="1:5" x14ac:dyDescent="0.35">
      <c r="A224" s="12" t="s">
        <v>1022</v>
      </c>
      <c r="B224" s="12"/>
      <c r="C224" s="12" t="s">
        <v>150</v>
      </c>
      <c r="D224" s="12">
        <f>1/25*(2*Products!B2+2*Input!B18+3*Tools!B22+3*Workstations!B24+15*Table2[[#This Row],[Quality]])+5</f>
        <v>76.36</v>
      </c>
      <c r="E224" s="12"/>
    </row>
    <row r="225" spans="1:5" ht="116" hidden="1" x14ac:dyDescent="0.35">
      <c r="A225" s="12" t="s">
        <v>1023</v>
      </c>
      <c r="B225" s="12"/>
      <c r="C225" s="12" t="s">
        <v>150</v>
      </c>
      <c r="D225" s="12" t="s">
        <v>340</v>
      </c>
      <c r="E225" s="12"/>
    </row>
    <row r="226" spans="1:5" ht="101.5" hidden="1" x14ac:dyDescent="0.35">
      <c r="A226" s="12" t="s">
        <v>1024</v>
      </c>
      <c r="B226" s="12"/>
      <c r="C226" s="12" t="s">
        <v>150</v>
      </c>
      <c r="D226" s="12" t="s">
        <v>342</v>
      </c>
      <c r="E226" s="12"/>
    </row>
    <row r="227" spans="1:5" x14ac:dyDescent="0.35">
      <c r="A227" s="12" t="s">
        <v>254</v>
      </c>
      <c r="B227" s="12"/>
      <c r="C227" s="12" t="s">
        <v>150</v>
      </c>
      <c r="D227" s="12">
        <f>1/25*(2*Products!B2+2*Input!B18+3*Tools!B22+3*Workstations!B24+15*Table2[[#This Row],[Quality]])+5</f>
        <v>76.36</v>
      </c>
      <c r="E227" s="12" t="s">
        <v>1003</v>
      </c>
    </row>
    <row r="228" spans="1:5" x14ac:dyDescent="0.35">
      <c r="A228" s="12" t="s">
        <v>1025</v>
      </c>
      <c r="B228" s="12"/>
      <c r="C228" s="12" t="s">
        <v>150</v>
      </c>
      <c r="D228">
        <f>1/25*(2*Products!B2+2*Input!B18+3*Tools!B22+3*Workstations!B24+15*Table2[[#This Row],[Quality]])+5</f>
        <v>76.36</v>
      </c>
      <c r="E228" s="12"/>
    </row>
    <row r="229" spans="1:5" x14ac:dyDescent="0.35">
      <c r="A229" s="12" t="s">
        <v>247</v>
      </c>
      <c r="B229" s="12"/>
      <c r="C229" s="12" t="s">
        <v>150</v>
      </c>
      <c r="D229">
        <f>1/25*(2*Products!B2+2*Input!B18+3*Tools!B22+3*Workstations!B24+15*Table2[[#This Row],[Quality]])+5</f>
        <v>76.36</v>
      </c>
      <c r="E229" s="12" t="s">
        <v>1003</v>
      </c>
    </row>
    <row r="230" spans="1:5" x14ac:dyDescent="0.35">
      <c r="A230" s="12" t="s">
        <v>1026</v>
      </c>
      <c r="B230" s="12"/>
      <c r="C230" s="12" t="s">
        <v>150</v>
      </c>
      <c r="D230">
        <f>1/25*(2*Products!B2+2*Input!B18+3*Tools!B22+3*Workstations!B24+15*Table2[[#This Row],[Quality]])+5</f>
        <v>76.36</v>
      </c>
      <c r="E230" s="12"/>
    </row>
    <row r="231" spans="1:5" x14ac:dyDescent="0.35">
      <c r="A231" s="12" t="s">
        <v>1027</v>
      </c>
      <c r="B231" s="12"/>
      <c r="C231" s="12" t="s">
        <v>150</v>
      </c>
      <c r="D231">
        <f>1/25*(2*Products!B2+2*Input!B18+3*Tools!B22+3*Workstations!B24+15*Table2[[#This Row],[Quality]])+5</f>
        <v>76.36</v>
      </c>
      <c r="E231" s="12"/>
    </row>
    <row r="232" spans="1:5" x14ac:dyDescent="0.35">
      <c r="A232" s="12" t="s">
        <v>1028</v>
      </c>
      <c r="B232" s="12"/>
      <c r="C232" s="12" t="s">
        <v>150</v>
      </c>
      <c r="D232">
        <f>1/25*(2*Products!B2+2*Input!B18+3*Tools!B22+3*Workstations!B24+15*Table2[[#This Row],[Quality]])+5</f>
        <v>76.36</v>
      </c>
      <c r="E232" s="12"/>
    </row>
    <row r="233" spans="1:5" x14ac:dyDescent="0.35">
      <c r="A233" s="12" t="s">
        <v>1029</v>
      </c>
      <c r="B233" s="12"/>
      <c r="C233" s="12" t="s">
        <v>150</v>
      </c>
      <c r="D233">
        <f>1/25*(2*Products!B2+2*Input!B18+3*Tools!B22+3*Workstations!B24+15*Table2[[#This Row],[Quality]])+5</f>
        <v>76.36</v>
      </c>
      <c r="E233" s="12" t="s">
        <v>1003</v>
      </c>
    </row>
    <row r="234" spans="1:5" x14ac:dyDescent="0.35">
      <c r="A234" s="12" t="s">
        <v>1030</v>
      </c>
      <c r="B234" s="12"/>
      <c r="C234" s="12" t="s">
        <v>150</v>
      </c>
      <c r="D234">
        <f>1/25*(2*Products!B2+2*Input!B18+3*Tools!B22+3*Workstations!B24+15*Table2[[#This Row],[Quality]])+5</f>
        <v>76.36</v>
      </c>
      <c r="E234" s="12" t="s">
        <v>1116</v>
      </c>
    </row>
    <row r="235" spans="1:5" x14ac:dyDescent="0.35">
      <c r="A235" s="12" t="s">
        <v>333</v>
      </c>
      <c r="B235" s="12"/>
      <c r="C235" s="12" t="s">
        <v>150</v>
      </c>
      <c r="D235">
        <f>1/25*(2*Products!B2+2*Input!B18+3*Tools!B22+3*Workstations!B24+15*Table2[[#This Row],[Quality]])+5</f>
        <v>76.36</v>
      </c>
      <c r="E235" s="12"/>
    </row>
    <row r="236" spans="1:5" x14ac:dyDescent="0.35">
      <c r="A236" s="12" t="s">
        <v>1031</v>
      </c>
      <c r="B236" s="12"/>
      <c r="C236" s="12" t="s">
        <v>150</v>
      </c>
      <c r="D236">
        <f>1/25*(2*Products!B2+2*Input!B18+3*Tools!B22+3*Workstations!B24+15*Table2[[#This Row],[Quality]])+5</f>
        <v>76.36</v>
      </c>
      <c r="E236" s="12"/>
    </row>
    <row r="237" spans="1:5" x14ac:dyDescent="0.35">
      <c r="A237" s="12" t="s">
        <v>1032</v>
      </c>
      <c r="B237" s="12"/>
      <c r="C237" s="12" t="s">
        <v>150</v>
      </c>
      <c r="D237">
        <f>1/25*(2*Products!B2+2*Input!B18+3*Tools!B22+3*Workstations!B24+15*Table2[[#This Row],[Quality]])+5</f>
        <v>76.36</v>
      </c>
      <c r="E237" s="12" t="s">
        <v>1099</v>
      </c>
    </row>
    <row r="238" spans="1:5" x14ac:dyDescent="0.35">
      <c r="A238" s="12" t="s">
        <v>1033</v>
      </c>
      <c r="B238" s="12"/>
      <c r="C238" s="12" t="s">
        <v>150</v>
      </c>
      <c r="D238">
        <f>1/25*(2*Products!B2+2*Input!B18+3*Tools!B22+3*Workstations!B24+15*Table2[[#This Row],[Quality]])+5</f>
        <v>76.36</v>
      </c>
      <c r="E238" s="12"/>
    </row>
    <row r="239" spans="1:5" x14ac:dyDescent="0.35">
      <c r="A239" s="12" t="s">
        <v>983</v>
      </c>
      <c r="B239" s="12"/>
      <c r="C239" s="12" t="s">
        <v>150</v>
      </c>
      <c r="D239">
        <f>1/25*(2*Products!B2+2*Input!B18+3*Tools!B22+3*Workstations!B24+15*Table2[[#This Row],[Quality]])+5</f>
        <v>76.36</v>
      </c>
      <c r="E239" s="12"/>
    </row>
    <row r="240" spans="1:5" x14ac:dyDescent="0.35">
      <c r="A240" s="12" t="s">
        <v>336</v>
      </c>
      <c r="B240" s="12"/>
      <c r="C240" s="12" t="s">
        <v>150</v>
      </c>
      <c r="D240">
        <f>1/25*(2*Products!B2+2*Input!B18+3*Tools!B22+3*Workstations!B24+15*Table2[[#This Row],[Quality]])+5</f>
        <v>76.36</v>
      </c>
      <c r="E240" s="12" t="s">
        <v>1099</v>
      </c>
    </row>
    <row r="241" spans="1:5" x14ac:dyDescent="0.35">
      <c r="A241" s="12" t="s">
        <v>1034</v>
      </c>
      <c r="B241" s="12">
        <v>93</v>
      </c>
      <c r="C241" s="12" t="s">
        <v>150</v>
      </c>
      <c r="D241">
        <f>1/25*(2*Products!B2+2*Input!B18+3*Tools!B22+3*Workstations!B24+15*Table2[[#This Row],[Quality]])+5</f>
        <v>132.16</v>
      </c>
      <c r="E241" s="12" t="s">
        <v>1112</v>
      </c>
    </row>
    <row r="242" spans="1:5" x14ac:dyDescent="0.35">
      <c r="A242" s="12" t="s">
        <v>1035</v>
      </c>
      <c r="B242" s="12"/>
      <c r="C242" s="12" t="s">
        <v>150</v>
      </c>
      <c r="D242">
        <f>1/25*(2*Products!B2+2*Input!B18+3*Tools!B22+3*Workstations!B24+15*Table2[[#This Row],[Quality]])+5</f>
        <v>76.36</v>
      </c>
      <c r="E242" s="12" t="s">
        <v>1003</v>
      </c>
    </row>
    <row r="243" spans="1:5" x14ac:dyDescent="0.35">
      <c r="A243" s="12" t="s">
        <v>1036</v>
      </c>
      <c r="B243" s="12"/>
      <c r="C243" s="12" t="s">
        <v>150</v>
      </c>
      <c r="D243">
        <f>1/25*(2*Products!B2+2*Input!B18+3*Tools!B22+3*Workstations!B24+15*Table2[[#This Row],[Quality]])+5</f>
        <v>76.36</v>
      </c>
      <c r="E243" s="12"/>
    </row>
    <row r="244" spans="1:5" x14ac:dyDescent="0.35">
      <c r="A244" s="12" t="s">
        <v>248</v>
      </c>
      <c r="B244" s="12"/>
      <c r="C244" s="12" t="s">
        <v>150</v>
      </c>
      <c r="D244">
        <f>1/25*(2*Products!B2+2*Input!B18+3*Tools!B22+3*Workstations!B24+15*Table2[[#This Row],[Quality]])+5</f>
        <v>76.36</v>
      </c>
      <c r="E244" s="12" t="s">
        <v>1117</v>
      </c>
    </row>
    <row r="245" spans="1:5" x14ac:dyDescent="0.35">
      <c r="A245" s="12" t="s">
        <v>1037</v>
      </c>
      <c r="B245" s="12"/>
      <c r="C245" s="12" t="s">
        <v>150</v>
      </c>
      <c r="D245">
        <f>1/25*(2*Products!B2+2*Input!B18+3*Tools!B22+3*Workstations!B24+15*Table2[[#This Row],[Quality]])+5</f>
        <v>76.36</v>
      </c>
      <c r="E245" s="12" t="s">
        <v>1118</v>
      </c>
    </row>
    <row r="246" spans="1:5" x14ac:dyDescent="0.35">
      <c r="A246" s="12" t="s">
        <v>1038</v>
      </c>
      <c r="B246" s="12"/>
      <c r="C246" s="12" t="s">
        <v>150</v>
      </c>
      <c r="D246">
        <f>1/25*(2*Products!B2+2*Input!B18+3*Tools!B22+3*Workstations!B24+15*Table2[[#This Row],[Quality]])+5</f>
        <v>76.36</v>
      </c>
      <c r="E246" s="12"/>
    </row>
    <row r="247" spans="1:5" x14ac:dyDescent="0.35">
      <c r="A247" s="12" t="s">
        <v>1039</v>
      </c>
      <c r="B247" s="12"/>
      <c r="C247" s="12" t="s">
        <v>150</v>
      </c>
      <c r="D247">
        <f>1/25*(2*Products!B2+2*Input!B18+3*Tools!B22+3*Workstations!B24+15*Table2[[#This Row],[Quality]])+5</f>
        <v>76.36</v>
      </c>
      <c r="E247" s="12"/>
    </row>
    <row r="248" spans="1:5" x14ac:dyDescent="0.35">
      <c r="A248" s="12" t="s">
        <v>253</v>
      </c>
      <c r="B248" s="12"/>
      <c r="C248" s="12" t="s">
        <v>150</v>
      </c>
      <c r="D248">
        <f>1/25*(2*Products!B2+2*Input!B18+3*Tools!B22+3*Workstations!B24+15*Table2[[#This Row],[Quality]])+5</f>
        <v>76.36</v>
      </c>
      <c r="E248" s="12"/>
    </row>
    <row r="249" spans="1:5" x14ac:dyDescent="0.35">
      <c r="A249" s="12" t="s">
        <v>246</v>
      </c>
      <c r="B249" s="12"/>
      <c r="C249" s="12" t="s">
        <v>150</v>
      </c>
      <c r="D249">
        <f>1/25*(2*Products!B2+2*Input!B18+3*Tools!B22+3*Workstations!B24+15*Table2[[#This Row],[Quality]])+5</f>
        <v>76.36</v>
      </c>
      <c r="E249" s="12"/>
    </row>
    <row r="250" spans="1:5" x14ac:dyDescent="0.35">
      <c r="A250" s="12" t="s">
        <v>337</v>
      </c>
      <c r="B250" s="12">
        <v>140</v>
      </c>
      <c r="C250" s="12" t="s">
        <v>150</v>
      </c>
      <c r="D250">
        <f>1/25*(2*Products!B2+2*Input!B18+3*Tools!B22+3*Workstations!B24+15*Table2[[#This Row],[Quality]])+5</f>
        <v>160.36000000000001</v>
      </c>
      <c r="E250" s="12" t="s">
        <v>1119</v>
      </c>
    </row>
    <row r="251" spans="1:5" x14ac:dyDescent="0.35">
      <c r="A251" s="12" t="s">
        <v>1040</v>
      </c>
      <c r="B251" s="12"/>
      <c r="C251" s="12" t="s">
        <v>150</v>
      </c>
      <c r="D251">
        <f>1/25*(2*Products!B2+2*Input!B18+3*Tools!B22+3*Workstations!B24+15*Table2[[#This Row],[Quality]])+5</f>
        <v>76.36</v>
      </c>
      <c r="E251" s="12"/>
    </row>
    <row r="252" spans="1:5" x14ac:dyDescent="0.35">
      <c r="A252" s="12" t="s">
        <v>1041</v>
      </c>
      <c r="B252" s="12"/>
      <c r="C252" s="12" t="s">
        <v>150</v>
      </c>
      <c r="D252">
        <f>1/25*(2*Products!B2+2*Input!B18+3*Tools!B22+3*Workstations!B24+15*Table2[[#This Row],[Quality]])+5</f>
        <v>76.36</v>
      </c>
      <c r="E252" s="12"/>
    </row>
    <row r="253" spans="1:5" x14ac:dyDescent="0.35">
      <c r="A253" s="12" t="s">
        <v>1042</v>
      </c>
      <c r="B253" s="12"/>
      <c r="C253" s="12" t="s">
        <v>150</v>
      </c>
      <c r="D253">
        <f>1/25*(2*Products!B2+2*Input!B18+3*Tools!B22+3*Workstations!B24+15*Table2[[#This Row],[Quality]])+5</f>
        <v>76.36</v>
      </c>
      <c r="E253" s="12"/>
    </row>
    <row r="254" spans="1:5" x14ac:dyDescent="0.35">
      <c r="A254" s="12" t="s">
        <v>1043</v>
      </c>
      <c r="B254" s="12"/>
      <c r="C254" s="12" t="s">
        <v>150</v>
      </c>
      <c r="D254">
        <f>1/25*(2*Products!B2+2*Input!B18+3*Tools!B22+3*Workstations!B24+15*Table2[[#This Row],[Quality]])+5</f>
        <v>76.36</v>
      </c>
      <c r="E254" s="12"/>
    </row>
    <row r="255" spans="1:5" x14ac:dyDescent="0.35">
      <c r="A255" s="12" t="s">
        <v>250</v>
      </c>
      <c r="B255" s="12"/>
      <c r="C255" s="12" t="s">
        <v>150</v>
      </c>
      <c r="D255">
        <f>1/25*(2*Products!B2+2*Input!B18+3*Tools!B22+3*Workstations!B24+15*Table2[[#This Row],[Quality]])+5</f>
        <v>76.36</v>
      </c>
      <c r="E255" s="12"/>
    </row>
    <row r="256" spans="1:5" x14ac:dyDescent="0.35">
      <c r="A256" s="12" t="s">
        <v>334</v>
      </c>
      <c r="B256" s="12">
        <v>172</v>
      </c>
      <c r="C256" s="12" t="s">
        <v>150</v>
      </c>
      <c r="D256">
        <f>1/25*(2*Products!B2+2*Input!B18+3*Tools!B22+3*Workstations!B24+15*Table2[[#This Row],[Quality]])+5</f>
        <v>179.56</v>
      </c>
      <c r="E256" s="12"/>
    </row>
    <row r="257" spans="1:5" x14ac:dyDescent="0.35">
      <c r="A257" s="12" t="s">
        <v>1044</v>
      </c>
      <c r="B257" s="12"/>
      <c r="C257" s="12" t="s">
        <v>150</v>
      </c>
      <c r="D257">
        <f>1/25*(2*Products!B2+2*Input!B18+3*Tools!B22+3*Workstations!B24+15*Table2[[#This Row],[Quality]])+5</f>
        <v>76.36</v>
      </c>
      <c r="E257" s="12"/>
    </row>
    <row r="258" spans="1:5" x14ac:dyDescent="0.35">
      <c r="A258" s="12" t="s">
        <v>1045</v>
      </c>
      <c r="B258" s="12"/>
      <c r="C258" s="12" t="s">
        <v>150</v>
      </c>
      <c r="D258">
        <f>1/25*(2*Products!B2+2*Input!B18+3*Tools!B22+3*Workstations!B24+15*Table2[[#This Row],[Quality]])+5</f>
        <v>76.36</v>
      </c>
      <c r="E258" s="12" t="s">
        <v>1003</v>
      </c>
    </row>
    <row r="259" spans="1:5" x14ac:dyDescent="0.35">
      <c r="A259" s="12" t="s">
        <v>1046</v>
      </c>
      <c r="B259" s="12"/>
      <c r="C259" s="12" t="s">
        <v>150</v>
      </c>
      <c r="D259">
        <f>1/25*(2*Products!B2+2*Input!B18+3*Tools!B22+3*Workstations!B24+15*Table2[[#This Row],[Quality]])+5</f>
        <v>76.36</v>
      </c>
      <c r="E259" s="12"/>
    </row>
    <row r="260" spans="1:5" x14ac:dyDescent="0.35">
      <c r="A260" s="12" t="s">
        <v>1047</v>
      </c>
      <c r="B260" s="12"/>
      <c r="C260" s="12" t="s">
        <v>150</v>
      </c>
      <c r="D260">
        <f>1/25*(2*Products!B2+2*Input!B18+3*Tools!B22+3*Workstations!B24+15*Table2[[#This Row],[Quality]])+5</f>
        <v>76.36</v>
      </c>
      <c r="E260" s="12"/>
    </row>
    <row r="261" spans="1:5" x14ac:dyDescent="0.35">
      <c r="A261" s="12" t="s">
        <v>1048</v>
      </c>
      <c r="B261" s="12"/>
      <c r="C261" s="12" t="s">
        <v>150</v>
      </c>
      <c r="D261">
        <f>1/25*(2*Products!B2+2*Input!B18+3*Tools!B22+3*Workstations!B24+15*Table2[[#This Row],[Quality]])+5</f>
        <v>76.36</v>
      </c>
      <c r="E261" s="12"/>
    </row>
    <row r="262" spans="1:5" x14ac:dyDescent="0.35">
      <c r="A262" s="12" t="s">
        <v>1049</v>
      </c>
      <c r="B262" s="12"/>
      <c r="C262" s="12" t="s">
        <v>150</v>
      </c>
      <c r="D262">
        <f>1/25*(2*Products!B2+2*Input!B18+3*Tools!B22+3*Workstations!B24+15*Table2[[#This Row],[Quality]])+5</f>
        <v>76.36</v>
      </c>
      <c r="E262" s="12"/>
    </row>
    <row r="263" spans="1:5" x14ac:dyDescent="0.35">
      <c r="A263" s="12" t="s">
        <v>1050</v>
      </c>
      <c r="B263" s="12"/>
      <c r="C263" s="12" t="s">
        <v>150</v>
      </c>
      <c r="D263">
        <f>1/25*(2*Products!B2+2*Input!B18+3*Tools!B22+3*Workstations!B24+15*Table2[[#This Row],[Quality]])+5</f>
        <v>76.36</v>
      </c>
      <c r="E263" s="12"/>
    </row>
    <row r="264" spans="1:5" x14ac:dyDescent="0.35">
      <c r="A264" s="12" t="s">
        <v>984</v>
      </c>
      <c r="B264" s="12"/>
      <c r="C264" s="12" t="s">
        <v>150</v>
      </c>
      <c r="D264">
        <f>1/25*(2*Products!B2+2*Input!B18+3*Tools!B22+3*Workstations!B24+15*Table2[[#This Row],[Quality]])+5</f>
        <v>76.36</v>
      </c>
      <c r="E264" s="12" t="s">
        <v>1003</v>
      </c>
    </row>
    <row r="265" spans="1:5" x14ac:dyDescent="0.35">
      <c r="A265" s="12" t="s">
        <v>985</v>
      </c>
      <c r="B265" s="12"/>
      <c r="C265" s="12" t="s">
        <v>150</v>
      </c>
      <c r="D265">
        <f>1/25*(2*Products!B2+2*Input!B18+3*Tools!B22+3*Workstations!B24+15*Table2[[#This Row],[Quality]])+5</f>
        <v>76.36</v>
      </c>
      <c r="E265" s="12"/>
    </row>
    <row r="266" spans="1:5" x14ac:dyDescent="0.35">
      <c r="A266" s="12" t="s">
        <v>1051</v>
      </c>
      <c r="B266" s="12"/>
      <c r="C266" s="12" t="s">
        <v>150</v>
      </c>
      <c r="D266">
        <f>1/25*(2*Products!B2+2*Input!B18+3*Tools!B22+3*Workstations!B24+15*Table2[[#This Row],[Quality]])+5</f>
        <v>76.36</v>
      </c>
      <c r="E266" s="12" t="s">
        <v>1003</v>
      </c>
    </row>
    <row r="267" spans="1:5" x14ac:dyDescent="0.35">
      <c r="A267" s="12" t="s">
        <v>1052</v>
      </c>
      <c r="B267" s="12"/>
      <c r="C267" s="12" t="s">
        <v>150</v>
      </c>
      <c r="D267">
        <f>1/25*(2*Products!B2+2*Input!B18+3*Tools!B22+3*Workstations!B24+15*Table2[[#This Row],[Quality]])+5</f>
        <v>76.36</v>
      </c>
      <c r="E267" s="12"/>
    </row>
    <row r="268" spans="1:5" x14ac:dyDescent="0.35">
      <c r="A268" s="12" t="s">
        <v>1053</v>
      </c>
      <c r="B268" s="12"/>
      <c r="C268" s="12" t="s">
        <v>150</v>
      </c>
      <c r="D268">
        <f>1/25*(2*Products!B2+2*Input!B18+3*Tools!B22+3*Workstations!B24+15*Table2[[#This Row],[Quality]])+5</f>
        <v>76.36</v>
      </c>
      <c r="E268" s="12"/>
    </row>
    <row r="269" spans="1:5" x14ac:dyDescent="0.35">
      <c r="A269" s="12" t="s">
        <v>1054</v>
      </c>
      <c r="B269" s="12"/>
      <c r="C269" s="12" t="s">
        <v>150</v>
      </c>
      <c r="D269">
        <f>1/25*(2*Products!B2+2*Input!B18+3*Tools!B22+3*Workstations!B24+15*Table2[[#This Row],[Quality]])+5</f>
        <v>76.36</v>
      </c>
      <c r="E269" s="12"/>
    </row>
    <row r="270" spans="1:5" x14ac:dyDescent="0.35">
      <c r="A270" s="12" t="s">
        <v>1055</v>
      </c>
      <c r="B270" s="12"/>
      <c r="C270" s="12" t="s">
        <v>150</v>
      </c>
      <c r="D270">
        <f>1/25*(2*Products!B2+2*Input!B18+3*Tools!B22+3*Workstations!B24+15*Table2[[#This Row],[Quality]])+5</f>
        <v>76.36</v>
      </c>
      <c r="E270" s="12"/>
    </row>
    <row r="271" spans="1:5" x14ac:dyDescent="0.35">
      <c r="A271" s="12" t="s">
        <v>1056</v>
      </c>
      <c r="B271" s="12"/>
      <c r="C271" s="12" t="s">
        <v>150</v>
      </c>
      <c r="D271">
        <f>1/25*(2*Products!B2+2*Input!B18+3*Tools!B22+3*Workstations!B24+15*Table2[[#This Row],[Quality]])+5</f>
        <v>76.36</v>
      </c>
      <c r="E271" s="12"/>
    </row>
    <row r="272" spans="1:5" x14ac:dyDescent="0.35">
      <c r="A272" s="12" t="s">
        <v>1057</v>
      </c>
      <c r="B272" s="12"/>
      <c r="C272" s="12" t="s">
        <v>150</v>
      </c>
      <c r="D272">
        <f>1/25*(2*Products!B2+2*Input!B18+3*Tools!B22+3*Workstations!B24+15*Table2[[#This Row],[Quality]])+5</f>
        <v>76.36</v>
      </c>
      <c r="E272" s="12"/>
    </row>
    <row r="273" spans="1:5" x14ac:dyDescent="0.35">
      <c r="A273" s="12" t="s">
        <v>1058</v>
      </c>
      <c r="B273" s="12"/>
      <c r="C273" s="12" t="s">
        <v>150</v>
      </c>
      <c r="D273">
        <f>1/25*(2*Products!B2+2*Input!B18+3*Tools!B22+3*Workstations!B24+15*Table2[[#This Row],[Quality]])+5</f>
        <v>76.36</v>
      </c>
      <c r="E273" s="12"/>
    </row>
    <row r="274" spans="1:5" x14ac:dyDescent="0.35">
      <c r="A274" s="12" t="s">
        <v>1059</v>
      </c>
      <c r="B274" s="12"/>
      <c r="C274" s="12" t="s">
        <v>150</v>
      </c>
      <c r="D274">
        <f>1/25*(2*Products!B2+2*Input!B18+3*Tools!B22+3*Workstations!B24+15*Table2[[#This Row],[Quality]])+5</f>
        <v>76.36</v>
      </c>
      <c r="E274" s="12"/>
    </row>
    <row r="275" spans="1:5" x14ac:dyDescent="0.35">
      <c r="A275" s="12" t="s">
        <v>1060</v>
      </c>
      <c r="B275" s="12"/>
      <c r="C275" s="12" t="s">
        <v>150</v>
      </c>
      <c r="D275">
        <f>1/25*(2*Products!B2+2*Input!B18+3*Tools!B22+3*Workstations!B24+15*Table2[[#This Row],[Quality]])+5</f>
        <v>76.36</v>
      </c>
      <c r="E275" s="12"/>
    </row>
    <row r="276" spans="1:5" x14ac:dyDescent="0.35">
      <c r="A276" s="12" t="s">
        <v>251</v>
      </c>
      <c r="B276" s="12"/>
      <c r="C276" s="12" t="s">
        <v>150</v>
      </c>
      <c r="D276">
        <f>1/25*(2*Products!B2+2*Input!B18+3*Tools!B22+3*Workstations!B24+15*Table2[[#This Row],[Quality]])+5</f>
        <v>76.36</v>
      </c>
      <c r="E276" s="12"/>
    </row>
    <row r="277" spans="1:5" x14ac:dyDescent="0.35">
      <c r="A277" s="12" t="s">
        <v>1061</v>
      </c>
      <c r="B277" s="12"/>
      <c r="C277" s="12" t="s">
        <v>150</v>
      </c>
      <c r="D277">
        <f>1/25*(2*Products!B2+2*Input!B18+3*Tools!B22+3*Workstations!B24+15*Table2[[#This Row],[Quality]])+5</f>
        <v>76.36</v>
      </c>
      <c r="E277" s="12"/>
    </row>
    <row r="278" spans="1:5" x14ac:dyDescent="0.35">
      <c r="A278" s="12" t="s">
        <v>1062</v>
      </c>
      <c r="B278" s="12"/>
      <c r="C278" s="12" t="s">
        <v>150</v>
      </c>
      <c r="D278">
        <f>1/25*(2*Products!B2+2*Input!B18+3*Tools!B22+3*Workstations!B24+15*Table2[[#This Row],[Quality]])+5</f>
        <v>76.36</v>
      </c>
      <c r="E278" s="12"/>
    </row>
    <row r="279" spans="1:5" x14ac:dyDescent="0.35">
      <c r="A279" s="12" t="s">
        <v>335</v>
      </c>
      <c r="B279" s="12"/>
      <c r="C279" s="12" t="s">
        <v>150</v>
      </c>
      <c r="D279">
        <f>1/25*(2*Products!B2+2*Input!B18+3*Tools!B22+3*Workstations!B24+15*Table2[[#This Row],[Quality]])+5</f>
        <v>76.36</v>
      </c>
      <c r="E279" s="12" t="s">
        <v>1003</v>
      </c>
    </row>
    <row r="280" spans="1:5" x14ac:dyDescent="0.35">
      <c r="A280" s="12" t="s">
        <v>1063</v>
      </c>
      <c r="B280" s="12"/>
      <c r="C280" s="12" t="s">
        <v>150</v>
      </c>
      <c r="D280">
        <f>1/25*(2*Products!B2+2*Input!B18+3*Tools!B22+3*Workstations!B24+15*Table2[[#This Row],[Quality]])+5</f>
        <v>76.36</v>
      </c>
      <c r="E280" s="12"/>
    </row>
    <row r="281" spans="1:5" x14ac:dyDescent="0.35">
      <c r="A281" s="12" t="s">
        <v>1064</v>
      </c>
      <c r="B281" s="12"/>
      <c r="C281" s="12" t="s">
        <v>1091</v>
      </c>
      <c r="D281">
        <f>1/25*(2*Products!B2+2*Input!B18+3*Tools!B22+3*Workstations!B24+15*Table2[[#This Row],[Quality]])+5</f>
        <v>76.36</v>
      </c>
      <c r="E281" s="12"/>
    </row>
    <row r="282" spans="1:5" ht="29" x14ac:dyDescent="0.35">
      <c r="A282" s="12" t="s">
        <v>1065</v>
      </c>
      <c r="B282" s="12"/>
      <c r="C282" s="12" t="s">
        <v>1091</v>
      </c>
      <c r="D282">
        <f>1/25*(2*Products!B2+2*Input!B18+3*Tools!B22+3*Workstations!B24+15*Table2[[#This Row],[Quality]])+5</f>
        <v>76.36</v>
      </c>
      <c r="E282" s="12"/>
    </row>
    <row r="283" spans="1:5" x14ac:dyDescent="0.35">
      <c r="A283" s="12" t="s">
        <v>1066</v>
      </c>
      <c r="B283" s="12"/>
      <c r="C283" s="12" t="s">
        <v>1091</v>
      </c>
      <c r="D283">
        <f>1/25*(2*Products!B2+2*Input!B18+3*Tools!B22+3*Workstations!B24+15*Table2[[#This Row],[Quality]])+5</f>
        <v>76.36</v>
      </c>
      <c r="E283" s="12"/>
    </row>
    <row r="284" spans="1:5" x14ac:dyDescent="0.35">
      <c r="A284" s="12" t="s">
        <v>1067</v>
      </c>
      <c r="B284" s="12"/>
      <c r="C284" s="12" t="s">
        <v>1091</v>
      </c>
      <c r="D284">
        <f>1/25*(2*Products!B2+2*Input!B18+3*Tools!B22+3*Workstations!B24+15*Table2[[#This Row],[Quality]])+5</f>
        <v>76.36</v>
      </c>
      <c r="E284" s="12"/>
    </row>
    <row r="285" spans="1:5" x14ac:dyDescent="0.35">
      <c r="A285" s="12" t="s">
        <v>1068</v>
      </c>
      <c r="B285" s="12"/>
      <c r="C285" s="12" t="s">
        <v>1091</v>
      </c>
      <c r="D285">
        <f>1/25*(2*Products!B2+2*Input!B18+3*Tools!B22+3*Workstations!B24+15*Table2[[#This Row],[Quality]])+5</f>
        <v>76.36</v>
      </c>
      <c r="E285" s="12"/>
    </row>
    <row r="286" spans="1:5" x14ac:dyDescent="0.35">
      <c r="A286" s="12" t="s">
        <v>1069</v>
      </c>
      <c r="B286" s="12"/>
      <c r="C286" s="12" t="s">
        <v>1091</v>
      </c>
      <c r="D286">
        <f>1/25*(2*Products!B2+2*Input!B18+3*Tools!B22+3*Workstations!B24+15*Table2[[#This Row],[Quality]])+5</f>
        <v>76.36</v>
      </c>
      <c r="E286" s="12"/>
    </row>
    <row r="287" spans="1:5" x14ac:dyDescent="0.35">
      <c r="A287" s="12" t="s">
        <v>1070</v>
      </c>
      <c r="B287" s="12"/>
      <c r="C287" s="12" t="s">
        <v>1091</v>
      </c>
      <c r="D287">
        <f>1/25*(2*Products!B2+2*Input!B18+3*Tools!B22+3*Workstations!B24+15*Table2[[#This Row],[Quality]])+5</f>
        <v>76.36</v>
      </c>
      <c r="E287" s="12"/>
    </row>
    <row r="288" spans="1:5" x14ac:dyDescent="0.35">
      <c r="A288" s="12" t="s">
        <v>1071</v>
      </c>
      <c r="B288" s="12"/>
      <c r="C288" s="12" t="s">
        <v>1091</v>
      </c>
      <c r="D288">
        <f>1/25*(2*Products!B2+2*Input!B18+3*Tools!B22+3*Workstations!B24+15*Table2[[#This Row],[Quality]])+5</f>
        <v>76.36</v>
      </c>
      <c r="E288" s="12"/>
    </row>
    <row r="289" spans="1:5" x14ac:dyDescent="0.35">
      <c r="A289" s="12" t="s">
        <v>1072</v>
      </c>
      <c r="B289" s="12"/>
      <c r="C289" s="12" t="s">
        <v>1091</v>
      </c>
      <c r="D289">
        <f>1/25*(2*Products!B2+2*Input!B18+3*Tools!B22+3*Workstations!B24+15*Table2[[#This Row],[Quality]])+5</f>
        <v>76.36</v>
      </c>
      <c r="E289" s="12"/>
    </row>
    <row r="290" spans="1:5" x14ac:dyDescent="0.35">
      <c r="A290" s="12" t="s">
        <v>1073</v>
      </c>
      <c r="B290" s="12"/>
      <c r="C290" s="12" t="s">
        <v>1091</v>
      </c>
      <c r="D290">
        <f>1/25*(2*Products!B2+2*Input!B18+3*Tools!B22+3*Workstations!B24+15*Table2[[#This Row],[Quality]])+5</f>
        <v>76.36</v>
      </c>
      <c r="E290" s="12"/>
    </row>
    <row r="291" spans="1:5" x14ac:dyDescent="0.35">
      <c r="A291" s="12" t="s">
        <v>1074</v>
      </c>
      <c r="B291" s="12"/>
      <c r="C291" s="12" t="s">
        <v>1091</v>
      </c>
      <c r="D291">
        <f>1/25*(2*Products!B2+2*Input!B18+3*Tools!B22+3*Workstations!B24+15*Table2[[#This Row],[Quality]])+5</f>
        <v>76.36</v>
      </c>
      <c r="E291" s="12"/>
    </row>
    <row r="292" spans="1:5" x14ac:dyDescent="0.35">
      <c r="A292" s="12" t="s">
        <v>1075</v>
      </c>
      <c r="B292" s="12"/>
      <c r="C292" s="12" t="s">
        <v>1091</v>
      </c>
      <c r="D292">
        <f>1/25*(2*Products!B2+2*Input!B18+3*Tools!B22+3*Workstations!B24+15*Table2[[#This Row],[Quality]])+5</f>
        <v>76.36</v>
      </c>
      <c r="E292" s="12"/>
    </row>
    <row r="293" spans="1:5" x14ac:dyDescent="0.35">
      <c r="A293" s="12" t="s">
        <v>1076</v>
      </c>
      <c r="B293" s="12"/>
      <c r="C293" s="12" t="s">
        <v>1091</v>
      </c>
      <c r="D293">
        <f>1/25*(2*Products!B2+2*Input!B18+3*Tools!B22+3*Workstations!B24+15*Table2[[#This Row],[Quality]])+5</f>
        <v>76.36</v>
      </c>
      <c r="E293" s="12"/>
    </row>
    <row r="294" spans="1:5" x14ac:dyDescent="0.35">
      <c r="A294" s="12" t="s">
        <v>613</v>
      </c>
      <c r="B294" s="12"/>
      <c r="C294" s="12" t="s">
        <v>1091</v>
      </c>
      <c r="D294">
        <f>1/25*(2*Products!B2+2*Input!B18+3*Tools!B22+3*Workstations!B24+15*Table2[[#This Row],[Quality]])+5</f>
        <v>76.36</v>
      </c>
      <c r="E294" s="12" t="s">
        <v>1111</v>
      </c>
    </row>
    <row r="295" spans="1:5" x14ac:dyDescent="0.35">
      <c r="A295" s="12" t="s">
        <v>1077</v>
      </c>
      <c r="B295" s="12"/>
      <c r="C295" s="12" t="s">
        <v>1091</v>
      </c>
      <c r="D295">
        <f>1/25*(2*Products!B2+2*Input!B18+3*Tools!B22+3*Workstations!B24+15*Table2[[#This Row],[Quality]])+5</f>
        <v>76.36</v>
      </c>
      <c r="E295" s="12"/>
    </row>
    <row r="296" spans="1:5" x14ac:dyDescent="0.35">
      <c r="A296" s="12" t="s">
        <v>1078</v>
      </c>
      <c r="B296" s="12"/>
      <c r="C296" s="12" t="s">
        <v>1091</v>
      </c>
      <c r="D296">
        <f>1/25*(2*Products!B2+2*Input!B18+3*Tools!B22+3*Workstations!B24+15*Table2[[#This Row],[Quality]])+5</f>
        <v>76.36</v>
      </c>
      <c r="E296" s="12"/>
    </row>
    <row r="297" spans="1:5" x14ac:dyDescent="0.35">
      <c r="A297" s="12" t="s">
        <v>1079</v>
      </c>
      <c r="B297" s="12"/>
      <c r="C297" s="12" t="s">
        <v>1091</v>
      </c>
      <c r="D297">
        <f>1/25*(2*Products!B2+2*Input!B18+3*Tools!B22+3*Workstations!B24+15*Table2[[#This Row],[Quality]])+5</f>
        <v>76.36</v>
      </c>
      <c r="E297" s="12"/>
    </row>
    <row r="298" spans="1:5" x14ac:dyDescent="0.35">
      <c r="A298" s="12" t="s">
        <v>1080</v>
      </c>
      <c r="B298" s="12"/>
      <c r="C298" s="12" t="s">
        <v>1091</v>
      </c>
      <c r="D298">
        <f>1/25*(2*Products!B2+2*Input!B18+3*Tools!B22+3*Workstations!B24+15*Table2[[#This Row],[Quality]])+5</f>
        <v>76.36</v>
      </c>
      <c r="E298" s="12"/>
    </row>
    <row r="299" spans="1:5" x14ac:dyDescent="0.35">
      <c r="A299" s="12" t="s">
        <v>1081</v>
      </c>
      <c r="B299" s="12"/>
      <c r="C299" s="12" t="s">
        <v>1091</v>
      </c>
      <c r="D299">
        <f>1/25*(2*Products!B2+2*Input!B18+3*Tools!B22+3*Workstations!B24+15*Table2[[#This Row],[Quality]])+5</f>
        <v>76.36</v>
      </c>
      <c r="E299" s="12"/>
    </row>
    <row r="300" spans="1:5" x14ac:dyDescent="0.35">
      <c r="A300" s="12" t="s">
        <v>1082</v>
      </c>
      <c r="B300" s="12"/>
      <c r="C300" s="12" t="s">
        <v>1091</v>
      </c>
      <c r="D300">
        <f>1/25*(2*Products!B2+2*Input!B18+3*Tools!B22+3*Workstations!B24+15*Table2[[#This Row],[Quality]])+5</f>
        <v>76.36</v>
      </c>
      <c r="E300" s="12"/>
    </row>
    <row r="301" spans="1:5" x14ac:dyDescent="0.35">
      <c r="A301" s="12" t="s">
        <v>691</v>
      </c>
      <c r="B301" s="12"/>
      <c r="C301" s="12" t="s">
        <v>1091</v>
      </c>
      <c r="D301">
        <f>1/25*(2*Products!B2+2*Input!B18+3*Tools!B22+3*Workstations!B24+15*Table2[[#This Row],[Quality]])+5</f>
        <v>76.36</v>
      </c>
      <c r="E301" s="12"/>
    </row>
    <row r="302" spans="1:5" x14ac:dyDescent="0.35">
      <c r="A302" s="12" t="s">
        <v>1083</v>
      </c>
      <c r="B302" s="12"/>
      <c r="C302" s="12" t="s">
        <v>1091</v>
      </c>
      <c r="D302">
        <f>1/25*(2*Products!B2+2*Input!B18+3*Tools!B22+3*Workstations!B24+15*Table2[[#This Row],[Quality]])+5</f>
        <v>76.36</v>
      </c>
      <c r="E302" s="12"/>
    </row>
    <row r="303" spans="1:5" x14ac:dyDescent="0.35">
      <c r="A303" s="12" t="s">
        <v>1084</v>
      </c>
      <c r="B303" s="12"/>
      <c r="C303" s="12" t="s">
        <v>1091</v>
      </c>
      <c r="D303">
        <f>1/25*(2*Products!B2+2*Input!B18+3*Tools!B22+3*Workstations!B24+15*Table2[[#This Row],[Quality]])+5</f>
        <v>76.36</v>
      </c>
      <c r="E303" s="12"/>
    </row>
    <row r="304" spans="1:5" x14ac:dyDescent="0.35">
      <c r="A304" s="12" t="s">
        <v>1085</v>
      </c>
      <c r="B304" s="12"/>
      <c r="C304" s="12" t="s">
        <v>1091</v>
      </c>
      <c r="D304">
        <f>1/25*(2*Products!B2+2*Input!B18+3*Tools!B22+3*Workstations!B24+15*Table2[[#This Row],[Quality]])+5</f>
        <v>76.36</v>
      </c>
      <c r="E304" s="12"/>
    </row>
    <row r="305" spans="1:5" x14ac:dyDescent="0.35">
      <c r="A305" s="12" t="s">
        <v>1086</v>
      </c>
      <c r="B305" s="12"/>
      <c r="C305" s="12" t="s">
        <v>1091</v>
      </c>
      <c r="D305">
        <f>1/25*(2*Products!B2+2*Input!B18+3*Tools!B22+3*Workstations!B24+15*Table2[[#This Row],[Quality]])+5</f>
        <v>76.36</v>
      </c>
      <c r="E305" s="12"/>
    </row>
    <row r="306" spans="1:5" x14ac:dyDescent="0.35">
      <c r="A306" s="12" t="s">
        <v>1087</v>
      </c>
      <c r="B306" s="12">
        <v>96</v>
      </c>
      <c r="C306" s="12" t="s">
        <v>1091</v>
      </c>
      <c r="D306">
        <f>1/25*(2*Products!B2+2*Input!B18+3*Tools!B22+3*Workstations!B24+15*Table2[[#This Row],[Quality]])+5</f>
        <v>133.96</v>
      </c>
      <c r="E306" s="12" t="s">
        <v>1110</v>
      </c>
    </row>
    <row r="307" spans="1:5" x14ac:dyDescent="0.35">
      <c r="A307" s="12" t="s">
        <v>1088</v>
      </c>
      <c r="B307" s="12"/>
      <c r="C307" s="12" t="s">
        <v>1091</v>
      </c>
      <c r="D307">
        <f>1/25*(2*Products!B2+2*Input!B18+3*Tools!B22+3*Workstations!B24+15*Table2[[#This Row],[Quality]])+5</f>
        <v>76.36</v>
      </c>
      <c r="E307" s="12"/>
    </row>
    <row r="308" spans="1:5" x14ac:dyDescent="0.35">
      <c r="A308" s="12" t="s">
        <v>1089</v>
      </c>
      <c r="B308" s="12"/>
      <c r="C308" s="12" t="s">
        <v>1091</v>
      </c>
      <c r="D308">
        <f>1/25*(2*Products!B2+2*Input!B18+3*Tools!B22+3*Workstations!B24+15*Table2[[#This Row],[Quality]])+5</f>
        <v>76.36</v>
      </c>
      <c r="E308" s="12"/>
    </row>
    <row r="309" spans="1:5" x14ac:dyDescent="0.35">
      <c r="A309" s="12" t="s">
        <v>1090</v>
      </c>
      <c r="B309" s="12"/>
      <c r="C309" s="12" t="s">
        <v>1091</v>
      </c>
      <c r="D309">
        <f>1/25*(2*Products!B2+2*Input!B18+3*Tools!B22+3*Workstations!B24+15*Table2[[#This Row],[Quality]])+5</f>
        <v>76.36</v>
      </c>
      <c r="E309" s="12"/>
    </row>
    <row r="310" spans="1:5" x14ac:dyDescent="0.35">
      <c r="A310" s="12" t="s">
        <v>1129</v>
      </c>
      <c r="B310" s="12">
        <v>20</v>
      </c>
      <c r="C310" s="12" t="s">
        <v>1171</v>
      </c>
      <c r="D310" t="s">
        <v>1335</v>
      </c>
      <c r="E310" s="12"/>
    </row>
    <row r="311" spans="1:5" x14ac:dyDescent="0.35">
      <c r="A311" s="12" t="s">
        <v>1130</v>
      </c>
      <c r="B311" s="12"/>
      <c r="C311" s="12" t="s">
        <v>1339</v>
      </c>
      <c r="D311" t="s">
        <v>1340</v>
      </c>
      <c r="E311" s="12"/>
    </row>
    <row r="312" spans="1:5" x14ac:dyDescent="0.35">
      <c r="A312" s="12" t="s">
        <v>478</v>
      </c>
      <c r="B312" s="12"/>
      <c r="C312" s="12" t="s">
        <v>1171</v>
      </c>
      <c r="E312" s="12"/>
    </row>
    <row r="313" spans="1:5" x14ac:dyDescent="0.35">
      <c r="A313" s="12" t="s">
        <v>1131</v>
      </c>
      <c r="B313" s="12">
        <v>71</v>
      </c>
      <c r="C313" s="12" t="s">
        <v>1171</v>
      </c>
      <c r="D313" t="s">
        <v>1240</v>
      </c>
      <c r="E313" s="12"/>
    </row>
    <row r="314" spans="1:5" x14ac:dyDescent="0.35">
      <c r="A314" s="12" t="s">
        <v>974</v>
      </c>
      <c r="B314" s="12">
        <v>50</v>
      </c>
      <c r="C314" s="12" t="s">
        <v>1171</v>
      </c>
      <c r="D314" t="s">
        <v>1335</v>
      </c>
      <c r="E314" s="12"/>
    </row>
    <row r="315" spans="1:5" x14ac:dyDescent="0.35">
      <c r="A315" s="12" t="s">
        <v>494</v>
      </c>
      <c r="B315" s="12">
        <v>60</v>
      </c>
      <c r="C315" s="12" t="s">
        <v>1171</v>
      </c>
      <c r="D315" t="s">
        <v>1346</v>
      </c>
      <c r="E315" s="12"/>
    </row>
    <row r="316" spans="1:5" x14ac:dyDescent="0.35">
      <c r="A316" s="12" t="s">
        <v>464</v>
      </c>
      <c r="B316" s="12">
        <v>30</v>
      </c>
      <c r="C316" s="12" t="s">
        <v>1171</v>
      </c>
      <c r="D316" t="s">
        <v>1336</v>
      </c>
      <c r="E316" s="12"/>
    </row>
    <row r="317" spans="1:5" x14ac:dyDescent="0.35">
      <c r="A317" s="12" t="s">
        <v>508</v>
      </c>
      <c r="B317" s="12"/>
      <c r="C317" s="12" t="s">
        <v>1171</v>
      </c>
      <c r="D317" t="s">
        <v>1345</v>
      </c>
      <c r="E317" s="12"/>
    </row>
    <row r="318" spans="1:5" x14ac:dyDescent="0.35">
      <c r="A318" s="12" t="s">
        <v>1132</v>
      </c>
      <c r="B318" s="12">
        <v>20</v>
      </c>
      <c r="C318" s="12" t="s">
        <v>1171</v>
      </c>
      <c r="D318" t="s">
        <v>1348</v>
      </c>
      <c r="E318" s="12"/>
    </row>
    <row r="319" spans="1:5" x14ac:dyDescent="0.35">
      <c r="A319" s="12" t="s">
        <v>512</v>
      </c>
      <c r="B319" s="12">
        <v>80</v>
      </c>
      <c r="C319" s="12" t="s">
        <v>1171</v>
      </c>
      <c r="D319" t="s">
        <v>1346</v>
      </c>
      <c r="E319" s="12"/>
    </row>
    <row r="320" spans="1:5" x14ac:dyDescent="0.35">
      <c r="A320" s="12" t="s">
        <v>514</v>
      </c>
      <c r="B320" s="12">
        <v>25</v>
      </c>
      <c r="C320" s="12" t="s">
        <v>1339</v>
      </c>
      <c r="E320" s="12"/>
    </row>
    <row r="321" spans="1:5" x14ac:dyDescent="0.35">
      <c r="A321" s="12" t="s">
        <v>1133</v>
      </c>
      <c r="B321" s="12">
        <v>10</v>
      </c>
      <c r="C321" s="12" t="s">
        <v>1171</v>
      </c>
      <c r="E321" s="12"/>
    </row>
    <row r="322" spans="1:5" x14ac:dyDescent="0.35">
      <c r="A322" s="12" t="s">
        <v>1134</v>
      </c>
      <c r="B322" s="12">
        <v>10</v>
      </c>
      <c r="C322" s="12" t="s">
        <v>1171</v>
      </c>
      <c r="E322" s="12"/>
    </row>
    <row r="323" spans="1:5" x14ac:dyDescent="0.35">
      <c r="A323" s="12" t="s">
        <v>520</v>
      </c>
      <c r="B323" s="12"/>
      <c r="C323" s="12" t="s">
        <v>1171</v>
      </c>
      <c r="D323" t="s">
        <v>1345</v>
      </c>
      <c r="E323" s="12"/>
    </row>
    <row r="324" spans="1:5" x14ac:dyDescent="0.35">
      <c r="A324" s="12" t="s">
        <v>525</v>
      </c>
      <c r="B324" s="12"/>
      <c r="C324" s="12" t="s">
        <v>1171</v>
      </c>
      <c r="E324" s="12"/>
    </row>
    <row r="325" spans="1:5" x14ac:dyDescent="0.35">
      <c r="A325" s="12" t="s">
        <v>528</v>
      </c>
      <c r="B325" s="12">
        <v>10</v>
      </c>
      <c r="C325" s="12" t="s">
        <v>1339</v>
      </c>
      <c r="E325" s="12"/>
    </row>
    <row r="326" spans="1:5" x14ac:dyDescent="0.35">
      <c r="A326" s="12" t="s">
        <v>532</v>
      </c>
      <c r="B326" s="12">
        <v>40</v>
      </c>
      <c r="C326" s="12" t="s">
        <v>1171</v>
      </c>
      <c r="E326" s="12"/>
    </row>
    <row r="327" spans="1:5" x14ac:dyDescent="0.35">
      <c r="A327" s="12" t="s">
        <v>533</v>
      </c>
      <c r="B327" s="12">
        <v>10</v>
      </c>
      <c r="C327" s="12" t="s">
        <v>1339</v>
      </c>
      <c r="E327" s="12"/>
    </row>
    <row r="328" spans="1:5" x14ac:dyDescent="0.35">
      <c r="A328" s="12" t="s">
        <v>538</v>
      </c>
      <c r="B328" s="12">
        <v>25</v>
      </c>
      <c r="C328" s="12" t="s">
        <v>1171</v>
      </c>
      <c r="E328" s="12"/>
    </row>
    <row r="329" spans="1:5" x14ac:dyDescent="0.35">
      <c r="A329" s="12" t="s">
        <v>633</v>
      </c>
      <c r="B329" s="12"/>
      <c r="C329" s="12" t="s">
        <v>1171</v>
      </c>
      <c r="E329" s="12"/>
    </row>
    <row r="330" spans="1:5" x14ac:dyDescent="0.35">
      <c r="A330" s="12" t="s">
        <v>1135</v>
      </c>
      <c r="B330" s="12">
        <v>40</v>
      </c>
      <c r="C330" s="12" t="s">
        <v>1171</v>
      </c>
      <c r="D330" t="s">
        <v>378</v>
      </c>
      <c r="E330" s="12"/>
    </row>
    <row r="331" spans="1:5" x14ac:dyDescent="0.35">
      <c r="A331" s="12" t="s">
        <v>552</v>
      </c>
      <c r="B331" s="12">
        <v>22</v>
      </c>
      <c r="C331" s="12" t="s">
        <v>1171</v>
      </c>
      <c r="E331" s="12"/>
    </row>
    <row r="332" spans="1:5" x14ac:dyDescent="0.35">
      <c r="A332" s="12" t="s">
        <v>586</v>
      </c>
      <c r="B332" s="12">
        <v>35</v>
      </c>
      <c r="C332" s="12" t="s">
        <v>1339</v>
      </c>
      <c r="E332" s="12"/>
    </row>
    <row r="333" spans="1:5" x14ac:dyDescent="0.35">
      <c r="A333" s="12" t="s">
        <v>1136</v>
      </c>
      <c r="B333" s="12"/>
      <c r="C333" s="12" t="s">
        <v>1171</v>
      </c>
      <c r="E333" s="12"/>
    </row>
    <row r="334" spans="1:5" x14ac:dyDescent="0.35">
      <c r="A334" s="12" t="s">
        <v>1137</v>
      </c>
      <c r="B334" s="12"/>
      <c r="C334" s="12" t="s">
        <v>1171</v>
      </c>
      <c r="E334" s="12"/>
    </row>
    <row r="335" spans="1:5" x14ac:dyDescent="0.35">
      <c r="A335" s="12" t="s">
        <v>594</v>
      </c>
      <c r="B335" s="12">
        <v>10</v>
      </c>
      <c r="C335" s="12" t="s">
        <v>1339</v>
      </c>
      <c r="E335" s="12"/>
    </row>
    <row r="336" spans="1:5" x14ac:dyDescent="0.35">
      <c r="A336" s="12" t="s">
        <v>598</v>
      </c>
      <c r="B336" s="12">
        <v>10</v>
      </c>
      <c r="C336" s="12" t="s">
        <v>1171</v>
      </c>
      <c r="E336" s="12"/>
    </row>
    <row r="337" spans="1:5" x14ac:dyDescent="0.35">
      <c r="A337" s="12" t="s">
        <v>1138</v>
      </c>
      <c r="B337" s="12">
        <v>10</v>
      </c>
      <c r="C337" s="12" t="s">
        <v>1171</v>
      </c>
      <c r="E337" s="12"/>
    </row>
    <row r="338" spans="1:5" x14ac:dyDescent="0.35">
      <c r="A338" s="12" t="s">
        <v>1139</v>
      </c>
      <c r="B338" s="12">
        <v>70</v>
      </c>
      <c r="C338" s="12" t="s">
        <v>1171</v>
      </c>
      <c r="D338" t="s">
        <v>1337</v>
      </c>
      <c r="E338" s="12"/>
    </row>
    <row r="339" spans="1:5" x14ac:dyDescent="0.35">
      <c r="A339" s="12" t="s">
        <v>1140</v>
      </c>
      <c r="B339" s="12">
        <v>10</v>
      </c>
      <c r="C339" s="12" t="s">
        <v>1171</v>
      </c>
      <c r="D339" t="s">
        <v>378</v>
      </c>
      <c r="E339" s="12"/>
    </row>
    <row r="340" spans="1:5" x14ac:dyDescent="0.35">
      <c r="A340" s="12" t="s">
        <v>609</v>
      </c>
      <c r="B340" s="12"/>
      <c r="C340" s="12" t="s">
        <v>1171</v>
      </c>
      <c r="E340" s="12"/>
    </row>
    <row r="341" spans="1:5" x14ac:dyDescent="0.35">
      <c r="A341" s="12" t="s">
        <v>257</v>
      </c>
      <c r="B341" s="12">
        <v>50</v>
      </c>
      <c r="C341" s="12" t="s">
        <v>1171</v>
      </c>
      <c r="D341" t="s">
        <v>1345</v>
      </c>
      <c r="E341" s="12"/>
    </row>
    <row r="342" spans="1:5" x14ac:dyDescent="0.35">
      <c r="A342" s="12" t="s">
        <v>1141</v>
      </c>
      <c r="B342" s="12"/>
      <c r="C342" s="12" t="s">
        <v>1171</v>
      </c>
      <c r="E342" s="12"/>
    </row>
    <row r="343" spans="1:5" x14ac:dyDescent="0.35">
      <c r="A343" s="12" t="s">
        <v>1142</v>
      </c>
      <c r="B343" s="12">
        <v>10</v>
      </c>
      <c r="C343" s="12" t="s">
        <v>1339</v>
      </c>
      <c r="E343" s="12"/>
    </row>
    <row r="344" spans="1:5" x14ac:dyDescent="0.35">
      <c r="A344" s="12" t="s">
        <v>535</v>
      </c>
      <c r="B344" s="12">
        <v>30</v>
      </c>
      <c r="C344" s="12" t="s">
        <v>1171</v>
      </c>
      <c r="D344" t="s">
        <v>1338</v>
      </c>
      <c r="E344" s="12"/>
    </row>
    <row r="345" spans="1:5" x14ac:dyDescent="0.35">
      <c r="A345" s="12" t="s">
        <v>597</v>
      </c>
      <c r="B345" s="12"/>
      <c r="C345" s="12" t="s">
        <v>1171</v>
      </c>
      <c r="D345" t="s">
        <v>1345</v>
      </c>
      <c r="E345" s="12"/>
    </row>
    <row r="346" spans="1:5" x14ac:dyDescent="0.35">
      <c r="A346" s="12" t="s">
        <v>1143</v>
      </c>
      <c r="B346" s="12">
        <v>10</v>
      </c>
      <c r="C346" s="12" t="s">
        <v>1339</v>
      </c>
      <c r="E346" s="12"/>
    </row>
    <row r="347" spans="1:5" x14ac:dyDescent="0.35">
      <c r="A347" s="12" t="s">
        <v>1144</v>
      </c>
      <c r="B347" s="12">
        <v>22</v>
      </c>
      <c r="C347" s="12" t="s">
        <v>1171</v>
      </c>
      <c r="E347" s="12"/>
    </row>
    <row r="348" spans="1:5" x14ac:dyDescent="0.35">
      <c r="A348" s="12" t="s">
        <v>617</v>
      </c>
      <c r="B348" s="12">
        <v>40</v>
      </c>
      <c r="C348" s="12" t="s">
        <v>1171</v>
      </c>
      <c r="E348" s="12"/>
    </row>
    <row r="349" spans="1:5" x14ac:dyDescent="0.35">
      <c r="A349" s="12" t="s">
        <v>258</v>
      </c>
      <c r="B349" s="12">
        <v>50</v>
      </c>
      <c r="C349" s="12" t="s">
        <v>1171</v>
      </c>
      <c r="E349" s="12"/>
    </row>
    <row r="350" spans="1:5" x14ac:dyDescent="0.35">
      <c r="A350" s="12" t="s">
        <v>644</v>
      </c>
      <c r="B350" s="12">
        <v>10</v>
      </c>
      <c r="C350" s="12" t="s">
        <v>1339</v>
      </c>
      <c r="E350" s="12"/>
    </row>
    <row r="351" spans="1:5" x14ac:dyDescent="0.35">
      <c r="A351" s="12" t="s">
        <v>1145</v>
      </c>
      <c r="B351" s="12">
        <v>10</v>
      </c>
      <c r="C351" s="12" t="s">
        <v>1339</v>
      </c>
      <c r="E351" s="12"/>
    </row>
    <row r="352" spans="1:5" x14ac:dyDescent="0.35">
      <c r="A352" s="12" t="s">
        <v>789</v>
      </c>
      <c r="B352" s="12">
        <v>10</v>
      </c>
      <c r="C352" s="12" t="s">
        <v>1171</v>
      </c>
      <c r="E352" s="12"/>
    </row>
    <row r="353" spans="1:5" x14ac:dyDescent="0.35">
      <c r="A353" s="12" t="s">
        <v>1146</v>
      </c>
      <c r="B353" s="12"/>
      <c r="C353" s="12" t="s">
        <v>1171</v>
      </c>
      <c r="D353" t="s">
        <v>1345</v>
      </c>
      <c r="E353" s="12"/>
    </row>
    <row r="354" spans="1:5" x14ac:dyDescent="0.35">
      <c r="A354" s="12" t="s">
        <v>1147</v>
      </c>
      <c r="B354" s="12"/>
      <c r="C354" s="12" t="s">
        <v>1171</v>
      </c>
      <c r="E354" s="12"/>
    </row>
    <row r="355" spans="1:5" x14ac:dyDescent="0.35">
      <c r="A355" s="12" t="s">
        <v>1148</v>
      </c>
      <c r="B355" s="12">
        <v>20</v>
      </c>
      <c r="C355" s="12" t="s">
        <v>1171</v>
      </c>
      <c r="E355" s="12"/>
    </row>
    <row r="356" spans="1:5" x14ac:dyDescent="0.35">
      <c r="A356" s="12" t="s">
        <v>1149</v>
      </c>
      <c r="B356" s="12">
        <v>20</v>
      </c>
      <c r="C356" s="12" t="s">
        <v>1171</v>
      </c>
      <c r="E356" s="12"/>
    </row>
    <row r="357" spans="1:5" x14ac:dyDescent="0.35">
      <c r="A357" s="12" t="s">
        <v>1150</v>
      </c>
      <c r="B357" s="12"/>
      <c r="C357" s="12" t="s">
        <v>1171</v>
      </c>
      <c r="E357" s="12"/>
    </row>
    <row r="358" spans="1:5" x14ac:dyDescent="0.35">
      <c r="A358" s="12" t="s">
        <v>660</v>
      </c>
      <c r="B358" s="12">
        <v>17</v>
      </c>
      <c r="C358" s="12" t="s">
        <v>1171</v>
      </c>
      <c r="D358" t="s">
        <v>1350</v>
      </c>
      <c r="E358" s="12"/>
    </row>
    <row r="359" spans="1:5" x14ac:dyDescent="0.35">
      <c r="A359" s="12" t="s">
        <v>661</v>
      </c>
      <c r="B359" s="12"/>
      <c r="C359" s="12" t="s">
        <v>1339</v>
      </c>
      <c r="E359" s="12"/>
    </row>
    <row r="360" spans="1:5" x14ac:dyDescent="0.35">
      <c r="A360" s="12" t="s">
        <v>662</v>
      </c>
      <c r="B360" s="12"/>
      <c r="C360" s="12" t="s">
        <v>1171</v>
      </c>
      <c r="E360" s="12"/>
    </row>
    <row r="361" spans="1:5" x14ac:dyDescent="0.35">
      <c r="A361" s="12" t="s">
        <v>975</v>
      </c>
      <c r="B361" s="12"/>
      <c r="C361" s="12" t="s">
        <v>1171</v>
      </c>
      <c r="E361" s="12"/>
    </row>
    <row r="362" spans="1:5" x14ac:dyDescent="0.35">
      <c r="A362" s="12" t="s">
        <v>261</v>
      </c>
      <c r="B362" s="12"/>
      <c r="C362" s="12" t="s">
        <v>1171</v>
      </c>
      <c r="E362" s="12"/>
    </row>
    <row r="363" spans="1:5" x14ac:dyDescent="0.35">
      <c r="A363" s="12" t="s">
        <v>1151</v>
      </c>
      <c r="B363" s="12"/>
      <c r="C363" s="12" t="s">
        <v>1171</v>
      </c>
      <c r="E363" s="12"/>
    </row>
    <row r="364" spans="1:5" x14ac:dyDescent="0.35">
      <c r="A364" s="12" t="s">
        <v>682</v>
      </c>
      <c r="B364" s="12"/>
      <c r="C364" s="12" t="s">
        <v>1171</v>
      </c>
      <c r="D364" t="s">
        <v>1345</v>
      </c>
      <c r="E364" s="12"/>
    </row>
    <row r="365" spans="1:5" x14ac:dyDescent="0.35">
      <c r="A365" s="12" t="s">
        <v>1152</v>
      </c>
      <c r="B365" s="12">
        <v>70</v>
      </c>
      <c r="C365" s="12" t="s">
        <v>1171</v>
      </c>
      <c r="E365" s="12"/>
    </row>
    <row r="366" spans="1:5" x14ac:dyDescent="0.35">
      <c r="A366" s="12" t="s">
        <v>1153</v>
      </c>
      <c r="B366" s="12"/>
      <c r="C366" s="12" t="s">
        <v>1171</v>
      </c>
      <c r="E366" s="12"/>
    </row>
    <row r="367" spans="1:5" x14ac:dyDescent="0.35">
      <c r="A367" s="12" t="s">
        <v>256</v>
      </c>
      <c r="B367" s="12">
        <v>110</v>
      </c>
      <c r="C367" s="12" t="s">
        <v>1171</v>
      </c>
      <c r="D367" t="s">
        <v>378</v>
      </c>
      <c r="E367" s="12"/>
    </row>
    <row r="368" spans="1:5" x14ac:dyDescent="0.35">
      <c r="A368" s="12" t="s">
        <v>1154</v>
      </c>
      <c r="B368" s="12"/>
      <c r="C368" s="12" t="s">
        <v>1171</v>
      </c>
      <c r="E368" s="12"/>
    </row>
    <row r="369" spans="1:5" x14ac:dyDescent="0.35">
      <c r="A369" s="12" t="s">
        <v>1155</v>
      </c>
      <c r="B369" s="12"/>
      <c r="C369" s="12" t="s">
        <v>1171</v>
      </c>
      <c r="E369" s="12"/>
    </row>
    <row r="370" spans="1:5" x14ac:dyDescent="0.35">
      <c r="A370" s="12" t="s">
        <v>259</v>
      </c>
      <c r="B370" s="12">
        <v>36</v>
      </c>
      <c r="C370" s="12" t="s">
        <v>1171</v>
      </c>
      <c r="E370" s="12"/>
    </row>
    <row r="371" spans="1:5" x14ac:dyDescent="0.35">
      <c r="A371" s="12" t="s">
        <v>260</v>
      </c>
      <c r="B371" s="12">
        <v>36</v>
      </c>
      <c r="C371" s="12" t="s">
        <v>1171</v>
      </c>
      <c r="E371" s="12"/>
    </row>
    <row r="372" spans="1:5" x14ac:dyDescent="0.35">
      <c r="A372" s="12" t="s">
        <v>1156</v>
      </c>
      <c r="B372" s="12">
        <v>41</v>
      </c>
      <c r="C372" s="12" t="s">
        <v>1171</v>
      </c>
      <c r="E372" s="12"/>
    </row>
    <row r="373" spans="1:5" x14ac:dyDescent="0.35">
      <c r="A373" s="12" t="s">
        <v>704</v>
      </c>
      <c r="B373" s="12">
        <v>96</v>
      </c>
      <c r="C373" s="12" t="s">
        <v>1171</v>
      </c>
      <c r="D373" t="s">
        <v>1349</v>
      </c>
      <c r="E373" s="12"/>
    </row>
    <row r="374" spans="1:5" x14ac:dyDescent="0.35">
      <c r="A374" s="12" t="s">
        <v>264</v>
      </c>
      <c r="B374" s="12">
        <v>10</v>
      </c>
      <c r="C374" s="12" t="s">
        <v>1171</v>
      </c>
      <c r="D374" t="s">
        <v>1350</v>
      </c>
      <c r="E374" s="12"/>
    </row>
    <row r="375" spans="1:5" x14ac:dyDescent="0.35">
      <c r="A375" s="12" t="s">
        <v>1157</v>
      </c>
      <c r="B375" s="12">
        <v>10</v>
      </c>
      <c r="C375" s="12" t="s">
        <v>1171</v>
      </c>
      <c r="E375" s="12"/>
    </row>
    <row r="376" spans="1:5" x14ac:dyDescent="0.35">
      <c r="A376" s="12" t="s">
        <v>1158</v>
      </c>
      <c r="B376" s="12">
        <v>10</v>
      </c>
      <c r="C376" s="12" t="s">
        <v>1171</v>
      </c>
      <c r="E376" s="12"/>
    </row>
    <row r="377" spans="1:5" x14ac:dyDescent="0.35">
      <c r="A377" s="12" t="s">
        <v>711</v>
      </c>
      <c r="B377" s="12"/>
      <c r="C377" s="12" t="s">
        <v>1171</v>
      </c>
      <c r="D377" t="s">
        <v>1345</v>
      </c>
      <c r="E377" s="12"/>
    </row>
    <row r="378" spans="1:5" x14ac:dyDescent="0.35">
      <c r="A378" s="12" t="s">
        <v>1159</v>
      </c>
      <c r="B378" s="12">
        <v>10</v>
      </c>
      <c r="C378" s="12" t="s">
        <v>1339</v>
      </c>
      <c r="E378" s="12"/>
    </row>
    <row r="379" spans="1:5" x14ac:dyDescent="0.35">
      <c r="A379" s="12" t="s">
        <v>1160</v>
      </c>
      <c r="B379" s="12">
        <v>10</v>
      </c>
      <c r="C379" s="12" t="s">
        <v>1171</v>
      </c>
      <c r="E379" s="12"/>
    </row>
    <row r="380" spans="1:5" x14ac:dyDescent="0.35">
      <c r="A380" s="12" t="s">
        <v>255</v>
      </c>
      <c r="B380" s="12">
        <v>50</v>
      </c>
      <c r="C380" s="12" t="s">
        <v>1171</v>
      </c>
      <c r="E380" s="12"/>
    </row>
    <row r="381" spans="1:5" x14ac:dyDescent="0.35">
      <c r="A381" s="12" t="s">
        <v>745</v>
      </c>
      <c r="B381" s="12">
        <v>20</v>
      </c>
      <c r="C381" s="12" t="s">
        <v>1339</v>
      </c>
      <c r="E381" s="12"/>
    </row>
    <row r="382" spans="1:5" x14ac:dyDescent="0.35">
      <c r="A382" s="12" t="s">
        <v>1161</v>
      </c>
      <c r="B382" s="12">
        <v>25</v>
      </c>
      <c r="C382" s="12" t="s">
        <v>1171</v>
      </c>
      <c r="D382" t="s">
        <v>1351</v>
      </c>
      <c r="E382" s="12"/>
    </row>
    <row r="383" spans="1:5" x14ac:dyDescent="0.35">
      <c r="A383" s="12" t="s">
        <v>746</v>
      </c>
      <c r="B383" s="12">
        <v>10</v>
      </c>
      <c r="C383" s="12" t="s">
        <v>1171</v>
      </c>
      <c r="E383" s="12"/>
    </row>
    <row r="384" spans="1:5" x14ac:dyDescent="0.35">
      <c r="A384" s="12" t="s">
        <v>750</v>
      </c>
      <c r="B384" s="12"/>
      <c r="C384" s="12" t="s">
        <v>1171</v>
      </c>
      <c r="E384" s="12"/>
    </row>
    <row r="385" spans="1:5" x14ac:dyDescent="0.35">
      <c r="A385" s="12" t="s">
        <v>1162</v>
      </c>
      <c r="B385" s="12"/>
      <c r="C385" s="12" t="s">
        <v>1171</v>
      </c>
      <c r="E385" s="12"/>
    </row>
    <row r="386" spans="1:5" x14ac:dyDescent="0.35">
      <c r="A386" s="12" t="s">
        <v>1163</v>
      </c>
      <c r="B386" s="12"/>
      <c r="C386" s="12" t="s">
        <v>1171</v>
      </c>
      <c r="E386" s="12"/>
    </row>
    <row r="387" spans="1:5" x14ac:dyDescent="0.35">
      <c r="A387" s="12" t="s">
        <v>1164</v>
      </c>
      <c r="B387" s="12">
        <v>20</v>
      </c>
      <c r="C387" s="12" t="s">
        <v>1171</v>
      </c>
      <c r="D387" t="s">
        <v>1345</v>
      </c>
      <c r="E387" s="12"/>
    </row>
    <row r="388" spans="1:5" x14ac:dyDescent="0.35">
      <c r="A388" s="12" t="s">
        <v>1165</v>
      </c>
      <c r="B388" s="12"/>
      <c r="C388" s="12" t="s">
        <v>1339</v>
      </c>
      <c r="E388" s="12"/>
    </row>
    <row r="389" spans="1:5" x14ac:dyDescent="0.35">
      <c r="A389" s="12" t="s">
        <v>588</v>
      </c>
      <c r="B389" s="12"/>
      <c r="C389" s="12" t="s">
        <v>1171</v>
      </c>
      <c r="E389" s="12"/>
    </row>
    <row r="390" spans="1:5" x14ac:dyDescent="0.35">
      <c r="A390" s="12" t="s">
        <v>1166</v>
      </c>
      <c r="B390" s="12"/>
      <c r="C390" s="12" t="s">
        <v>1171</v>
      </c>
      <c r="E390" s="12"/>
    </row>
    <row r="391" spans="1:5" x14ac:dyDescent="0.35">
      <c r="A391" s="12" t="s">
        <v>770</v>
      </c>
      <c r="B391" s="12"/>
      <c r="C391" s="12" t="s">
        <v>1171</v>
      </c>
      <c r="E391" s="12"/>
    </row>
    <row r="392" spans="1:5" x14ac:dyDescent="0.35">
      <c r="A392" s="12" t="s">
        <v>780</v>
      </c>
      <c r="B392" s="12"/>
      <c r="C392" s="12" t="s">
        <v>1171</v>
      </c>
      <c r="E392" s="12"/>
    </row>
    <row r="393" spans="1:5" x14ac:dyDescent="0.35">
      <c r="A393" s="12" t="s">
        <v>782</v>
      </c>
      <c r="B393" s="12"/>
      <c r="C393" s="12" t="s">
        <v>1339</v>
      </c>
      <c r="E393" s="12"/>
    </row>
    <row r="394" spans="1:5" x14ac:dyDescent="0.35">
      <c r="A394" s="12" t="s">
        <v>791</v>
      </c>
      <c r="B394" s="12"/>
      <c r="C394" s="12" t="s">
        <v>1171</v>
      </c>
      <c r="E394" s="12"/>
    </row>
    <row r="395" spans="1:5" x14ac:dyDescent="0.35">
      <c r="A395" s="12" t="s">
        <v>1167</v>
      </c>
      <c r="B395" s="12"/>
      <c r="C395" s="12" t="s">
        <v>1171</v>
      </c>
      <c r="E395" s="12"/>
    </row>
    <row r="396" spans="1:5" x14ac:dyDescent="0.35">
      <c r="A396" s="12" t="s">
        <v>1168</v>
      </c>
      <c r="B396" s="12"/>
      <c r="C396" s="12" t="s">
        <v>1171</v>
      </c>
      <c r="D396" t="s">
        <v>1345</v>
      </c>
      <c r="E396" s="12"/>
    </row>
    <row r="397" spans="1:5" x14ac:dyDescent="0.35">
      <c r="A397" s="12" t="s">
        <v>719</v>
      </c>
      <c r="B397" s="12">
        <v>35</v>
      </c>
      <c r="C397" s="12" t="s">
        <v>1171</v>
      </c>
      <c r="D397" t="s">
        <v>1337</v>
      </c>
      <c r="E397" s="12"/>
    </row>
    <row r="398" spans="1:5" x14ac:dyDescent="0.35">
      <c r="A398" s="12" t="s">
        <v>1169</v>
      </c>
      <c r="B398" s="12"/>
      <c r="C398" s="12" t="s">
        <v>1171</v>
      </c>
      <c r="E398" s="12"/>
    </row>
    <row r="399" spans="1:5" x14ac:dyDescent="0.35">
      <c r="A399" s="12" t="s">
        <v>1170</v>
      </c>
      <c r="B399" s="12"/>
      <c r="C399" s="12" t="s">
        <v>1171</v>
      </c>
      <c r="E399" s="12"/>
    </row>
  </sheetData>
  <mergeCells count="1">
    <mergeCell ref="B1:I1"/>
  </mergeCells>
  <pageMargins left="0.7" right="0.7" top="0.75" bottom="0.75" header="0.3" footer="0.3"/>
  <pageSetup orientation="portrait" r:id="rId1"/>
  <ignoredErrors>
    <ignoredError sqref="B34" formulaRange="1"/>
  </ignoredErrors>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2D6BF-FC65-407D-A0AB-A81230644C8E}">
  <dimension ref="A1:J22"/>
  <sheetViews>
    <sheetView zoomScaleNormal="100" workbookViewId="0">
      <selection activeCell="E2" sqref="E2"/>
    </sheetView>
  </sheetViews>
  <sheetFormatPr defaultRowHeight="14.5" x14ac:dyDescent="0.35"/>
  <cols>
    <col min="1" max="1" width="21.26953125" customWidth="1"/>
    <col min="2" max="2" width="11.453125" bestFit="1" customWidth="1"/>
    <col min="3" max="3" width="21" customWidth="1"/>
    <col min="4" max="4" width="15" customWidth="1"/>
    <col min="5" max="6" width="10.7265625" bestFit="1" customWidth="1"/>
    <col min="7" max="7" width="17.1796875" bestFit="1" customWidth="1"/>
    <col min="8" max="8" width="12.54296875" bestFit="1" customWidth="1"/>
    <col min="9" max="9" width="12.26953125" bestFit="1" customWidth="1"/>
    <col min="10" max="10" width="12.26953125" customWidth="1"/>
  </cols>
  <sheetData>
    <row r="1" spans="1:10" ht="29" x14ac:dyDescent="0.35">
      <c r="A1" s="3" t="s">
        <v>1</v>
      </c>
      <c r="B1" s="3" t="s">
        <v>124</v>
      </c>
      <c r="C1" s="3" t="s">
        <v>72</v>
      </c>
      <c r="D1" t="s">
        <v>302</v>
      </c>
      <c r="E1" t="s">
        <v>303</v>
      </c>
      <c r="F1" t="s">
        <v>304</v>
      </c>
      <c r="G1" t="s">
        <v>305</v>
      </c>
      <c r="H1" t="s">
        <v>123</v>
      </c>
      <c r="I1" t="s">
        <v>125</v>
      </c>
      <c r="J1" t="s">
        <v>1005</v>
      </c>
    </row>
    <row r="2" spans="1:10" ht="32" x14ac:dyDescent="0.4">
      <c r="A2" s="18" t="s">
        <v>76</v>
      </c>
      <c r="B2" s="19">
        <v>160</v>
      </c>
      <c r="C2" s="18" t="s">
        <v>434</v>
      </c>
      <c r="D2" s="19">
        <f>Input!B40</f>
        <v>140</v>
      </c>
      <c r="E2" s="19" cm="1">
        <f t="array" aca="1" ref="E2" ca="1">GEOMEAN(MAX(IF((Tools!A2:A500="Stone Axe")+(Tools!A2:A500="Metal Axe"),Tools!B2:B500)),MAX(IF(Input!A2:A500="Highest Tree",Input!B2:B500)))</f>
        <v>231.65491576912413</v>
      </c>
      <c r="F2" s="21"/>
      <c r="G2" s="19"/>
      <c r="H2" s="20">
        <f ca="1">GEOMEAN(D2:G2)</f>
        <v>180.08800128736334</v>
      </c>
      <c r="I2" s="19"/>
      <c r="J2" s="19"/>
    </row>
    <row r="3" spans="1:10" ht="48" x14ac:dyDescent="0.4">
      <c r="A3" s="18" t="s">
        <v>95</v>
      </c>
      <c r="B3" s="19">
        <v>251</v>
      </c>
      <c r="C3" s="18" t="s">
        <v>1355</v>
      </c>
      <c r="D3" s="21">
        <f>Input!I5</f>
        <v>102.57142857142857</v>
      </c>
      <c r="E3" s="19">
        <f>Input!B39</f>
        <v>144</v>
      </c>
      <c r="F3" s="21"/>
      <c r="G3" s="19"/>
      <c r="H3" s="20">
        <f t="shared" ref="H3:H21" si="0">GEOMEAN(D3:G3)</f>
        <v>121.53306428411041</v>
      </c>
      <c r="I3" s="19"/>
      <c r="J3" s="19"/>
    </row>
    <row r="4" spans="1:10" ht="32" x14ac:dyDescent="0.4">
      <c r="A4" s="18" t="s">
        <v>74</v>
      </c>
      <c r="B4" s="19">
        <v>312</v>
      </c>
      <c r="C4" s="18" t="s">
        <v>435</v>
      </c>
      <c r="D4" s="19">
        <f>Input!B22</f>
        <v>165</v>
      </c>
      <c r="E4" s="19" cm="1">
        <f t="array" aca="1" ref="E4" ca="1">GEOMEAN(MAX(IF((Tools!A2:A500="Stone Axe")+(Tools!A2:A500="Metal Axe"),Tools!B2:B500)),MAX(IF(Input!A2:A500="Highest Tree",Input!B2:B500)))</f>
        <v>231.65491576912413</v>
      </c>
      <c r="F4" s="21"/>
      <c r="G4" s="19"/>
      <c r="H4" s="20">
        <f t="shared" ca="1" si="0"/>
        <v>195.50718938674731</v>
      </c>
      <c r="I4" s="19"/>
      <c r="J4" s="19"/>
    </row>
    <row r="5" spans="1:10" ht="48" x14ac:dyDescent="0.4">
      <c r="A5" s="18" t="s">
        <v>75</v>
      </c>
      <c r="B5" s="19">
        <v>69</v>
      </c>
      <c r="C5" s="18" t="s">
        <v>1356</v>
      </c>
      <c r="D5" s="21">
        <f>Input!I5</f>
        <v>102.57142857142857</v>
      </c>
      <c r="E5" s="19">
        <f ca="1">GEOMEAN(B4,Input!B32)</f>
        <v>231.65491576912413</v>
      </c>
      <c r="F5" s="21" cm="1">
        <f t="array" aca="1" ref="F5" ca="1">GEOMEAN(MAX(IF((Tools!A2:A500="Stone Axe")+(Tools!A2:A500="Metal Axe"),Tools!B2:B500)),MAX(IF(Input!A2:A500="Highest Tree",Input!B2:B500)))</f>
        <v>231.65491576912413</v>
      </c>
      <c r="G5" s="19"/>
      <c r="H5" s="20">
        <f t="shared" ca="1" si="0"/>
        <v>176.56440221184724</v>
      </c>
      <c r="I5" s="19"/>
      <c r="J5" s="19"/>
    </row>
    <row r="6" spans="1:10" ht="48" x14ac:dyDescent="0.4">
      <c r="A6" s="18" t="s">
        <v>81</v>
      </c>
      <c r="B6" s="19">
        <v>0</v>
      </c>
      <c r="C6" s="18" t="s">
        <v>436</v>
      </c>
      <c r="D6" s="19" cm="1">
        <f t="array" aca="1" ref="D6" ca="1">MAX(IF(Input!A2:A493="Casting Material",Input!B2:B493))</f>
        <v>172</v>
      </c>
      <c r="E6" s="21">
        <f>Input!B30</f>
        <v>130</v>
      </c>
      <c r="F6" s="21"/>
      <c r="G6" s="19"/>
      <c r="H6" s="20">
        <f ca="1">1/4*(Table4[[#This Row],[Q of Ing2]]*3+Table4[[#This Row],[Q of Ing1]])</f>
        <v>140.5</v>
      </c>
      <c r="I6" s="19"/>
      <c r="J6" s="19"/>
    </row>
    <row r="7" spans="1:10" ht="32" x14ac:dyDescent="0.4">
      <c r="A7" s="18" t="s">
        <v>79</v>
      </c>
      <c r="B7" s="19">
        <v>40</v>
      </c>
      <c r="C7" s="18" t="s">
        <v>437</v>
      </c>
      <c r="D7" s="19">
        <f>Input!B51</f>
        <v>60</v>
      </c>
      <c r="E7" s="19" cm="1">
        <f t="array" aca="1" ref="E7" ca="1">GEOMEAN(MAX(IF((Tools!A2:A500="Stone Axe")+(Tools!A2:A500="Metal Axe"),Tools!B2:B500)),MAX(IF(Input!A2:A500="Highest Tree",Input!B2:B500)))</f>
        <v>231.65491576912413</v>
      </c>
      <c r="F7" s="21"/>
      <c r="G7" s="19"/>
      <c r="H7" s="20">
        <f t="shared" ca="1" si="0"/>
        <v>117.89527109323532</v>
      </c>
      <c r="I7" s="19"/>
      <c r="J7" s="19"/>
    </row>
    <row r="8" spans="1:10" ht="64" x14ac:dyDescent="0.4">
      <c r="A8" s="18" t="s">
        <v>80</v>
      </c>
      <c r="B8" s="19">
        <v>0</v>
      </c>
      <c r="C8" s="18" t="s">
        <v>1210</v>
      </c>
      <c r="D8" s="21">
        <f ca="1">Input!B34</f>
        <v>113.92957631409369</v>
      </c>
      <c r="E8" s="19">
        <f>Workstations!B13</f>
        <v>150</v>
      </c>
      <c r="F8" s="21">
        <f>Workstations!B14</f>
        <v>109</v>
      </c>
      <c r="G8" s="19">
        <f ca="1">E2</f>
        <v>231.65491576912413</v>
      </c>
      <c r="H8" s="20">
        <f ca="1">1/4*(2*AVERAGE(Table4[[#This Row],[Q of Ing1]:[Q of Ing2]])+Table4[[#This Row],[Q of Ing3]]+Table4[[#This Row],[Q of Ing4]])</f>
        <v>151.14612302080445</v>
      </c>
      <c r="I8" s="19"/>
      <c r="J8" s="19"/>
    </row>
    <row r="9" spans="1:10" ht="32" x14ac:dyDescent="0.4">
      <c r="A9" s="18" t="s">
        <v>89</v>
      </c>
      <c r="B9" s="19">
        <v>0</v>
      </c>
      <c r="C9" s="18" t="s">
        <v>438</v>
      </c>
      <c r="D9" s="19">
        <f>Input!B53</f>
        <v>60</v>
      </c>
      <c r="E9" s="19" cm="1">
        <f t="array" aca="1" ref="E9" ca="1">GEOMEAN(MAX(IF((Tools!A2:A500="Stone Axe")+(Tools!A2:A500="Metal Axe"),Tools!B2:B500)),MAX(IF(Input!A2:A500="Highest Tree",Input!B2:B500)))</f>
        <v>231.65491576912413</v>
      </c>
      <c r="F9" s="21"/>
      <c r="G9" s="19"/>
      <c r="H9" s="20">
        <f t="shared" ca="1" si="0"/>
        <v>117.89527109323532</v>
      </c>
      <c r="I9" s="19"/>
      <c r="J9" s="19"/>
    </row>
    <row r="10" spans="1:10" ht="32" x14ac:dyDescent="0.4">
      <c r="A10" s="18" t="s">
        <v>82</v>
      </c>
      <c r="B10" s="19">
        <v>36</v>
      </c>
      <c r="C10" s="18" t="s">
        <v>439</v>
      </c>
      <c r="D10" s="19">
        <f>Input!B39</f>
        <v>144</v>
      </c>
      <c r="E10" s="19">
        <f>Input!B122</f>
        <v>243</v>
      </c>
      <c r="F10" s="21"/>
      <c r="G10" s="19"/>
      <c r="H10" s="20">
        <f t="shared" si="0"/>
        <v>187.06148721743875</v>
      </c>
      <c r="I10" s="19"/>
      <c r="J10" s="19"/>
    </row>
    <row r="11" spans="1:10" ht="48" x14ac:dyDescent="0.4">
      <c r="A11" s="18" t="s">
        <v>83</v>
      </c>
      <c r="B11" s="19"/>
      <c r="C11" s="18" t="s">
        <v>1120</v>
      </c>
      <c r="D11" s="19">
        <f>Input!B279</f>
        <v>0</v>
      </c>
      <c r="E11" s="19">
        <f>GEOMEAN(B13,Input!B54)</f>
        <v>60</v>
      </c>
      <c r="F11" s="21"/>
      <c r="G11" s="19"/>
      <c r="H11" s="20" t="e">
        <f>GEOMEAN(Table4[[#This Row],[Q of Ing1]:[Q of Ing4]])</f>
        <v>#NUM!</v>
      </c>
      <c r="I11" s="19"/>
      <c r="J11" s="19"/>
    </row>
    <row r="12" spans="1:10" ht="32" x14ac:dyDescent="0.4">
      <c r="A12" s="18" t="s">
        <v>84</v>
      </c>
      <c r="B12" s="19"/>
      <c r="C12" s="18" t="s">
        <v>440</v>
      </c>
      <c r="D12" s="19" cm="1">
        <f t="array" aca="1" ref="D12" ca="1">MAX(IF(Products!A2:A493="Leather",Products!B2:B493))</f>
        <v>90</v>
      </c>
      <c r="E12" s="19">
        <f>GEOMEAN(B14,Input!B55)</f>
        <v>73.484692283495349</v>
      </c>
      <c r="F12" s="21"/>
      <c r="G12" s="19"/>
      <c r="H12" s="20">
        <f t="shared" ca="1" si="0"/>
        <v>81.324180324886029</v>
      </c>
      <c r="I12" s="19"/>
      <c r="J12" s="19"/>
    </row>
    <row r="13" spans="1:10" ht="32" x14ac:dyDescent="0.4">
      <c r="A13" s="18" t="s">
        <v>78</v>
      </c>
      <c r="B13" s="19"/>
      <c r="C13" s="18" t="s">
        <v>441</v>
      </c>
      <c r="D13" s="19" cm="1">
        <f t="array" aca="1" ref="D13" ca="1">GEOMEAN(MAX(IF((Tools!A2:A500="Stone Axe")+(Tools!A2:A500="Metal Axe"),Tools!B2:B500)),MAX(IF(Input!A2:A500="Highest Tree",Input!B2:B500)))</f>
        <v>231.65491576912413</v>
      </c>
      <c r="E13" s="19">
        <f>Input!B40</f>
        <v>140</v>
      </c>
      <c r="F13" s="21"/>
      <c r="G13" s="19"/>
      <c r="H13" s="20">
        <f t="shared" ca="1" si="0"/>
        <v>180.08800128736334</v>
      </c>
      <c r="I13" s="19"/>
      <c r="J13" s="19"/>
    </row>
    <row r="14" spans="1:10" ht="32" x14ac:dyDescent="0.4">
      <c r="A14" s="18" t="s">
        <v>77</v>
      </c>
      <c r="B14" s="19">
        <v>90</v>
      </c>
      <c r="C14" s="18" t="s">
        <v>442</v>
      </c>
      <c r="D14" s="19" cm="1">
        <f t="array" aca="1" ref="D14" ca="1">MAX(IF(Input!A2:A493="Casting Material",Input!B2:B493))</f>
        <v>172</v>
      </c>
      <c r="E14" s="19" cm="1">
        <f t="array" aca="1" ref="E14" ca="1">MAX(IF(Input!A2:A493="Hard Metal",Input!B2:B493))</f>
        <v>128</v>
      </c>
      <c r="F14" s="21"/>
      <c r="G14" s="19"/>
      <c r="H14" s="20">
        <f ca="1">1/4*(Table4[[#This Row],[Q of Ing2]]*3+Table4[[#This Row],[Q of Ing1]])</f>
        <v>139</v>
      </c>
      <c r="I14" s="19"/>
      <c r="J14" s="19"/>
    </row>
    <row r="15" spans="1:10" ht="32" x14ac:dyDescent="0.4">
      <c r="A15" s="18" t="s">
        <v>73</v>
      </c>
      <c r="B15" s="19"/>
      <c r="C15" s="18" t="s">
        <v>1352</v>
      </c>
      <c r="D15" s="19">
        <f>Input!I5</f>
        <v>102.57142857142857</v>
      </c>
      <c r="E15" s="19" cm="1">
        <f t="array" aca="1" ref="E15" ca="1">MAX(IF(Input!A2:A492="Hard Metal",Input!B2:B492))</f>
        <v>128</v>
      </c>
      <c r="F15" s="21"/>
      <c r="G15" s="19"/>
      <c r="H15" s="20">
        <f t="shared" ca="1" si="0"/>
        <v>114.58247185823343</v>
      </c>
      <c r="I15" s="19"/>
      <c r="J15" s="19"/>
    </row>
    <row r="16" spans="1:10" ht="32" x14ac:dyDescent="0.4">
      <c r="A16" s="18" t="s">
        <v>93</v>
      </c>
      <c r="B16" s="19">
        <v>42</v>
      </c>
      <c r="C16" s="18" t="s">
        <v>1357</v>
      </c>
      <c r="D16" s="19" cm="1">
        <f t="array" aca="1" ref="D16" ca="1">MAX(IF(Input!A2:A493="Casting Material",Input!B2:B493))</f>
        <v>172</v>
      </c>
      <c r="E16" s="21">
        <f>Input!B31</f>
        <v>128</v>
      </c>
      <c r="F16" s="21"/>
      <c r="G16" s="19"/>
      <c r="H16" s="20">
        <f ca="1">1/4*(Table4[[#This Row],[Q of Ing2]]*3+Table4[[#This Row],[Q of Ing1]])</f>
        <v>139</v>
      </c>
      <c r="I16" s="19"/>
      <c r="J16" s="19"/>
    </row>
    <row r="17" spans="1:10" ht="32" x14ac:dyDescent="0.4">
      <c r="A17" s="18" t="s">
        <v>94</v>
      </c>
      <c r="B17" s="19">
        <v>118</v>
      </c>
      <c r="C17" s="18" t="s">
        <v>1353</v>
      </c>
      <c r="D17" s="19">
        <f>Input!I5</f>
        <v>102.57142857142857</v>
      </c>
      <c r="E17" s="19">
        <f>Input!I5</f>
        <v>102.57142857142857</v>
      </c>
      <c r="F17" s="21"/>
      <c r="G17" s="19"/>
      <c r="H17" s="20">
        <f>1/16*(Table4[[#This Row],[Q of Ing1]]*9+Table4[[#This Row],[Q of Ing2]]*7)</f>
        <v>102.57142857142857</v>
      </c>
      <c r="I17" s="19"/>
      <c r="J17" s="19"/>
    </row>
    <row r="18" spans="1:10" ht="32" x14ac:dyDescent="0.4">
      <c r="A18" s="18" t="s">
        <v>78</v>
      </c>
      <c r="B18" s="19"/>
      <c r="C18" s="18" t="s">
        <v>443</v>
      </c>
      <c r="D18" s="19">
        <f>Input!B31</f>
        <v>128</v>
      </c>
      <c r="E18" s="19" cm="1">
        <f t="array" aca="1" ref="E18" ca="1">MAX(IF(Input!A2:A493="Highest Tree",Input!B2:B493))</f>
        <v>172</v>
      </c>
      <c r="F18" s="21"/>
      <c r="G18" s="19"/>
      <c r="H18" s="20">
        <f t="shared" ca="1" si="0"/>
        <v>148.37789592793126</v>
      </c>
      <c r="I18" s="19"/>
      <c r="J18" s="19"/>
    </row>
    <row r="19" spans="1:10" ht="32" x14ac:dyDescent="0.4">
      <c r="A19" s="18" t="s">
        <v>96</v>
      </c>
      <c r="B19" s="19"/>
      <c r="C19" s="18" t="s">
        <v>444</v>
      </c>
      <c r="D19" s="19" cm="1">
        <f t="array" aca="1" ref="D19" ca="1">MAX(IF(Input!A2:A493="Highest Tree",Input!B2:B493))</f>
        <v>172</v>
      </c>
      <c r="E19" s="19">
        <f ca="1">GEOMEAN(Input!B32,MAX(Tools!B2,Tools!B3))</f>
        <v>207.7787284589065</v>
      </c>
      <c r="F19" s="21"/>
      <c r="G19" s="19"/>
      <c r="H19" s="20">
        <f t="shared" ca="1" si="0"/>
        <v>189.04481292786616</v>
      </c>
      <c r="I19" s="19"/>
      <c r="J19" s="19"/>
    </row>
    <row r="20" spans="1:10" ht="48" x14ac:dyDescent="0.4">
      <c r="A20" s="18" t="s">
        <v>97</v>
      </c>
      <c r="B20" s="19"/>
      <c r="C20" s="18" t="s">
        <v>1354</v>
      </c>
      <c r="D20" s="19">
        <f>Input!I5</f>
        <v>102.57142857142857</v>
      </c>
      <c r="E20" s="19" cm="1">
        <f t="array" aca="1" ref="E20" ca="1">MAX(IF(Products!A2:A499="Wrought Iron",Products!B2:B499))</f>
        <v>128</v>
      </c>
      <c r="F20" s="21">
        <f>Input!I5</f>
        <v>102.57142857142857</v>
      </c>
      <c r="G20" s="19"/>
      <c r="H20" s="20">
        <f t="shared" ca="1" si="0"/>
        <v>110.43013235883879</v>
      </c>
      <c r="I20" s="19"/>
      <c r="J20" s="19"/>
    </row>
    <row r="21" spans="1:10" ht="32" x14ac:dyDescent="0.4">
      <c r="A21" s="18" t="s">
        <v>98</v>
      </c>
      <c r="B21" s="19"/>
      <c r="C21" s="18" t="s">
        <v>1358</v>
      </c>
      <c r="D21" s="19" cm="1">
        <f t="array" aca="1" ref="D21" ca="1">MAX(IF(Input!A2:A493="Casting Material",Input!B2:B493))</f>
        <v>172</v>
      </c>
      <c r="E21" s="21" cm="1">
        <f t="array" aca="1" ref="E21" ca="1">MAX(IF(Input!A2:A493="Common Metal",Input!B2:B493))</f>
        <v>130</v>
      </c>
      <c r="F21" s="21"/>
      <c r="G21" s="19"/>
      <c r="H21" s="20">
        <f t="shared" ca="1" si="0"/>
        <v>149.53260514014994</v>
      </c>
      <c r="I21" s="19"/>
      <c r="J21" s="19"/>
    </row>
    <row r="22" spans="1:10" ht="64" x14ac:dyDescent="0.4">
      <c r="A22" s="18" t="s">
        <v>366</v>
      </c>
      <c r="B22" s="19">
        <v>197</v>
      </c>
      <c r="C22" s="18" t="s">
        <v>1175</v>
      </c>
      <c r="D22" s="21" cm="1">
        <f t="array" aca="1" ref="D22" ca="1">MAX(IF(Input!A2:A493="Highest Clay",Input!B2:B493))</f>
        <v>113.92957631409369</v>
      </c>
      <c r="E22" s="19">
        <f>Workstations!B13</f>
        <v>150</v>
      </c>
      <c r="F22" s="21">
        <f>Workstations!B14</f>
        <v>109</v>
      </c>
      <c r="G22" s="21">
        <f ca="1">Input!I7</f>
        <v>231.65491576912413</v>
      </c>
      <c r="H22" s="20">
        <f ca="1">1/4*(2*1/4*(3*Table4[[#This Row],[Q of Ing1]]+Table4[[#This Row],[Q of Ing2]])+Table4[[#This Row],[Q of Ing3]]+Table4[[#This Row],[Q of Ing4]])</f>
        <v>146.63732006006617</v>
      </c>
      <c r="I22" s="19"/>
      <c r="J22" s="19"/>
    </row>
  </sheetData>
  <phoneticPr fontId="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CC0FC-8F92-437D-9530-2D465262F915}">
  <dimension ref="A1:J27"/>
  <sheetViews>
    <sheetView topLeftCell="A16" workbookViewId="0">
      <selection activeCell="G2" sqref="G2"/>
    </sheetView>
  </sheetViews>
  <sheetFormatPr defaultRowHeight="14.5" x14ac:dyDescent="0.35"/>
  <cols>
    <col min="1" max="1" width="19.453125" customWidth="1"/>
    <col min="4" max="4" width="27.453125" customWidth="1"/>
  </cols>
  <sheetData>
    <row r="1" spans="1:10" ht="29" x14ac:dyDescent="0.35">
      <c r="A1" s="3" t="s">
        <v>1</v>
      </c>
      <c r="B1" s="3" t="s">
        <v>124</v>
      </c>
      <c r="C1" s="3" t="s">
        <v>101</v>
      </c>
      <c r="D1" s="3" t="s">
        <v>72</v>
      </c>
      <c r="E1" t="s">
        <v>302</v>
      </c>
      <c r="F1" t="s">
        <v>303</v>
      </c>
      <c r="G1" t="s">
        <v>304</v>
      </c>
      <c r="H1" t="s">
        <v>305</v>
      </c>
      <c r="I1" t="s">
        <v>343</v>
      </c>
      <c r="J1" t="s">
        <v>301</v>
      </c>
    </row>
    <row r="2" spans="1:10" ht="43.5" x14ac:dyDescent="0.35">
      <c r="A2" s="2" t="s">
        <v>91</v>
      </c>
      <c r="C2" t="s">
        <v>391</v>
      </c>
      <c r="D2" s="2" t="s">
        <v>417</v>
      </c>
      <c r="E2" cm="1">
        <f t="array" aca="1" ref="E2" ca="1">GEOMEAN(MAX(IF((Tools!A2:A500="Bone Saw")+(Tools!A2:A500="Metal Saw"),Tools!B2:B500)),MAX(IF(Input!A2:A500="Highest Tree",Input!B2:B500)))</f>
        <v>207.7787284589065</v>
      </c>
      <c r="F2" cm="1">
        <f t="array" aca="1" ref="F2" ca="1">MAX(IF(Input!A2:A493="Highest Tree",Input!B2:B493))</f>
        <v>172</v>
      </c>
      <c r="G2" cm="1">
        <f t="array" aca="1" ref="G2" ca="1">MAX(IF(Products!A2:A493="Bone Glue",Products!B2:B493))</f>
        <v>130</v>
      </c>
      <c r="H2" s="7"/>
      <c r="I2" s="7"/>
      <c r="J2" s="7"/>
    </row>
    <row r="3" spans="1:10" ht="58" x14ac:dyDescent="0.35">
      <c r="A3" s="2" t="s">
        <v>381</v>
      </c>
      <c r="B3">
        <v>160</v>
      </c>
      <c r="C3" t="s">
        <v>109</v>
      </c>
      <c r="D3" s="2" t="s">
        <v>418</v>
      </c>
      <c r="E3">
        <f ca="1">Input!B32</f>
        <v>172</v>
      </c>
      <c r="F3">
        <f ca="1">GEOMEAN(Input!B32,MAX(Tools!B2,Tools!B3))</f>
        <v>207.7787284589065</v>
      </c>
      <c r="G3">
        <f>MAX(Input!B116,Input!B130,Input!B139)</f>
        <v>257</v>
      </c>
      <c r="H3" s="16">
        <f>Products!B4</f>
        <v>174</v>
      </c>
      <c r="I3" s="7"/>
      <c r="J3" s="7">
        <f ca="1">AVERAGE(Table57[[#This Row],[Q of Ing1]:[Q of Ing4]])</f>
        <v>202.69468211472662</v>
      </c>
    </row>
    <row r="4" spans="1:10" x14ac:dyDescent="0.35">
      <c r="A4" s="2" t="s">
        <v>99</v>
      </c>
      <c r="B4">
        <v>172</v>
      </c>
      <c r="C4" t="s">
        <v>111</v>
      </c>
      <c r="D4" s="2" t="s">
        <v>396</v>
      </c>
      <c r="E4">
        <f>MAX(B51:B59)</f>
        <v>0</v>
      </c>
      <c r="H4" s="7"/>
      <c r="I4" s="7"/>
      <c r="J4" s="7">
        <f>Table57[[#This Row],[Q of Ing1]]</f>
        <v>0</v>
      </c>
    </row>
    <row r="5" spans="1:10" ht="58" x14ac:dyDescent="0.35">
      <c r="A5" s="2" t="s">
        <v>364</v>
      </c>
      <c r="B5">
        <v>119</v>
      </c>
      <c r="C5" t="s">
        <v>111</v>
      </c>
      <c r="D5" s="2" t="s">
        <v>419</v>
      </c>
      <c r="E5" s="15">
        <f>Products!B69</f>
        <v>109</v>
      </c>
      <c r="F5">
        <f ca="1">GEOMEAN(Input!B32,MAX(Tools!B2,Tools!B3))</f>
        <v>207.7787284589065</v>
      </c>
      <c r="G5" cm="1">
        <f t="array" aca="1" ref="G5" ca="1">MAX(IF(Input!A2:A493="Highest Tree",Input!B2:B493))</f>
        <v>172</v>
      </c>
      <c r="H5" s="7" cm="1">
        <f t="array" aca="1" ref="H5" ca="1">MAX(IF(Input!A2:A493="Stone",Input!B2:B493))</f>
        <v>165</v>
      </c>
      <c r="I5" s="7"/>
      <c r="J5" s="7">
        <f ca="1">1/6*(Table57[[#This Row],[Q of Ing1]]*3+Table57[[#This Row],[Q of Ing2]]+Table57[[#This Row],[Q of Ing3]]+Table57[[#This Row],[Q of Ing4]])</f>
        <v>145.29645474315106</v>
      </c>
    </row>
    <row r="6" spans="1:10" ht="29" x14ac:dyDescent="0.35">
      <c r="A6" s="2" t="s">
        <v>386</v>
      </c>
      <c r="B6">
        <v>141</v>
      </c>
      <c r="C6" t="s">
        <v>111</v>
      </c>
      <c r="D6" s="2" t="s">
        <v>420</v>
      </c>
      <c r="E6">
        <f ca="1">GEOMEAN(Input!B32,MAX(Tools!B2,Tools!B3))</f>
        <v>207.7787284589065</v>
      </c>
      <c r="F6" cm="1">
        <f t="array" aca="1" ref="F6" ca="1">MAX(IF(Input!A2:A493="Highest Tree",Input!B2:B493))</f>
        <v>172</v>
      </c>
      <c r="H6" s="7"/>
      <c r="I6" s="7"/>
      <c r="J6" s="7">
        <f ca="1">AVERAGE(Table57[[#This Row],[Q of Ing1]:[Q of Ing5]])</f>
        <v>189.88936422945324</v>
      </c>
    </row>
    <row r="7" spans="1:10" ht="43.5" x14ac:dyDescent="0.35">
      <c r="A7" s="2" t="s">
        <v>90</v>
      </c>
      <c r="B7">
        <v>64</v>
      </c>
      <c r="C7" t="s">
        <v>111</v>
      </c>
      <c r="D7" s="2" t="s">
        <v>421</v>
      </c>
      <c r="E7" s="15">
        <f>Input!B31</f>
        <v>128</v>
      </c>
      <c r="F7">
        <f ca="1">GEOMEAN(Input!B32,MAX(Tools!B2,Tools!B3))</f>
        <v>207.7787284589065</v>
      </c>
      <c r="G7" cm="1">
        <f t="array" aca="1" ref="G7" ca="1">MAX(IF(Input!A2:A493="Highest Tree",Input!B2:B493))</f>
        <v>172</v>
      </c>
      <c r="H7" s="7"/>
      <c r="I7" s="7"/>
      <c r="J7" s="7">
        <f ca="1">AVERAGE(Table57[[#This Row],[Q of Ing1]:[Q of Ing5]])</f>
        <v>169.25957615296883</v>
      </c>
    </row>
    <row r="8" spans="1:10" ht="29" x14ac:dyDescent="0.35">
      <c r="A8" s="2" t="s">
        <v>92</v>
      </c>
      <c r="C8" t="s">
        <v>111</v>
      </c>
      <c r="D8" s="2" t="s">
        <v>422</v>
      </c>
      <c r="E8" cm="1">
        <f t="array" aca="1" ref="E8" ca="1">MAX(IF(Products!A2:A500="Copper",Products!B2:B500))</f>
        <v>130</v>
      </c>
      <c r="H8" s="7"/>
      <c r="I8" s="7"/>
      <c r="J8" s="7">
        <f ca="1">AVERAGE(Table57[[#This Row],[Q of Ing1]:[Q of Ing5]])</f>
        <v>130</v>
      </c>
    </row>
    <row r="9" spans="1:10" ht="43.5" x14ac:dyDescent="0.35">
      <c r="A9" s="2" t="s">
        <v>399</v>
      </c>
      <c r="B9">
        <v>169</v>
      </c>
      <c r="C9" t="s">
        <v>109</v>
      </c>
      <c r="D9" s="2" t="s">
        <v>423</v>
      </c>
      <c r="E9">
        <f ca="1">GEOMEAN(Input!B32,MAX(Tools!B2,Tools!B3))</f>
        <v>207.7787284589065</v>
      </c>
      <c r="F9" cm="1">
        <f t="array" aca="1" ref="F9" ca="1">MAX(IF(Input!A2:A493="Highest Tree",Input!B2:B493))</f>
        <v>172</v>
      </c>
      <c r="G9" cm="1">
        <f t="array" aca="1" ref="G9" ca="1">MAX(IF(Products!A9:A500="Bone Glue",Products!B9:B500))</f>
        <v>130</v>
      </c>
      <c r="H9" s="7"/>
      <c r="I9" s="7"/>
      <c r="J9" s="7">
        <f ca="1">AVERAGE(Table57[[#This Row],[Q of Ing1]:[Q of Ing3]])</f>
        <v>169.92624281963549</v>
      </c>
    </row>
    <row r="10" spans="1:10" ht="29" x14ac:dyDescent="0.35">
      <c r="A10" s="2" t="s">
        <v>100</v>
      </c>
      <c r="C10" t="s">
        <v>109</v>
      </c>
      <c r="D10" s="2" t="s">
        <v>424</v>
      </c>
      <c r="E10" cm="1">
        <f t="array" aca="1" ref="E10" ca="1">MAX(IF(Input!A2:A493="Highest Tree",Input!B2:B493))</f>
        <v>172</v>
      </c>
      <c r="F10">
        <f ca="1">GEOMEAN(Input!B32,MAX(Tools!B2,Tools!B3))</f>
        <v>207.7787284589065</v>
      </c>
      <c r="H10" s="7"/>
      <c r="I10" s="7"/>
      <c r="J10" s="7">
        <f ca="1">AVERAGE(Table57[[#This Row],[Q of Ing1]:[Q of Ing4]])</f>
        <v>189.88936422945324</v>
      </c>
    </row>
    <row r="11" spans="1:10" ht="43.5" x14ac:dyDescent="0.35">
      <c r="A11" s="2" t="s">
        <v>85</v>
      </c>
      <c r="B11">
        <v>70</v>
      </c>
      <c r="C11" t="s">
        <v>102</v>
      </c>
      <c r="D11" s="2" t="s">
        <v>425</v>
      </c>
      <c r="E11" cm="1">
        <f t="array" aca="1" ref="E11" ca="1">MAX(IF(Input!A2:A493="Bough",Input!B2:B493))</f>
        <v>144</v>
      </c>
      <c r="F11">
        <f ca="1">GEOMEAN(Tools!B4,Input!B32)</f>
        <v>231.65491576912413</v>
      </c>
      <c r="G11" cm="1">
        <f t="array" aca="1" ref="G11" ca="1">MAX(IF(Input!A2:A493="Highest Fine Fibre",Input!B2:B493))</f>
        <v>0</v>
      </c>
      <c r="H11" s="7"/>
      <c r="I11" s="7"/>
      <c r="J11" s="7">
        <f ca="1">AVERAGE(Table57[[#This Row],[Q of Ing1]:[Q of Ing4]])</f>
        <v>125.21830525637472</v>
      </c>
    </row>
    <row r="12" spans="1:10" ht="29" x14ac:dyDescent="0.35">
      <c r="A12" s="2" t="s">
        <v>68</v>
      </c>
      <c r="B12">
        <v>165</v>
      </c>
      <c r="C12" t="s">
        <v>102</v>
      </c>
      <c r="D12" s="2" t="s">
        <v>426</v>
      </c>
      <c r="E12">
        <f ca="1">GEOMEAN(Input!B32,MAX(Tools!B2,Tools!B3))</f>
        <v>207.7787284589065</v>
      </c>
      <c r="F12" cm="1">
        <f t="array" aca="1" ref="F12" ca="1">MAX(IF(Input!A2:A493="Highest Tree",Input!B2:B493))</f>
        <v>172</v>
      </c>
      <c r="H12" s="7"/>
      <c r="I12" s="7"/>
      <c r="J12" s="7">
        <f ca="1">AVERAGE(Table57[[#This Row],[Q of Ing1]:[Q of Ing2]])</f>
        <v>189.88936422945324</v>
      </c>
    </row>
    <row r="13" spans="1:10" ht="72.5" x14ac:dyDescent="0.35">
      <c r="A13" s="2" t="s">
        <v>394</v>
      </c>
      <c r="B13">
        <v>150</v>
      </c>
      <c r="C13" t="s">
        <v>392</v>
      </c>
      <c r="D13" s="2" t="s">
        <v>427</v>
      </c>
      <c r="E13">
        <f ca="1">GEOMEAN(Input!B32,MAX(Tools!B2,Tools!B3))</f>
        <v>207.7787284589065</v>
      </c>
      <c r="F13" cm="1">
        <f t="array" aca="1" ref="F13" ca="1">MAX(IF(Input!A2:A493="Highest Tree",Input!B2:B493))</f>
        <v>172</v>
      </c>
      <c r="G13" cm="1">
        <f t="array" aca="1" ref="G13" ca="1">MAX(IF(Input!A2:A493="Stone",Input!B2:B493))</f>
        <v>165</v>
      </c>
      <c r="H13" s="7" cm="1">
        <f t="array" aca="1" ref="H13" ca="1">MAX(IF(Input!A2:A493="Highest Clay",Input!B2:B493))</f>
        <v>113.92957631409369</v>
      </c>
      <c r="I13" s="7" cm="1">
        <f t="array" aca="1" ref="I13" ca="1">MAX(IF(Products!A2:A500="Rope",Products!B2:B500))</f>
        <v>199</v>
      </c>
      <c r="J13" s="7">
        <f ca="1">AVERAGE(Table57[[#This Row],[Q of Ing1]:[Q of Ing5]])</f>
        <v>171.54166095460002</v>
      </c>
    </row>
    <row r="14" spans="1:10" x14ac:dyDescent="0.35">
      <c r="A14" s="2" t="s">
        <v>86</v>
      </c>
      <c r="B14">
        <v>109</v>
      </c>
      <c r="C14" t="s">
        <v>392</v>
      </c>
      <c r="D14" s="2" t="s">
        <v>395</v>
      </c>
      <c r="E14" cm="1">
        <f t="array" aca="1" ref="E14" ca="1">MAX(IF(Input!A2:A493="Highest Clay",Input!B2:B493))</f>
        <v>113.92957631409369</v>
      </c>
      <c r="H14" s="7"/>
      <c r="I14" s="7"/>
      <c r="J14" s="7">
        <f ca="1">Table57[[#This Row],[Q of Ing1]]</f>
        <v>113.92957631409369</v>
      </c>
    </row>
    <row r="15" spans="1:10" ht="29" x14ac:dyDescent="0.35">
      <c r="A15" s="2" t="s">
        <v>88</v>
      </c>
      <c r="B15">
        <v>112</v>
      </c>
      <c r="C15" t="s">
        <v>132</v>
      </c>
      <c r="D15" s="2" t="s">
        <v>428</v>
      </c>
      <c r="E15" cm="1">
        <f t="array" aca="1" ref="E15" ca="1">MAX(IF(Input!A2:A493="Highest Clay",Input!B2:B493))</f>
        <v>113.92957631409369</v>
      </c>
      <c r="F15" cm="1">
        <f t="array" aca="1" ref="F15" ca="1">MAX(IF(Input!A2:A493="Hard Metal",Input!B2:B493))</f>
        <v>128</v>
      </c>
      <c r="H15" s="7"/>
      <c r="I15" s="7"/>
      <c r="J15" s="7">
        <f ca="1">1/4*(Table57[[#This Row],[Q of Ing1]]+3*Table57[[#This Row],[Q of Ing2]])</f>
        <v>124.48239407852343</v>
      </c>
    </row>
    <row r="16" spans="1:10" ht="43.5" x14ac:dyDescent="0.35">
      <c r="A16" s="2" t="s">
        <v>1121</v>
      </c>
      <c r="B16">
        <v>80</v>
      </c>
      <c r="C16" t="s">
        <v>132</v>
      </c>
      <c r="D16" s="2" t="s">
        <v>1213</v>
      </c>
      <c r="E16" s="15">
        <f>Products!B69</f>
        <v>109</v>
      </c>
      <c r="F16" s="15">
        <f>Products!B33</f>
        <v>110</v>
      </c>
      <c r="G16" s="15" cm="1">
        <f t="array" aca="1" ref="G16" ca="1">MAX(IF(Input!A2:A493="Hard Metal",Input!B2:B493))</f>
        <v>128</v>
      </c>
      <c r="H16" s="16">
        <f>Input!B31</f>
        <v>128</v>
      </c>
      <c r="I16" s="7"/>
      <c r="J16" s="7">
        <f ca="1">AVERAGE(Table57[[#This Row],[Q of Ing1]:[Q of Ing5]])</f>
        <v>118.75</v>
      </c>
    </row>
    <row r="17" spans="1:10" ht="43.5" x14ac:dyDescent="0.35">
      <c r="A17" s="2" t="s">
        <v>994</v>
      </c>
      <c r="B17">
        <v>80</v>
      </c>
      <c r="C17" t="s">
        <v>132</v>
      </c>
      <c r="D17" s="2" t="s">
        <v>995</v>
      </c>
      <c r="E17" s="15">
        <f>Products!B32</f>
        <v>128</v>
      </c>
      <c r="F17" s="15">
        <f>Products!B69</f>
        <v>109</v>
      </c>
      <c r="G17">
        <f>Input!B22</f>
        <v>165</v>
      </c>
      <c r="H17" s="7"/>
      <c r="I17" s="7"/>
      <c r="J17" s="7">
        <f>AVERAGE(Table57[[#This Row],[Q of Ing1]:[Q of Ing5]])</f>
        <v>134</v>
      </c>
    </row>
    <row r="18" spans="1:10" ht="43.5" x14ac:dyDescent="0.35">
      <c r="A18" s="2" t="s">
        <v>87</v>
      </c>
      <c r="B18">
        <v>119</v>
      </c>
      <c r="C18" t="s">
        <v>132</v>
      </c>
      <c r="D18" s="2" t="s">
        <v>977</v>
      </c>
      <c r="E18" s="15">
        <f>Products!B69</f>
        <v>109</v>
      </c>
      <c r="F18" cm="1">
        <f t="array" aca="1" ref="F18" ca="1">MAX(IF(Input!A2:A493="Stone",Input!B2:B493))</f>
        <v>165</v>
      </c>
      <c r="G18" cm="1">
        <f t="array" aca="1" ref="G18" ca="1">MAX(IF(Input!A2:A493="Hard Metal",Input!B2:B493))</f>
        <v>128</v>
      </c>
      <c r="H18" s="7"/>
      <c r="I18" s="7"/>
      <c r="J18" s="7"/>
    </row>
    <row r="19" spans="1:10" ht="29" x14ac:dyDescent="0.35">
      <c r="A19" s="2" t="s">
        <v>356</v>
      </c>
      <c r="B19">
        <v>100</v>
      </c>
      <c r="C19" t="s">
        <v>132</v>
      </c>
      <c r="D19" s="2" t="s">
        <v>429</v>
      </c>
      <c r="E19">
        <f>Input!B22</f>
        <v>165</v>
      </c>
      <c r="F19" s="15" cm="1">
        <f t="array" aca="1" ref="F19" ca="1">MAX(IF(Input!A2:A493="Highest Clay",Input!B2:B493))</f>
        <v>113.92957631409369</v>
      </c>
      <c r="H19" s="7"/>
      <c r="I19" s="7"/>
      <c r="J19" s="7">
        <f ca="1">AVERAGE(Table57[[#This Row],[Q of Ing1]:[Q of Ing2]])</f>
        <v>139.46478815704685</v>
      </c>
    </row>
    <row r="20" spans="1:10" ht="72.5" x14ac:dyDescent="0.35">
      <c r="A20" s="2" t="s">
        <v>397</v>
      </c>
      <c r="C20" t="s">
        <v>132</v>
      </c>
      <c r="D20" s="2" t="s">
        <v>430</v>
      </c>
      <c r="E20" cm="1">
        <f t="array" aca="1" ref="E20" ca="1">MAX(IF(Input!A2:A493="Highest Clay",Input!B2:B493))</f>
        <v>113.92957631409369</v>
      </c>
      <c r="F20" cm="1">
        <f t="array" aca="1" ref="F20" ca="1">MAX(IF(Input!A2:A493="Stone",Input!B2:B493))</f>
        <v>165</v>
      </c>
      <c r="G20">
        <f ca="1">GEOMEAN(Input!B32,MAX(Tools!B2,Tools!B3))</f>
        <v>207.7787284589065</v>
      </c>
      <c r="H20" s="7" cm="1">
        <f t="array" aca="1" ref="H20" ca="1">MAX(IF(Input!A2:A493="Highest Tree",Input!B2:B493))</f>
        <v>172</v>
      </c>
      <c r="I20" s="7" cm="1">
        <f t="array" aca="1" ref="I20" ca="1">MAX(IF(Products!A2:A500="Leather",Products!B2:B500))</f>
        <v>90</v>
      </c>
      <c r="J20" s="7">
        <f ca="1">AVERAGE(Table57[[#This Row],[Q of Ing1]:[Q of Ing5]])</f>
        <v>149.74166095460004</v>
      </c>
    </row>
    <row r="21" spans="1:10" ht="29" x14ac:dyDescent="0.35">
      <c r="A21" s="2" t="s">
        <v>400</v>
      </c>
      <c r="B21">
        <v>50</v>
      </c>
      <c r="C21" t="s">
        <v>132</v>
      </c>
      <c r="D21" s="2" t="s">
        <v>431</v>
      </c>
      <c r="E21">
        <f ca="1">GEOMEAN(Input!B32,MAX(Tools!B2,Tools!B3))</f>
        <v>207.7787284589065</v>
      </c>
      <c r="F21" cm="1">
        <f t="array" aca="1" ref="F21" ca="1">MAX(IF(Input!A2:A493="Highest Tree",Input!B2:B493))</f>
        <v>172</v>
      </c>
      <c r="H21" s="7"/>
      <c r="I21" s="7"/>
      <c r="J21" s="7">
        <f ca="1">AVERAGE(Table57[[#This Row],[Q of Ing1]:[Q of Ing5]])</f>
        <v>189.88936422945324</v>
      </c>
    </row>
    <row r="22" spans="1:10" ht="58" x14ac:dyDescent="0.35">
      <c r="A22" s="2" t="s">
        <v>70</v>
      </c>
      <c r="B22">
        <v>168</v>
      </c>
      <c r="C22" t="s">
        <v>393</v>
      </c>
      <c r="D22" s="2" t="s">
        <v>432</v>
      </c>
      <c r="E22" cm="1">
        <f t="array" aca="1" ref="E22" ca="1">MAX(IF(Input!A2:A493="Highest Tree",Input!B2:B493))</f>
        <v>172</v>
      </c>
      <c r="F22">
        <f ca="1">GEOMEAN(Input!B32,MAX(Tools!B2,Tools!B3))</f>
        <v>207.7787284589065</v>
      </c>
      <c r="G22">
        <f ca="1">GEOMEAN(Tools!B4,Input!B32)</f>
        <v>231.65491576912413</v>
      </c>
      <c r="H22" s="7"/>
      <c r="I22" s="7"/>
      <c r="J22" s="7">
        <f ca="1">AVERAGE(Table57[[#This Row],[Q of Ing1]:[Q of Ing5]])</f>
        <v>203.81121474267687</v>
      </c>
    </row>
    <row r="23" spans="1:10" ht="43.5" x14ac:dyDescent="0.35">
      <c r="A23" s="2" t="s">
        <v>69</v>
      </c>
      <c r="B23">
        <v>192</v>
      </c>
      <c r="C23" t="s">
        <v>393</v>
      </c>
      <c r="D23" s="2" t="s">
        <v>433</v>
      </c>
      <c r="E23" cm="1">
        <f t="array" aca="1" ref="E23" ca="1">MAX(IF(Input!A2:A493="Highest Tree",Input!B2:B493))</f>
        <v>172</v>
      </c>
      <c r="F23">
        <f ca="1">GEOMEAN(Input!B32,MAX(Tools!B2,Tools!B3))</f>
        <v>207.7787284589065</v>
      </c>
      <c r="G23">
        <f>G24</f>
        <v>243</v>
      </c>
      <c r="H23" s="7"/>
      <c r="I23" s="7"/>
      <c r="J23" s="7">
        <f ca="1">AVERAGE(Table57[[#This Row],[Q of Ing1]:[Q of Ing5]])</f>
        <v>207.59290948630215</v>
      </c>
    </row>
    <row r="24" spans="1:10" ht="43.5" x14ac:dyDescent="0.35">
      <c r="A24" s="2" t="s">
        <v>744</v>
      </c>
      <c r="B24">
        <v>193</v>
      </c>
      <c r="C24" t="s">
        <v>109</v>
      </c>
      <c r="D24" s="2" t="s">
        <v>976</v>
      </c>
      <c r="E24">
        <f ca="1">Input!B32</f>
        <v>172</v>
      </c>
      <c r="F24">
        <f ca="1">GEOMEAN(Input!B32,MAX(Tools!B2,Tools!B3))</f>
        <v>207.7787284589065</v>
      </c>
      <c r="G24">
        <f>Input!B122</f>
        <v>243</v>
      </c>
      <c r="I24" s="7"/>
      <c r="J24" s="7">
        <f ca="1">AVERAGE(Table57[[#This Row],[Q of Ing1]:[Q of Ing3]])</f>
        <v>207.59290948630215</v>
      </c>
    </row>
    <row r="25" spans="1:10" ht="58" x14ac:dyDescent="0.35">
      <c r="A25" s="2" t="s">
        <v>1092</v>
      </c>
      <c r="B25">
        <v>49</v>
      </c>
      <c r="C25" t="s">
        <v>111</v>
      </c>
      <c r="D25" s="2" t="s">
        <v>1093</v>
      </c>
      <c r="E25">
        <f ca="1">GEOMEAN(Input!B32,MAX(Tools!B2,Tools!B3))</f>
        <v>207.7787284589065</v>
      </c>
      <c r="F25" cm="1">
        <f t="array" aca="1" ref="F25" ca="1">MAX(IF(Input!A2:A493="Highest Tree",Input!B2:B493))</f>
        <v>172</v>
      </c>
      <c r="G25">
        <f>Input!B116</f>
        <v>257</v>
      </c>
      <c r="H25" s="15">
        <f>Products!B69</f>
        <v>109</v>
      </c>
      <c r="I25" s="7"/>
      <c r="J25" s="7">
        <f ca="1">AVERAGE(Table57[[#This Row],[Q of Ing1]:[Q of Ing4]])</f>
        <v>186.44468211472662</v>
      </c>
    </row>
    <row r="26" spans="1:10" ht="58.5" x14ac:dyDescent="0.4">
      <c r="A26" s="2" t="s">
        <v>365</v>
      </c>
      <c r="B26">
        <v>74</v>
      </c>
      <c r="C26" t="s">
        <v>109</v>
      </c>
      <c r="D26" s="2" t="s">
        <v>1174</v>
      </c>
      <c r="E26" cm="1">
        <f t="array" aca="1" ref="E26" ca="1">MAX(IF(Input!A2:A493="Highest Clay",Input!B2:B493))</f>
        <v>113.92957631409369</v>
      </c>
      <c r="F26" cm="1">
        <f t="array" ref="F26">MAX(IF(Workstations!A2:A499="Potter's Wheel",Workstations!B2:B499))</f>
        <v>150</v>
      </c>
      <c r="G26" cm="1">
        <f t="array" ref="G26">MAX(IF(Workstations!A2:A499="Kiln",Workstations!B2:B499))</f>
        <v>109</v>
      </c>
      <c r="H26" s="15">
        <f ca="1">F11</f>
        <v>231.65491576912413</v>
      </c>
      <c r="I26" s="7"/>
      <c r="J26" s="20">
        <f ca="1">1/4*(2*1/4*(3*Table57[[#This Row],[Q of Ing1]]+Table57[[#This Row],[Q of Ing2]])+Table57[[#This Row],[Q of Ing3]]+Table57[[#This Row],[Q of Ing4]])</f>
        <v>146.63732006006617</v>
      </c>
    </row>
    <row r="27" spans="1:10" ht="29" x14ac:dyDescent="0.35">
      <c r="A27" s="2" t="s">
        <v>1207</v>
      </c>
      <c r="B27">
        <v>193</v>
      </c>
      <c r="C27" t="s">
        <v>109</v>
      </c>
      <c r="D27" s="2" t="s">
        <v>1208</v>
      </c>
      <c r="E27">
        <f>Input!B39</f>
        <v>144</v>
      </c>
      <c r="F27" s="15">
        <f ca="1">Input!B36</f>
        <v>243</v>
      </c>
      <c r="I27" s="7"/>
      <c r="J27" s="7">
        <f ca="1">AVERAGE(Table57[[#This Row],[Q of Ing1]:[Q of Ing5]])</f>
        <v>193.5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AA188-7B38-4B91-BAAE-221B20090626}">
  <dimension ref="A1:K87"/>
  <sheetViews>
    <sheetView topLeftCell="A65" workbookViewId="0">
      <selection activeCell="F74" sqref="F74"/>
    </sheetView>
  </sheetViews>
  <sheetFormatPr defaultRowHeight="14.5" x14ac:dyDescent="0.35"/>
  <cols>
    <col min="1" max="1" width="18.453125" bestFit="1" customWidth="1"/>
    <col min="3" max="3" width="19.54296875" bestFit="1" customWidth="1"/>
    <col min="4" max="4" width="9.54296875" bestFit="1" customWidth="1"/>
    <col min="5" max="10" width="11.1796875" bestFit="1" customWidth="1"/>
  </cols>
  <sheetData>
    <row r="1" spans="1:11" x14ac:dyDescent="0.35">
      <c r="A1" s="3" t="s">
        <v>1</v>
      </c>
      <c r="B1" s="3" t="s">
        <v>67</v>
      </c>
      <c r="C1" s="3" t="s">
        <v>72</v>
      </c>
      <c r="D1" s="3" t="s">
        <v>101</v>
      </c>
      <c r="E1" t="s">
        <v>302</v>
      </c>
      <c r="F1" t="s">
        <v>303</v>
      </c>
      <c r="G1" t="s">
        <v>304</v>
      </c>
      <c r="H1" t="s">
        <v>305</v>
      </c>
      <c r="I1" t="s">
        <v>343</v>
      </c>
      <c r="J1" t="s">
        <v>375</v>
      </c>
      <c r="K1" t="s">
        <v>301</v>
      </c>
    </row>
    <row r="2" spans="1:11" ht="29" x14ac:dyDescent="0.35">
      <c r="A2" s="14" t="s">
        <v>398</v>
      </c>
      <c r="B2" s="14">
        <v>206</v>
      </c>
      <c r="C2" s="14" t="s">
        <v>415</v>
      </c>
      <c r="D2" s="14" t="s">
        <v>109</v>
      </c>
      <c r="E2" s="15">
        <f>Workstations!B9</f>
        <v>169</v>
      </c>
      <c r="F2" s="15">
        <f>B3</f>
        <v>251</v>
      </c>
      <c r="G2" s="15"/>
      <c r="H2" s="15"/>
      <c r="I2" s="15"/>
      <c r="J2" s="15"/>
      <c r="K2" s="15">
        <f>GEOMEAN(Table79[[#This Row],[Q of Ing1]:[Q of Ing2]])</f>
        <v>205.95873373081318</v>
      </c>
    </row>
    <row r="3" spans="1:11" x14ac:dyDescent="0.35">
      <c r="A3" s="14" t="s">
        <v>445</v>
      </c>
      <c r="B3" s="14">
        <v>251</v>
      </c>
      <c r="C3" s="14" t="s">
        <v>446</v>
      </c>
      <c r="D3" s="14" t="s">
        <v>109</v>
      </c>
      <c r="E3" s="15"/>
      <c r="F3" s="15"/>
      <c r="G3" s="15"/>
      <c r="H3" s="15"/>
      <c r="I3" s="15"/>
      <c r="J3" s="15"/>
      <c r="K3" s="15"/>
    </row>
    <row r="4" spans="1:11" x14ac:dyDescent="0.35">
      <c r="A4" s="14" t="s">
        <v>447</v>
      </c>
      <c r="B4" s="14">
        <v>174</v>
      </c>
      <c r="C4" s="14" t="s">
        <v>448</v>
      </c>
      <c r="D4" s="14" t="s">
        <v>109</v>
      </c>
      <c r="E4" s="15">
        <f>Workstations!B3</f>
        <v>160</v>
      </c>
      <c r="F4" s="15">
        <v>243</v>
      </c>
      <c r="G4" s="15"/>
      <c r="H4" s="15"/>
      <c r="I4" s="15"/>
      <c r="J4" s="15"/>
      <c r="K4" s="15">
        <f>GEOMEAN(Table79[[#This Row],[Q of Ing1]:[Q of Ing2]])</f>
        <v>197.18012070185981</v>
      </c>
    </row>
    <row r="5" spans="1:11" x14ac:dyDescent="0.35">
      <c r="A5" s="14" t="s">
        <v>517</v>
      </c>
      <c r="B5" s="14">
        <v>154</v>
      </c>
      <c r="C5" s="14" t="s">
        <v>558</v>
      </c>
      <c r="D5" s="14" t="s">
        <v>1096</v>
      </c>
      <c r="E5" s="15">
        <f ca="1">Input!B32</f>
        <v>172</v>
      </c>
      <c r="F5" s="15"/>
      <c r="G5" s="15"/>
      <c r="H5" s="15"/>
      <c r="I5" s="15"/>
      <c r="J5" s="15"/>
      <c r="K5" s="15">
        <f ca="1">Table79[[#This Row],[Q of Ing1]]</f>
        <v>172</v>
      </c>
    </row>
    <row r="6" spans="1:11" ht="29" x14ac:dyDescent="0.35">
      <c r="A6" s="14" t="s">
        <v>1094</v>
      </c>
      <c r="B6" s="14">
        <v>171</v>
      </c>
      <c r="C6" s="14" t="s">
        <v>1095</v>
      </c>
      <c r="D6" s="14" t="s">
        <v>1096</v>
      </c>
      <c r="E6" s="15">
        <f ca="1">Input!B32</f>
        <v>172</v>
      </c>
      <c r="F6" s="15">
        <f>MAX(Tools!B2:B3)</f>
        <v>251</v>
      </c>
      <c r="G6" s="15"/>
      <c r="H6" s="15"/>
      <c r="I6" s="15"/>
      <c r="J6" s="15"/>
      <c r="K6" s="15">
        <f ca="1">GEOMEAN(Table79[[#This Row],[Q of Ing1]:[Q of Ing6]])</f>
        <v>207.7787284589065</v>
      </c>
    </row>
    <row r="7" spans="1:11" ht="29" x14ac:dyDescent="0.35">
      <c r="A7" s="14" t="s">
        <v>1097</v>
      </c>
      <c r="B7" s="14">
        <f>199</f>
        <v>199</v>
      </c>
      <c r="C7" s="14" t="s">
        <v>1098</v>
      </c>
      <c r="D7" s="14" t="s">
        <v>1096</v>
      </c>
      <c r="E7" s="15">
        <f>Input!B122</f>
        <v>243</v>
      </c>
      <c r="F7" s="15"/>
      <c r="G7" s="15"/>
      <c r="H7" s="15"/>
      <c r="I7" s="15"/>
      <c r="J7" s="15"/>
      <c r="K7" s="15"/>
    </row>
    <row r="8" spans="1:11" ht="58" x14ac:dyDescent="0.35">
      <c r="A8" s="17" t="s">
        <v>276</v>
      </c>
      <c r="B8" s="17">
        <v>60</v>
      </c>
      <c r="C8" s="17" t="s">
        <v>402</v>
      </c>
      <c r="D8" s="15" t="s">
        <v>290</v>
      </c>
      <c r="E8" s="15" t="e">
        <f>Workstations!#REF!</f>
        <v>#REF!</v>
      </c>
      <c r="F8" s="15">
        <f>Products!B$2</f>
        <v>206</v>
      </c>
      <c r="G8" s="15">
        <f>Input!B$18</f>
        <v>101</v>
      </c>
      <c r="H8" s="15">
        <f>Table79[[#This Row],[Quality]]</f>
        <v>60</v>
      </c>
      <c r="I8" s="15"/>
      <c r="J8" s="15"/>
      <c r="K8" s="15" t="e">
        <f>1/20*(Table79[[#This Row],[Q of Ing1]]*10+Table79[[#This Row],[Q of Ing2]]+Table79[[#This Row],[Q of Ing3]]+Table79[[#This Row],[Q of Ing4]]*8)</f>
        <v>#REF!</v>
      </c>
    </row>
    <row r="9" spans="1:11" ht="58" x14ac:dyDescent="0.35">
      <c r="A9" s="14" t="s">
        <v>162</v>
      </c>
      <c r="B9" s="14"/>
      <c r="C9" s="17" t="s">
        <v>402</v>
      </c>
      <c r="D9" s="15" t="s">
        <v>290</v>
      </c>
      <c r="E9" s="15" t="e">
        <f>Workstations!#REF!</f>
        <v>#REF!</v>
      </c>
      <c r="F9" s="15">
        <f>Products!B$2</f>
        <v>206</v>
      </c>
      <c r="G9" s="15">
        <f>Input!B$18</f>
        <v>101</v>
      </c>
      <c r="H9" s="15">
        <f>Table79[[#This Row],[Quality]]</f>
        <v>0</v>
      </c>
      <c r="I9" s="15"/>
      <c r="J9" s="15"/>
      <c r="K9" s="15" t="e">
        <f>1/20*(Table79[[#This Row],[Q of Ing1]]*10+Table79[[#This Row],[Q of Ing2]]+Table79[[#This Row],[Q of Ing3]]+Table79[[#This Row],[Q of Ing4]]*8)</f>
        <v>#REF!</v>
      </c>
    </row>
    <row r="10" spans="1:11" ht="58" x14ac:dyDescent="0.35">
      <c r="A10" s="14" t="s">
        <v>274</v>
      </c>
      <c r="B10" s="14"/>
      <c r="C10" s="17" t="s">
        <v>402</v>
      </c>
      <c r="D10" s="15" t="s">
        <v>290</v>
      </c>
      <c r="E10" s="15" t="e">
        <f>Workstations!#REF!</f>
        <v>#REF!</v>
      </c>
      <c r="F10" s="15">
        <f>Products!B$2</f>
        <v>206</v>
      </c>
      <c r="G10" s="15">
        <f>Input!B$18</f>
        <v>101</v>
      </c>
      <c r="H10" s="15">
        <f>Table79[[#This Row],[Quality]]</f>
        <v>0</v>
      </c>
      <c r="I10" s="15"/>
      <c r="J10" s="15"/>
      <c r="K10" s="15" t="e">
        <f>1/20*(Table79[[#This Row],[Q of Ing1]]*10+Table79[[#This Row],[Q of Ing2]]+Table79[[#This Row],[Q of Ing3]]+Table79[[#This Row],[Q of Ing4]]*8)</f>
        <v>#REF!</v>
      </c>
    </row>
    <row r="11" spans="1:11" ht="58" x14ac:dyDescent="0.35">
      <c r="A11" s="14" t="s">
        <v>104</v>
      </c>
      <c r="B11" s="14"/>
      <c r="C11" s="17" t="s">
        <v>402</v>
      </c>
      <c r="D11" s="15" t="s">
        <v>290</v>
      </c>
      <c r="E11" s="15" t="e">
        <f>Workstations!#REF!</f>
        <v>#REF!</v>
      </c>
      <c r="F11" s="15">
        <f>Products!B$2</f>
        <v>206</v>
      </c>
      <c r="G11" s="15">
        <f>Input!B$18</f>
        <v>101</v>
      </c>
      <c r="H11" s="15">
        <f>Table79[[#This Row],[Quality]]</f>
        <v>0</v>
      </c>
      <c r="I11" s="15"/>
      <c r="J11" s="15"/>
      <c r="K11" s="15" t="e">
        <f>1/20*(Table79[[#This Row],[Q of Ing1]]*10+Table79[[#This Row],[Q of Ing2]]+Table79[[#This Row],[Q of Ing3]]+Table79[[#This Row],[Q of Ing4]]*8)</f>
        <v>#REF!</v>
      </c>
    </row>
    <row r="12" spans="1:11" ht="58" x14ac:dyDescent="0.35">
      <c r="A12" s="14" t="s">
        <v>291</v>
      </c>
      <c r="B12" s="14"/>
      <c r="C12" s="17" t="s">
        <v>402</v>
      </c>
      <c r="D12" s="15" t="s">
        <v>290</v>
      </c>
      <c r="E12" s="15" t="e">
        <f>Workstations!#REF!</f>
        <v>#REF!</v>
      </c>
      <c r="F12" s="15">
        <f>Products!B$2</f>
        <v>206</v>
      </c>
      <c r="G12" s="15">
        <f>Input!B$18</f>
        <v>101</v>
      </c>
      <c r="H12" s="15">
        <f>Table79[[#This Row],[Quality]]</f>
        <v>0</v>
      </c>
      <c r="I12" s="15"/>
      <c r="J12" s="15"/>
      <c r="K12" s="15" t="e">
        <f>1/20*(Table79[[#This Row],[Q of Ing1]]*10+Table79[[#This Row],[Q of Ing2]]+Table79[[#This Row],[Q of Ing3]]+Table79[[#This Row],[Q of Ing4]]*8)</f>
        <v>#REF!</v>
      </c>
    </row>
    <row r="13" spans="1:11" ht="58" x14ac:dyDescent="0.35">
      <c r="A13" s="14" t="s">
        <v>272</v>
      </c>
      <c r="B13" s="14"/>
      <c r="C13" s="17" t="s">
        <v>402</v>
      </c>
      <c r="D13" s="15" t="s">
        <v>290</v>
      </c>
      <c r="E13" s="15" t="e">
        <f>Workstations!#REF!</f>
        <v>#REF!</v>
      </c>
      <c r="F13" s="15">
        <f>Products!B$2</f>
        <v>206</v>
      </c>
      <c r="G13" s="15">
        <f>Input!B$18</f>
        <v>101</v>
      </c>
      <c r="H13" s="15">
        <f>Table79[[#This Row],[Quality]]</f>
        <v>0</v>
      </c>
      <c r="I13" s="15"/>
      <c r="J13" s="15"/>
      <c r="K13" s="15" t="e">
        <f>1/20*(Table79[[#This Row],[Q of Ing1]]*10+Table79[[#This Row],[Q of Ing2]]+Table79[[#This Row],[Q of Ing3]]+Table79[[#This Row],[Q of Ing4]]*8)</f>
        <v>#REF!</v>
      </c>
    </row>
    <row r="14" spans="1:11" ht="58" x14ac:dyDescent="0.35">
      <c r="A14" s="14" t="s">
        <v>105</v>
      </c>
      <c r="B14" s="14"/>
      <c r="C14" s="17" t="s">
        <v>402</v>
      </c>
      <c r="D14" s="15" t="s">
        <v>290</v>
      </c>
      <c r="E14" s="15" t="e">
        <f>Workstations!#REF!</f>
        <v>#REF!</v>
      </c>
      <c r="F14" s="15">
        <f>Products!B$2</f>
        <v>206</v>
      </c>
      <c r="G14" s="15">
        <f>Input!B$18</f>
        <v>101</v>
      </c>
      <c r="H14" s="15">
        <f>Table79[[#This Row],[Quality]]</f>
        <v>0</v>
      </c>
      <c r="I14" s="15"/>
      <c r="J14" s="15"/>
      <c r="K14" s="15" t="e">
        <f>1/20*(Table79[[#This Row],[Q of Ing1]]*10+Table79[[#This Row],[Q of Ing2]]+Table79[[#This Row],[Q of Ing3]]+Table79[[#This Row],[Q of Ing4]]*8)</f>
        <v>#REF!</v>
      </c>
    </row>
    <row r="15" spans="1:11" ht="58" x14ac:dyDescent="0.35">
      <c r="A15" s="14" t="s">
        <v>265</v>
      </c>
      <c r="B15" s="14"/>
      <c r="C15" s="17" t="s">
        <v>402</v>
      </c>
      <c r="D15" s="15" t="s">
        <v>290</v>
      </c>
      <c r="E15" s="15" t="e">
        <f>Workstations!#REF!</f>
        <v>#REF!</v>
      </c>
      <c r="F15" s="15">
        <f>Products!B$2</f>
        <v>206</v>
      </c>
      <c r="G15" s="15">
        <f>Input!B$18</f>
        <v>101</v>
      </c>
      <c r="H15" s="15">
        <f>Table79[[#This Row],[Quality]]</f>
        <v>0</v>
      </c>
      <c r="I15" s="15"/>
      <c r="J15" s="15"/>
      <c r="K15" s="15" t="e">
        <f>1/20*(Table79[[#This Row],[Q of Ing1]]*10+Table79[[#This Row],[Q of Ing2]]+Table79[[#This Row],[Q of Ing3]]+Table79[[#This Row],[Q of Ing4]]*8)</f>
        <v>#REF!</v>
      </c>
    </row>
    <row r="16" spans="1:11" ht="58" x14ac:dyDescent="0.35">
      <c r="A16" s="14" t="s">
        <v>273</v>
      </c>
      <c r="B16" s="14"/>
      <c r="C16" s="17" t="s">
        <v>402</v>
      </c>
      <c r="D16" s="15" t="s">
        <v>290</v>
      </c>
      <c r="E16" s="15" t="e">
        <f>Workstations!#REF!</f>
        <v>#REF!</v>
      </c>
      <c r="F16" s="15">
        <f>Products!B$2</f>
        <v>206</v>
      </c>
      <c r="G16" s="15">
        <f>Input!B$18</f>
        <v>101</v>
      </c>
      <c r="H16" s="15">
        <f>Table79[[#This Row],[Quality]]</f>
        <v>0</v>
      </c>
      <c r="I16" s="15"/>
      <c r="J16" s="15"/>
      <c r="K16" s="15" t="e">
        <f>1/20*(Table79[[#This Row],[Q of Ing1]]*10+Table79[[#This Row],[Q of Ing2]]+Table79[[#This Row],[Q of Ing3]]+Table79[[#This Row],[Q of Ing4]]*8)</f>
        <v>#REF!</v>
      </c>
    </row>
    <row r="17" spans="1:11" ht="58" x14ac:dyDescent="0.35">
      <c r="A17" s="14" t="s">
        <v>267</v>
      </c>
      <c r="B17" s="14"/>
      <c r="C17" s="17" t="s">
        <v>402</v>
      </c>
      <c r="D17" s="15" t="s">
        <v>290</v>
      </c>
      <c r="E17" s="15" t="e">
        <f>Workstations!#REF!</f>
        <v>#REF!</v>
      </c>
      <c r="F17" s="15">
        <f>Products!B$2</f>
        <v>206</v>
      </c>
      <c r="G17" s="15">
        <f>Input!B$18</f>
        <v>101</v>
      </c>
      <c r="H17" s="15">
        <f>Table79[[#This Row],[Quality]]</f>
        <v>0</v>
      </c>
      <c r="I17" s="15"/>
      <c r="J17" s="15"/>
      <c r="K17" s="15" t="e">
        <f>1/20*(Table79[[#This Row],[Q of Ing1]]*10+Table79[[#This Row],[Q of Ing2]]+Table79[[#This Row],[Q of Ing3]]+Table79[[#This Row],[Q of Ing4]]*8)</f>
        <v>#REF!</v>
      </c>
    </row>
    <row r="18" spans="1:11" ht="58" x14ac:dyDescent="0.35">
      <c r="A18" s="14" t="s">
        <v>292</v>
      </c>
      <c r="B18" s="14"/>
      <c r="C18" s="17" t="s">
        <v>402</v>
      </c>
      <c r="D18" s="15" t="s">
        <v>290</v>
      </c>
      <c r="E18" s="15" t="e">
        <f>Workstations!#REF!</f>
        <v>#REF!</v>
      </c>
      <c r="F18" s="15">
        <f>Products!B$2</f>
        <v>206</v>
      </c>
      <c r="G18" s="15">
        <f>Input!B$18</f>
        <v>101</v>
      </c>
      <c r="H18" s="15">
        <f>Table79[[#This Row],[Quality]]</f>
        <v>0</v>
      </c>
      <c r="I18" s="15"/>
      <c r="J18" s="15"/>
      <c r="K18" s="15" t="e">
        <f>1/20*(Table79[[#This Row],[Q of Ing1]]*10+Table79[[#This Row],[Q of Ing2]]+Table79[[#This Row],[Q of Ing3]]+Table79[[#This Row],[Q of Ing4]]*8)</f>
        <v>#REF!</v>
      </c>
    </row>
    <row r="19" spans="1:11" ht="58" x14ac:dyDescent="0.35">
      <c r="A19" s="14" t="s">
        <v>293</v>
      </c>
      <c r="B19" s="14"/>
      <c r="C19" s="17" t="s">
        <v>402</v>
      </c>
      <c r="D19" s="15" t="s">
        <v>290</v>
      </c>
      <c r="E19" s="15" t="e">
        <f>Workstations!#REF!</f>
        <v>#REF!</v>
      </c>
      <c r="F19" s="15">
        <f>Products!B$2</f>
        <v>206</v>
      </c>
      <c r="G19" s="15">
        <f>Input!B$18</f>
        <v>101</v>
      </c>
      <c r="H19" s="15">
        <f>Table79[[#This Row],[Quality]]</f>
        <v>0</v>
      </c>
      <c r="I19" s="15"/>
      <c r="J19" s="15"/>
      <c r="K19" s="15" t="e">
        <f>1/20*(Table79[[#This Row],[Q of Ing1]]*10+Table79[[#This Row],[Q of Ing2]]+Table79[[#This Row],[Q of Ing3]]+Table79[[#This Row],[Q of Ing4]]*8)</f>
        <v>#REF!</v>
      </c>
    </row>
    <row r="20" spans="1:11" ht="58" x14ac:dyDescent="0.35">
      <c r="A20" s="14" t="s">
        <v>294</v>
      </c>
      <c r="B20" s="14"/>
      <c r="C20" s="17" t="s">
        <v>402</v>
      </c>
      <c r="D20" s="15" t="s">
        <v>290</v>
      </c>
      <c r="E20" s="15" t="e">
        <f>Workstations!#REF!</f>
        <v>#REF!</v>
      </c>
      <c r="F20" s="15">
        <f>Products!B$2</f>
        <v>206</v>
      </c>
      <c r="G20" s="15">
        <f>Input!B$18</f>
        <v>101</v>
      </c>
      <c r="H20" s="15">
        <f>Table79[[#This Row],[Quality]]</f>
        <v>0</v>
      </c>
      <c r="I20" s="15"/>
      <c r="J20" s="15"/>
      <c r="K20" s="15" t="e">
        <f>1/20*(Table79[[#This Row],[Q of Ing1]]*10+Table79[[#This Row],[Q of Ing2]]+Table79[[#This Row],[Q of Ing3]]+Table79[[#This Row],[Q of Ing4]]*8)</f>
        <v>#REF!</v>
      </c>
    </row>
    <row r="21" spans="1:11" ht="58" x14ac:dyDescent="0.35">
      <c r="A21" s="14" t="s">
        <v>295</v>
      </c>
      <c r="B21" s="14"/>
      <c r="C21" s="17" t="s">
        <v>402</v>
      </c>
      <c r="D21" s="15" t="s">
        <v>290</v>
      </c>
      <c r="E21" s="15" t="e">
        <f>Workstations!#REF!</f>
        <v>#REF!</v>
      </c>
      <c r="F21" s="15">
        <f>Products!B$2</f>
        <v>206</v>
      </c>
      <c r="G21" s="15">
        <f>Input!B$18</f>
        <v>101</v>
      </c>
      <c r="H21" s="15">
        <f>Table79[[#This Row],[Quality]]</f>
        <v>0</v>
      </c>
      <c r="I21" s="15"/>
      <c r="J21" s="15"/>
      <c r="K21" s="15" t="e">
        <f>1/20*(Table79[[#This Row],[Q of Ing1]]*10+Table79[[#This Row],[Q of Ing2]]+Table79[[#This Row],[Q of Ing3]]+Table79[[#This Row],[Q of Ing4]]*8)</f>
        <v>#REF!</v>
      </c>
    </row>
    <row r="22" spans="1:11" ht="58" x14ac:dyDescent="0.35">
      <c r="A22" s="14" t="s">
        <v>113</v>
      </c>
      <c r="B22" s="14"/>
      <c r="C22" s="17" t="s">
        <v>402</v>
      </c>
      <c r="D22" s="15" t="s">
        <v>290</v>
      </c>
      <c r="E22" s="15" t="e">
        <f>Workstations!#REF!</f>
        <v>#REF!</v>
      </c>
      <c r="F22" s="15">
        <f>Products!B$2</f>
        <v>206</v>
      </c>
      <c r="G22" s="15">
        <f>Input!B$18</f>
        <v>101</v>
      </c>
      <c r="H22" s="15">
        <f>Table79[[#This Row],[Quality]]</f>
        <v>0</v>
      </c>
      <c r="I22" s="15"/>
      <c r="J22" s="15"/>
      <c r="K22" s="15" t="e">
        <f>1/20*(Table79[[#This Row],[Q of Ing1]]*10+Table79[[#This Row],[Q of Ing2]]+Table79[[#This Row],[Q of Ing3]]+Table79[[#This Row],[Q of Ing4]]*8)</f>
        <v>#REF!</v>
      </c>
    </row>
    <row r="23" spans="1:11" ht="58" x14ac:dyDescent="0.35">
      <c r="A23" s="14" t="s">
        <v>277</v>
      </c>
      <c r="B23" s="14"/>
      <c r="C23" s="17" t="s">
        <v>402</v>
      </c>
      <c r="D23" s="15" t="s">
        <v>290</v>
      </c>
      <c r="E23" s="15" t="e">
        <f>Workstations!#REF!</f>
        <v>#REF!</v>
      </c>
      <c r="F23" s="15">
        <f>Products!B$2</f>
        <v>206</v>
      </c>
      <c r="G23" s="15">
        <f>Input!B$18</f>
        <v>101</v>
      </c>
      <c r="H23" s="15">
        <f>Table79[[#This Row],[Quality]]</f>
        <v>0</v>
      </c>
      <c r="I23" s="15"/>
      <c r="J23" s="15"/>
      <c r="K23" s="15" t="e">
        <f>1/20*(Table79[[#This Row],[Q of Ing1]]*10+Table79[[#This Row],[Q of Ing2]]+Table79[[#This Row],[Q of Ing3]]+Table79[[#This Row],[Q of Ing4]]*8)</f>
        <v>#REF!</v>
      </c>
    </row>
    <row r="24" spans="1:11" ht="58" x14ac:dyDescent="0.35">
      <c r="A24" s="14" t="s">
        <v>296</v>
      </c>
      <c r="B24" s="14"/>
      <c r="C24" s="17" t="s">
        <v>402</v>
      </c>
      <c r="D24" s="15" t="s">
        <v>290</v>
      </c>
      <c r="E24" s="15" t="e">
        <f>Workstations!#REF!</f>
        <v>#REF!</v>
      </c>
      <c r="F24" s="15">
        <f>Products!B$2</f>
        <v>206</v>
      </c>
      <c r="G24" s="15">
        <f>Input!B$18</f>
        <v>101</v>
      </c>
      <c r="H24" s="15">
        <f>Table79[[#This Row],[Quality]]</f>
        <v>0</v>
      </c>
      <c r="I24" s="15"/>
      <c r="J24" s="15"/>
      <c r="K24" s="15" t="e">
        <f>1/20*(Table79[[#This Row],[Q of Ing1]]*10+Table79[[#This Row],[Q of Ing2]]+Table79[[#This Row],[Q of Ing3]]+Table79[[#This Row],[Q of Ing4]]*8)</f>
        <v>#REF!</v>
      </c>
    </row>
    <row r="25" spans="1:11" ht="58" x14ac:dyDescent="0.35">
      <c r="A25" s="14" t="s">
        <v>297</v>
      </c>
      <c r="B25" s="14"/>
      <c r="C25" s="17" t="s">
        <v>402</v>
      </c>
      <c r="D25" s="15" t="s">
        <v>290</v>
      </c>
      <c r="E25" s="15" t="e">
        <f>Workstations!#REF!</f>
        <v>#REF!</v>
      </c>
      <c r="F25" s="15">
        <f>Products!B$2</f>
        <v>206</v>
      </c>
      <c r="G25" s="15">
        <f>Input!B$18</f>
        <v>101</v>
      </c>
      <c r="H25" s="15">
        <f>Table79[[#This Row],[Quality]]</f>
        <v>0</v>
      </c>
      <c r="I25" s="15"/>
      <c r="J25" s="15"/>
      <c r="K25" s="15" t="e">
        <f>1/20*(Table79[[#This Row],[Q of Ing1]]*10+Table79[[#This Row],[Q of Ing2]]+Table79[[#This Row],[Q of Ing3]]+Table79[[#This Row],[Q of Ing4]]*8)</f>
        <v>#REF!</v>
      </c>
    </row>
    <row r="26" spans="1:11" ht="58" x14ac:dyDescent="0.35">
      <c r="A26" s="14" t="s">
        <v>271</v>
      </c>
      <c r="B26" s="14"/>
      <c r="C26" s="17" t="s">
        <v>402</v>
      </c>
      <c r="D26" s="15" t="s">
        <v>290</v>
      </c>
      <c r="E26" s="15" t="e">
        <f>Workstations!#REF!</f>
        <v>#REF!</v>
      </c>
      <c r="F26" s="15">
        <f>Products!B$2</f>
        <v>206</v>
      </c>
      <c r="G26" s="15">
        <f>Input!B$18</f>
        <v>101</v>
      </c>
      <c r="H26" s="15">
        <f>Table79[[#This Row],[Quality]]</f>
        <v>0</v>
      </c>
      <c r="I26" s="15"/>
      <c r="J26" s="15"/>
      <c r="K26" s="15" t="e">
        <f>1/20*(Table79[[#This Row],[Q of Ing1]]*10+Table79[[#This Row],[Q of Ing2]]+Table79[[#This Row],[Q of Ing3]]+Table79[[#This Row],[Q of Ing4]]*8)</f>
        <v>#REF!</v>
      </c>
    </row>
    <row r="27" spans="1:11" ht="58" x14ac:dyDescent="0.35">
      <c r="A27" s="14" t="s">
        <v>116</v>
      </c>
      <c r="B27" s="14"/>
      <c r="C27" s="17" t="s">
        <v>402</v>
      </c>
      <c r="D27" s="15" t="s">
        <v>290</v>
      </c>
      <c r="E27" s="15" t="e">
        <f>Workstations!#REF!</f>
        <v>#REF!</v>
      </c>
      <c r="F27" s="15">
        <f>Products!B$2</f>
        <v>206</v>
      </c>
      <c r="G27" s="15">
        <f>Input!B$18</f>
        <v>101</v>
      </c>
      <c r="H27" s="15">
        <f>Table79[[#This Row],[Quality]]</f>
        <v>0</v>
      </c>
      <c r="I27" s="15"/>
      <c r="J27" s="15"/>
      <c r="K27" s="15" t="e">
        <f>1/20*(Table79[[#This Row],[Q of Ing1]]*10+Table79[[#This Row],[Q of Ing2]]+Table79[[#This Row],[Q of Ing3]]+Table79[[#This Row],[Q of Ing4]]*8)</f>
        <v>#REF!</v>
      </c>
    </row>
    <row r="28" spans="1:11" ht="58" x14ac:dyDescent="0.35">
      <c r="A28" s="14" t="s">
        <v>298</v>
      </c>
      <c r="B28" s="14"/>
      <c r="C28" s="17" t="s">
        <v>402</v>
      </c>
      <c r="D28" s="15" t="s">
        <v>290</v>
      </c>
      <c r="E28" s="15" t="e">
        <f>Workstations!#REF!</f>
        <v>#REF!</v>
      </c>
      <c r="F28" s="15">
        <f>Products!B$2</f>
        <v>206</v>
      </c>
      <c r="G28" s="15">
        <f>Input!B$18</f>
        <v>101</v>
      </c>
      <c r="H28" s="15">
        <f>Table79[[#This Row],[Quality]]</f>
        <v>0</v>
      </c>
      <c r="I28" s="15"/>
      <c r="J28" s="15"/>
      <c r="K28" s="15" t="e">
        <f>1/20*(Table79[[#This Row],[Q of Ing1]]*10+Table79[[#This Row],[Q of Ing2]]+Table79[[#This Row],[Q of Ing3]]+Table79[[#This Row],[Q of Ing4]]*8)</f>
        <v>#REF!</v>
      </c>
    </row>
    <row r="29" spans="1:11" ht="58" x14ac:dyDescent="0.35">
      <c r="A29" s="14" t="s">
        <v>299</v>
      </c>
      <c r="B29" s="14"/>
      <c r="C29" s="17" t="s">
        <v>402</v>
      </c>
      <c r="D29" s="15" t="s">
        <v>290</v>
      </c>
      <c r="E29" s="15" t="e">
        <f>Workstations!#REF!</f>
        <v>#REF!</v>
      </c>
      <c r="F29" s="15">
        <f>Products!B$2</f>
        <v>206</v>
      </c>
      <c r="G29" s="15">
        <f>Input!B$18</f>
        <v>101</v>
      </c>
      <c r="H29" s="15">
        <f>Table79[[#This Row],[Quality]]</f>
        <v>0</v>
      </c>
      <c r="I29" s="15"/>
      <c r="J29" s="15"/>
      <c r="K29" s="15" t="e">
        <f>1/20*(Table79[[#This Row],[Q of Ing1]]*10+Table79[[#This Row],[Q of Ing2]]+Table79[[#This Row],[Q of Ing3]]+Table79[[#This Row],[Q of Ing4]]*8)</f>
        <v>#REF!</v>
      </c>
    </row>
    <row r="30" spans="1:11" ht="58" x14ac:dyDescent="0.35">
      <c r="A30" s="14" t="s">
        <v>268</v>
      </c>
      <c r="B30" s="14">
        <v>14</v>
      </c>
      <c r="C30" s="17" t="s">
        <v>402</v>
      </c>
      <c r="D30" s="15" t="s">
        <v>290</v>
      </c>
      <c r="E30" s="15" t="e">
        <f>Workstations!#REF!</f>
        <v>#REF!</v>
      </c>
      <c r="F30" s="15">
        <f>Products!B$2</f>
        <v>206</v>
      </c>
      <c r="G30" s="15">
        <f>Input!B$18</f>
        <v>101</v>
      </c>
      <c r="H30" s="15">
        <f>Table79[[#This Row],[Quality]]</f>
        <v>14</v>
      </c>
      <c r="I30" s="15"/>
      <c r="J30" s="15"/>
      <c r="K30" s="15" t="e">
        <f>1/20*(Table79[[#This Row],[Q of Ing1]]*10+Table79[[#This Row],[Q of Ing2]]+Table79[[#This Row],[Q of Ing3]]+Table79[[#This Row],[Q of Ing4]]*8)</f>
        <v>#REF!</v>
      </c>
    </row>
    <row r="31" spans="1:11" ht="58" x14ac:dyDescent="0.35">
      <c r="A31" s="14" t="s">
        <v>300</v>
      </c>
      <c r="B31" s="14"/>
      <c r="C31" s="17" t="s">
        <v>402</v>
      </c>
      <c r="D31" s="15" t="s">
        <v>290</v>
      </c>
      <c r="E31" s="15" t="e">
        <f>Workstations!#REF!</f>
        <v>#REF!</v>
      </c>
      <c r="F31" s="15">
        <f>Products!B$2</f>
        <v>206</v>
      </c>
      <c r="G31" s="15">
        <f>Input!B$18</f>
        <v>101</v>
      </c>
      <c r="H31" s="15">
        <f>Table79[[#This Row],[Quality]]</f>
        <v>0</v>
      </c>
      <c r="I31" s="15"/>
      <c r="J31" s="15"/>
      <c r="K31" s="15" t="e">
        <f>1/20*(Table79[[#This Row],[Q of Ing1]]*10+Table79[[#This Row],[Q of Ing2]]+Table79[[#This Row],[Q of Ing3]]+Table79[[#This Row],[Q of Ing4]]*8)</f>
        <v>#REF!</v>
      </c>
    </row>
    <row r="32" spans="1:11" ht="29" x14ac:dyDescent="0.35">
      <c r="A32" s="14" t="s">
        <v>1225</v>
      </c>
      <c r="B32" s="14">
        <v>128</v>
      </c>
      <c r="C32" s="14" t="s">
        <v>1239</v>
      </c>
      <c r="D32" s="14" t="s">
        <v>132</v>
      </c>
      <c r="E32" s="15">
        <f>Input!I5</f>
        <v>102.57142857142857</v>
      </c>
      <c r="F32" s="15" cm="1">
        <f t="array" aca="1" ref="F32" ca="1">MAX(IF(Products!A2:A499="Cast iron",Products!B2:B499))</f>
        <v>110</v>
      </c>
      <c r="G32" s="15"/>
      <c r="H32" s="15"/>
      <c r="I32" s="15"/>
      <c r="J32" s="15"/>
      <c r="K32" s="15">
        <f ca="1">1.2*1/16*(9*Table79[[#This Row],[Q of Ing2]]+7*Table79[[#This Row],[Q of Ing1]])</f>
        <v>128.1</v>
      </c>
    </row>
    <row r="33" spans="1:11" ht="43.5" x14ac:dyDescent="0.35">
      <c r="A33" s="14" t="s">
        <v>1224</v>
      </c>
      <c r="B33" s="14">
        <v>110</v>
      </c>
      <c r="C33" s="14" t="s">
        <v>991</v>
      </c>
      <c r="D33" s="14" t="s">
        <v>132</v>
      </c>
      <c r="E33" s="15">
        <f>MAX(Input!B79,Input!B80,Input!B82)</f>
        <v>60</v>
      </c>
      <c r="F33" s="15">
        <f>Workstations!B18</f>
        <v>119</v>
      </c>
      <c r="G33" s="15">
        <f>B34</f>
        <v>115</v>
      </c>
      <c r="H33" s="15"/>
      <c r="I33" s="15"/>
      <c r="J33" s="15"/>
      <c r="K33" s="15" t="e">
        <f>(Tools!#REF!+Tools!#REF!+2*MAX(Input!B79,Input!B80,Input!B82))/4</f>
        <v>#REF!</v>
      </c>
    </row>
    <row r="34" spans="1:11" ht="29" x14ac:dyDescent="0.35">
      <c r="A34" s="14" t="s">
        <v>344</v>
      </c>
      <c r="B34" s="14">
        <v>115</v>
      </c>
      <c r="C34" s="14" t="s">
        <v>1124</v>
      </c>
      <c r="D34" s="14" t="s">
        <v>132</v>
      </c>
      <c r="E34" s="15"/>
      <c r="F34" s="15">
        <f>Workstations!B19</f>
        <v>100</v>
      </c>
      <c r="G34" s="15"/>
      <c r="H34" s="15"/>
      <c r="I34" s="15"/>
      <c r="J34" s="15"/>
      <c r="K34" s="15"/>
    </row>
    <row r="35" spans="1:11" ht="58" x14ac:dyDescent="0.35">
      <c r="A35" s="14" t="s">
        <v>1219</v>
      </c>
      <c r="B35" s="14">
        <f>B32</f>
        <v>128</v>
      </c>
      <c r="C35" s="14" t="s">
        <v>993</v>
      </c>
      <c r="D35" s="14" t="s">
        <v>132</v>
      </c>
      <c r="E35" s="15" cm="1">
        <f t="array" aca="1" ref="E35" ca="1">MAX(IF(Products!A2:A499="Wrought Iron",Products!B2:B499))</f>
        <v>128</v>
      </c>
      <c r="F35" s="15" cm="1">
        <f t="array" aca="1" ref="F35" ca="1">MAX(IF(Products!A2:A499="Coal",Products!B2:B499))</f>
        <v>115</v>
      </c>
      <c r="G35" s="15"/>
      <c r="H35" s="15"/>
      <c r="I35" s="15"/>
      <c r="J35" s="15"/>
      <c r="K35" s="15"/>
    </row>
    <row r="36" spans="1:11" ht="29" x14ac:dyDescent="0.35">
      <c r="A36" s="14" t="s">
        <v>1218</v>
      </c>
      <c r="B36" s="14">
        <f>AVERAGE(B39:B40)</f>
        <v>120</v>
      </c>
      <c r="C36" s="14" t="s">
        <v>992</v>
      </c>
      <c r="D36" s="14" t="s">
        <v>132</v>
      </c>
      <c r="E36" s="15" cm="1">
        <f t="array" aca="1" ref="E36" ca="1">MAX(IF(Products!A2:A499="Copper",Products!B2:B499))</f>
        <v>130</v>
      </c>
      <c r="F36" s="15" cm="1">
        <f t="array" aca="1" ref="F36" ca="1">MAX(IF(Products!A2:A499="Tin",Products!B2:B499))</f>
        <v>110</v>
      </c>
      <c r="G36" s="15"/>
      <c r="H36" s="15"/>
      <c r="I36" s="15"/>
      <c r="J36" s="15"/>
      <c r="K36" s="15"/>
    </row>
    <row r="37" spans="1:11" x14ac:dyDescent="0.35">
      <c r="A37" s="14" t="s">
        <v>1220</v>
      </c>
      <c r="B37" s="14"/>
      <c r="C37" s="14"/>
      <c r="D37" s="14" t="s">
        <v>132</v>
      </c>
      <c r="E37" s="15"/>
      <c r="F37" s="15"/>
      <c r="G37" s="15"/>
      <c r="H37" s="15"/>
      <c r="I37" s="15"/>
      <c r="J37" s="15"/>
      <c r="K37" s="15"/>
    </row>
    <row r="38" spans="1:11" ht="43.5" x14ac:dyDescent="0.35">
      <c r="A38" s="14" t="s">
        <v>1221</v>
      </c>
      <c r="B38" s="14">
        <v>90</v>
      </c>
      <c r="C38" s="14" t="s">
        <v>991</v>
      </c>
      <c r="D38" s="14" t="s">
        <v>132</v>
      </c>
      <c r="E38" s="15">
        <f>MAX(Input!B83,Input!B73)</f>
        <v>60</v>
      </c>
      <c r="F38" s="15">
        <f>Workstations!B18</f>
        <v>119</v>
      </c>
      <c r="G38" s="15">
        <f>B34</f>
        <v>115</v>
      </c>
      <c r="H38" s="15"/>
      <c r="I38" s="15"/>
      <c r="J38" s="15"/>
      <c r="K38" s="15" t="e">
        <f>(Tools!#REF!+Tools!#REF!+2*MAX(Input!B83,Input!B73))/4</f>
        <v>#REF!</v>
      </c>
    </row>
    <row r="39" spans="1:11" ht="43.5" x14ac:dyDescent="0.35">
      <c r="A39" s="14" t="s">
        <v>1222</v>
      </c>
      <c r="B39" s="14">
        <v>130</v>
      </c>
      <c r="C39" s="14" t="s">
        <v>991</v>
      </c>
      <c r="D39" s="14" t="s">
        <v>132</v>
      </c>
      <c r="E39" s="15">
        <f>MAX(Input!B74,Input!B75,Input!B76,Input!B77)</f>
        <v>155</v>
      </c>
      <c r="F39" s="15">
        <f>Workstations!B18</f>
        <v>119</v>
      </c>
      <c r="G39" s="15">
        <f>B34</f>
        <v>115</v>
      </c>
      <c r="H39" s="15"/>
      <c r="I39" s="15"/>
      <c r="J39" s="15"/>
      <c r="K39" s="15" t="e">
        <f>(Tools!#REF!+Tools!#REF!+2*MAX(Input!B74,Input!B75,Input!B76,Input!B77))/4</f>
        <v>#REF!</v>
      </c>
    </row>
    <row r="40" spans="1:11" ht="43.5" x14ac:dyDescent="0.35">
      <c r="A40" s="14" t="s">
        <v>1223</v>
      </c>
      <c r="B40" s="14">
        <v>110</v>
      </c>
      <c r="C40" s="14" t="s">
        <v>991</v>
      </c>
      <c r="D40" s="14" t="s">
        <v>132</v>
      </c>
      <c r="E40" s="15">
        <f>MAX(Input!B72)</f>
        <v>60</v>
      </c>
      <c r="F40" s="15">
        <f>Workstations!B18</f>
        <v>119</v>
      </c>
      <c r="G40" s="15">
        <f>B34</f>
        <v>115</v>
      </c>
      <c r="H40" s="15"/>
      <c r="I40" s="15"/>
      <c r="J40" s="15"/>
      <c r="K40" s="15" t="e">
        <f>(Tools!#REF!+Tools!#REF!+2*MAX(Input!B72))/4</f>
        <v>#REF!</v>
      </c>
    </row>
    <row r="41" spans="1:11" ht="72.5" x14ac:dyDescent="0.35">
      <c r="A41" s="14" t="s">
        <v>351</v>
      </c>
      <c r="B41" s="14">
        <f>Table79[[#This Row],[Potential Q]]</f>
        <v>66.625</v>
      </c>
      <c r="C41" s="14" t="s">
        <v>403</v>
      </c>
      <c r="D41" s="14" t="s">
        <v>392</v>
      </c>
      <c r="E41" s="15">
        <f>Input!B29</f>
        <v>30</v>
      </c>
      <c r="F41" s="15">
        <f>B47</f>
        <v>90</v>
      </c>
      <c r="G41" s="15">
        <f>Input!B19</f>
        <v>10</v>
      </c>
      <c r="H41" s="15">
        <f>Workstations!B4</f>
        <v>172</v>
      </c>
      <c r="I41" s="15">
        <f>Input!B18</f>
        <v>101</v>
      </c>
      <c r="J41" s="15"/>
      <c r="K41" s="15">
        <f>(6*AVERAGE(Table79[[#This Row],[Q of Ing1]:[Q of Ing3]])+Table79[[#This Row],[Q of Ing4]]+Table79[[#This Row],[Q of Ing5]])/8</f>
        <v>66.625</v>
      </c>
    </row>
    <row r="42" spans="1:11" ht="72.5" x14ac:dyDescent="0.35">
      <c r="A42" s="14" t="s">
        <v>352</v>
      </c>
      <c r="B42" s="14">
        <f>Table79[[#This Row],[Potential Q]]</f>
        <v>80.3</v>
      </c>
      <c r="C42" s="14" t="s">
        <v>404</v>
      </c>
      <c r="D42" s="14" t="s">
        <v>392</v>
      </c>
      <c r="E42" s="15">
        <f>Input!B25</f>
        <v>40</v>
      </c>
      <c r="F42" s="15">
        <f>B69</f>
        <v>109</v>
      </c>
      <c r="G42" s="15">
        <f>Input!B30</f>
        <v>130</v>
      </c>
      <c r="H42" s="15">
        <f>Input!B59</f>
        <v>60</v>
      </c>
      <c r="I42" s="15">
        <f>B49</f>
        <v>62.5</v>
      </c>
      <c r="J42" s="15"/>
      <c r="K42" s="15">
        <f>AVERAGE(Table79[[#This Row],[Q of Ing1]:[Q of Ing5]])</f>
        <v>80.3</v>
      </c>
    </row>
    <row r="43" spans="1:11" ht="43.5" x14ac:dyDescent="0.35">
      <c r="A43" s="14" t="s">
        <v>353</v>
      </c>
      <c r="B43" s="14">
        <f ca="1">Table79[[#This Row],[Potential Q]]</f>
        <v>113.92957631409369</v>
      </c>
      <c r="C43" s="14" t="s">
        <v>405</v>
      </c>
      <c r="D43" s="14" t="s">
        <v>392</v>
      </c>
      <c r="E43" s="15">
        <f ca="1">B48</f>
        <v>155.16372894228104</v>
      </c>
      <c r="F43" s="15">
        <f>Input!B64</f>
        <v>120</v>
      </c>
      <c r="G43" s="15">
        <f>MAX(B41,Input!B27)</f>
        <v>66.625</v>
      </c>
      <c r="H43" s="15"/>
      <c r="I43" s="15"/>
      <c r="J43" s="15"/>
      <c r="K43" s="15">
        <f ca="1">AVERAGE(Table79[[#This Row],[Q of Ing1]:[Q of Ing3]])</f>
        <v>113.92957631409369</v>
      </c>
    </row>
    <row r="44" spans="1:11" ht="58" x14ac:dyDescent="0.35">
      <c r="A44" s="14" t="s">
        <v>354</v>
      </c>
      <c r="B44" s="14">
        <f>Table79[[#This Row],[Potential Q]]</f>
        <v>0</v>
      </c>
      <c r="C44" s="14" t="s">
        <v>406</v>
      </c>
      <c r="D44" s="14" t="s">
        <v>392</v>
      </c>
      <c r="E44" s="15">
        <f ca="1">B43</f>
        <v>113.92957631409369</v>
      </c>
      <c r="F44" s="15" t="e">
        <f>Input!#REF!</f>
        <v>#REF!</v>
      </c>
      <c r="G44" s="15" t="e">
        <f>Input!#REF!</f>
        <v>#REF!</v>
      </c>
      <c r="H44" s="15" t="e">
        <f>#REF!</f>
        <v>#REF!</v>
      </c>
      <c r="I44" s="15"/>
      <c r="J44" s="15"/>
      <c r="K44" s="15"/>
    </row>
    <row r="45" spans="1:11" x14ac:dyDescent="0.35">
      <c r="A45" s="14" t="s">
        <v>355</v>
      </c>
      <c r="B45" s="14">
        <v>130</v>
      </c>
      <c r="C45" s="14"/>
      <c r="D45" s="14" t="s">
        <v>107</v>
      </c>
      <c r="E45" s="15"/>
      <c r="F45" s="15"/>
      <c r="G45" s="15"/>
      <c r="H45" s="15"/>
      <c r="I45" s="15"/>
      <c r="J45" s="15"/>
      <c r="K45" s="15"/>
    </row>
    <row r="46" spans="1:11" ht="29" x14ac:dyDescent="0.35">
      <c r="A46" s="14" t="s">
        <v>357</v>
      </c>
      <c r="B46" s="14">
        <v>85</v>
      </c>
      <c r="C46" s="14" t="s">
        <v>1209</v>
      </c>
      <c r="D46" s="14" t="s">
        <v>107</v>
      </c>
      <c r="E46" s="15">
        <f ca="1">GEOMEAN(Input!B32,MAX(Tools!B2:B3))</f>
        <v>207.7787284589065</v>
      </c>
      <c r="F46" s="15">
        <f>Workstations!B19</f>
        <v>100</v>
      </c>
      <c r="G46" s="15"/>
      <c r="H46" s="15"/>
      <c r="I46" s="15"/>
      <c r="J46" s="15"/>
      <c r="K46" s="15">
        <f ca="1">(Table79[[#This Row],[Q of Ing1]]*3+Table79[[#This Row],[Q of Ing2]])/4</f>
        <v>180.83404634417988</v>
      </c>
    </row>
    <row r="47" spans="1:11" ht="43.5" x14ac:dyDescent="0.35">
      <c r="A47" s="14" t="s">
        <v>358</v>
      </c>
      <c r="B47" s="14">
        <v>90</v>
      </c>
      <c r="C47" s="14" t="s">
        <v>407</v>
      </c>
      <c r="D47" s="14" t="s">
        <v>107</v>
      </c>
      <c r="E47" s="15">
        <f>B52</f>
        <v>50</v>
      </c>
      <c r="F47" s="15">
        <f>Workstations!B4</f>
        <v>172</v>
      </c>
      <c r="G47" s="15">
        <f>Input!B18</f>
        <v>101</v>
      </c>
      <c r="H47" s="15"/>
      <c r="I47" s="15"/>
      <c r="J47" s="15"/>
      <c r="K47" s="15">
        <f>(Table79[[#This Row],[Q of Ing1]]*2+Table79[[#This Row],[Q of Ing2]]+Table79[[#This Row],[Q of Ing3]])/4</f>
        <v>93.25</v>
      </c>
    </row>
    <row r="48" spans="1:11" ht="43.5" x14ac:dyDescent="0.35">
      <c r="A48" s="14" t="s">
        <v>361</v>
      </c>
      <c r="B48" s="14">
        <f ca="1">Table79[[#This Row],[Potential Q]]</f>
        <v>155.16372894228104</v>
      </c>
      <c r="C48" s="14" t="s">
        <v>996</v>
      </c>
      <c r="D48" s="14" t="s">
        <v>107</v>
      </c>
      <c r="E48" s="15">
        <f>Input!B40</f>
        <v>140</v>
      </c>
      <c r="F48" s="15">
        <f>Workstations!B14</f>
        <v>109</v>
      </c>
      <c r="G48" s="15">
        <f ca="1">GEOMEAN(Tools!B4,Input!B32)</f>
        <v>231.65491576912413</v>
      </c>
      <c r="H48" s="15"/>
      <c r="I48" s="15"/>
      <c r="J48" s="15"/>
      <c r="K48" s="15">
        <f ca="1">(Table79[[#This Row],[Q of Ing1]]*2+Table79[[#This Row],[Q of Ing2]]+Table79[[#This Row],[Q of Ing3]])/4</f>
        <v>155.16372894228104</v>
      </c>
    </row>
    <row r="49" spans="1:11" ht="29" x14ac:dyDescent="0.35">
      <c r="A49" s="14" t="s">
        <v>362</v>
      </c>
      <c r="B49" s="14">
        <f>Table79[[#This Row],[Potential Q]]</f>
        <v>62.5</v>
      </c>
      <c r="C49" s="14" t="s">
        <v>408</v>
      </c>
      <c r="D49" s="14" t="s">
        <v>107</v>
      </c>
      <c r="E49" s="15">
        <f>Input!B23</f>
        <v>35</v>
      </c>
      <c r="F49" s="15">
        <f>B47</f>
        <v>90</v>
      </c>
      <c r="G49" s="15"/>
      <c r="H49" s="15"/>
      <c r="I49" s="15"/>
      <c r="J49" s="15"/>
      <c r="K49" s="15">
        <f>AVERAGE(Table79[[#This Row],[Q of Ing1]:[Q of Ing2]])</f>
        <v>62.5</v>
      </c>
    </row>
    <row r="50" spans="1:11" ht="43.5" x14ac:dyDescent="0.35">
      <c r="A50" s="14" t="s">
        <v>383</v>
      </c>
      <c r="B50" s="14">
        <f ca="1">Table79[[#This Row],[Potential Q]]</f>
        <v>72.110621490380169</v>
      </c>
      <c r="C50" s="14" t="s">
        <v>980</v>
      </c>
      <c r="D50" s="14" t="s">
        <v>107</v>
      </c>
      <c r="E50" s="15">
        <f>B49</f>
        <v>62.5</v>
      </c>
      <c r="F50" s="15">
        <f ca="1">B51</f>
        <v>132.66372894228104</v>
      </c>
      <c r="G50" s="15">
        <f>Workstations!B21</f>
        <v>50</v>
      </c>
      <c r="H50" s="15"/>
      <c r="I50" s="15"/>
      <c r="J50" s="15"/>
      <c r="K50" s="15">
        <f ca="1">1/6*(Table79[[#This Row],[Q of Ing1]]*4+Table79[[#This Row],[Q of Ing2]]+Table79[[#This Row],[Q of Ing3]])</f>
        <v>72.110621490380169</v>
      </c>
    </row>
    <row r="51" spans="1:11" ht="43.5" x14ac:dyDescent="0.35">
      <c r="A51" s="14" t="s">
        <v>384</v>
      </c>
      <c r="B51" s="14">
        <f ca="1">Table79[[#This Row],[Potential Q]]</f>
        <v>132.66372894228104</v>
      </c>
      <c r="C51" s="14" t="s">
        <v>409</v>
      </c>
      <c r="D51" s="14" t="s">
        <v>132</v>
      </c>
      <c r="E51" s="15">
        <f>Input!B71</f>
        <v>90</v>
      </c>
      <c r="F51" s="15">
        <f>Workstations!B18</f>
        <v>119</v>
      </c>
      <c r="G51" s="15">
        <f ca="1">GEOMEAN(Tools!B4,Input!B32)</f>
        <v>231.65491576912413</v>
      </c>
      <c r="H51" s="15"/>
      <c r="I51" s="15"/>
      <c r="J51" s="15"/>
      <c r="K51" s="15">
        <f ca="1">AVERAGE(Table79[[#This Row],[Q of Ing1]:[Q of Ing6]],Table79[[#This Row],[Q of Ing1]])</f>
        <v>132.66372894228104</v>
      </c>
    </row>
    <row r="52" spans="1:11" ht="29" x14ac:dyDescent="0.35">
      <c r="A52" s="14" t="s">
        <v>363</v>
      </c>
      <c r="B52" s="14">
        <v>50</v>
      </c>
      <c r="C52" s="14" t="s">
        <v>1217</v>
      </c>
      <c r="D52" s="14" t="s">
        <v>107</v>
      </c>
      <c r="E52" s="15" t="e">
        <f>#REF!</f>
        <v>#REF!</v>
      </c>
      <c r="F52" s="15" cm="1">
        <f t="array" aca="1" ref="F52" ca="1">MAX(IF((Products!A2:A500="Oven"),Products!B2:B500))</f>
        <v>0</v>
      </c>
      <c r="G52" s="15"/>
      <c r="H52" s="15"/>
      <c r="I52" s="15"/>
      <c r="J52" s="15"/>
      <c r="K52" s="15" t="e">
        <f ca="1">MAX(Table79[[#This Row],[Q of Ing1]],Table79[[#This Row],[Q of Ing2]]/2)</f>
        <v>#REF!</v>
      </c>
    </row>
    <row r="53" spans="1:11" ht="29" x14ac:dyDescent="0.35">
      <c r="A53" s="14" t="s">
        <v>367</v>
      </c>
      <c r="B53" s="14">
        <f ca="1">Table79[[#This Row],[Potential Q]]</f>
        <v>154.80000000000001</v>
      </c>
      <c r="C53" s="14" t="s">
        <v>410</v>
      </c>
      <c r="D53" s="14" t="s">
        <v>369</v>
      </c>
      <c r="E53" s="15">
        <f>Input!B18</f>
        <v>101</v>
      </c>
      <c r="F53" s="15">
        <f ca="1">Input!B32</f>
        <v>172</v>
      </c>
      <c r="G53" s="15"/>
      <c r="H53" s="15"/>
      <c r="I53" s="15"/>
      <c r="J53" s="15"/>
      <c r="K53" s="15">
        <f ca="1">Table79[[#This Row],[Q of Ing2]]*0.9</f>
        <v>154.80000000000001</v>
      </c>
    </row>
    <row r="54" spans="1:11" ht="43.5" x14ac:dyDescent="0.35">
      <c r="A54" s="14" t="s">
        <v>368</v>
      </c>
      <c r="B54" s="14">
        <v>90</v>
      </c>
      <c r="C54" s="14" t="s">
        <v>416</v>
      </c>
      <c r="D54" s="14" t="s">
        <v>165</v>
      </c>
      <c r="E54" s="15">
        <f>Input!B6</f>
        <v>70</v>
      </c>
      <c r="F54" s="15">
        <f>Workstations!B12</f>
        <v>165</v>
      </c>
      <c r="G54" s="15">
        <f ca="1">B53</f>
        <v>154.80000000000001</v>
      </c>
      <c r="H54" s="15"/>
      <c r="I54" s="15"/>
      <c r="J54" s="15"/>
      <c r="K54" s="15">
        <f ca="1">1/6*(3*Table79[[#This Row],[Q of Ing1]]+2*Table79[[#This Row],[Q of Ing2]]+Table79[[#This Row],[Q of Ing3]])</f>
        <v>115.79999999999998</v>
      </c>
    </row>
    <row r="55" spans="1:11" ht="58" x14ac:dyDescent="0.35">
      <c r="A55" s="14" t="s">
        <v>401</v>
      </c>
      <c r="B55" s="14">
        <v>133</v>
      </c>
      <c r="C55" s="14" t="s">
        <v>411</v>
      </c>
      <c r="D55" s="14" t="s">
        <v>165</v>
      </c>
      <c r="E55" s="15">
        <f>B54</f>
        <v>90</v>
      </c>
      <c r="F55" s="15">
        <f>B4</f>
        <v>174</v>
      </c>
      <c r="G55" s="15">
        <f>Workstations!B4</f>
        <v>172</v>
      </c>
      <c r="H55" s="15">
        <f>Input!B18</f>
        <v>101</v>
      </c>
      <c r="I55" s="15"/>
      <c r="J55" s="15"/>
      <c r="K55" s="15">
        <f>1/8*(6*AVERAGE(Table79[[#This Row],[Q of Ing1]:[Q of Ing2]])+Table79[[#This Row],[Q of Ing3]]+Table79[[#This Row],[Q of Ing4]])</f>
        <v>133.125</v>
      </c>
    </row>
    <row r="56" spans="1:11" ht="43.5" x14ac:dyDescent="0.35">
      <c r="A56" s="14" t="s">
        <v>371</v>
      </c>
      <c r="B56" s="14" t="e">
        <f ca="1">Table79[[#This Row],[Potential Q]]</f>
        <v>#REF!</v>
      </c>
      <c r="C56" s="14" t="s">
        <v>412</v>
      </c>
      <c r="D56" s="14"/>
      <c r="E56" s="15" t="e">
        <f>B57</f>
        <v>#REF!</v>
      </c>
      <c r="F56" s="15">
        <f ca="1">B53</f>
        <v>154.80000000000001</v>
      </c>
      <c r="G56" s="15" t="e">
        <f>#REF!</f>
        <v>#REF!</v>
      </c>
      <c r="H56" s="15"/>
      <c r="I56" s="15"/>
      <c r="J56" s="15"/>
      <c r="K56" s="15" t="e">
        <f ca="1">1/6*(Table79[[#This Row],[Q of Ing1]]*3+Table79[[#This Row],[Q of Ing2]]*2+Table79[[#This Row],[Q of Ing3]])</f>
        <v>#REF!</v>
      </c>
    </row>
    <row r="57" spans="1:11" ht="87" x14ac:dyDescent="0.35">
      <c r="A57" s="14" t="s">
        <v>372</v>
      </c>
      <c r="B57" s="14" t="e">
        <f>Table79[[#This Row],[Potential Q]]</f>
        <v>#REF!</v>
      </c>
      <c r="C57" s="14" t="s">
        <v>413</v>
      </c>
      <c r="D57" s="14"/>
      <c r="E57" s="15">
        <f>Input!B5</f>
        <v>70</v>
      </c>
      <c r="F57" s="15">
        <f>Input!B8</f>
        <v>40</v>
      </c>
      <c r="G57" s="15">
        <f>Input!B7</f>
        <v>70</v>
      </c>
      <c r="H57" s="15"/>
      <c r="I57" s="15">
        <f>Workstations!B4</f>
        <v>172</v>
      </c>
      <c r="J57" s="15" t="e">
        <f>Input!#REF!</f>
        <v>#REF!</v>
      </c>
      <c r="K57" s="15" t="e">
        <f>(6*AVERAGE(Table79[[#This Row],[Q of Ing1]:[Q of Ing4]])+Table79[[#This Row],[Q of Ing5]]+Table79[[#This Row],[Q of Ing6]])/8</f>
        <v>#REF!</v>
      </c>
    </row>
    <row r="58" spans="1:11" x14ac:dyDescent="0.35">
      <c r="A58" s="14" t="s">
        <v>376</v>
      </c>
      <c r="B58" s="14"/>
      <c r="C58" s="14"/>
      <c r="D58" s="14"/>
      <c r="E58" s="15"/>
      <c r="F58" s="15"/>
      <c r="G58" s="15"/>
      <c r="H58" s="15"/>
      <c r="I58" s="15"/>
      <c r="J58" s="15"/>
      <c r="K58" s="15"/>
    </row>
    <row r="59" spans="1:11" ht="29" x14ac:dyDescent="0.35">
      <c r="A59" s="14" t="s">
        <v>377</v>
      </c>
      <c r="B59" s="14"/>
      <c r="C59" s="14" t="s">
        <v>1002</v>
      </c>
      <c r="D59" s="14" t="s">
        <v>378</v>
      </c>
      <c r="E59" s="15"/>
      <c r="F59" s="15"/>
      <c r="G59" s="15"/>
      <c r="H59" s="15"/>
      <c r="I59" s="15"/>
      <c r="J59" s="15"/>
      <c r="K59" s="15"/>
    </row>
    <row r="60" spans="1:11" x14ac:dyDescent="0.35">
      <c r="A60" s="14" t="s">
        <v>379</v>
      </c>
      <c r="B60" s="14"/>
      <c r="C60" s="14"/>
      <c r="D60" s="14" t="s">
        <v>378</v>
      </c>
      <c r="E60" s="15"/>
      <c r="F60" s="15"/>
      <c r="G60" s="15"/>
      <c r="H60" s="15"/>
      <c r="I60" s="15"/>
      <c r="J60" s="15"/>
      <c r="K60" s="15"/>
    </row>
    <row r="61" spans="1:11" ht="29" x14ac:dyDescent="0.35">
      <c r="A61" s="14" t="s">
        <v>999</v>
      </c>
      <c r="B61" s="14"/>
      <c r="C61" s="14" t="s">
        <v>998</v>
      </c>
      <c r="D61" s="14" t="s">
        <v>378</v>
      </c>
      <c r="E61" s="15"/>
      <c r="F61" s="15"/>
      <c r="G61" s="15"/>
      <c r="H61" s="15"/>
      <c r="I61" s="15"/>
      <c r="J61" s="15"/>
      <c r="K61" s="15"/>
    </row>
    <row r="62" spans="1:11" ht="29" x14ac:dyDescent="0.35">
      <c r="A62" s="14" t="s">
        <v>1000</v>
      </c>
      <c r="B62" s="14"/>
      <c r="C62" s="14" t="s">
        <v>1001</v>
      </c>
      <c r="D62" s="14" t="s">
        <v>378</v>
      </c>
      <c r="E62" s="15"/>
      <c r="F62" s="15"/>
      <c r="G62" s="15"/>
      <c r="H62" s="15"/>
      <c r="I62" s="15"/>
      <c r="J62" s="15"/>
      <c r="K62" s="15"/>
    </row>
    <row r="63" spans="1:11" x14ac:dyDescent="0.35">
      <c r="A63" s="14" t="s">
        <v>380</v>
      </c>
      <c r="B63" s="14">
        <v>91</v>
      </c>
      <c r="C63" s="14" t="s">
        <v>448</v>
      </c>
      <c r="D63" s="14" t="s">
        <v>378</v>
      </c>
      <c r="E63" s="15"/>
      <c r="F63" s="15"/>
      <c r="G63" s="15"/>
      <c r="H63" s="15"/>
      <c r="I63" s="15"/>
      <c r="J63" s="15"/>
      <c r="K63" s="15"/>
    </row>
    <row r="64" spans="1:11" ht="43.5" x14ac:dyDescent="0.35">
      <c r="A64" s="14" t="s">
        <v>997</v>
      </c>
      <c r="B64" s="14"/>
      <c r="C64" s="14" t="s">
        <v>414</v>
      </c>
      <c r="D64" s="14" t="s">
        <v>378</v>
      </c>
      <c r="E64" s="15">
        <f>B63</f>
        <v>91</v>
      </c>
      <c r="F64" s="15">
        <f>Workstations!B4</f>
        <v>172</v>
      </c>
      <c r="G64" s="15"/>
      <c r="H64" s="15"/>
      <c r="I64" s="15"/>
      <c r="J64" s="15"/>
      <c r="K64" s="15"/>
    </row>
    <row r="65" spans="1:11" ht="43.5" x14ac:dyDescent="0.35">
      <c r="A65" s="14" t="s">
        <v>964</v>
      </c>
      <c r="B65" s="14">
        <f>Table79[[#This Row],[Potential Q]]</f>
        <v>67.125</v>
      </c>
      <c r="C65" s="14" t="s">
        <v>967</v>
      </c>
      <c r="D65" s="14" t="s">
        <v>393</v>
      </c>
      <c r="E65" s="15">
        <f>Input!B38</f>
        <v>44</v>
      </c>
      <c r="F65" s="15">
        <f>Workstations!B4</f>
        <v>172</v>
      </c>
      <c r="G65" s="15">
        <f>Input!B18</f>
        <v>101</v>
      </c>
      <c r="H65" s="15"/>
      <c r="I65" s="15"/>
      <c r="J65" s="15"/>
      <c r="K65" s="15">
        <f>1/8*(Table79[[#This Row],[Q of Ing1]]*6+Table79[[#This Row],[Q of Ing2]]+Table79[[#This Row],[Q of Ing3]])</f>
        <v>67.125</v>
      </c>
    </row>
    <row r="66" spans="1:11" ht="43.5" x14ac:dyDescent="0.35">
      <c r="A66" s="14" t="s">
        <v>965</v>
      </c>
      <c r="B66" s="14">
        <f ca="1">Table79[[#This Row],[Potential Q]]</f>
        <v>160.04246841342155</v>
      </c>
      <c r="C66" s="14" t="s">
        <v>968</v>
      </c>
      <c r="D66" s="14" t="s">
        <v>393</v>
      </c>
      <c r="E66" s="15">
        <f>B65</f>
        <v>67.125</v>
      </c>
      <c r="F66" s="15">
        <f ca="1">GEOMEAN(Tools!B4,Input!B32)</f>
        <v>231.65491576912413</v>
      </c>
      <c r="G66" s="15">
        <f>Workstations!B23</f>
        <v>192</v>
      </c>
      <c r="H66" s="15"/>
      <c r="I66" s="15"/>
      <c r="J66" s="15"/>
      <c r="K66" s="15">
        <f ca="1">1/4*(3*AVERAGE(Table79[[#This Row],[Q of Ing1]:[Q of Ing2]])+Table79[[#This Row],[Q of Ing3]])</f>
        <v>160.04246841342155</v>
      </c>
    </row>
    <row r="67" spans="1:11" ht="29" x14ac:dyDescent="0.35">
      <c r="A67" s="14" t="s">
        <v>731</v>
      </c>
      <c r="B67" s="14">
        <f ca="1">Table79[[#This Row],[Potential Q]]</f>
        <v>162.03185131006614</v>
      </c>
      <c r="C67" s="14" t="s">
        <v>969</v>
      </c>
      <c r="D67" s="14" t="s">
        <v>393</v>
      </c>
      <c r="E67" s="15">
        <f ca="1">B66</f>
        <v>160.04246841342155</v>
      </c>
      <c r="F67" s="15">
        <f>Workstations!B22</f>
        <v>168</v>
      </c>
      <c r="G67" s="15"/>
      <c r="H67" s="15"/>
      <c r="I67" s="15"/>
      <c r="J67" s="15"/>
      <c r="K67" s="15">
        <f ca="1">1/4*(Table79[[#This Row],[Q of Ing1]]*3+Workstations!B22)</f>
        <v>162.03185131006614</v>
      </c>
    </row>
    <row r="68" spans="1:11" ht="43.5" x14ac:dyDescent="0.35">
      <c r="A68" s="14" t="s">
        <v>482</v>
      </c>
      <c r="B68" s="14">
        <f>Table79[[#This Row],[Potential Q]]</f>
        <v>94.125</v>
      </c>
      <c r="C68" s="14" t="s">
        <v>970</v>
      </c>
      <c r="D68" s="14" t="s">
        <v>111</v>
      </c>
      <c r="E68" s="15">
        <f>Input!B33</f>
        <v>80</v>
      </c>
      <c r="F68" s="15">
        <f>Workstations!B4</f>
        <v>172</v>
      </c>
      <c r="G68" s="15">
        <f>Input!B18</f>
        <v>101</v>
      </c>
      <c r="H68" s="15"/>
      <c r="I68" s="15"/>
      <c r="J68" s="15"/>
      <c r="K68" s="15">
        <f>1/8*(Table79[[#This Row],[Q of Ing1]]*6+Table79[[#This Row],[Q of Ing2]]+Table79[[#This Row],[Q of Ing3]])</f>
        <v>94.125</v>
      </c>
    </row>
    <row r="69" spans="1:11" x14ac:dyDescent="0.35">
      <c r="A69" s="14" t="s">
        <v>978</v>
      </c>
      <c r="B69" s="14">
        <v>109</v>
      </c>
      <c r="C69" s="14" t="s">
        <v>979</v>
      </c>
      <c r="D69" s="14" t="s">
        <v>132</v>
      </c>
      <c r="E69" s="15">
        <f ca="1">MAX(Input!B24:B29,Products!B41:B44)</f>
        <v>113.92957631409369</v>
      </c>
      <c r="F69" s="15">
        <f>Workstations!B14</f>
        <v>109</v>
      </c>
      <c r="G69" s="15">
        <f ca="1">GEOMEAN(Tools!B4,Input!B32)</f>
        <v>231.65491576912413</v>
      </c>
      <c r="H69" s="15"/>
      <c r="I69" s="15"/>
      <c r="J69" s="15"/>
      <c r="K69" s="15">
        <f ca="1">1/4*(Table79[[#This Row],[Q of Ing1]]*2+Table79[[#This Row],[Q of Ing2]]+Table79[[#This Row],[Q of Ing3]])</f>
        <v>142.12851709932789</v>
      </c>
    </row>
    <row r="70" spans="1:11" x14ac:dyDescent="0.35">
      <c r="A70" s="14" t="s">
        <v>986</v>
      </c>
      <c r="B70" s="14">
        <f>Table79[[#This Row],[Potential Q]]</f>
        <v>196.5</v>
      </c>
      <c r="C70" s="14" t="s">
        <v>988</v>
      </c>
      <c r="D70" s="14" t="s">
        <v>393</v>
      </c>
      <c r="E70" s="15">
        <f>Input!B126</f>
        <v>206</v>
      </c>
      <c r="F70" s="15">
        <f>Workstations!B22</f>
        <v>168</v>
      </c>
      <c r="G70" s="15"/>
      <c r="H70" s="15"/>
      <c r="I70" s="15"/>
      <c r="J70" s="15"/>
      <c r="K70" s="15">
        <f>1/4*(3*Table79[[#This Row],[Q of Ing1]]+Table79[[#This Row],[Q of Ing2]])</f>
        <v>196.5</v>
      </c>
    </row>
    <row r="71" spans="1:11" x14ac:dyDescent="0.35">
      <c r="A71" s="14" t="s">
        <v>987</v>
      </c>
      <c r="B71" s="14">
        <f>Table79[[#This Row],[Potential Q]]</f>
        <v>224.25</v>
      </c>
      <c r="C71" s="14" t="s">
        <v>989</v>
      </c>
      <c r="D71" s="14" t="s">
        <v>393</v>
      </c>
      <c r="E71" s="15">
        <f>Input!B122</f>
        <v>243</v>
      </c>
      <c r="F71" s="15">
        <f>Workstations!B22</f>
        <v>168</v>
      </c>
      <c r="G71" s="15"/>
      <c r="H71" s="15"/>
      <c r="I71" s="15"/>
      <c r="J71" s="15"/>
      <c r="K71" s="15">
        <f>1/4*(3*Table79[[#This Row],[Q of Ing1]]+Table79[[#This Row],[Q of Ing2]])</f>
        <v>224.25</v>
      </c>
    </row>
    <row r="72" spans="1:11" ht="29" x14ac:dyDescent="0.35">
      <c r="A72" s="14" t="s">
        <v>1177</v>
      </c>
      <c r="B72" s="14"/>
      <c r="C72" s="14" t="s">
        <v>1203</v>
      </c>
      <c r="D72" s="14" t="s">
        <v>393</v>
      </c>
      <c r="E72" s="15">
        <f ca="1">Input!B32</f>
        <v>172</v>
      </c>
      <c r="F72" s="15"/>
      <c r="G72" s="15"/>
      <c r="H72" s="15"/>
      <c r="I72" s="15"/>
      <c r="J72" s="15"/>
      <c r="K72" s="15">
        <f ca="1">AVERAGE(Table79[[#This Row],[Q of Ing1]:[Q of Ing6]])</f>
        <v>172</v>
      </c>
    </row>
    <row r="73" spans="1:11" ht="29" x14ac:dyDescent="0.35">
      <c r="A73" s="14" t="s">
        <v>1178</v>
      </c>
      <c r="B73" s="14"/>
      <c r="C73" s="14" t="s">
        <v>1179</v>
      </c>
      <c r="D73" s="14" t="s">
        <v>393</v>
      </c>
      <c r="E73" s="15"/>
      <c r="F73" s="15"/>
      <c r="G73" s="15"/>
      <c r="H73" s="15"/>
      <c r="I73" s="15"/>
      <c r="J73" s="15"/>
      <c r="K73" s="15" t="e">
        <f>AVERAGE(Table79[[#This Row],[Q of Ing1]:[Q of Ing6]])</f>
        <v>#DIV/0!</v>
      </c>
    </row>
    <row r="74" spans="1:11" x14ac:dyDescent="0.35">
      <c r="A74" s="14" t="s">
        <v>749</v>
      </c>
      <c r="B74" s="14"/>
      <c r="C74" s="14" t="s">
        <v>1180</v>
      </c>
      <c r="D74" s="14" t="s">
        <v>393</v>
      </c>
      <c r="E74" s="15"/>
      <c r="F74" cm="1">
        <f t="array" aca="1" ref="F74" ca="1">MAX(IF(Products!A1:A500="Bone Glue",Products!B1:B500))</f>
        <v>130</v>
      </c>
      <c r="G74" s="15"/>
      <c r="H74" s="15"/>
      <c r="I74" s="15"/>
      <c r="J74" s="15"/>
      <c r="K74" s="15">
        <f ca="1">AVERAGE(Table79[[#This Row],[Q of Ing1]:[Q of Ing6]])</f>
        <v>130</v>
      </c>
    </row>
    <row r="75" spans="1:11" ht="29" x14ac:dyDescent="0.35">
      <c r="A75" s="14" t="s">
        <v>1181</v>
      </c>
      <c r="B75" s="14"/>
      <c r="C75" s="14" t="s">
        <v>1182</v>
      </c>
      <c r="D75" s="14" t="s">
        <v>393</v>
      </c>
      <c r="E75" s="15">
        <f>B2</f>
        <v>206</v>
      </c>
      <c r="F75" s="15">
        <f ca="1">Input!B32</f>
        <v>172</v>
      </c>
      <c r="G75" s="15"/>
      <c r="H75" s="15"/>
      <c r="I75" s="15"/>
      <c r="J75" s="15"/>
      <c r="K75" s="15">
        <f ca="1">AVERAGE(Table79[[#This Row],[Q of Ing1]:[Q of Ing6]])</f>
        <v>189</v>
      </c>
    </row>
    <row r="76" spans="1:11" ht="29" x14ac:dyDescent="0.35">
      <c r="A76" s="14" t="s">
        <v>1183</v>
      </c>
      <c r="B76" s="14"/>
      <c r="C76" s="14" t="s">
        <v>1184</v>
      </c>
      <c r="D76" s="14" t="s">
        <v>393</v>
      </c>
      <c r="E76" s="15"/>
      <c r="F76" s="15"/>
      <c r="G76" s="15"/>
      <c r="H76" s="15"/>
      <c r="I76" s="15"/>
      <c r="J76" s="15"/>
      <c r="K76" s="15" t="e">
        <f>AVERAGE(Table79[[#This Row],[Q of Ing1]:[Q of Ing6]])</f>
        <v>#DIV/0!</v>
      </c>
    </row>
    <row r="77" spans="1:11" ht="29" x14ac:dyDescent="0.35">
      <c r="A77" s="14" t="s">
        <v>748</v>
      </c>
      <c r="B77" s="14"/>
      <c r="C77" s="14" t="s">
        <v>1185</v>
      </c>
      <c r="D77" s="14" t="s">
        <v>393</v>
      </c>
      <c r="E77" s="15"/>
      <c r="F77" s="15" cm="1">
        <f t="array" aca="1" ref="F77" ca="1">MAX(IF(Products!A1:A500="Bone Glue",Products!B1:B500))</f>
        <v>130</v>
      </c>
      <c r="G77" s="15"/>
      <c r="H77" s="15"/>
      <c r="I77" s="15"/>
      <c r="J77" s="15"/>
      <c r="K77" s="15">
        <f ca="1">AVERAGE(Table79[[#This Row],[Q of Ing1]:[Q of Ing6]])</f>
        <v>130</v>
      </c>
    </row>
    <row r="78" spans="1:11" ht="29" x14ac:dyDescent="0.35">
      <c r="A78" s="14" t="s">
        <v>1186</v>
      </c>
      <c r="B78" s="14"/>
      <c r="C78" s="14" t="s">
        <v>1187</v>
      </c>
      <c r="D78" s="14" t="s">
        <v>393</v>
      </c>
      <c r="E78" s="15">
        <f>Input!B81</f>
        <v>60</v>
      </c>
      <c r="F78" s="15"/>
      <c r="G78" s="15"/>
      <c r="H78" s="15"/>
      <c r="I78" s="15"/>
      <c r="J78" s="15"/>
      <c r="K78" s="15">
        <f>AVERAGE(Table79[[#This Row],[Q of Ing1]:[Q of Ing6]])</f>
        <v>60</v>
      </c>
    </row>
    <row r="79" spans="1:11" ht="29" x14ac:dyDescent="0.35">
      <c r="A79" s="14" t="s">
        <v>1188</v>
      </c>
      <c r="B79" s="14"/>
      <c r="C79" s="14" t="s">
        <v>1189</v>
      </c>
      <c r="D79" s="14" t="s">
        <v>393</v>
      </c>
      <c r="E79" s="15">
        <f>Input!B135</f>
        <v>126</v>
      </c>
      <c r="F79" s="15"/>
      <c r="G79" s="15"/>
      <c r="H79" s="15"/>
      <c r="I79" s="15"/>
      <c r="J79" s="15"/>
      <c r="K79" s="15">
        <f>AVERAGE(Table79[[#This Row],[Q of Ing1]:[Q of Ing6]])</f>
        <v>126</v>
      </c>
    </row>
    <row r="80" spans="1:11" ht="43.5" x14ac:dyDescent="0.35">
      <c r="A80" s="14" t="s">
        <v>1190</v>
      </c>
      <c r="B80" s="14"/>
      <c r="C80" s="14" t="s">
        <v>1191</v>
      </c>
      <c r="D80" s="14" t="s">
        <v>393</v>
      </c>
      <c r="E80" s="15"/>
      <c r="F80" s="15"/>
      <c r="G80" s="15"/>
      <c r="H80" s="15"/>
      <c r="I80" s="15"/>
      <c r="J80" s="15"/>
      <c r="K80" s="15" t="e">
        <f>AVERAGE(Table79[[#This Row],[Q of Ing1]:[Q of Ing6]])</f>
        <v>#DIV/0!</v>
      </c>
    </row>
    <row r="81" spans="1:11" ht="29" x14ac:dyDescent="0.35">
      <c r="A81" s="14" t="s">
        <v>1192</v>
      </c>
      <c r="B81" s="14"/>
      <c r="C81" s="14" t="s">
        <v>1193</v>
      </c>
      <c r="D81" s="14" t="s">
        <v>393</v>
      </c>
      <c r="E81" s="15"/>
      <c r="F81" s="15"/>
      <c r="G81" s="15"/>
      <c r="H81" s="15"/>
      <c r="I81" s="15"/>
      <c r="J81" s="15"/>
      <c r="K81" s="15" t="e">
        <f>AVERAGE(Table79[[#This Row],[Q of Ing1]:[Q of Ing6]])</f>
        <v>#DIV/0!</v>
      </c>
    </row>
    <row r="82" spans="1:11" ht="29" x14ac:dyDescent="0.35">
      <c r="A82" s="14" t="s">
        <v>642</v>
      </c>
      <c r="B82" s="14">
        <v>160</v>
      </c>
      <c r="C82" s="14" t="s">
        <v>1194</v>
      </c>
      <c r="D82" s="14" t="s">
        <v>393</v>
      </c>
      <c r="E82" s="15">
        <f>Input!B134</f>
        <v>150</v>
      </c>
      <c r="F82" s="15">
        <f>Input!B117</f>
        <v>170</v>
      </c>
      <c r="G82" s="15"/>
      <c r="H82" s="15"/>
      <c r="I82" s="15"/>
      <c r="J82" s="15"/>
      <c r="K82" s="15">
        <f>AVERAGE(Table79[[#This Row],[Q of Ing1]:[Q of Ing6]])</f>
        <v>160</v>
      </c>
    </row>
    <row r="83" spans="1:11" ht="29" x14ac:dyDescent="0.35">
      <c r="A83" s="14" t="s">
        <v>1195</v>
      </c>
      <c r="B83" s="14"/>
      <c r="C83" s="14" t="s">
        <v>1196</v>
      </c>
      <c r="D83" s="14" t="s">
        <v>393</v>
      </c>
      <c r="E83" s="15"/>
      <c r="F83" s="15"/>
      <c r="G83" s="15"/>
      <c r="H83" s="15"/>
      <c r="I83" s="15"/>
      <c r="J83" s="15"/>
      <c r="K83" s="15" t="e">
        <f>AVERAGE(Table79[[#This Row],[Q of Ing1]:[Q of Ing6]])</f>
        <v>#DIV/0!</v>
      </c>
    </row>
    <row r="84" spans="1:11" x14ac:dyDescent="0.35">
      <c r="A84" s="14" t="s">
        <v>1197</v>
      </c>
      <c r="B84" s="14"/>
      <c r="C84" s="14" t="s">
        <v>1198</v>
      </c>
      <c r="D84" s="14" t="s">
        <v>393</v>
      </c>
      <c r="E84" s="15"/>
      <c r="F84" s="15"/>
      <c r="G84" s="15"/>
      <c r="H84" s="15"/>
      <c r="I84" s="15"/>
      <c r="J84" s="15"/>
      <c r="K84" s="15" t="e">
        <f>AVERAGE(Table79[[#This Row],[Q of Ing1]:[Q of Ing6]])</f>
        <v>#DIV/0!</v>
      </c>
    </row>
    <row r="85" spans="1:11" ht="29" x14ac:dyDescent="0.35">
      <c r="A85" s="14" t="s">
        <v>1199</v>
      </c>
      <c r="B85" s="14"/>
      <c r="C85" s="14" t="s">
        <v>1200</v>
      </c>
      <c r="D85" s="14" t="s">
        <v>393</v>
      </c>
      <c r="E85" s="15"/>
      <c r="F85" s="15"/>
      <c r="G85" s="15"/>
      <c r="H85" s="15"/>
      <c r="I85" s="15"/>
      <c r="J85" s="15"/>
      <c r="K85" s="15" t="e">
        <f>AVERAGE(Table79[[#This Row],[Q of Ing1]:[Q of Ing6]])</f>
        <v>#DIV/0!</v>
      </c>
    </row>
    <row r="86" spans="1:11" ht="43.5" x14ac:dyDescent="0.35">
      <c r="A86" s="14" t="s">
        <v>1201</v>
      </c>
      <c r="B86" s="14"/>
      <c r="C86" s="14" t="s">
        <v>1202</v>
      </c>
      <c r="D86" s="14" t="s">
        <v>393</v>
      </c>
      <c r="E86" s="15"/>
      <c r="F86" s="15" cm="1">
        <f t="array" aca="1" ref="F86" ca="1">MAX(IF(Products!A1:A500="Bone Glue",Products!B1:B500))</f>
        <v>130</v>
      </c>
      <c r="G86" s="15"/>
      <c r="H86" s="15"/>
      <c r="I86" s="15"/>
      <c r="J86" s="15"/>
      <c r="K86" s="15">
        <f ca="1">AVERAGE(Table79[[#This Row],[Q of Ing1]:[Q of Ing6]])</f>
        <v>130</v>
      </c>
    </row>
    <row r="87" spans="1:11" x14ac:dyDescent="0.35">
      <c r="A87" s="14"/>
      <c r="B87" s="14"/>
      <c r="C87" s="14"/>
      <c r="D87" s="14"/>
      <c r="E87" s="15"/>
      <c r="F87" s="15"/>
      <c r="G87" s="15"/>
      <c r="H87" s="15"/>
      <c r="I87" s="15"/>
      <c r="J87" s="15"/>
      <c r="K87"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DC75-CC89-4A80-B80B-0BEBF0B1951A}">
  <sheetPr filterMode="1"/>
  <dimension ref="A1:S314"/>
  <sheetViews>
    <sheetView workbookViewId="0">
      <pane ySplit="1" topLeftCell="A2" activePane="bottomLeft" state="frozen"/>
      <selection pane="bottomLeft" activeCell="J270" sqref="J270"/>
    </sheetView>
  </sheetViews>
  <sheetFormatPr defaultRowHeight="14.5" x14ac:dyDescent="0.35"/>
  <cols>
    <col min="1" max="1" width="22.1796875" bestFit="1" customWidth="1"/>
    <col min="2" max="2" width="22.7265625" bestFit="1" customWidth="1"/>
    <col min="3" max="3" width="13.7265625" customWidth="1"/>
    <col min="4" max="4" width="6.1796875" customWidth="1"/>
    <col min="5" max="6" width="11.81640625" bestFit="1" customWidth="1"/>
    <col min="7" max="7" width="29.1796875" style="2" customWidth="1"/>
    <col min="8" max="8" width="20.81640625" customWidth="1"/>
    <col min="9" max="13" width="11" style="2" customWidth="1"/>
    <col min="15" max="15" width="16.54296875" style="57" customWidth="1"/>
    <col min="16" max="16" width="14.54296875" bestFit="1" customWidth="1"/>
    <col min="17" max="17" width="16.26953125" bestFit="1" customWidth="1"/>
    <col min="18" max="18" width="26.453125" bestFit="1" customWidth="1"/>
  </cols>
  <sheetData>
    <row r="1" spans="1:19" ht="29.5" thickBot="1" x14ac:dyDescent="0.4">
      <c r="A1" s="34" t="s">
        <v>1</v>
      </c>
      <c r="B1" t="s">
        <v>449</v>
      </c>
      <c r="C1" t="s">
        <v>809</v>
      </c>
      <c r="D1" t="s">
        <v>810</v>
      </c>
      <c r="E1" t="s">
        <v>452</v>
      </c>
      <c r="F1" t="s">
        <v>811</v>
      </c>
      <c r="G1" s="2" t="s">
        <v>72</v>
      </c>
      <c r="H1" t="s">
        <v>67</v>
      </c>
      <c r="I1" s="2" t="s">
        <v>387</v>
      </c>
      <c r="J1" s="2" t="s">
        <v>388</v>
      </c>
      <c r="K1" s="2" t="s">
        <v>931</v>
      </c>
      <c r="L1" s="2" t="s">
        <v>932</v>
      </c>
      <c r="M1" s="2" t="s">
        <v>933</v>
      </c>
      <c r="N1" t="s">
        <v>389</v>
      </c>
      <c r="O1" s="57" t="s">
        <v>1214</v>
      </c>
      <c r="P1" t="s">
        <v>390</v>
      </c>
      <c r="Q1" t="s">
        <v>451</v>
      </c>
      <c r="R1" t="s">
        <v>1215</v>
      </c>
      <c r="S1" t="s">
        <v>1216</v>
      </c>
    </row>
    <row r="2" spans="1:19" ht="15" thickBot="1" x14ac:dyDescent="0.4">
      <c r="A2" s="34" t="s">
        <v>1173</v>
      </c>
    </row>
    <row r="3" spans="1:19" s="65" customFormat="1" ht="29" x14ac:dyDescent="0.35">
      <c r="A3" s="65" t="str" cm="1">
        <f t="array" aca="1" ref="A3:Q22" ca="1">_xlfn._xlws.FILTER(A26:Q314,D26:D314*(G26:G314&lt;&gt;"NA")&gt;=LARGE(D26:D314*(G26:G314&lt;&gt;"NA"),20))</f>
        <v>Great Wax Seal</v>
      </c>
      <c r="B3" s="65" t="str">
        <f ca="1"/>
        <v>Wax</v>
      </c>
      <c r="C3" s="65">
        <f ca="1"/>
        <v>17849.36973677222</v>
      </c>
      <c r="D3" s="68">
        <f ca="1"/>
        <v>1983.2633040858022</v>
      </c>
      <c r="E3" s="65">
        <f ca="1"/>
        <v>713.97478947088882</v>
      </c>
      <c r="F3" s="68">
        <f ca="1"/>
        <v>237.99159649029627</v>
      </c>
      <c r="G3" s="66" t="str">
        <f ca="1"/>
        <v>Wax x3,
Cloth</v>
      </c>
      <c r="H3" s="65">
        <f ca="1"/>
        <v>199.125</v>
      </c>
      <c r="I3" s="66">
        <f ca="1"/>
        <v>174</v>
      </c>
      <c r="J3" s="66">
        <f ca="1"/>
        <v>224.25</v>
      </c>
      <c r="K3" s="66">
        <f ca="1"/>
        <v>0</v>
      </c>
      <c r="L3" s="66">
        <f ca="1"/>
        <v>0</v>
      </c>
      <c r="M3" s="66">
        <f ca="1"/>
        <v>0</v>
      </c>
      <c r="N3" s="65">
        <f ca="1"/>
        <v>4000</v>
      </c>
      <c r="O3" s="67">
        <f ca="1"/>
        <v>9</v>
      </c>
      <c r="P3" s="65">
        <f ca="1"/>
        <v>25</v>
      </c>
      <c r="Q3" s="65">
        <f ca="1"/>
        <v>75</v>
      </c>
      <c r="R3" s="65">
        <f ca="1">24/O3</f>
        <v>2.6666666666666665</v>
      </c>
    </row>
    <row r="4" spans="1:19" s="65" customFormat="1" ht="43.5" x14ac:dyDescent="0.35">
      <c r="A4" s="65" t="str">
        <f ca="1"/>
        <v>Porcelain Doll</v>
      </c>
      <c r="B4" s="65" t="str">
        <f ca="1"/>
        <v>Dexterity, Sewing, Masonry, Lore</v>
      </c>
      <c r="C4" s="65">
        <f ca="1"/>
        <v>44014.375542319263</v>
      </c>
      <c r="D4" s="68">
        <f ca="1"/>
        <v>1448.6355087982204</v>
      </c>
      <c r="E4" s="65">
        <f ca="1"/>
        <v>2934.2917028212842</v>
      </c>
      <c r="F4" s="68">
        <f ca="1"/>
        <v>1467.1458514106421</v>
      </c>
      <c r="G4" s="66" t="str">
        <f ca="1"/>
        <v>Bone Clay x2,
Cloth,
String</v>
      </c>
      <c r="H4" s="65">
        <f ca="1"/>
        <v>193.72652543803125</v>
      </c>
      <c r="I4" s="66">
        <f ca="1"/>
        <v>113.92957631409369</v>
      </c>
      <c r="J4" s="66">
        <f ca="1"/>
        <v>224.25</v>
      </c>
      <c r="K4" s="66">
        <f ca="1"/>
        <v>243</v>
      </c>
      <c r="L4" s="66">
        <f ca="1"/>
        <v>0</v>
      </c>
      <c r="M4" s="66">
        <f ca="1"/>
        <v>0</v>
      </c>
      <c r="N4" s="65">
        <f ca="1"/>
        <v>10000</v>
      </c>
      <c r="O4" s="67">
        <f ca="1"/>
        <v>30.383333333333333</v>
      </c>
      <c r="P4" s="65">
        <f ca="1"/>
        <v>15</v>
      </c>
      <c r="Q4" s="65">
        <f ca="1"/>
        <v>30</v>
      </c>
      <c r="R4" s="65">
        <f t="shared" ref="R4:R22" ca="1" si="0">24/O4</f>
        <v>0.78990674712013165</v>
      </c>
    </row>
    <row r="5" spans="1:19" s="65" customFormat="1" ht="29" x14ac:dyDescent="0.35">
      <c r="A5" s="65" t="str">
        <f ca="1"/>
        <v>Nine-Tails</v>
      </c>
      <c r="B5" s="65" t="str">
        <f ca="1"/>
        <v>String</v>
      </c>
      <c r="C5" s="65">
        <f ca="1"/>
        <v>45757.513044307816</v>
      </c>
      <c r="D5" s="68">
        <f ca="1"/>
        <v>1476.0488078808974</v>
      </c>
      <c r="E5" s="65">
        <f ca="1"/>
        <v>2287.8756522153908</v>
      </c>
      <c r="F5" s="68">
        <f ca="1"/>
        <v>571.9689130538477</v>
      </c>
      <c r="G5" s="66" t="str">
        <f ca="1"/>
        <v>Squirrel Tail x9,
String</v>
      </c>
      <c r="H5" s="65">
        <f ca="1"/>
        <v>134</v>
      </c>
      <c r="I5" s="66">
        <f ca="1"/>
        <v>25</v>
      </c>
      <c r="J5" s="66">
        <f ca="1"/>
        <v>243</v>
      </c>
      <c r="K5" s="66">
        <f ca="1"/>
        <v>0</v>
      </c>
      <c r="L5" s="66">
        <f ca="1"/>
        <v>0</v>
      </c>
      <c r="M5" s="66">
        <f ca="1"/>
        <v>0</v>
      </c>
      <c r="N5" s="65">
        <f ca="1"/>
        <v>12500</v>
      </c>
      <c r="O5" s="67">
        <f ca="1"/>
        <v>31</v>
      </c>
      <c r="P5" s="65">
        <f ca="1"/>
        <v>20</v>
      </c>
      <c r="Q5" s="65">
        <f ca="1"/>
        <v>80</v>
      </c>
      <c r="R5" s="65">
        <f t="shared" ca="1" si="0"/>
        <v>0.77419354838709675</v>
      </c>
    </row>
    <row r="6" spans="1:19" s="65" customFormat="1" ht="58" x14ac:dyDescent="0.35">
      <c r="A6" s="65" t="str">
        <f ca="1"/>
        <v>Ant Farm</v>
      </c>
      <c r="B6" s="65" t="str">
        <f ca="1"/>
        <v>Hunting</v>
      </c>
      <c r="C6" s="65">
        <f ca="1"/>
        <v>9804.4585522149064</v>
      </c>
      <c r="D6" s="68">
        <f ca="1"/>
        <v>1225.5573190268633</v>
      </c>
      <c r="E6" s="65">
        <f ca="1"/>
        <v>490.22292761074533</v>
      </c>
      <c r="F6" s="68">
        <f ca="1"/>
        <v>196.08917104429813</v>
      </c>
      <c r="G6" s="66" t="str">
        <f ca="1"/>
        <v>Royal Ant, 
Giant Ant x2, 
Glass Pane x2 , 
Sand x2</v>
      </c>
      <c r="H6" s="65">
        <f ca="1"/>
        <v>31.777655372595042</v>
      </c>
      <c r="I6" s="66">
        <f ca="1"/>
        <v>10</v>
      </c>
      <c r="J6" s="66">
        <f ca="1"/>
        <v>10</v>
      </c>
      <c r="K6" s="66">
        <f ca="1"/>
        <v>72.110621490380169</v>
      </c>
      <c r="L6" s="66">
        <f ca="1"/>
        <v>35</v>
      </c>
      <c r="M6" s="66">
        <f ca="1"/>
        <v>0</v>
      </c>
      <c r="N6" s="65">
        <f ca="1"/>
        <v>5500</v>
      </c>
      <c r="O6" s="67">
        <f ca="1"/>
        <v>8</v>
      </c>
      <c r="P6" s="65">
        <f ca="1"/>
        <v>20</v>
      </c>
      <c r="Q6" s="65">
        <f ca="1"/>
        <v>50</v>
      </c>
      <c r="R6" s="65">
        <f t="shared" ca="1" si="0"/>
        <v>3</v>
      </c>
    </row>
    <row r="7" spans="1:19" s="65" customFormat="1" ht="29" x14ac:dyDescent="0.35">
      <c r="A7" s="65" t="str">
        <f ca="1"/>
        <v>Straw Doll</v>
      </c>
      <c r="B7" s="65" t="str">
        <f ca="1"/>
        <v>Dexterity, Farming, Lore</v>
      </c>
      <c r="C7" s="65">
        <f ca="1"/>
        <v>4250</v>
      </c>
      <c r="D7" s="68">
        <f ca="1"/>
        <v>1062.5</v>
      </c>
      <c r="E7" s="65">
        <f ca="1"/>
        <v>708.33333333333337</v>
      </c>
      <c r="F7" s="68">
        <f ca="1"/>
        <v>531.25</v>
      </c>
      <c r="G7" s="66" t="str">
        <f ca="1"/>
        <v>Straw x4,
String x2</v>
      </c>
      <c r="H7" s="65">
        <f ca="1"/>
        <v>250</v>
      </c>
      <c r="I7" s="66">
        <f ca="1"/>
        <v>257</v>
      </c>
      <c r="J7" s="66">
        <f ca="1"/>
        <v>243</v>
      </c>
      <c r="K7" s="66">
        <f ca="1"/>
        <v>0</v>
      </c>
      <c r="L7" s="66">
        <f ca="1"/>
        <v>0</v>
      </c>
      <c r="M7" s="66">
        <f ca="1"/>
        <v>0</v>
      </c>
      <c r="N7" s="65">
        <f ca="1"/>
        <v>850</v>
      </c>
      <c r="O7" s="67">
        <f ca="1"/>
        <v>4</v>
      </c>
      <c r="P7" s="65">
        <f ca="1"/>
        <v>6</v>
      </c>
      <c r="Q7" s="65">
        <f ca="1"/>
        <v>8</v>
      </c>
      <c r="R7" s="65">
        <f t="shared" ca="1" si="0"/>
        <v>6</v>
      </c>
    </row>
    <row r="8" spans="1:19" s="65" customFormat="1" ht="58" x14ac:dyDescent="0.35">
      <c r="A8" s="65" t="str">
        <f ca="1"/>
        <v>Rattle-Tattle-Talisman</v>
      </c>
      <c r="B8" s="65" t="str">
        <f ca="1"/>
        <v>Psyche, Sewing, Lore</v>
      </c>
      <c r="C8" s="65">
        <f ca="1"/>
        <v>22807.893370497855</v>
      </c>
      <c r="D8" s="68">
        <f ca="1"/>
        <v>1041.4563182875734</v>
      </c>
      <c r="E8" s="65">
        <f ca="1"/>
        <v>2850.9866713122319</v>
      </c>
      <c r="F8" s="68">
        <f ca="1"/>
        <v>22807.893370497855</v>
      </c>
      <c r="G8" s="66" t="str">
        <f ca="1"/>
        <v>Bone x2,
String x2,
Stone x2,
Leather</v>
      </c>
      <c r="H8" s="65">
        <f ca="1"/>
        <v>144.5</v>
      </c>
      <c r="I8" s="66">
        <f ca="1"/>
        <v>80</v>
      </c>
      <c r="J8" s="66">
        <f ca="1"/>
        <v>243</v>
      </c>
      <c r="K8" s="66">
        <f ca="1"/>
        <v>165</v>
      </c>
      <c r="L8" s="66">
        <f ca="1"/>
        <v>90</v>
      </c>
      <c r="M8" s="66">
        <f ca="1"/>
        <v>0</v>
      </c>
      <c r="N8" s="65">
        <f ca="1"/>
        <v>6000</v>
      </c>
      <c r="O8" s="67">
        <f ca="1"/>
        <v>21.9</v>
      </c>
      <c r="P8" s="65">
        <f ca="1"/>
        <v>8</v>
      </c>
      <c r="Q8" s="65">
        <f ca="1"/>
        <v>1</v>
      </c>
      <c r="R8" s="65">
        <f t="shared" ca="1" si="0"/>
        <v>1.0958904109589043</v>
      </c>
    </row>
    <row r="9" spans="1:19" s="65" customFormat="1" ht="29" x14ac:dyDescent="0.35">
      <c r="A9" s="65" t="str">
        <f ca="1"/>
        <v>Silken Ribbon</v>
      </c>
      <c r="B9" s="65" t="str">
        <f ca="1"/>
        <v>Psyche, Sewing</v>
      </c>
      <c r="C9" s="65">
        <f ca="1"/>
        <v>15750.61931885269</v>
      </c>
      <c r="D9" s="68">
        <f ca="1"/>
        <v>1050.0412879235128</v>
      </c>
      <c r="E9" s="65">
        <f ca="1"/>
        <v>984.41370742829315</v>
      </c>
      <c r="F9" s="68">
        <f ca="1"/>
        <v>1968.8274148565863</v>
      </c>
      <c r="G9" s="66" t="str">
        <f ca="1"/>
        <v>Silk Cloth,
String</v>
      </c>
      <c r="H9" s="65">
        <f ca="1"/>
        <v>202.51592565503307</v>
      </c>
      <c r="I9" s="66">
        <f ca="1"/>
        <v>162.03185131006614</v>
      </c>
      <c r="J9" s="66">
        <f ca="1"/>
        <v>243</v>
      </c>
      <c r="K9" s="66">
        <f ca="1"/>
        <v>0</v>
      </c>
      <c r="L9" s="66">
        <f ca="1"/>
        <v>0</v>
      </c>
      <c r="M9" s="66">
        <f ca="1"/>
        <v>0</v>
      </c>
      <c r="N9" s="65">
        <f ca="1"/>
        <v>3500</v>
      </c>
      <c r="O9" s="67">
        <f ca="1"/>
        <v>15</v>
      </c>
      <c r="P9" s="65">
        <f ca="1"/>
        <v>16</v>
      </c>
      <c r="Q9" s="65">
        <f ca="1"/>
        <v>8</v>
      </c>
      <c r="R9" s="65">
        <f t="shared" ca="1" si="0"/>
        <v>1.6</v>
      </c>
    </row>
    <row r="10" spans="1:19" s="65" customFormat="1" ht="29" x14ac:dyDescent="0.35">
      <c r="A10" s="65" t="str">
        <f ca="1"/>
        <v>Hopped-up Cone Cow</v>
      </c>
      <c r="B10" s="65" t="str">
        <f ca="1"/>
        <v>Branch</v>
      </c>
      <c r="C10" s="65">
        <f ca="1"/>
        <v>8020.6597704817796</v>
      </c>
      <c r="D10" s="68">
        <f ca="1"/>
        <v>1101.2347510958966</v>
      </c>
      <c r="E10" s="65">
        <f ca="1"/>
        <v>1604.1319540963559</v>
      </c>
      <c r="F10" s="68">
        <f ca="1"/>
        <v>802.06597704817796</v>
      </c>
      <c r="G10" s="66" t="str">
        <f ca="1"/>
        <v>Unusually Large Hop Cone,
Branch x4</v>
      </c>
      <c r="H10" s="65">
        <f ca="1"/>
        <v>160.82745788456208</v>
      </c>
      <c r="I10" s="66">
        <f ca="1"/>
        <v>90</v>
      </c>
      <c r="J10" s="66">
        <f ca="1"/>
        <v>231.65491576912413</v>
      </c>
      <c r="K10" s="66">
        <f ca="1"/>
        <v>0</v>
      </c>
      <c r="L10" s="66">
        <f ca="1"/>
        <v>0</v>
      </c>
      <c r="M10" s="66">
        <f ca="1"/>
        <v>0</v>
      </c>
      <c r="N10" s="65">
        <f ca="1"/>
        <v>2000</v>
      </c>
      <c r="O10" s="67">
        <f ca="1"/>
        <v>7.2833333333333332</v>
      </c>
      <c r="P10" s="65">
        <f ca="1"/>
        <v>5</v>
      </c>
      <c r="Q10" s="65">
        <f ca="1"/>
        <v>10</v>
      </c>
      <c r="R10" s="65">
        <f t="shared" ca="1" si="0"/>
        <v>3.2951945080091534</v>
      </c>
    </row>
    <row r="11" spans="1:19" s="65" customFormat="1" ht="29" x14ac:dyDescent="0.35">
      <c r="A11" s="65" t="str">
        <f ca="1"/>
        <v>Cigar</v>
      </c>
      <c r="B11" s="65">
        <f ca="1"/>
        <v>0</v>
      </c>
      <c r="C11" s="65">
        <f ca="1"/>
        <v>4555.2167895721495</v>
      </c>
      <c r="D11" s="68">
        <f ca="1"/>
        <v>1001.1465471587143</v>
      </c>
      <c r="E11" s="65">
        <f ca="1"/>
        <v>227.76083947860747</v>
      </c>
      <c r="F11" s="68">
        <f ca="1"/>
        <v>45.552167895721496</v>
      </c>
      <c r="G11" s="66" t="str">
        <f ca="1"/>
        <v>Cured Pipeweed x4, A Beautiful Dream!, String</v>
      </c>
      <c r="H11" s="65">
        <f ca="1"/>
        <v>207.5</v>
      </c>
      <c r="I11" s="66">
        <f ca="1"/>
        <v>186.5</v>
      </c>
      <c r="J11" s="66">
        <f ca="1"/>
        <v>193</v>
      </c>
      <c r="K11" s="66">
        <f ca="1"/>
        <v>243</v>
      </c>
      <c r="L11" s="66">
        <f ca="1"/>
        <v>0</v>
      </c>
      <c r="M11" s="66">
        <f ca="1"/>
        <v>0</v>
      </c>
      <c r="N11" s="65">
        <f ca="1"/>
        <v>1000</v>
      </c>
      <c r="O11" s="67">
        <f ca="1"/>
        <v>4.55</v>
      </c>
      <c r="P11" s="65">
        <f ca="1"/>
        <v>20</v>
      </c>
      <c r="Q11" s="65">
        <f ca="1"/>
        <v>100</v>
      </c>
      <c r="R11" s="65">
        <f t="shared" ca="1" si="0"/>
        <v>5.2747252747252746</v>
      </c>
    </row>
    <row r="12" spans="1:19" s="65" customFormat="1" x14ac:dyDescent="0.35">
      <c r="A12" s="65" t="str">
        <f ca="1"/>
        <v>Beast Unborn</v>
      </c>
      <c r="B12" s="65">
        <f ca="1"/>
        <v>0</v>
      </c>
      <c r="C12" s="65">
        <f ca="1"/>
        <v>30547.012947258856</v>
      </c>
      <c r="D12" s="68">
        <f ca="1"/>
        <v>925.66705900784416</v>
      </c>
      <c r="E12" s="65">
        <f ca="1"/>
        <v>1174.8851133561097</v>
      </c>
      <c r="F12" s="68">
        <f ca="1"/>
        <v>872.77179849311017</v>
      </c>
      <c r="G12" s="66" t="str">
        <f ca="1"/>
        <v>Livestock</v>
      </c>
      <c r="H12" s="65">
        <f ca="1"/>
        <v>80</v>
      </c>
      <c r="I12" s="66">
        <f ca="1"/>
        <v>80</v>
      </c>
      <c r="J12" s="66">
        <f ca="1"/>
        <v>0</v>
      </c>
      <c r="K12" s="66">
        <f ca="1"/>
        <v>0</v>
      </c>
      <c r="L12" s="66">
        <f ca="1"/>
        <v>0</v>
      </c>
      <c r="M12" s="66">
        <f ca="1"/>
        <v>0</v>
      </c>
      <c r="N12" s="65">
        <f ca="1"/>
        <v>10800</v>
      </c>
      <c r="O12" s="67">
        <f ca="1"/>
        <v>33</v>
      </c>
      <c r="P12" s="65">
        <f ca="1"/>
        <v>26</v>
      </c>
      <c r="Q12" s="65">
        <f ca="1"/>
        <v>35</v>
      </c>
      <c r="R12" s="65">
        <f t="shared" ca="1" si="0"/>
        <v>0.72727272727272729</v>
      </c>
    </row>
    <row r="13" spans="1:19" s="65" customFormat="1" ht="43.5" x14ac:dyDescent="0.35">
      <c r="A13" s="65" t="str">
        <f ca="1"/>
        <v>Feather Trinket</v>
      </c>
      <c r="B13" s="65" t="str">
        <f ca="1"/>
        <v>String</v>
      </c>
      <c r="C13" s="65">
        <f ca="1"/>
        <v>1740.9049370944986</v>
      </c>
      <c r="D13" s="68">
        <f ca="1"/>
        <v>870.45246854724928</v>
      </c>
      <c r="E13" s="65">
        <f ca="1"/>
        <v>348.18098741889969</v>
      </c>
      <c r="F13" s="68">
        <f ca="1"/>
        <v>290.15082284908311</v>
      </c>
      <c r="G13" s="66" t="str">
        <f ca="1"/>
        <v>Feather x2,
String,
Stone</v>
      </c>
      <c r="H13" s="65">
        <f ca="1"/>
        <v>149.66666666666666</v>
      </c>
      <c r="I13" s="66">
        <f ca="1"/>
        <v>41</v>
      </c>
      <c r="J13" s="66">
        <f ca="1"/>
        <v>243</v>
      </c>
      <c r="K13" s="66">
        <f ca="1"/>
        <v>165</v>
      </c>
      <c r="L13" s="66">
        <f ca="1"/>
        <v>0</v>
      </c>
      <c r="M13" s="66">
        <f ca="1"/>
        <v>0</v>
      </c>
      <c r="N13" s="65">
        <f ca="1"/>
        <v>450</v>
      </c>
      <c r="O13" s="67">
        <f ca="1"/>
        <v>2</v>
      </c>
      <c r="P13" s="65">
        <f ca="1"/>
        <v>5</v>
      </c>
      <c r="Q13" s="65">
        <f ca="1"/>
        <v>6</v>
      </c>
      <c r="R13" s="65">
        <f t="shared" ca="1" si="0"/>
        <v>12</v>
      </c>
    </row>
    <row r="14" spans="1:19" s="65" customFormat="1" ht="29" x14ac:dyDescent="0.35">
      <c r="A14" s="65" t="str">
        <f ca="1"/>
        <v>Scarab Talisman</v>
      </c>
      <c r="B14" s="65" t="str">
        <f ca="1"/>
        <v>Psyche, Will, Lore</v>
      </c>
      <c r="C14" s="65">
        <f ca="1"/>
        <v>8418.7291202413671</v>
      </c>
      <c r="D14" s="68">
        <f ca="1"/>
        <v>832.16432819519275</v>
      </c>
      <c r="E14" s="65">
        <f ca="1"/>
        <v>200.44593143431825</v>
      </c>
      <c r="F14" s="68">
        <f ca="1"/>
        <v>420.93645601206833</v>
      </c>
      <c r="G14" s="66" t="str">
        <f ca="1"/>
        <v>Basalt,
Chitin Powder x20</v>
      </c>
      <c r="H14" s="65">
        <f ca="1"/>
        <v>35</v>
      </c>
      <c r="I14" s="66">
        <f ca="1"/>
        <v>60</v>
      </c>
      <c r="J14" s="66">
        <f ca="1"/>
        <v>10</v>
      </c>
      <c r="K14" s="66">
        <f ca="1"/>
        <v>0</v>
      </c>
      <c r="L14" s="66">
        <f ca="1"/>
        <v>0</v>
      </c>
      <c r="M14" s="66">
        <f ca="1"/>
        <v>0</v>
      </c>
      <c r="N14" s="65">
        <f ca="1"/>
        <v>4500</v>
      </c>
      <c r="O14" s="67">
        <f ca="1"/>
        <v>10.116666666666667</v>
      </c>
      <c r="P14" s="65">
        <f ca="1"/>
        <v>42</v>
      </c>
      <c r="Q14" s="65">
        <f ca="1"/>
        <v>20</v>
      </c>
      <c r="R14" s="65">
        <f t="shared" ca="1" si="0"/>
        <v>2.3723228995057659</v>
      </c>
    </row>
    <row r="15" spans="1:19" s="65" customFormat="1" ht="58" x14ac:dyDescent="0.35">
      <c r="A15" s="65" t="str">
        <f ca="1"/>
        <v>Chiming Bluebell</v>
      </c>
      <c r="B15" s="65">
        <f ca="1"/>
        <v>0</v>
      </c>
      <c r="C15" s="65">
        <f ca="1"/>
        <v>23630.488780387088</v>
      </c>
      <c r="D15" s="68">
        <f ca="1"/>
        <v>810.18818675612874</v>
      </c>
      <c r="E15" s="65">
        <f ca="1"/>
        <v>3375.7841114838698</v>
      </c>
      <c r="F15" s="68">
        <f ca="1"/>
        <v>675.15682229677395</v>
      </c>
      <c r="G15" s="66" t="str">
        <f ca="1"/>
        <v>Garden Pot, 
Soil, 
Water, 
Chiming Bluebell</v>
      </c>
      <c r="H15" s="65">
        <f ca="1"/>
        <v>87.25</v>
      </c>
      <c r="I15" s="66">
        <f ca="1"/>
        <v>74</v>
      </c>
      <c r="J15" s="66">
        <f ca="1"/>
        <v>206</v>
      </c>
      <c r="K15" s="66">
        <f ca="1"/>
        <v>101</v>
      </c>
      <c r="L15" s="66">
        <f ca="1"/>
        <v>87.25</v>
      </c>
      <c r="M15" s="66">
        <f ca="1"/>
        <v>0</v>
      </c>
      <c r="N15" s="65">
        <f ca="1"/>
        <v>8000</v>
      </c>
      <c r="O15" s="67">
        <f ca="1"/>
        <v>29.166666666666668</v>
      </c>
      <c r="P15" s="65">
        <f ca="1"/>
        <v>7</v>
      </c>
      <c r="Q15" s="65">
        <f ca="1"/>
        <v>35</v>
      </c>
      <c r="R15" s="65">
        <f t="shared" ca="1" si="0"/>
        <v>0.82285714285714284</v>
      </c>
    </row>
    <row r="16" spans="1:19" s="65" customFormat="1" ht="43.5" x14ac:dyDescent="0.35">
      <c r="A16" s="65" t="str">
        <f ca="1"/>
        <v>Shiny Marbles</v>
      </c>
      <c r="B16" s="65" t="str">
        <f ca="1"/>
        <v>Dexterity, Masonry, Lore</v>
      </c>
      <c r="C16" s="65">
        <f ca="1"/>
        <v>51020.829079896379</v>
      </c>
      <c r="D16" s="68">
        <f ca="1"/>
        <v>777.1641900974314</v>
      </c>
      <c r="E16" s="65">
        <f ca="1"/>
        <v>3188.8018174935237</v>
      </c>
      <c r="F16" s="68">
        <f ca="1"/>
        <v>1020.4165815979276</v>
      </c>
      <c r="G16" s="66" t="str">
        <f ca="1"/>
        <v>Glass x2,
Clay x2,
Any Pigment x30</v>
      </c>
      <c r="H16" s="65">
        <f ca="1"/>
        <v>85</v>
      </c>
      <c r="I16" s="66">
        <f ca="1"/>
        <v>10</v>
      </c>
      <c r="J16" s="66">
        <f ca="1"/>
        <v>0</v>
      </c>
      <c r="K16" s="66">
        <f ca="1"/>
        <v>0</v>
      </c>
      <c r="L16" s="66">
        <f ca="1"/>
        <v>160</v>
      </c>
      <c r="M16" s="66">
        <f ca="1"/>
        <v>0</v>
      </c>
      <c r="N16" s="65">
        <f ca="1"/>
        <v>17500</v>
      </c>
      <c r="O16" s="67">
        <f ca="1"/>
        <v>65.650000000000006</v>
      </c>
      <c r="P16" s="65">
        <f ca="1"/>
        <v>16</v>
      </c>
      <c r="Q16" s="65">
        <f ca="1"/>
        <v>50</v>
      </c>
      <c r="R16" s="65">
        <f t="shared" ca="1" si="0"/>
        <v>0.36557501904036555</v>
      </c>
    </row>
    <row r="17" spans="1:18" s="65" customFormat="1" ht="29" x14ac:dyDescent="0.35">
      <c r="A17" s="65" t="str">
        <f ca="1"/>
        <v>Easter Egg (Red)</v>
      </c>
      <c r="B17" s="65" t="str">
        <f ca="1"/>
        <v>Chicken Egg</v>
      </c>
      <c r="C17" s="65">
        <f ca="1"/>
        <v>16035.117710824577</v>
      </c>
      <c r="D17" s="68">
        <f ca="1"/>
        <v>732.75480780614976</v>
      </c>
      <c r="E17" s="65">
        <f ca="1"/>
        <v>1069.0078473883052</v>
      </c>
      <c r="F17" s="68">
        <f ca="1"/>
        <v>1233.4705931403521</v>
      </c>
      <c r="G17" s="66" t="str">
        <f ca="1"/>
        <v>Chicken Egg,
Any Pigment 0.25L</v>
      </c>
      <c r="H17" s="65">
        <f ca="1"/>
        <v>85</v>
      </c>
      <c r="I17" s="66">
        <f ca="1"/>
        <v>10</v>
      </c>
      <c r="J17" s="66">
        <f ca="1"/>
        <v>0</v>
      </c>
      <c r="K17" s="66">
        <f ca="1"/>
        <v>160</v>
      </c>
      <c r="L17" s="66">
        <f ca="1"/>
        <v>0</v>
      </c>
      <c r="M17" s="66">
        <f ca="1"/>
        <v>0</v>
      </c>
      <c r="N17" s="65">
        <f ca="1"/>
        <v>5500</v>
      </c>
      <c r="O17" s="67">
        <f ca="1"/>
        <v>21.883333333333333</v>
      </c>
      <c r="P17" s="65">
        <f ca="1"/>
        <v>15</v>
      </c>
      <c r="Q17" s="65">
        <f ca="1"/>
        <v>13</v>
      </c>
      <c r="R17" s="65">
        <f t="shared" ca="1" si="0"/>
        <v>1.0967250571210967</v>
      </c>
    </row>
    <row r="18" spans="1:18" s="65" customFormat="1" ht="29" x14ac:dyDescent="0.35">
      <c r="A18" s="65" t="str">
        <f ca="1"/>
        <v>Batwing Necklace</v>
      </c>
      <c r="B18" s="65" t="str">
        <f ca="1"/>
        <v>String</v>
      </c>
      <c r="C18" s="65">
        <f ca="1"/>
        <v>10672.687103068281</v>
      </c>
      <c r="D18" s="68">
        <f ca="1"/>
        <v>731.84140135325356</v>
      </c>
      <c r="E18" s="65">
        <f ca="1"/>
        <v>533.63435515341405</v>
      </c>
      <c r="F18" s="68">
        <f ca="1"/>
        <v>444.69529596117837</v>
      </c>
      <c r="G18" s="66" t="str">
        <f ca="1"/>
        <v>Dried Batwings x 8, 
String</v>
      </c>
      <c r="H18" s="65">
        <f ca="1"/>
        <v>182.25</v>
      </c>
      <c r="I18" s="66">
        <f ca="1"/>
        <v>121.5</v>
      </c>
      <c r="J18" s="66">
        <f ca="1"/>
        <v>243</v>
      </c>
      <c r="K18" s="66">
        <f ca="1"/>
        <v>0</v>
      </c>
      <c r="L18" s="66">
        <f ca="1"/>
        <v>0</v>
      </c>
      <c r="M18" s="66">
        <f ca="1"/>
        <v>0</v>
      </c>
      <c r="N18" s="65">
        <f ca="1"/>
        <v>2500</v>
      </c>
      <c r="O18" s="67">
        <f ca="1"/>
        <v>14.583333333333334</v>
      </c>
      <c r="P18" s="65">
        <f ca="1"/>
        <v>20</v>
      </c>
      <c r="Q18" s="65">
        <f ca="1"/>
        <v>24</v>
      </c>
      <c r="R18" s="65">
        <f t="shared" ca="1" si="0"/>
        <v>1.6457142857142857</v>
      </c>
    </row>
    <row r="19" spans="1:18" s="65" customFormat="1" ht="58" x14ac:dyDescent="0.35">
      <c r="A19" s="65" t="str">
        <f ca="1"/>
        <v>Heartsease</v>
      </c>
      <c r="B19" s="65" t="str">
        <f ca="1"/>
        <v>Foraging</v>
      </c>
      <c r="C19" s="65">
        <f ca="1"/>
        <v>443.07166463225786</v>
      </c>
      <c r="D19" s="68">
        <f ca="1"/>
        <v>738.4527743870965</v>
      </c>
      <c r="E19" s="65">
        <f ca="1"/>
        <v>110.76791615806447</v>
      </c>
      <c r="F19" s="68">
        <f ca="1"/>
        <v>44.307166463225784</v>
      </c>
      <c r="G19" s="66" t="str">
        <f ca="1"/>
        <v>Garden Pot, 
Soil, 
Water, 
Heartsease</v>
      </c>
      <c r="H19" s="65">
        <f ca="1"/>
        <v>87.25</v>
      </c>
      <c r="I19" s="66">
        <f ca="1"/>
        <v>74</v>
      </c>
      <c r="J19" s="66">
        <f ca="1"/>
        <v>206</v>
      </c>
      <c r="K19" s="66">
        <f ca="1"/>
        <v>101</v>
      </c>
      <c r="L19" s="66">
        <f ca="1"/>
        <v>87.25</v>
      </c>
      <c r="M19" s="66">
        <f ca="1"/>
        <v>0</v>
      </c>
      <c r="N19" s="65">
        <f ca="1"/>
        <v>150</v>
      </c>
      <c r="O19" s="67">
        <f ca="1"/>
        <v>0.6</v>
      </c>
      <c r="P19" s="65">
        <f ca="1"/>
        <v>4</v>
      </c>
      <c r="Q19" s="65">
        <f ca="1"/>
        <v>10</v>
      </c>
      <c r="R19" s="65">
        <f t="shared" ca="1" si="0"/>
        <v>40</v>
      </c>
    </row>
    <row r="20" spans="1:18" s="65" customFormat="1" ht="43.5" x14ac:dyDescent="0.35">
      <c r="A20" s="65" t="str">
        <f ca="1"/>
        <v>Horrible Knot</v>
      </c>
      <c r="B20" s="65" t="str">
        <f ca="1"/>
        <v>Dexterity, Sewing, Lore</v>
      </c>
      <c r="C20" s="65">
        <f ca="1"/>
        <v>10250.609737961933</v>
      </c>
      <c r="D20" s="68">
        <f ca="1"/>
        <v>702.89895346024684</v>
      </c>
      <c r="E20" s="65">
        <f ca="1"/>
        <v>2562.6524344904833</v>
      </c>
      <c r="F20" s="68">
        <f ca="1"/>
        <v>5125.3048689809666</v>
      </c>
      <c r="G20" s="66" t="str">
        <f ca="1"/>
        <v>Stinging Nettle,
Spindly Taproot,
String x6</v>
      </c>
      <c r="H20" s="65">
        <f ca="1"/>
        <v>116.75</v>
      </c>
      <c r="I20" s="66">
        <f ca="1"/>
        <v>87.25</v>
      </c>
      <c r="J20" s="66">
        <f ca="1"/>
        <v>20</v>
      </c>
      <c r="K20" s="66">
        <f ca="1"/>
        <v>243</v>
      </c>
      <c r="L20" s="66">
        <f ca="1"/>
        <v>0</v>
      </c>
      <c r="M20" s="66">
        <f ca="1"/>
        <v>0</v>
      </c>
      <c r="N20" s="65">
        <f ca="1"/>
        <v>3000</v>
      </c>
      <c r="O20" s="67">
        <f ca="1"/>
        <v>14.583333333333334</v>
      </c>
      <c r="P20" s="65">
        <f ca="1"/>
        <v>4</v>
      </c>
      <c r="Q20" s="65">
        <f ca="1"/>
        <v>2</v>
      </c>
      <c r="R20" s="65">
        <f t="shared" ca="1" si="0"/>
        <v>1.6457142857142857</v>
      </c>
    </row>
    <row r="21" spans="1:18" s="65" customFormat="1" ht="29" x14ac:dyDescent="0.35">
      <c r="A21" s="65" t="str">
        <f ca="1"/>
        <v>Quicksilver Globe</v>
      </c>
      <c r="B21" s="65" t="str">
        <f ca="1"/>
        <v>Dexterity, Smithing, Lore</v>
      </c>
      <c r="C21" s="65">
        <f ca="1"/>
        <v>15000</v>
      </c>
      <c r="D21" s="68">
        <f ca="1"/>
        <v>685.45316070068543</v>
      </c>
      <c r="E21" s="65">
        <f ca="1"/>
        <v>428.57142857142856</v>
      </c>
      <c r="F21" s="68">
        <f ca="1"/>
        <v>1000</v>
      </c>
      <c r="G21" s="66" t="str">
        <f ca="1"/>
        <v>Glass,
Quicksilver x20</v>
      </c>
      <c r="H21" s="65">
        <f ca="1"/>
        <v>10</v>
      </c>
      <c r="I21" s="66">
        <f ca="1"/>
        <v>10</v>
      </c>
      <c r="J21" s="66">
        <f ca="1"/>
        <v>0</v>
      </c>
      <c r="K21" s="66">
        <f ca="1"/>
        <v>0</v>
      </c>
      <c r="L21" s="66">
        <f ca="1"/>
        <v>0</v>
      </c>
      <c r="M21" s="66">
        <f ca="1"/>
        <v>0</v>
      </c>
      <c r="N21" s="65">
        <f ca="1"/>
        <v>15000</v>
      </c>
      <c r="O21" s="67">
        <f ca="1"/>
        <v>21.883333333333333</v>
      </c>
      <c r="P21" s="65">
        <f ca="1"/>
        <v>35</v>
      </c>
      <c r="Q21" s="65">
        <f ca="1"/>
        <v>15</v>
      </c>
      <c r="R21" s="65">
        <f t="shared" ca="1" si="0"/>
        <v>1.0967250571210967</v>
      </c>
    </row>
    <row r="22" spans="1:18" s="65" customFormat="1" ht="43.5" x14ac:dyDescent="0.35">
      <c r="A22" s="65" t="str">
        <f ca="1"/>
        <v>Tar Doll</v>
      </c>
      <c r="B22" s="65" t="str">
        <f ca="1"/>
        <v>Branch</v>
      </c>
      <c r="C22" s="65">
        <f ca="1"/>
        <v>19292.807722247257</v>
      </c>
      <c r="D22" s="68">
        <f ca="1"/>
        <v>720.3288508617519</v>
      </c>
      <c r="E22" s="65">
        <f ca="1"/>
        <v>535.9113256179794</v>
      </c>
      <c r="F22" s="68">
        <f ca="1"/>
        <v>803.86698842696899</v>
      </c>
      <c r="G22" s="66" t="str">
        <f ca="1"/>
        <v>Branch x4,
Bone Glue,
Tar x100</v>
      </c>
      <c r="H22" s="65">
        <f ca="1"/>
        <v>148.88497192304138</v>
      </c>
      <c r="I22" s="66">
        <f ca="1"/>
        <v>231.65491576912413</v>
      </c>
      <c r="J22" s="66">
        <f ca="1"/>
        <v>130</v>
      </c>
      <c r="K22" s="66">
        <f ca="1"/>
        <v>85</v>
      </c>
      <c r="L22" s="66">
        <f ca="1"/>
        <v>0</v>
      </c>
      <c r="M22" s="66">
        <f ca="1"/>
        <v>0</v>
      </c>
      <c r="N22" s="65">
        <f ca="1"/>
        <v>5000</v>
      </c>
      <c r="O22" s="67">
        <f ca="1"/>
        <v>26.783333333333335</v>
      </c>
      <c r="P22" s="65">
        <f ca="1"/>
        <v>36</v>
      </c>
      <c r="Q22" s="65">
        <f ca="1"/>
        <v>24</v>
      </c>
      <c r="R22" s="65">
        <f t="shared" ca="1" si="0"/>
        <v>0.89607965152457991</v>
      </c>
    </row>
    <row r="24" spans="1:18" ht="15" thickBot="1" x14ac:dyDescent="0.4">
      <c r="A24" t="s">
        <v>1128</v>
      </c>
    </row>
    <row r="25" spans="1:18" ht="29.5" thickBot="1" x14ac:dyDescent="0.4">
      <c r="A25" s="34" t="s">
        <v>1</v>
      </c>
      <c r="B25" t="s">
        <v>449</v>
      </c>
      <c r="C25" t="s">
        <v>809</v>
      </c>
      <c r="D25" t="s">
        <v>810</v>
      </c>
      <c r="E25" t="s">
        <v>452</v>
      </c>
      <c r="F25" t="s">
        <v>811</v>
      </c>
      <c r="G25" s="2" t="s">
        <v>72</v>
      </c>
      <c r="H25" t="s">
        <v>67</v>
      </c>
      <c r="I25" s="2" t="s">
        <v>387</v>
      </c>
      <c r="J25" s="2" t="s">
        <v>388</v>
      </c>
      <c r="K25" s="2" t="s">
        <v>931</v>
      </c>
      <c r="L25" s="2" t="s">
        <v>932</v>
      </c>
      <c r="M25" s="2" t="s">
        <v>933</v>
      </c>
      <c r="N25" t="s">
        <v>389</v>
      </c>
      <c r="O25" s="57" t="s">
        <v>450</v>
      </c>
      <c r="P25" t="s">
        <v>390</v>
      </c>
      <c r="Q25" t="s">
        <v>451</v>
      </c>
    </row>
    <row r="26" spans="1:18" ht="15" hidden="1" thickBot="1" x14ac:dyDescent="0.4">
      <c r="A26" s="22" t="s">
        <v>616</v>
      </c>
      <c r="B26" t="s">
        <v>477</v>
      </c>
      <c r="C26">
        <f t="shared" ref="C26:C89" si="1">N26*(H26/10)^0.5</f>
        <v>400000</v>
      </c>
      <c r="D26">
        <f t="shared" ref="D26:D89" si="2">C26/O26</f>
        <v>54919.908466819223</v>
      </c>
      <c r="E26">
        <f t="shared" ref="E26:E89" si="3">C26/P26</f>
        <v>8000</v>
      </c>
      <c r="F26">
        <f t="shared" ref="F26:F89" si="4">C26/Q26</f>
        <v>2000</v>
      </c>
      <c r="G26" s="2" t="s">
        <v>804</v>
      </c>
      <c r="H26">
        <f t="shared" ref="H26:H63" si="5">AVERAGE(I26:M26)</f>
        <v>10</v>
      </c>
      <c r="I26" s="2">
        <v>10</v>
      </c>
      <c r="J26"/>
      <c r="K26"/>
      <c r="L26"/>
      <c r="M26"/>
      <c r="N26" s="23">
        <v>400000</v>
      </c>
      <c r="O26" s="58">
        <v>7.2833333333333332</v>
      </c>
      <c r="P26" s="24">
        <v>50</v>
      </c>
      <c r="Q26" s="24">
        <v>200</v>
      </c>
      <c r="R26" s="38"/>
    </row>
    <row r="27" spans="1:18" ht="15" hidden="1" thickBot="1" x14ac:dyDescent="0.4">
      <c r="A27" s="25" t="s">
        <v>665</v>
      </c>
      <c r="B27" t="s">
        <v>289</v>
      </c>
      <c r="C27">
        <f t="shared" si="1"/>
        <v>8000</v>
      </c>
      <c r="D27">
        <f t="shared" si="2"/>
        <v>6666.666666666667</v>
      </c>
      <c r="E27">
        <f t="shared" si="3"/>
        <v>533.33333333333337</v>
      </c>
      <c r="F27">
        <f t="shared" si="4"/>
        <v>800</v>
      </c>
      <c r="G27" s="2" t="s">
        <v>804</v>
      </c>
      <c r="H27">
        <f t="shared" si="5"/>
        <v>10</v>
      </c>
      <c r="I27" s="2">
        <v>10</v>
      </c>
      <c r="J27"/>
      <c r="K27"/>
      <c r="L27"/>
      <c r="M27"/>
      <c r="N27" s="26">
        <v>8000</v>
      </c>
      <c r="O27" s="59">
        <v>1.2</v>
      </c>
      <c r="P27" s="27">
        <v>15</v>
      </c>
      <c r="Q27" s="27">
        <v>10</v>
      </c>
      <c r="R27" s="37"/>
    </row>
    <row r="28" spans="1:18" ht="15" hidden="1" thickBot="1" x14ac:dyDescent="0.4">
      <c r="A28" s="25" t="s">
        <v>684</v>
      </c>
      <c r="B28" t="s">
        <v>491</v>
      </c>
      <c r="C28">
        <f t="shared" si="1"/>
        <v>6500</v>
      </c>
      <c r="D28">
        <f t="shared" si="2"/>
        <v>5416.666666666667</v>
      </c>
      <c r="E28">
        <f t="shared" si="3"/>
        <v>433.33333333333331</v>
      </c>
      <c r="F28">
        <f t="shared" si="4"/>
        <v>650</v>
      </c>
      <c r="G28" s="2" t="s">
        <v>804</v>
      </c>
      <c r="H28">
        <f t="shared" si="5"/>
        <v>10</v>
      </c>
      <c r="I28" s="2">
        <v>10</v>
      </c>
      <c r="J28"/>
      <c r="K28"/>
      <c r="L28"/>
      <c r="M28"/>
      <c r="N28" s="26">
        <v>6500</v>
      </c>
      <c r="O28" s="59">
        <v>1.2</v>
      </c>
      <c r="P28" s="27">
        <v>15</v>
      </c>
      <c r="Q28" s="27">
        <v>10</v>
      </c>
      <c r="R28" s="38"/>
    </row>
    <row r="29" spans="1:18" ht="15" hidden="1" thickBot="1" x14ac:dyDescent="0.4">
      <c r="A29" s="22" t="s">
        <v>640</v>
      </c>
      <c r="B29" t="s">
        <v>457</v>
      </c>
      <c r="C29">
        <f t="shared" si="1"/>
        <v>36000</v>
      </c>
      <c r="D29">
        <f t="shared" si="2"/>
        <v>4942.7917620137305</v>
      </c>
      <c r="E29">
        <f t="shared" si="3"/>
        <v>3600</v>
      </c>
      <c r="F29">
        <f t="shared" si="4"/>
        <v>2000</v>
      </c>
      <c r="G29" s="2" t="s">
        <v>804</v>
      </c>
      <c r="H29">
        <f t="shared" si="5"/>
        <v>10</v>
      </c>
      <c r="I29" s="2">
        <v>10</v>
      </c>
      <c r="J29"/>
      <c r="K29"/>
      <c r="L29"/>
      <c r="M29"/>
      <c r="N29" s="23">
        <v>36000</v>
      </c>
      <c r="O29" s="58">
        <v>7.2833333333333332</v>
      </c>
      <c r="P29" s="24">
        <v>10</v>
      </c>
      <c r="Q29" s="24">
        <v>18</v>
      </c>
      <c r="R29" s="38"/>
    </row>
    <row r="30" spans="1:18" ht="15" hidden="1" thickBot="1" x14ac:dyDescent="0.4">
      <c r="A30" s="28" t="s">
        <v>708</v>
      </c>
      <c r="B30" t="s">
        <v>550</v>
      </c>
      <c r="C30">
        <f t="shared" si="1"/>
        <v>5000</v>
      </c>
      <c r="D30">
        <f t="shared" si="2"/>
        <v>4166.666666666667</v>
      </c>
      <c r="E30">
        <f t="shared" si="3"/>
        <v>333.33333333333331</v>
      </c>
      <c r="F30">
        <f t="shared" si="4"/>
        <v>500</v>
      </c>
      <c r="G30" s="2" t="s">
        <v>804</v>
      </c>
      <c r="H30">
        <f t="shared" si="5"/>
        <v>10</v>
      </c>
      <c r="I30" s="2">
        <v>10</v>
      </c>
      <c r="J30"/>
      <c r="K30"/>
      <c r="L30"/>
      <c r="M30"/>
      <c r="N30" s="29">
        <v>5000</v>
      </c>
      <c r="O30" s="60">
        <v>1.2</v>
      </c>
      <c r="P30" s="30">
        <v>15</v>
      </c>
      <c r="Q30" s="30">
        <v>10</v>
      </c>
      <c r="R30" s="38"/>
    </row>
    <row r="31" spans="1:18" ht="15" hidden="1" thickBot="1" x14ac:dyDescent="0.4">
      <c r="A31" s="25" t="s">
        <v>570</v>
      </c>
      <c r="B31" t="s">
        <v>457</v>
      </c>
      <c r="C31">
        <f t="shared" si="1"/>
        <v>27000</v>
      </c>
      <c r="D31">
        <f t="shared" si="2"/>
        <v>3707.0938215102974</v>
      </c>
      <c r="E31">
        <f t="shared" si="3"/>
        <v>2700</v>
      </c>
      <c r="F31">
        <f t="shared" si="4"/>
        <v>1500</v>
      </c>
      <c r="G31" s="2" t="s">
        <v>804</v>
      </c>
      <c r="H31">
        <f t="shared" si="5"/>
        <v>10</v>
      </c>
      <c r="I31" s="2">
        <v>10</v>
      </c>
      <c r="J31"/>
      <c r="K31"/>
      <c r="L31"/>
      <c r="M31"/>
      <c r="N31" s="26">
        <v>27000</v>
      </c>
      <c r="O31" s="59">
        <v>7.2833333333333332</v>
      </c>
      <c r="P31" s="27">
        <v>10</v>
      </c>
      <c r="Q31" s="27">
        <v>18</v>
      </c>
      <c r="R31" s="38"/>
    </row>
    <row r="32" spans="1:18" ht="15" hidden="1" thickBot="1" x14ac:dyDescent="0.4">
      <c r="A32" s="25" t="s">
        <v>462</v>
      </c>
      <c r="B32" t="s">
        <v>454</v>
      </c>
      <c r="C32">
        <f t="shared" si="1"/>
        <v>8000</v>
      </c>
      <c r="D32">
        <f t="shared" si="2"/>
        <v>3310.344827586207</v>
      </c>
      <c r="E32">
        <f t="shared" si="3"/>
        <v>800</v>
      </c>
      <c r="F32">
        <f t="shared" si="4"/>
        <v>266.66666666666669</v>
      </c>
      <c r="G32" s="2" t="s">
        <v>804</v>
      </c>
      <c r="H32">
        <f t="shared" si="5"/>
        <v>10</v>
      </c>
      <c r="I32">
        <v>10</v>
      </c>
      <c r="J32"/>
      <c r="K32"/>
      <c r="L32"/>
      <c r="M32"/>
      <c r="N32" s="26">
        <v>8000</v>
      </c>
      <c r="O32" s="59">
        <v>2.4166666666666665</v>
      </c>
      <c r="P32" s="27">
        <v>10</v>
      </c>
      <c r="Q32" s="27">
        <v>30</v>
      </c>
      <c r="R32" s="38"/>
    </row>
    <row r="33" spans="1:18" ht="15" hidden="1" thickBot="1" x14ac:dyDescent="0.4">
      <c r="A33" s="28" t="s">
        <v>762</v>
      </c>
      <c r="B33" t="s">
        <v>454</v>
      </c>
      <c r="C33">
        <f t="shared" si="1"/>
        <v>8000</v>
      </c>
      <c r="D33">
        <f t="shared" si="2"/>
        <v>3310.344827586207</v>
      </c>
      <c r="E33">
        <f t="shared" si="3"/>
        <v>800</v>
      </c>
      <c r="F33">
        <f t="shared" si="4"/>
        <v>266.66666666666669</v>
      </c>
      <c r="G33" s="2" t="s">
        <v>804</v>
      </c>
      <c r="H33">
        <f t="shared" si="5"/>
        <v>10</v>
      </c>
      <c r="I33" s="2">
        <v>10</v>
      </c>
      <c r="J33"/>
      <c r="K33"/>
      <c r="L33"/>
      <c r="M33"/>
      <c r="N33" s="29">
        <v>8000</v>
      </c>
      <c r="O33" s="60">
        <v>2.4166666666666665</v>
      </c>
      <c r="P33" s="30">
        <v>10</v>
      </c>
      <c r="Q33" s="30">
        <v>30</v>
      </c>
      <c r="R33" s="37"/>
    </row>
    <row r="34" spans="1:18" ht="15" hidden="1" thickBot="1" x14ac:dyDescent="0.4">
      <c r="A34" s="25" t="s">
        <v>584</v>
      </c>
      <c r="B34" t="s">
        <v>457</v>
      </c>
      <c r="C34">
        <f t="shared" si="1"/>
        <v>22500</v>
      </c>
      <c r="D34">
        <f t="shared" si="2"/>
        <v>3089.2448512585811</v>
      </c>
      <c r="E34">
        <f t="shared" si="3"/>
        <v>2250</v>
      </c>
      <c r="F34">
        <f t="shared" si="4"/>
        <v>1250</v>
      </c>
      <c r="G34" s="2" t="s">
        <v>804</v>
      </c>
      <c r="H34">
        <f t="shared" si="5"/>
        <v>10</v>
      </c>
      <c r="I34" s="2">
        <v>10</v>
      </c>
      <c r="J34"/>
      <c r="K34"/>
      <c r="L34"/>
      <c r="M34"/>
      <c r="N34" s="26">
        <v>22500</v>
      </c>
      <c r="O34" s="59">
        <v>7.2833333333333332</v>
      </c>
      <c r="P34" s="27">
        <v>10</v>
      </c>
      <c r="Q34" s="27">
        <v>18</v>
      </c>
      <c r="R34" s="37"/>
    </row>
    <row r="35" spans="1:18" ht="15" hidden="1" thickBot="1" x14ac:dyDescent="0.4">
      <c r="A35" s="25" t="s">
        <v>713</v>
      </c>
      <c r="B35" t="s">
        <v>457</v>
      </c>
      <c r="C35">
        <f t="shared" si="1"/>
        <v>22500</v>
      </c>
      <c r="D35">
        <f t="shared" si="2"/>
        <v>3089.2448512585811</v>
      </c>
      <c r="E35">
        <f t="shared" si="3"/>
        <v>2250</v>
      </c>
      <c r="F35">
        <f t="shared" si="4"/>
        <v>1250</v>
      </c>
      <c r="G35" s="2" t="s">
        <v>804</v>
      </c>
      <c r="H35">
        <f t="shared" si="5"/>
        <v>10</v>
      </c>
      <c r="I35" s="2">
        <v>10</v>
      </c>
      <c r="J35"/>
      <c r="K35"/>
      <c r="L35"/>
      <c r="M35"/>
      <c r="N35" s="26">
        <v>22500</v>
      </c>
      <c r="O35" s="59">
        <v>7.2833333333333332</v>
      </c>
      <c r="P35" s="27">
        <v>10</v>
      </c>
      <c r="Q35" s="27">
        <v>18</v>
      </c>
      <c r="R35" s="38"/>
    </row>
    <row r="36" spans="1:18" ht="15" hidden="1" thickBot="1" x14ac:dyDescent="0.4">
      <c r="A36" s="22" t="s">
        <v>716</v>
      </c>
      <c r="B36" t="s">
        <v>457</v>
      </c>
      <c r="C36">
        <f t="shared" si="1"/>
        <v>22500</v>
      </c>
      <c r="D36">
        <f t="shared" si="2"/>
        <v>3089.2448512585811</v>
      </c>
      <c r="E36">
        <f t="shared" si="3"/>
        <v>2250</v>
      </c>
      <c r="F36">
        <f t="shared" si="4"/>
        <v>1250</v>
      </c>
      <c r="G36" s="2" t="s">
        <v>804</v>
      </c>
      <c r="H36">
        <f t="shared" si="5"/>
        <v>10</v>
      </c>
      <c r="I36" s="2">
        <v>10</v>
      </c>
      <c r="J36"/>
      <c r="K36"/>
      <c r="L36"/>
      <c r="M36"/>
      <c r="N36" s="23">
        <v>22500</v>
      </c>
      <c r="O36" s="58">
        <v>7.2833333333333332</v>
      </c>
      <c r="P36" s="24">
        <v>10</v>
      </c>
      <c r="Q36" s="24">
        <v>18</v>
      </c>
      <c r="R36" s="38"/>
    </row>
    <row r="37" spans="1:18" ht="15" hidden="1" thickBot="1" x14ac:dyDescent="0.4">
      <c r="A37" s="28" t="s">
        <v>456</v>
      </c>
      <c r="B37" t="s">
        <v>457</v>
      </c>
      <c r="C37">
        <f t="shared" si="1"/>
        <v>18000</v>
      </c>
      <c r="D37">
        <f t="shared" si="2"/>
        <v>2471.3958810068652</v>
      </c>
      <c r="E37">
        <f t="shared" si="3"/>
        <v>1800</v>
      </c>
      <c r="F37">
        <f t="shared" si="4"/>
        <v>1000</v>
      </c>
      <c r="G37" s="2" t="s">
        <v>804</v>
      </c>
      <c r="H37">
        <f t="shared" si="5"/>
        <v>10</v>
      </c>
      <c r="I37">
        <v>10</v>
      </c>
      <c r="J37"/>
      <c r="K37"/>
      <c r="L37"/>
      <c r="M37"/>
      <c r="N37" s="29">
        <v>18000</v>
      </c>
      <c r="O37" s="60">
        <v>7.2833333333333332</v>
      </c>
      <c r="P37" s="30">
        <v>10</v>
      </c>
      <c r="Q37" s="30">
        <v>18</v>
      </c>
      <c r="R37" s="37"/>
    </row>
    <row r="38" spans="1:18" ht="15" hidden="1" thickBot="1" x14ac:dyDescent="0.4">
      <c r="A38" s="22" t="s">
        <v>461</v>
      </c>
      <c r="B38" t="s">
        <v>457</v>
      </c>
      <c r="C38">
        <f t="shared" si="1"/>
        <v>18000</v>
      </c>
      <c r="D38">
        <f t="shared" si="2"/>
        <v>2471.3958810068652</v>
      </c>
      <c r="E38">
        <f t="shared" si="3"/>
        <v>1800</v>
      </c>
      <c r="F38">
        <f t="shared" si="4"/>
        <v>1000</v>
      </c>
      <c r="G38" s="2" t="s">
        <v>804</v>
      </c>
      <c r="H38">
        <f t="shared" si="5"/>
        <v>10</v>
      </c>
      <c r="I38">
        <v>10</v>
      </c>
      <c r="J38"/>
      <c r="K38"/>
      <c r="L38"/>
      <c r="M38"/>
      <c r="N38" s="23">
        <v>18000</v>
      </c>
      <c r="O38" s="58">
        <v>7.2833333333333332</v>
      </c>
      <c r="P38" s="24">
        <v>10</v>
      </c>
      <c r="Q38" s="24">
        <v>18</v>
      </c>
      <c r="R38" s="37"/>
    </row>
    <row r="39" spans="1:18" ht="15" hidden="1" thickBot="1" x14ac:dyDescent="0.4">
      <c r="A39" s="25" t="s">
        <v>663</v>
      </c>
      <c r="B39" t="s">
        <v>457</v>
      </c>
      <c r="C39">
        <f t="shared" si="1"/>
        <v>18000</v>
      </c>
      <c r="D39">
        <f t="shared" si="2"/>
        <v>2471.3958810068652</v>
      </c>
      <c r="E39">
        <f t="shared" si="3"/>
        <v>1800</v>
      </c>
      <c r="F39">
        <f t="shared" si="4"/>
        <v>1000</v>
      </c>
      <c r="G39" s="2" t="s">
        <v>804</v>
      </c>
      <c r="H39">
        <f t="shared" si="5"/>
        <v>10</v>
      </c>
      <c r="I39" s="2">
        <v>10</v>
      </c>
      <c r="J39"/>
      <c r="K39"/>
      <c r="L39"/>
      <c r="M39"/>
      <c r="N39" s="26">
        <v>18000</v>
      </c>
      <c r="O39" s="59">
        <v>7.2833333333333332</v>
      </c>
      <c r="P39" s="27">
        <v>10</v>
      </c>
      <c r="Q39" s="27">
        <v>18</v>
      </c>
      <c r="R39" s="37"/>
    </row>
    <row r="40" spans="1:18" ht="15" hidden="1" thickBot="1" x14ac:dyDescent="0.4">
      <c r="A40" s="28" t="s">
        <v>677</v>
      </c>
      <c r="B40" t="s">
        <v>457</v>
      </c>
      <c r="C40">
        <f t="shared" si="1"/>
        <v>18000</v>
      </c>
      <c r="D40">
        <f t="shared" si="2"/>
        <v>2471.3958810068652</v>
      </c>
      <c r="E40">
        <f t="shared" si="3"/>
        <v>1000</v>
      </c>
      <c r="F40">
        <f t="shared" si="4"/>
        <v>1000</v>
      </c>
      <c r="G40" s="2" t="s">
        <v>804</v>
      </c>
      <c r="H40">
        <f t="shared" si="5"/>
        <v>10</v>
      </c>
      <c r="I40" s="2">
        <v>10</v>
      </c>
      <c r="J40"/>
      <c r="K40"/>
      <c r="L40"/>
      <c r="M40"/>
      <c r="N40" s="29">
        <v>18000</v>
      </c>
      <c r="O40" s="60">
        <v>7.2833333333333332</v>
      </c>
      <c r="P40" s="30">
        <v>18</v>
      </c>
      <c r="Q40" s="30">
        <v>18</v>
      </c>
      <c r="R40" s="37"/>
    </row>
    <row r="41" spans="1:18" ht="15" hidden="1" thickBot="1" x14ac:dyDescent="0.4">
      <c r="A41" s="31" t="s">
        <v>678</v>
      </c>
      <c r="B41" t="s">
        <v>457</v>
      </c>
      <c r="C41">
        <f t="shared" si="1"/>
        <v>18000</v>
      </c>
      <c r="D41">
        <f t="shared" si="2"/>
        <v>2471.3958810068652</v>
      </c>
      <c r="E41">
        <f t="shared" si="3"/>
        <v>1800</v>
      </c>
      <c r="F41">
        <f t="shared" si="4"/>
        <v>1000</v>
      </c>
      <c r="G41" s="2" t="s">
        <v>804</v>
      </c>
      <c r="H41">
        <f t="shared" si="5"/>
        <v>10</v>
      </c>
      <c r="I41" s="2">
        <v>10</v>
      </c>
      <c r="J41"/>
      <c r="K41"/>
      <c r="L41"/>
      <c r="M41"/>
      <c r="N41" s="32">
        <v>18000</v>
      </c>
      <c r="O41" s="61">
        <v>7.2833333333333332</v>
      </c>
      <c r="P41" s="33">
        <v>10</v>
      </c>
      <c r="Q41" s="33">
        <v>18</v>
      </c>
      <c r="R41" s="37"/>
    </row>
    <row r="42" spans="1:18" ht="15" hidden="1" thickBot="1" x14ac:dyDescent="0.4">
      <c r="A42" s="28" t="s">
        <v>767</v>
      </c>
      <c r="B42" t="s">
        <v>457</v>
      </c>
      <c r="C42">
        <f t="shared" si="1"/>
        <v>18000</v>
      </c>
      <c r="D42">
        <f t="shared" si="2"/>
        <v>2471.3958810068652</v>
      </c>
      <c r="E42">
        <f t="shared" si="3"/>
        <v>1800</v>
      </c>
      <c r="F42">
        <f t="shared" si="4"/>
        <v>1000</v>
      </c>
      <c r="G42" s="2" t="s">
        <v>804</v>
      </c>
      <c r="H42">
        <f t="shared" si="5"/>
        <v>10</v>
      </c>
      <c r="I42" s="2">
        <v>10</v>
      </c>
      <c r="J42"/>
      <c r="K42"/>
      <c r="L42"/>
      <c r="M42"/>
      <c r="N42" s="29">
        <v>18000</v>
      </c>
      <c r="O42" s="60">
        <v>7.2833333333333332</v>
      </c>
      <c r="P42" s="30">
        <v>10</v>
      </c>
      <c r="Q42" s="30">
        <v>18</v>
      </c>
      <c r="R42" s="37"/>
    </row>
    <row r="43" spans="1:18" ht="15" hidden="1" thickBot="1" x14ac:dyDescent="0.4">
      <c r="A43" s="25" t="s">
        <v>776</v>
      </c>
      <c r="B43" t="s">
        <v>457</v>
      </c>
      <c r="C43">
        <f t="shared" si="1"/>
        <v>18000</v>
      </c>
      <c r="D43">
        <f t="shared" si="2"/>
        <v>2471.3958810068652</v>
      </c>
      <c r="E43">
        <f t="shared" si="3"/>
        <v>1800</v>
      </c>
      <c r="F43">
        <f t="shared" si="4"/>
        <v>1000</v>
      </c>
      <c r="G43" s="2" t="s">
        <v>804</v>
      </c>
      <c r="H43">
        <f t="shared" si="5"/>
        <v>10</v>
      </c>
      <c r="I43" s="2">
        <v>10</v>
      </c>
      <c r="J43"/>
      <c r="K43"/>
      <c r="L43"/>
      <c r="M43"/>
      <c r="N43" s="26">
        <v>18000</v>
      </c>
      <c r="O43" s="59">
        <v>7.2833333333333332</v>
      </c>
      <c r="P43" s="27">
        <v>10</v>
      </c>
      <c r="Q43" s="27">
        <v>18</v>
      </c>
      <c r="R43" s="37"/>
    </row>
    <row r="44" spans="1:18" ht="15" hidden="1" thickBot="1" x14ac:dyDescent="0.4">
      <c r="A44" s="28" t="s">
        <v>468</v>
      </c>
      <c r="B44" t="s">
        <v>469</v>
      </c>
      <c r="C44">
        <f t="shared" si="1"/>
        <v>35000</v>
      </c>
      <c r="D44">
        <f t="shared" si="2"/>
        <v>2400</v>
      </c>
      <c r="E44">
        <f t="shared" si="3"/>
        <v>350</v>
      </c>
      <c r="F44">
        <f t="shared" si="4"/>
        <v>875</v>
      </c>
      <c r="G44" s="2" t="s">
        <v>804</v>
      </c>
      <c r="H44">
        <f t="shared" si="5"/>
        <v>10</v>
      </c>
      <c r="I44">
        <v>10</v>
      </c>
      <c r="J44"/>
      <c r="K44"/>
      <c r="L44"/>
      <c r="M44"/>
      <c r="N44" s="29">
        <v>35000</v>
      </c>
      <c r="O44" s="60">
        <v>14.583333333333334</v>
      </c>
      <c r="P44" s="30">
        <v>100</v>
      </c>
      <c r="Q44" s="30">
        <v>40</v>
      </c>
      <c r="R44" s="38"/>
    </row>
    <row r="45" spans="1:18" ht="15" hidden="1" thickBot="1" x14ac:dyDescent="0.4">
      <c r="A45" s="28" t="s">
        <v>499</v>
      </c>
      <c r="B45" t="s">
        <v>500</v>
      </c>
      <c r="C45">
        <f t="shared" si="1"/>
        <v>35000</v>
      </c>
      <c r="D45">
        <f t="shared" si="2"/>
        <v>2400</v>
      </c>
      <c r="E45">
        <f t="shared" si="3"/>
        <v>350</v>
      </c>
      <c r="F45">
        <f t="shared" si="4"/>
        <v>875</v>
      </c>
      <c r="G45" s="2" t="s">
        <v>804</v>
      </c>
      <c r="H45">
        <f t="shared" si="5"/>
        <v>10</v>
      </c>
      <c r="I45" s="2">
        <v>10</v>
      </c>
      <c r="J45"/>
      <c r="K45"/>
      <c r="L45"/>
      <c r="M45"/>
      <c r="N45" s="29">
        <v>35000</v>
      </c>
      <c r="O45" s="60">
        <v>14.583333333333334</v>
      </c>
      <c r="P45" s="30">
        <v>100</v>
      </c>
      <c r="Q45" s="30">
        <v>40</v>
      </c>
      <c r="R45" s="38"/>
    </row>
    <row r="46" spans="1:18" ht="29.5" thickBot="1" x14ac:dyDescent="0.4">
      <c r="A46" s="25" t="s">
        <v>624</v>
      </c>
      <c r="B46" t="s">
        <v>543</v>
      </c>
      <c r="C46">
        <f t="shared" ca="1" si="1"/>
        <v>17849.36973677222</v>
      </c>
      <c r="D46">
        <f t="shared" ca="1" si="2"/>
        <v>1983.2633040858022</v>
      </c>
      <c r="E46">
        <f t="shared" ca="1" si="3"/>
        <v>713.97478947088882</v>
      </c>
      <c r="F46">
        <f t="shared" ca="1" si="4"/>
        <v>237.99159649029627</v>
      </c>
      <c r="G46" s="2" t="s">
        <v>843</v>
      </c>
      <c r="H46">
        <f t="shared" ca="1" si="5"/>
        <v>199.125</v>
      </c>
      <c r="I46" s="14">
        <f>Products!B4</f>
        <v>174</v>
      </c>
      <c r="J46" s="2" cm="1">
        <f t="array" aca="1" ref="J46" ca="1">MAX(IF((Products!A2:A500="Linen Cloth")+(Products!A2:A500="Hemp Cloth"),Products!B2:B500))</f>
        <v>224.25</v>
      </c>
      <c r="N46" s="26">
        <v>4000</v>
      </c>
      <c r="O46" s="59">
        <v>9</v>
      </c>
      <c r="P46" s="27">
        <v>25</v>
      </c>
      <c r="Q46" s="27">
        <v>75</v>
      </c>
      <c r="R46" s="37"/>
    </row>
    <row r="47" spans="1:18" ht="15" hidden="1" thickBot="1" x14ac:dyDescent="0.4">
      <c r="A47" s="25" t="s">
        <v>757</v>
      </c>
      <c r="B47" t="s">
        <v>457</v>
      </c>
      <c r="C47">
        <f t="shared" si="1"/>
        <v>10500</v>
      </c>
      <c r="D47">
        <f t="shared" si="2"/>
        <v>1441.6475972540045</v>
      </c>
      <c r="E47">
        <f t="shared" si="3"/>
        <v>1050</v>
      </c>
      <c r="F47">
        <f t="shared" si="4"/>
        <v>583.33333333333337</v>
      </c>
      <c r="G47" s="2" t="s">
        <v>804</v>
      </c>
      <c r="H47">
        <f t="shared" si="5"/>
        <v>10</v>
      </c>
      <c r="I47" s="2">
        <v>10</v>
      </c>
      <c r="J47"/>
      <c r="K47"/>
      <c r="L47"/>
      <c r="M47"/>
      <c r="N47" s="26">
        <v>10500</v>
      </c>
      <c r="O47" s="59">
        <v>7.2833333333333332</v>
      </c>
      <c r="P47" s="27">
        <v>10</v>
      </c>
      <c r="Q47" s="27">
        <v>18</v>
      </c>
      <c r="R47" s="37"/>
    </row>
    <row r="48" spans="1:18" ht="44" thickBot="1" x14ac:dyDescent="0.4">
      <c r="A48" s="28" t="s">
        <v>692</v>
      </c>
      <c r="B48" t="s">
        <v>866</v>
      </c>
      <c r="C48">
        <f t="shared" ca="1" si="1"/>
        <v>44014.375542319263</v>
      </c>
      <c r="D48">
        <f t="shared" ca="1" si="2"/>
        <v>1448.6355087982204</v>
      </c>
      <c r="E48">
        <f t="shared" ca="1" si="3"/>
        <v>2934.2917028212842</v>
      </c>
      <c r="F48">
        <f t="shared" ca="1" si="4"/>
        <v>1467.1458514106421</v>
      </c>
      <c r="G48" s="2" t="s">
        <v>867</v>
      </c>
      <c r="H48">
        <f t="shared" ca="1" si="5"/>
        <v>193.72652543803125</v>
      </c>
      <c r="I48" s="2" cm="1">
        <f t="array" aca="1" ref="I48" ca="1">MAX(IF(Products!A2:A500="Bone Clay",Products!B2:B500))</f>
        <v>113.92957631409369</v>
      </c>
      <c r="J48" s="2" cm="1">
        <f t="array" aca="1" ref="J48" ca="1">MAX(IF((Products!A2:A500="Linen Cloth")+(Products!A2:A500="Hemp Cloth"),Products!B2:B500))</f>
        <v>224.25</v>
      </c>
      <c r="K48" s="2">
        <f>Input!B122</f>
        <v>243</v>
      </c>
      <c r="N48" s="29">
        <v>10000</v>
      </c>
      <c r="O48" s="60">
        <v>30.383333333333333</v>
      </c>
      <c r="P48" s="30">
        <v>15</v>
      </c>
      <c r="Q48" s="30">
        <v>30</v>
      </c>
      <c r="R48" s="38"/>
    </row>
    <row r="49" spans="1:18" ht="29.5" thickBot="1" x14ac:dyDescent="0.4">
      <c r="A49" s="28" t="s">
        <v>666</v>
      </c>
      <c r="B49" t="s">
        <v>485</v>
      </c>
      <c r="C49">
        <f t="shared" ca="1" si="1"/>
        <v>45757.513044307816</v>
      </c>
      <c r="D49">
        <f t="shared" ca="1" si="2"/>
        <v>1476.0488078808974</v>
      </c>
      <c r="E49">
        <f t="shared" ca="1" si="3"/>
        <v>2287.8756522153908</v>
      </c>
      <c r="F49">
        <f t="shared" ca="1" si="4"/>
        <v>571.9689130538477</v>
      </c>
      <c r="G49" s="2" t="s">
        <v>857</v>
      </c>
      <c r="H49">
        <f t="shared" ca="1" si="5"/>
        <v>134</v>
      </c>
      <c r="I49" s="2" cm="1">
        <f t="array" aca="1" ref="I49" ca="1">MAX(IF(Input!A2:A493="Squirrel",Input!B2:B493))</f>
        <v>25</v>
      </c>
      <c r="J49" s="2">
        <f>Input!B122</f>
        <v>243</v>
      </c>
      <c r="N49" s="29">
        <v>12500</v>
      </c>
      <c r="O49" s="60">
        <v>31</v>
      </c>
      <c r="P49" s="30">
        <v>20</v>
      </c>
      <c r="Q49" s="30">
        <v>80</v>
      </c>
      <c r="R49" s="38"/>
    </row>
    <row r="50" spans="1:18" ht="58.5" thickBot="1" x14ac:dyDescent="0.4">
      <c r="A50" s="28" t="s">
        <v>466</v>
      </c>
      <c r="B50" t="s">
        <v>102</v>
      </c>
      <c r="C50">
        <f t="shared" ca="1" si="1"/>
        <v>9804.4585522149064</v>
      </c>
      <c r="D50">
        <f t="shared" ca="1" si="2"/>
        <v>1225.5573190268633</v>
      </c>
      <c r="E50">
        <f t="shared" ca="1" si="3"/>
        <v>490.22292761074533</v>
      </c>
      <c r="F50">
        <f t="shared" ca="1" si="4"/>
        <v>196.08917104429813</v>
      </c>
      <c r="G50" s="2" t="s">
        <v>805</v>
      </c>
      <c r="H50">
        <f t="shared" ca="1" si="5"/>
        <v>31.777655372595042</v>
      </c>
      <c r="I50" s="2">
        <v>10</v>
      </c>
      <c r="J50" s="2">
        <v>10</v>
      </c>
      <c r="K50" s="14">
        <f ca="1">Products!B50</f>
        <v>72.110621490380169</v>
      </c>
      <c r="L50" s="2">
        <f>Input!B23</f>
        <v>35</v>
      </c>
      <c r="N50" s="29">
        <v>5500</v>
      </c>
      <c r="O50" s="60">
        <v>8</v>
      </c>
      <c r="P50" s="30">
        <v>20</v>
      </c>
      <c r="Q50" s="30">
        <v>50</v>
      </c>
      <c r="R50" s="37"/>
    </row>
    <row r="51" spans="1:18" ht="15" hidden="1" thickBot="1" x14ac:dyDescent="0.4">
      <c r="A51" s="31" t="s">
        <v>519</v>
      </c>
      <c r="B51" s="56" t="s">
        <v>102</v>
      </c>
      <c r="C51">
        <f t="shared" si="1"/>
        <v>90000</v>
      </c>
      <c r="D51">
        <f t="shared" si="2"/>
        <v>1121.728292480266</v>
      </c>
      <c r="E51">
        <f t="shared" si="3"/>
        <v>1200</v>
      </c>
      <c r="F51">
        <f t="shared" si="4"/>
        <v>180</v>
      </c>
      <c r="G51" s="2" t="s">
        <v>804</v>
      </c>
      <c r="H51">
        <f t="shared" si="5"/>
        <v>10</v>
      </c>
      <c r="I51" s="2">
        <v>10</v>
      </c>
      <c r="J51" s="56"/>
      <c r="K51" s="56"/>
      <c r="L51" s="56"/>
      <c r="M51" s="56"/>
      <c r="N51" s="32">
        <v>90000</v>
      </c>
      <c r="O51" s="61">
        <v>80.233333333333334</v>
      </c>
      <c r="P51" s="33">
        <v>75</v>
      </c>
      <c r="Q51" s="33">
        <v>500</v>
      </c>
      <c r="R51" s="37"/>
    </row>
    <row r="52" spans="1:18" ht="29.5" thickBot="1" x14ac:dyDescent="0.4">
      <c r="A52" s="25" t="s">
        <v>755</v>
      </c>
      <c r="B52" t="s">
        <v>909</v>
      </c>
      <c r="C52">
        <f t="shared" ca="1" si="1"/>
        <v>4250</v>
      </c>
      <c r="D52">
        <f t="shared" ca="1" si="2"/>
        <v>1062.5</v>
      </c>
      <c r="E52">
        <f t="shared" ca="1" si="3"/>
        <v>708.33333333333337</v>
      </c>
      <c r="F52">
        <f t="shared" ca="1" si="4"/>
        <v>531.25</v>
      </c>
      <c r="G52" s="2" t="s">
        <v>910</v>
      </c>
      <c r="H52">
        <f t="shared" ca="1" si="5"/>
        <v>250</v>
      </c>
      <c r="I52" s="14">
        <f ca="1">Input!B35</f>
        <v>257</v>
      </c>
      <c r="J52" s="2">
        <f>Input!B122</f>
        <v>243</v>
      </c>
      <c r="N52" s="27">
        <v>850</v>
      </c>
      <c r="O52" s="59">
        <v>4</v>
      </c>
      <c r="P52" s="27">
        <v>6</v>
      </c>
      <c r="Q52" s="27">
        <v>8</v>
      </c>
      <c r="R52" s="37"/>
    </row>
    <row r="53" spans="1:18" ht="58.5" thickBot="1" x14ac:dyDescent="0.4">
      <c r="A53" s="28" t="s">
        <v>701</v>
      </c>
      <c r="B53" t="s">
        <v>875</v>
      </c>
      <c r="C53">
        <f t="shared" ca="1" si="1"/>
        <v>22807.893370497855</v>
      </c>
      <c r="D53">
        <f t="shared" ca="1" si="2"/>
        <v>1041.4563182875734</v>
      </c>
      <c r="E53">
        <f t="shared" ca="1" si="3"/>
        <v>2850.9866713122319</v>
      </c>
      <c r="F53">
        <f t="shared" ca="1" si="4"/>
        <v>22807.893370497855</v>
      </c>
      <c r="G53" s="2" t="s">
        <v>876</v>
      </c>
      <c r="H53">
        <f t="shared" ca="1" si="5"/>
        <v>144.5</v>
      </c>
      <c r="I53" s="2" cm="1">
        <f t="array" aca="1" ref="I53" ca="1">MAX(IF(Input!A2:A493="Highest Livestock",Input!B2:B493))</f>
        <v>80</v>
      </c>
      <c r="J53" s="2">
        <f>Input!B122</f>
        <v>243</v>
      </c>
      <c r="K53" s="2" cm="1">
        <f t="array" aca="1" ref="K53" ca="1">MAX(IF(Input!A2:A493="Stone",Input!B2:B493))</f>
        <v>165</v>
      </c>
      <c r="L53" s="2" cm="1">
        <f t="array" aca="1" ref="L53" ca="1">MAX(IF(Products!A2:A500="Leather",Products!B2:B500))</f>
        <v>90</v>
      </c>
      <c r="N53" s="29">
        <v>6000</v>
      </c>
      <c r="O53" s="60">
        <v>21.9</v>
      </c>
      <c r="P53" s="30">
        <v>8</v>
      </c>
      <c r="Q53" s="30">
        <v>1</v>
      </c>
      <c r="R53" s="38"/>
    </row>
    <row r="54" spans="1:18" ht="29.5" thickBot="1" x14ac:dyDescent="0.4">
      <c r="A54" s="31" t="s">
        <v>730</v>
      </c>
      <c r="B54" t="s">
        <v>896</v>
      </c>
      <c r="C54">
        <f t="shared" ca="1" si="1"/>
        <v>15750.61931885269</v>
      </c>
      <c r="D54">
        <f t="shared" ca="1" si="2"/>
        <v>1050.0412879235128</v>
      </c>
      <c r="E54">
        <f t="shared" ca="1" si="3"/>
        <v>984.41370742829315</v>
      </c>
      <c r="F54">
        <f t="shared" ca="1" si="4"/>
        <v>1968.8274148565863</v>
      </c>
      <c r="G54" s="2" t="s">
        <v>897</v>
      </c>
      <c r="H54">
        <f t="shared" ca="1" si="5"/>
        <v>202.51592565503307</v>
      </c>
      <c r="I54" s="2" cm="1">
        <f t="array" aca="1" ref="I54" ca="1">MAX(IF(Products!A2:A500="Silk Cloth",Products!B2:B500))</f>
        <v>162.03185131006614</v>
      </c>
      <c r="J54" s="2">
        <f>Input!B122</f>
        <v>243</v>
      </c>
      <c r="N54" s="32">
        <v>3500</v>
      </c>
      <c r="O54" s="61">
        <v>15</v>
      </c>
      <c r="P54" s="33">
        <v>16</v>
      </c>
      <c r="Q54" s="33">
        <v>8</v>
      </c>
      <c r="R54" s="37"/>
    </row>
    <row r="55" spans="1:18" ht="29.5" thickBot="1" x14ac:dyDescent="0.4">
      <c r="A55" s="28" t="s">
        <v>629</v>
      </c>
      <c r="B55" t="s">
        <v>484</v>
      </c>
      <c r="C55">
        <f t="shared" ca="1" si="1"/>
        <v>8020.6597704817796</v>
      </c>
      <c r="D55">
        <f t="shared" ca="1" si="2"/>
        <v>1101.2347510958966</v>
      </c>
      <c r="E55">
        <f t="shared" ca="1" si="3"/>
        <v>1604.1319540963559</v>
      </c>
      <c r="F55">
        <f t="shared" ca="1" si="4"/>
        <v>802.06597704817796</v>
      </c>
      <c r="G55" s="2" t="s">
        <v>845</v>
      </c>
      <c r="H55">
        <f t="shared" ca="1" si="5"/>
        <v>160.82745788456208</v>
      </c>
      <c r="I55" s="2" cm="1">
        <f t="array" aca="1" ref="I55" ca="1">MAX(IF(Input!A2:A493="Hops",Input!B2:B493))</f>
        <v>90</v>
      </c>
      <c r="J55" s="2">
        <f ca="1">GEOMEAN(Tools!B4,Input!B32)</f>
        <v>231.65491576912413</v>
      </c>
      <c r="N55" s="29">
        <v>2000</v>
      </c>
      <c r="O55" s="60">
        <v>7.2833333333333332</v>
      </c>
      <c r="P55" s="30">
        <v>5</v>
      </c>
      <c r="Q55" s="30">
        <v>10</v>
      </c>
      <c r="R55" s="38"/>
    </row>
    <row r="56" spans="1:18" ht="29.5" thickBot="1" x14ac:dyDescent="0.4">
      <c r="A56" s="25" t="s">
        <v>540</v>
      </c>
      <c r="C56">
        <f t="shared" si="1"/>
        <v>4555.2167895721495</v>
      </c>
      <c r="D56">
        <f t="shared" si="2"/>
        <v>1001.1465471587143</v>
      </c>
      <c r="E56">
        <f t="shared" si="3"/>
        <v>227.76083947860747</v>
      </c>
      <c r="F56">
        <f t="shared" si="4"/>
        <v>45.552167895721496</v>
      </c>
      <c r="G56" s="2" t="s">
        <v>816</v>
      </c>
      <c r="H56">
        <f t="shared" si="5"/>
        <v>207.5</v>
      </c>
      <c r="I56" s="2">
        <f>AVERAGE(Input!B133,Workstations!B24)</f>
        <v>186.5</v>
      </c>
      <c r="J56" s="2">
        <f>Workstations!B27</f>
        <v>193</v>
      </c>
      <c r="K56" s="2">
        <f>Input!B122</f>
        <v>243</v>
      </c>
      <c r="N56" s="26">
        <v>1000</v>
      </c>
      <c r="O56" s="59">
        <v>4.55</v>
      </c>
      <c r="P56" s="27">
        <v>20</v>
      </c>
      <c r="Q56" s="27">
        <v>100</v>
      </c>
      <c r="R56" s="38"/>
    </row>
    <row r="57" spans="1:18" ht="15" hidden="1" thickBot="1" x14ac:dyDescent="0.4">
      <c r="A57" s="25" t="s">
        <v>681</v>
      </c>
      <c r="B57" t="s">
        <v>102</v>
      </c>
      <c r="C57">
        <f t="shared" si="1"/>
        <v>40000</v>
      </c>
      <c r="D57">
        <f t="shared" si="2"/>
        <v>997.09181553801409</v>
      </c>
      <c r="E57">
        <f t="shared" si="3"/>
        <v>666.66666666666663</v>
      </c>
      <c r="F57">
        <f t="shared" si="4"/>
        <v>266.66666666666669</v>
      </c>
      <c r="G57" s="2" t="s">
        <v>804</v>
      </c>
      <c r="H57">
        <f t="shared" si="5"/>
        <v>10</v>
      </c>
      <c r="I57" s="2">
        <v>10</v>
      </c>
      <c r="J57"/>
      <c r="K57"/>
      <c r="L57"/>
      <c r="M57"/>
      <c r="N57" s="26">
        <v>40000</v>
      </c>
      <c r="O57" s="59">
        <v>40.116666666666667</v>
      </c>
      <c r="P57" s="27">
        <v>60</v>
      </c>
      <c r="Q57" s="27">
        <v>150</v>
      </c>
      <c r="R57" s="38"/>
    </row>
    <row r="58" spans="1:18" ht="15" thickBot="1" x14ac:dyDescent="0.4">
      <c r="A58" s="22" t="s">
        <v>495</v>
      </c>
      <c r="C58">
        <f t="shared" si="1"/>
        <v>30547.012947258856</v>
      </c>
      <c r="D58">
        <f t="shared" si="2"/>
        <v>925.66705900784416</v>
      </c>
      <c r="E58">
        <f t="shared" si="3"/>
        <v>1174.8851133561097</v>
      </c>
      <c r="F58">
        <f t="shared" si="4"/>
        <v>872.77179849311017</v>
      </c>
      <c r="G58" s="2" t="s">
        <v>165</v>
      </c>
      <c r="H58">
        <f t="shared" si="5"/>
        <v>80</v>
      </c>
      <c r="I58" s="2">
        <f>Input!B33</f>
        <v>80</v>
      </c>
      <c r="N58" s="23">
        <v>10800</v>
      </c>
      <c r="O58" s="58">
        <v>33</v>
      </c>
      <c r="P58" s="24">
        <v>26</v>
      </c>
      <c r="Q58" s="24">
        <v>35</v>
      </c>
      <c r="R58" s="38"/>
    </row>
    <row r="59" spans="1:18" ht="15" hidden="1" thickBot="1" x14ac:dyDescent="0.4">
      <c r="A59" s="25" t="s">
        <v>501</v>
      </c>
      <c r="B59" t="s">
        <v>102</v>
      </c>
      <c r="C59">
        <f t="shared" si="1"/>
        <v>750</v>
      </c>
      <c r="D59">
        <f t="shared" si="2"/>
        <v>900</v>
      </c>
      <c r="E59">
        <f t="shared" si="3"/>
        <v>50</v>
      </c>
      <c r="F59">
        <f t="shared" si="4"/>
        <v>250</v>
      </c>
      <c r="G59" s="2" t="s">
        <v>804</v>
      </c>
      <c r="H59">
        <f t="shared" si="5"/>
        <v>10</v>
      </c>
      <c r="I59" s="2">
        <v>10</v>
      </c>
      <c r="J59"/>
      <c r="K59"/>
      <c r="L59"/>
      <c r="M59"/>
      <c r="N59" s="27">
        <v>750</v>
      </c>
      <c r="O59" s="59">
        <v>0.83333333333333337</v>
      </c>
      <c r="P59" s="27">
        <v>15</v>
      </c>
      <c r="Q59" s="27">
        <v>3</v>
      </c>
      <c r="R59" s="37"/>
    </row>
    <row r="60" spans="1:18" ht="44" thickBot="1" x14ac:dyDescent="0.4">
      <c r="A60" s="31" t="s">
        <v>593</v>
      </c>
      <c r="B60" t="s">
        <v>485</v>
      </c>
      <c r="C60">
        <f t="shared" ca="1" si="1"/>
        <v>1740.9049370944986</v>
      </c>
      <c r="D60">
        <f t="shared" ca="1" si="2"/>
        <v>870.45246854724928</v>
      </c>
      <c r="E60">
        <f t="shared" ca="1" si="3"/>
        <v>348.18098741889969</v>
      </c>
      <c r="F60">
        <f t="shared" ca="1" si="4"/>
        <v>290.15082284908311</v>
      </c>
      <c r="G60" s="2" t="s">
        <v>837</v>
      </c>
      <c r="H60">
        <f t="shared" ca="1" si="5"/>
        <v>149.66666666666666</v>
      </c>
      <c r="I60" s="2" cm="1">
        <f t="array" aca="1" ref="I60" ca="1">MAX(IF(Input!A2:A493="Chicken",Input!B2:B493))</f>
        <v>41</v>
      </c>
      <c r="J60" s="2">
        <f>Input!B122</f>
        <v>243</v>
      </c>
      <c r="K60" s="2" cm="1">
        <f t="array" aca="1" ref="K60" ca="1">MAX(IF(Input!A2:A493="Stone",Input!B2:B493))</f>
        <v>165</v>
      </c>
      <c r="N60" s="33">
        <v>450</v>
      </c>
      <c r="O60" s="61">
        <v>2</v>
      </c>
      <c r="P60" s="33">
        <v>5</v>
      </c>
      <c r="Q60" s="33">
        <v>6</v>
      </c>
      <c r="R60" s="38"/>
    </row>
    <row r="61" spans="1:18" ht="29.5" thickBot="1" x14ac:dyDescent="0.4">
      <c r="A61" s="25" t="s">
        <v>717</v>
      </c>
      <c r="B61" t="s">
        <v>883</v>
      </c>
      <c r="C61">
        <f t="shared" ca="1" si="1"/>
        <v>8418.7291202413671</v>
      </c>
      <c r="D61">
        <f t="shared" ca="1" si="2"/>
        <v>832.16432819519275</v>
      </c>
      <c r="E61">
        <f t="shared" ca="1" si="3"/>
        <v>200.44593143431825</v>
      </c>
      <c r="F61">
        <f t="shared" ca="1" si="4"/>
        <v>420.93645601206833</v>
      </c>
      <c r="G61" s="2" t="s">
        <v>884</v>
      </c>
      <c r="H61">
        <f t="shared" ca="1" si="5"/>
        <v>35</v>
      </c>
      <c r="I61" s="2" cm="1">
        <f t="array" aca="1" ref="I61" ca="1">MAX(IF(Input!A2:A493="Basalt",Input!B2:B493))</f>
        <v>60</v>
      </c>
      <c r="J61" s="2">
        <v>10</v>
      </c>
      <c r="N61" s="26">
        <v>4500</v>
      </c>
      <c r="O61" s="59">
        <v>10.116666666666667</v>
      </c>
      <c r="P61" s="27">
        <v>42</v>
      </c>
      <c r="Q61" s="27">
        <v>20</v>
      </c>
      <c r="R61" s="38"/>
    </row>
    <row r="62" spans="1:18" ht="15" hidden="1" thickBot="1" x14ac:dyDescent="0.4">
      <c r="A62" s="28" t="s">
        <v>110</v>
      </c>
      <c r="B62" t="s">
        <v>460</v>
      </c>
      <c r="C62">
        <f t="shared" si="1"/>
        <v>3000</v>
      </c>
      <c r="D62">
        <f t="shared" si="2"/>
        <v>825.6880733944954</v>
      </c>
      <c r="E62">
        <f t="shared" si="3"/>
        <v>333.33333333333331</v>
      </c>
      <c r="F62">
        <f t="shared" si="4"/>
        <v>1500</v>
      </c>
      <c r="G62" s="2" t="s">
        <v>804</v>
      </c>
      <c r="H62">
        <f t="shared" si="5"/>
        <v>10</v>
      </c>
      <c r="I62" s="2">
        <v>10</v>
      </c>
      <c r="J62" s="56"/>
      <c r="K62"/>
      <c r="L62"/>
      <c r="M62"/>
      <c r="N62" s="29">
        <v>3000</v>
      </c>
      <c r="O62" s="60">
        <v>3.6333333333333333</v>
      </c>
      <c r="P62" s="30">
        <v>9</v>
      </c>
      <c r="Q62" s="30">
        <v>2</v>
      </c>
      <c r="R62" s="37"/>
    </row>
    <row r="63" spans="1:18" ht="15" hidden="1" thickBot="1" x14ac:dyDescent="0.4">
      <c r="A63" s="22" t="s">
        <v>753</v>
      </c>
      <c r="B63" t="s">
        <v>557</v>
      </c>
      <c r="C63">
        <f t="shared" si="1"/>
        <v>6000</v>
      </c>
      <c r="D63">
        <f t="shared" si="2"/>
        <v>823.7986270022883</v>
      </c>
      <c r="E63">
        <f t="shared" si="3"/>
        <v>400</v>
      </c>
      <c r="F63">
        <f t="shared" si="4"/>
        <v>150</v>
      </c>
      <c r="G63" s="2" t="s">
        <v>804</v>
      </c>
      <c r="H63">
        <f t="shared" si="5"/>
        <v>10</v>
      </c>
      <c r="I63" s="2">
        <v>10</v>
      </c>
      <c r="J63"/>
      <c r="K63"/>
      <c r="L63"/>
      <c r="M63"/>
      <c r="N63" s="23">
        <v>6000</v>
      </c>
      <c r="O63" s="58">
        <v>7.2833333333333332</v>
      </c>
      <c r="P63" s="24">
        <v>15</v>
      </c>
      <c r="Q63" s="24">
        <v>40</v>
      </c>
      <c r="R63" s="38"/>
    </row>
    <row r="64" spans="1:18" ht="58.5" thickBot="1" x14ac:dyDescent="0.4">
      <c r="A64" s="28" t="s">
        <v>104</v>
      </c>
      <c r="C64">
        <f t="shared" ca="1" si="1"/>
        <v>23630.488780387088</v>
      </c>
      <c r="D64">
        <f t="shared" ca="1" si="2"/>
        <v>810.18818675612874</v>
      </c>
      <c r="E64">
        <f t="shared" ca="1" si="3"/>
        <v>3375.7841114838698</v>
      </c>
      <c r="F64">
        <f t="shared" ca="1" si="4"/>
        <v>675.15682229677395</v>
      </c>
      <c r="G64" s="2" t="s">
        <v>822</v>
      </c>
      <c r="H64">
        <f ca="1">1/20*(10*I64+J64+K64+8*L64)</f>
        <v>87.25</v>
      </c>
      <c r="I64" s="2">
        <f>Workstations!$B$26</f>
        <v>74</v>
      </c>
      <c r="J64" s="14">
        <f>Products!$B$2</f>
        <v>206</v>
      </c>
      <c r="K64" s="2">
        <f>Input!$B$18</f>
        <v>101</v>
      </c>
      <c r="L64" s="2">
        <f ca="1">H64</f>
        <v>87.25</v>
      </c>
      <c r="N64" s="29">
        <v>8000</v>
      </c>
      <c r="O64" s="60">
        <v>29.166666666666668</v>
      </c>
      <c r="P64" s="30">
        <v>7</v>
      </c>
      <c r="Q64" s="30">
        <v>35</v>
      </c>
      <c r="R64" s="37"/>
    </row>
    <row r="65" spans="1:18" ht="15" hidden="1" thickBot="1" x14ac:dyDescent="0.4">
      <c r="A65" s="25" t="s">
        <v>771</v>
      </c>
      <c r="B65" t="s">
        <v>102</v>
      </c>
      <c r="C65">
        <f t="shared" si="1"/>
        <v>80000</v>
      </c>
      <c r="D65">
        <f t="shared" si="2"/>
        <v>783.4176595397422</v>
      </c>
      <c r="E65">
        <f t="shared" si="3"/>
        <v>3200</v>
      </c>
      <c r="F65">
        <f t="shared" si="4"/>
        <v>80</v>
      </c>
      <c r="G65" s="2" t="s">
        <v>804</v>
      </c>
      <c r="H65">
        <f>AVERAGE(I65:M65)</f>
        <v>10</v>
      </c>
      <c r="I65" s="2">
        <v>10</v>
      </c>
      <c r="J65"/>
      <c r="K65"/>
      <c r="L65"/>
      <c r="M65"/>
      <c r="N65" s="26">
        <v>80000</v>
      </c>
      <c r="O65" s="59">
        <v>102.11666666666666</v>
      </c>
      <c r="P65" s="27">
        <v>25</v>
      </c>
      <c r="Q65" s="26">
        <v>1000</v>
      </c>
      <c r="R65" s="37"/>
    </row>
    <row r="66" spans="1:18" ht="44" thickBot="1" x14ac:dyDescent="0.4">
      <c r="A66" s="28" t="s">
        <v>729</v>
      </c>
      <c r="B66" t="s">
        <v>895</v>
      </c>
      <c r="C66">
        <f t="shared" si="1"/>
        <v>51020.829079896379</v>
      </c>
      <c r="D66">
        <f t="shared" si="2"/>
        <v>777.1641900974314</v>
      </c>
      <c r="E66">
        <f t="shared" si="3"/>
        <v>3188.8018174935237</v>
      </c>
      <c r="F66">
        <f t="shared" si="4"/>
        <v>1020.4165815979276</v>
      </c>
      <c r="G66" s="2" t="s">
        <v>894</v>
      </c>
      <c r="H66">
        <f>AVERAGE(I66:M66)</f>
        <v>85</v>
      </c>
      <c r="I66" s="2">
        <v>10</v>
      </c>
      <c r="L66" s="14">
        <f>MAX(Products!B72:B86)</f>
        <v>160</v>
      </c>
      <c r="N66" s="29">
        <v>17500</v>
      </c>
      <c r="O66" s="60">
        <v>65.650000000000006</v>
      </c>
      <c r="P66" s="30">
        <v>16</v>
      </c>
      <c r="Q66" s="30">
        <v>50</v>
      </c>
      <c r="R66" s="37"/>
    </row>
    <row r="67" spans="1:18" ht="29.5" thickBot="1" x14ac:dyDescent="0.4">
      <c r="A67" s="28" t="s">
        <v>582</v>
      </c>
      <c r="B67" t="s">
        <v>579</v>
      </c>
      <c r="C67">
        <f t="shared" si="1"/>
        <v>16035.117710824577</v>
      </c>
      <c r="D67">
        <f t="shared" si="2"/>
        <v>732.75480780614976</v>
      </c>
      <c r="E67">
        <f t="shared" si="3"/>
        <v>1069.0078473883052</v>
      </c>
      <c r="F67">
        <f t="shared" si="4"/>
        <v>1233.4705931403521</v>
      </c>
      <c r="G67" s="2" t="s">
        <v>832</v>
      </c>
      <c r="H67">
        <f>AVERAGE(I67:M67)</f>
        <v>85</v>
      </c>
      <c r="I67" s="2">
        <v>10</v>
      </c>
      <c r="K67" s="14">
        <f>MAX(Products!B72:B86)</f>
        <v>160</v>
      </c>
      <c r="N67" s="29">
        <v>5500</v>
      </c>
      <c r="O67" s="60">
        <v>21.883333333333333</v>
      </c>
      <c r="P67" s="30">
        <v>15</v>
      </c>
      <c r="Q67" s="30">
        <v>13</v>
      </c>
      <c r="R67" s="37"/>
    </row>
    <row r="68" spans="1:18" ht="29.5" thickBot="1" x14ac:dyDescent="0.4">
      <c r="A68" s="28" t="s">
        <v>492</v>
      </c>
      <c r="B68" t="s">
        <v>485</v>
      </c>
      <c r="C68">
        <f t="shared" si="1"/>
        <v>10672.687103068281</v>
      </c>
      <c r="D68">
        <f t="shared" si="2"/>
        <v>731.84140135325356</v>
      </c>
      <c r="E68">
        <f t="shared" si="3"/>
        <v>533.63435515341405</v>
      </c>
      <c r="F68">
        <f t="shared" si="4"/>
        <v>444.69529596117837</v>
      </c>
      <c r="G68" s="2" t="s">
        <v>812</v>
      </c>
      <c r="H68">
        <f>AVERAGE(I68:M68)</f>
        <v>182.25</v>
      </c>
      <c r="I68" s="2">
        <f>AVERAGE(Input!B314,Workstations!B24)</f>
        <v>121.5</v>
      </c>
      <c r="J68" s="2">
        <f>Input!B122</f>
        <v>243</v>
      </c>
      <c r="K68"/>
      <c r="L68"/>
      <c r="M68"/>
      <c r="N68" s="29">
        <v>2500</v>
      </c>
      <c r="O68" s="60">
        <v>14.583333333333334</v>
      </c>
      <c r="P68" s="30">
        <v>20</v>
      </c>
      <c r="Q68" s="30">
        <v>24</v>
      </c>
      <c r="R68" s="38"/>
    </row>
    <row r="69" spans="1:18" ht="58.5" thickBot="1" x14ac:dyDescent="0.4">
      <c r="A69" s="28" t="s">
        <v>299</v>
      </c>
      <c r="B69" t="s">
        <v>460</v>
      </c>
      <c r="C69">
        <f t="shared" ca="1" si="1"/>
        <v>443.07166463225786</v>
      </c>
      <c r="D69">
        <f t="shared" ca="1" si="2"/>
        <v>738.4527743870965</v>
      </c>
      <c r="E69">
        <f t="shared" ca="1" si="3"/>
        <v>110.76791615806447</v>
      </c>
      <c r="F69">
        <f t="shared" ca="1" si="4"/>
        <v>44.307166463225784</v>
      </c>
      <c r="G69" s="2" t="s">
        <v>900</v>
      </c>
      <c r="H69">
        <f ca="1">1/20*(10*I69+J69+K69+8*L69)</f>
        <v>87.25</v>
      </c>
      <c r="I69" s="2">
        <f>Workstations!$B$26</f>
        <v>74</v>
      </c>
      <c r="J69" s="14">
        <f>Products!$B$2</f>
        <v>206</v>
      </c>
      <c r="K69" s="2">
        <f>Input!$B$18</f>
        <v>101</v>
      </c>
      <c r="L69" s="2">
        <f ca="1">H69</f>
        <v>87.25</v>
      </c>
      <c r="N69" s="30">
        <v>150</v>
      </c>
      <c r="O69" s="60">
        <v>0.6</v>
      </c>
      <c r="P69" s="30">
        <v>4</v>
      </c>
      <c r="Q69" s="30">
        <v>10</v>
      </c>
      <c r="R69" s="38"/>
    </row>
    <row r="70" spans="1:18" ht="44" thickBot="1" x14ac:dyDescent="0.4">
      <c r="A70" s="25" t="s">
        <v>631</v>
      </c>
      <c r="B70" t="s">
        <v>847</v>
      </c>
      <c r="C70">
        <f t="shared" ca="1" si="1"/>
        <v>10250.609737961933</v>
      </c>
      <c r="D70">
        <f t="shared" ca="1" si="2"/>
        <v>702.89895346024684</v>
      </c>
      <c r="E70">
        <f t="shared" ca="1" si="3"/>
        <v>2562.6524344904833</v>
      </c>
      <c r="F70">
        <f t="shared" ca="1" si="4"/>
        <v>5125.3048689809666</v>
      </c>
      <c r="G70" s="2" t="s">
        <v>846</v>
      </c>
      <c r="H70">
        <f ca="1">AVERAGE(I70:M70)</f>
        <v>116.75</v>
      </c>
      <c r="I70" s="2">
        <f ca="1">H69</f>
        <v>87.25</v>
      </c>
      <c r="J70" s="2">
        <v>20</v>
      </c>
      <c r="K70" s="2">
        <f>Input!B122</f>
        <v>243</v>
      </c>
      <c r="N70" s="26">
        <v>3000</v>
      </c>
      <c r="O70" s="59">
        <v>14.583333333333334</v>
      </c>
      <c r="P70" s="27">
        <v>4</v>
      </c>
      <c r="Q70" s="27">
        <v>2</v>
      </c>
      <c r="R70" s="38"/>
    </row>
    <row r="71" spans="1:18" ht="15" hidden="1" thickBot="1" x14ac:dyDescent="0.4">
      <c r="A71" s="28" t="s">
        <v>108</v>
      </c>
      <c r="B71" t="s">
        <v>460</v>
      </c>
      <c r="C71">
        <f t="shared" si="1"/>
        <v>3500</v>
      </c>
      <c r="D71">
        <f t="shared" si="2"/>
        <v>700</v>
      </c>
      <c r="E71">
        <f t="shared" si="3"/>
        <v>700</v>
      </c>
      <c r="F71">
        <f t="shared" si="4"/>
        <v>140</v>
      </c>
      <c r="G71" s="2" t="s">
        <v>804</v>
      </c>
      <c r="H71">
        <f>AVERAGE(I71:M71)</f>
        <v>10</v>
      </c>
      <c r="I71" s="2">
        <v>10</v>
      </c>
      <c r="J71"/>
      <c r="K71"/>
      <c r="L71"/>
      <c r="M71"/>
      <c r="N71" s="29">
        <v>3500</v>
      </c>
      <c r="O71" s="60">
        <v>5</v>
      </c>
      <c r="P71" s="30">
        <v>5</v>
      </c>
      <c r="Q71" s="30">
        <v>25</v>
      </c>
      <c r="R71" s="37"/>
    </row>
    <row r="72" spans="1:18" ht="29.5" thickBot="1" x14ac:dyDescent="0.4">
      <c r="A72" s="25" t="s">
        <v>699</v>
      </c>
      <c r="B72" t="s">
        <v>873</v>
      </c>
      <c r="C72">
        <f t="shared" si="1"/>
        <v>15000</v>
      </c>
      <c r="D72">
        <f t="shared" si="2"/>
        <v>685.45316070068543</v>
      </c>
      <c r="E72">
        <f t="shared" si="3"/>
        <v>428.57142857142856</v>
      </c>
      <c r="F72">
        <f t="shared" si="4"/>
        <v>1000</v>
      </c>
      <c r="G72" s="2" t="s">
        <v>874</v>
      </c>
      <c r="H72">
        <f>AVERAGE(I72:M72)</f>
        <v>10</v>
      </c>
      <c r="I72" s="2">
        <v>10</v>
      </c>
      <c r="N72" s="26">
        <v>15000</v>
      </c>
      <c r="O72" s="59">
        <v>21.883333333333333</v>
      </c>
      <c r="P72" s="27">
        <v>35</v>
      </c>
      <c r="Q72" s="27">
        <v>15</v>
      </c>
      <c r="R72" s="38"/>
    </row>
    <row r="73" spans="1:18" ht="44" thickBot="1" x14ac:dyDescent="0.4">
      <c r="A73" s="22" t="s">
        <v>760</v>
      </c>
      <c r="B73" t="s">
        <v>484</v>
      </c>
      <c r="C73">
        <f t="shared" ca="1" si="1"/>
        <v>19292.807722247257</v>
      </c>
      <c r="D73">
        <f t="shared" ca="1" si="2"/>
        <v>720.3288508617519</v>
      </c>
      <c r="E73">
        <f t="shared" ca="1" si="3"/>
        <v>535.9113256179794</v>
      </c>
      <c r="F73">
        <f t="shared" ca="1" si="4"/>
        <v>803.86698842696899</v>
      </c>
      <c r="G73" s="2" t="s">
        <v>918</v>
      </c>
      <c r="H73">
        <f ca="1">AVERAGE(I73:M73)</f>
        <v>148.88497192304138</v>
      </c>
      <c r="I73" s="2">
        <f ca="1">GEOMEAN(Tools!B4,Input!B32)</f>
        <v>231.65491576912413</v>
      </c>
      <c r="J73" s="14" cm="1">
        <f t="array" aca="1" ref="J73" ca="1">MAX(IF(Products!A1:A500="Bone Glue",Products!B1:B500))</f>
        <v>130</v>
      </c>
      <c r="K73" s="14">
        <f>Products!B46</f>
        <v>85</v>
      </c>
      <c r="N73" s="23">
        <v>5000</v>
      </c>
      <c r="O73" s="58">
        <v>26.783333333333335</v>
      </c>
      <c r="P73" s="24">
        <v>36</v>
      </c>
      <c r="Q73" s="24">
        <v>24</v>
      </c>
      <c r="R73" s="38"/>
    </row>
    <row r="74" spans="1:18" ht="58.5" thickBot="1" x14ac:dyDescent="0.4">
      <c r="A74" s="31" t="s">
        <v>293</v>
      </c>
      <c r="B74" t="s">
        <v>649</v>
      </c>
      <c r="C74">
        <f t="shared" ca="1" si="1"/>
        <v>1476.905548774193</v>
      </c>
      <c r="D74">
        <f t="shared" ca="1" si="2"/>
        <v>681.64871481885837</v>
      </c>
      <c r="E74">
        <f t="shared" ca="1" si="3"/>
        <v>147.69055487741929</v>
      </c>
      <c r="F74">
        <f t="shared" ca="1" si="4"/>
        <v>147.69055487741929</v>
      </c>
      <c r="G74" s="2" t="s">
        <v>853</v>
      </c>
      <c r="H74">
        <f ca="1">1/20*(10*I74+J74+K74+8*L74)</f>
        <v>87.25</v>
      </c>
      <c r="I74" s="2">
        <f>Workstations!$B$26</f>
        <v>74</v>
      </c>
      <c r="J74" s="14">
        <f>Products!$B$2</f>
        <v>206</v>
      </c>
      <c r="K74" s="2">
        <f>Input!$B$18</f>
        <v>101</v>
      </c>
      <c r="L74" s="2">
        <f ca="1">H74</f>
        <v>87.25</v>
      </c>
      <c r="N74" s="33">
        <v>500</v>
      </c>
      <c r="O74" s="61">
        <v>2.1666666666666665</v>
      </c>
      <c r="P74" s="33">
        <v>10</v>
      </c>
      <c r="Q74" s="33">
        <v>10</v>
      </c>
      <c r="R74" s="37"/>
    </row>
    <row r="75" spans="1:18" ht="15" hidden="1" thickBot="1" x14ac:dyDescent="0.4">
      <c r="A75" s="31" t="s">
        <v>465</v>
      </c>
      <c r="B75" t="s">
        <v>102</v>
      </c>
      <c r="C75">
        <f t="shared" si="1"/>
        <v>2000</v>
      </c>
      <c r="D75">
        <f t="shared" si="2"/>
        <v>659.34065934065939</v>
      </c>
      <c r="E75">
        <f t="shared" si="3"/>
        <v>333.33333333333331</v>
      </c>
      <c r="F75">
        <f t="shared" si="4"/>
        <v>1000</v>
      </c>
      <c r="G75" s="2" t="s">
        <v>804</v>
      </c>
      <c r="H75">
        <f t="shared" ref="H75:H80" si="6">AVERAGE(I75:M75)</f>
        <v>10</v>
      </c>
      <c r="I75">
        <v>10</v>
      </c>
      <c r="J75"/>
      <c r="K75"/>
      <c r="L75"/>
      <c r="M75"/>
      <c r="N75" s="32">
        <v>2000</v>
      </c>
      <c r="O75" s="61">
        <v>3.0333333333333332</v>
      </c>
      <c r="P75" s="33">
        <v>6</v>
      </c>
      <c r="Q75" s="33">
        <v>2</v>
      </c>
      <c r="R75" s="37"/>
    </row>
    <row r="76" spans="1:18" ht="15" hidden="1" thickBot="1" x14ac:dyDescent="0.4">
      <c r="A76" s="25" t="s">
        <v>750</v>
      </c>
      <c r="B76" t="s">
        <v>102</v>
      </c>
      <c r="C76">
        <f t="shared" si="1"/>
        <v>900</v>
      </c>
      <c r="D76">
        <f t="shared" si="2"/>
        <v>658.53658536585363</v>
      </c>
      <c r="E76">
        <f t="shared" si="3"/>
        <v>128.57142857142858</v>
      </c>
      <c r="F76">
        <f t="shared" si="4"/>
        <v>60</v>
      </c>
      <c r="G76" s="2" t="s">
        <v>804</v>
      </c>
      <c r="H76">
        <f t="shared" si="6"/>
        <v>10</v>
      </c>
      <c r="I76" s="2">
        <v>10</v>
      </c>
      <c r="J76"/>
      <c r="K76"/>
      <c r="L76"/>
      <c r="M76"/>
      <c r="N76" s="27">
        <v>900</v>
      </c>
      <c r="O76" s="59">
        <v>1.3666666666666667</v>
      </c>
      <c r="P76" s="27">
        <v>7</v>
      </c>
      <c r="Q76" s="27">
        <v>15</v>
      </c>
      <c r="R76" s="38"/>
    </row>
    <row r="77" spans="1:18" ht="87.5" thickBot="1" x14ac:dyDescent="0.4">
      <c r="A77" s="31" t="s">
        <v>747</v>
      </c>
      <c r="B77" t="s">
        <v>504</v>
      </c>
      <c r="C77">
        <f t="shared" si="1"/>
        <v>32000</v>
      </c>
      <c r="D77">
        <f t="shared" si="2"/>
        <v>649.96614759647935</v>
      </c>
      <c r="E77">
        <f t="shared" si="3"/>
        <v>2461.5384615384614</v>
      </c>
      <c r="F77">
        <f t="shared" si="4"/>
        <v>640</v>
      </c>
      <c r="G77" s="2" t="s">
        <v>919</v>
      </c>
      <c r="H77">
        <f t="shared" si="6"/>
        <v>160</v>
      </c>
      <c r="I77" s="14">
        <f>MAX(Products!B72:B86)</f>
        <v>160</v>
      </c>
      <c r="J77" s="14"/>
      <c r="N77" s="32">
        <v>8000</v>
      </c>
      <c r="O77" s="61">
        <v>49.233333333333334</v>
      </c>
      <c r="P77" s="33">
        <v>13</v>
      </c>
      <c r="Q77" s="33">
        <v>50</v>
      </c>
      <c r="R77" s="37"/>
    </row>
    <row r="78" spans="1:18" ht="44" thickBot="1" x14ac:dyDescent="0.4">
      <c r="A78" s="28" t="s">
        <v>727</v>
      </c>
      <c r="B78" t="s">
        <v>890</v>
      </c>
      <c r="C78">
        <f t="shared" ca="1" si="1"/>
        <v>15400.588462782844</v>
      </c>
      <c r="D78">
        <f t="shared" ca="1" si="2"/>
        <v>641.69118594928511</v>
      </c>
      <c r="E78">
        <f t="shared" ca="1" si="3"/>
        <v>770.02942313914218</v>
      </c>
      <c r="F78">
        <f t="shared" ca="1" si="4"/>
        <v>513.35294875942816</v>
      </c>
      <c r="G78" s="2" t="s">
        <v>891</v>
      </c>
      <c r="H78">
        <f t="shared" ca="1" si="6"/>
        <v>117.125</v>
      </c>
      <c r="I78" s="2">
        <v>10</v>
      </c>
      <c r="J78" s="2" cm="1">
        <f t="array" aca="1" ref="J78" ca="1">MAX(IF((Products!A2:A500="Linen Cloth")+(Products!A2:A500="Hemp Cloth"),Products!B2:B500))</f>
        <v>224.25</v>
      </c>
      <c r="N78" s="29">
        <v>4500</v>
      </c>
      <c r="O78" s="60">
        <v>24</v>
      </c>
      <c r="P78" s="30">
        <v>20</v>
      </c>
      <c r="Q78" s="30">
        <v>30</v>
      </c>
      <c r="R78" s="37"/>
    </row>
    <row r="79" spans="1:18" ht="29.5" thickBot="1" x14ac:dyDescent="0.4">
      <c r="A79" s="25" t="s">
        <v>578</v>
      </c>
      <c r="B79" t="s">
        <v>579</v>
      </c>
      <c r="C79">
        <f t="shared" si="1"/>
        <v>11661.903789690601</v>
      </c>
      <c r="D79">
        <f t="shared" si="2"/>
        <v>639.59252959911885</v>
      </c>
      <c r="E79">
        <f t="shared" si="3"/>
        <v>583.09518948453001</v>
      </c>
      <c r="F79">
        <f t="shared" si="4"/>
        <v>1060.1730717900546</v>
      </c>
      <c r="G79" s="2" t="s">
        <v>832</v>
      </c>
      <c r="H79">
        <f t="shared" si="6"/>
        <v>85</v>
      </c>
      <c r="I79" s="2">
        <v>10</v>
      </c>
      <c r="K79" s="14">
        <f>MAX(Products!B72:B86)</f>
        <v>160</v>
      </c>
      <c r="N79" s="26">
        <v>4000</v>
      </c>
      <c r="O79" s="59">
        <v>18.233333333333334</v>
      </c>
      <c r="P79" s="27">
        <v>20</v>
      </c>
      <c r="Q79" s="27">
        <v>11</v>
      </c>
      <c r="R79" s="38"/>
    </row>
    <row r="80" spans="1:18" ht="29.5" thickBot="1" x14ac:dyDescent="0.4">
      <c r="A80" s="25" t="s">
        <v>705</v>
      </c>
      <c r="B80" t="s">
        <v>877</v>
      </c>
      <c r="C80">
        <f t="shared" si="1"/>
        <v>2311.844501691236</v>
      </c>
      <c r="D80">
        <f t="shared" si="2"/>
        <v>636.28747752969798</v>
      </c>
      <c r="E80">
        <f t="shared" si="3"/>
        <v>770.61483389707871</v>
      </c>
      <c r="F80">
        <f t="shared" si="4"/>
        <v>462.36890033824722</v>
      </c>
      <c r="G80" s="2" t="s">
        <v>878</v>
      </c>
      <c r="H80">
        <f t="shared" si="6"/>
        <v>126.5</v>
      </c>
      <c r="I80" s="2">
        <v>10</v>
      </c>
      <c r="J80" s="2">
        <f>Input!B122</f>
        <v>243</v>
      </c>
      <c r="N80" s="27">
        <v>650</v>
      </c>
      <c r="O80" s="59">
        <v>3.6333333333333333</v>
      </c>
      <c r="P80" s="27">
        <v>3</v>
      </c>
      <c r="Q80" s="27">
        <v>5</v>
      </c>
      <c r="R80" s="38"/>
    </row>
    <row r="81" spans="1:18" ht="73" thickBot="1" x14ac:dyDescent="0.4">
      <c r="A81" s="28" t="s">
        <v>481</v>
      </c>
      <c r="B81" t="s">
        <v>477</v>
      </c>
      <c r="C81">
        <f t="shared" si="1"/>
        <v>27762.6660283194</v>
      </c>
      <c r="D81">
        <f t="shared" si="2"/>
        <v>634.3335726196359</v>
      </c>
      <c r="E81">
        <f t="shared" si="3"/>
        <v>1388.13330141597</v>
      </c>
      <c r="F81">
        <f t="shared" si="4"/>
        <v>462.71110047198999</v>
      </c>
      <c r="G81" s="2" t="s">
        <v>973</v>
      </c>
      <c r="H81">
        <f>1/8*(M81+L81+6*AVERAGE(I81:K81))</f>
        <v>95.15625</v>
      </c>
      <c r="I81" s="14">
        <f>Products!B68</f>
        <v>94.125</v>
      </c>
      <c r="J81" s="2">
        <f>Input!B76</f>
        <v>60</v>
      </c>
      <c r="K81" s="14">
        <f>Products!B47</f>
        <v>90</v>
      </c>
      <c r="L81" s="2">
        <f>Workstations!B4</f>
        <v>172</v>
      </c>
      <c r="M81" s="2">
        <f>Input!B18</f>
        <v>101</v>
      </c>
      <c r="N81" s="29">
        <v>9000</v>
      </c>
      <c r="O81" s="60">
        <v>43.766666666666666</v>
      </c>
      <c r="P81" s="30">
        <v>20</v>
      </c>
      <c r="Q81" s="30">
        <v>60</v>
      </c>
      <c r="R81" s="37"/>
    </row>
    <row r="82" spans="1:18" ht="15" hidden="1" thickBot="1" x14ac:dyDescent="0.4">
      <c r="A82" s="22" t="s">
        <v>583</v>
      </c>
      <c r="B82" t="s">
        <v>460</v>
      </c>
      <c r="C82">
        <f t="shared" si="1"/>
        <v>1500</v>
      </c>
      <c r="D82">
        <f t="shared" si="2"/>
        <v>620.68965517241384</v>
      </c>
      <c r="E82">
        <f t="shared" si="3"/>
        <v>214.28571428571428</v>
      </c>
      <c r="F82">
        <f t="shared" si="4"/>
        <v>50</v>
      </c>
      <c r="G82" s="2" t="s">
        <v>804</v>
      </c>
      <c r="H82">
        <f t="shared" ref="H82:H102" si="7">AVERAGE(I82:M82)</f>
        <v>10</v>
      </c>
      <c r="I82" s="2">
        <v>10</v>
      </c>
      <c r="J82"/>
      <c r="K82"/>
      <c r="L82"/>
      <c r="M82"/>
      <c r="N82" s="23">
        <v>1500</v>
      </c>
      <c r="O82" s="58">
        <v>2.4166666666666665</v>
      </c>
      <c r="P82" s="24">
        <v>7</v>
      </c>
      <c r="Q82" s="24">
        <v>30</v>
      </c>
      <c r="R82" s="37"/>
    </row>
    <row r="83" spans="1:18" ht="15" hidden="1" thickBot="1" x14ac:dyDescent="0.4">
      <c r="A83" s="25" t="s">
        <v>802</v>
      </c>
      <c r="B83" t="s">
        <v>460</v>
      </c>
      <c r="C83">
        <f t="shared" si="1"/>
        <v>1500</v>
      </c>
      <c r="D83">
        <f t="shared" si="2"/>
        <v>620.68965517241384</v>
      </c>
      <c r="E83">
        <f t="shared" si="3"/>
        <v>214.28571428571428</v>
      </c>
      <c r="F83">
        <f t="shared" si="4"/>
        <v>50</v>
      </c>
      <c r="G83" s="2" t="s">
        <v>804</v>
      </c>
      <c r="H83">
        <f t="shared" si="7"/>
        <v>10</v>
      </c>
      <c r="I83" s="2">
        <v>10</v>
      </c>
      <c r="J83"/>
      <c r="K83"/>
      <c r="L83"/>
      <c r="M83"/>
      <c r="N83" s="26">
        <v>1500</v>
      </c>
      <c r="O83" s="59">
        <v>2.4166666666666665</v>
      </c>
      <c r="P83" s="27">
        <v>7</v>
      </c>
      <c r="Q83" s="27">
        <v>30</v>
      </c>
      <c r="R83" s="38"/>
    </row>
    <row r="84" spans="1:18" ht="15" hidden="1" thickBot="1" x14ac:dyDescent="0.4">
      <c r="A84" s="25" t="s">
        <v>702</v>
      </c>
      <c r="B84" t="s">
        <v>16</v>
      </c>
      <c r="C84">
        <f t="shared" si="1"/>
        <v>4500</v>
      </c>
      <c r="D84">
        <f t="shared" si="2"/>
        <v>617.84897025171631</v>
      </c>
      <c r="E84">
        <f t="shared" si="3"/>
        <v>450</v>
      </c>
      <c r="F84">
        <f t="shared" si="4"/>
        <v>250</v>
      </c>
      <c r="G84" s="2" t="s">
        <v>804</v>
      </c>
      <c r="H84">
        <f t="shared" si="7"/>
        <v>10</v>
      </c>
      <c r="I84" s="2">
        <v>10</v>
      </c>
      <c r="J84"/>
      <c r="K84"/>
      <c r="L84"/>
      <c r="M84"/>
      <c r="N84" s="26">
        <v>4500</v>
      </c>
      <c r="O84" s="59">
        <v>7.2833333333333332</v>
      </c>
      <c r="P84" s="27">
        <v>10</v>
      </c>
      <c r="Q84" s="27">
        <v>18</v>
      </c>
      <c r="R84" s="37"/>
    </row>
    <row r="85" spans="1:18" ht="15" hidden="1" thickBot="1" x14ac:dyDescent="0.4">
      <c r="A85" s="28" t="s">
        <v>714</v>
      </c>
      <c r="B85" t="s">
        <v>102</v>
      </c>
      <c r="C85">
        <f t="shared" si="1"/>
        <v>2400</v>
      </c>
      <c r="D85">
        <f t="shared" si="2"/>
        <v>600</v>
      </c>
      <c r="E85">
        <f t="shared" si="3"/>
        <v>600</v>
      </c>
      <c r="F85">
        <f t="shared" si="4"/>
        <v>600</v>
      </c>
      <c r="G85" s="2" t="s">
        <v>804</v>
      </c>
      <c r="H85">
        <f t="shared" si="7"/>
        <v>10</v>
      </c>
      <c r="I85" s="2">
        <v>10</v>
      </c>
      <c r="J85"/>
      <c r="K85"/>
      <c r="L85"/>
      <c r="M85"/>
      <c r="N85" s="29">
        <v>2400</v>
      </c>
      <c r="O85" s="60">
        <v>4</v>
      </c>
      <c r="P85" s="30">
        <v>4</v>
      </c>
      <c r="Q85" s="30">
        <v>4</v>
      </c>
      <c r="R85" s="37"/>
    </row>
    <row r="86" spans="1:18" ht="29.5" thickBot="1" x14ac:dyDescent="0.4">
      <c r="A86" s="31" t="s">
        <v>516</v>
      </c>
      <c r="C86">
        <f t="shared" si="1"/>
        <v>12000</v>
      </c>
      <c r="D86">
        <f t="shared" si="2"/>
        <v>598.50374064837899</v>
      </c>
      <c r="E86">
        <f t="shared" si="3"/>
        <v>400</v>
      </c>
      <c r="F86">
        <f t="shared" si="4"/>
        <v>600</v>
      </c>
      <c r="G86" s="2" t="s">
        <v>814</v>
      </c>
      <c r="H86">
        <f t="shared" si="7"/>
        <v>10</v>
      </c>
      <c r="I86" s="2">
        <v>10</v>
      </c>
      <c r="N86" s="32">
        <v>12000</v>
      </c>
      <c r="O86" s="61">
        <v>20.05</v>
      </c>
      <c r="P86" s="33">
        <v>30</v>
      </c>
      <c r="Q86" s="33">
        <v>20</v>
      </c>
      <c r="R86" s="37"/>
    </row>
    <row r="87" spans="1:18" ht="44" thickBot="1" x14ac:dyDescent="0.4">
      <c r="A87" s="22" t="s">
        <v>513</v>
      </c>
      <c r="B87" t="s">
        <v>485</v>
      </c>
      <c r="C87">
        <f t="shared" ca="1" si="1"/>
        <v>9071.9347440333804</v>
      </c>
      <c r="D87">
        <f t="shared" ca="1" si="2"/>
        <v>553.16675268496226</v>
      </c>
      <c r="E87">
        <f t="shared" ca="1" si="3"/>
        <v>1511.9891240055633</v>
      </c>
      <c r="F87">
        <f t="shared" ca="1" si="4"/>
        <v>362.87738976133522</v>
      </c>
      <c r="G87" s="2" t="s">
        <v>813</v>
      </c>
      <c r="H87">
        <f t="shared" ca="1" si="7"/>
        <v>205.75</v>
      </c>
      <c r="I87" s="14" cm="1">
        <f t="array" aca="1" ref="I87" ca="1">MAX(IF((Products!A2:A500="Linen Cloth")+(Products!A2:A500="Hemp Cloth"),Products!B2:B500))</f>
        <v>224.25</v>
      </c>
      <c r="J87" s="37">
        <f>Input!B122</f>
        <v>243</v>
      </c>
      <c r="K87">
        <f>Input!B134</f>
        <v>150</v>
      </c>
      <c r="L87"/>
      <c r="M87"/>
      <c r="N87" s="23">
        <v>2000</v>
      </c>
      <c r="O87" s="58">
        <v>16.399999999999999</v>
      </c>
      <c r="P87" s="24">
        <v>6</v>
      </c>
      <c r="Q87" s="24">
        <v>25</v>
      </c>
      <c r="R87" s="38"/>
    </row>
    <row r="88" spans="1:18" ht="29.5" thickBot="1" x14ac:dyDescent="0.4">
      <c r="A88" s="28" t="s">
        <v>741</v>
      </c>
      <c r="B88" t="s">
        <v>742</v>
      </c>
      <c r="C88">
        <f t="shared" si="1"/>
        <v>3000</v>
      </c>
      <c r="D88">
        <f t="shared" si="2"/>
        <v>548.78048780487802</v>
      </c>
      <c r="E88">
        <f t="shared" si="3"/>
        <v>375</v>
      </c>
      <c r="F88">
        <f t="shared" si="4"/>
        <v>187.5</v>
      </c>
      <c r="G88" s="2" t="s">
        <v>906</v>
      </c>
      <c r="H88">
        <f t="shared" si="7"/>
        <v>10</v>
      </c>
      <c r="I88" s="2">
        <v>10</v>
      </c>
      <c r="N88" s="29">
        <v>3000</v>
      </c>
      <c r="O88" s="60">
        <v>5.4666666666666668</v>
      </c>
      <c r="P88" s="30">
        <v>8</v>
      </c>
      <c r="Q88" s="30">
        <v>16</v>
      </c>
      <c r="R88" s="37"/>
    </row>
    <row r="89" spans="1:18" ht="15" hidden="1" thickBot="1" x14ac:dyDescent="0.4">
      <c r="A89" s="28" t="s">
        <v>772</v>
      </c>
      <c r="B89" t="s">
        <v>102</v>
      </c>
      <c r="C89">
        <f t="shared" si="1"/>
        <v>8000</v>
      </c>
      <c r="D89">
        <f t="shared" si="2"/>
        <v>548.57142857142856</v>
      </c>
      <c r="E89">
        <f t="shared" si="3"/>
        <v>500</v>
      </c>
      <c r="F89">
        <f t="shared" si="4"/>
        <v>16</v>
      </c>
      <c r="G89" s="2" t="s">
        <v>804</v>
      </c>
      <c r="H89">
        <f t="shared" si="7"/>
        <v>10</v>
      </c>
      <c r="I89" s="2">
        <v>10</v>
      </c>
      <c r="J89"/>
      <c r="K89"/>
      <c r="L89"/>
      <c r="M89"/>
      <c r="N89" s="29">
        <v>8000</v>
      </c>
      <c r="O89" s="60">
        <v>14.583333333333334</v>
      </c>
      <c r="P89" s="30">
        <v>16</v>
      </c>
      <c r="Q89" s="30">
        <v>500</v>
      </c>
      <c r="R89" s="37"/>
    </row>
    <row r="90" spans="1:18" ht="15" hidden="1" thickBot="1" x14ac:dyDescent="0.4">
      <c r="A90" s="25" t="s">
        <v>564</v>
      </c>
      <c r="B90" t="s">
        <v>102</v>
      </c>
      <c r="C90">
        <f t="shared" ref="C90:C153" si="8">N90*(H90/10)^0.5</f>
        <v>20000</v>
      </c>
      <c r="D90">
        <f t="shared" ref="D90:D153" si="9">C90/O90</f>
        <v>548.44606946983549</v>
      </c>
      <c r="E90">
        <f t="shared" ref="E90:E153" si="10">C90/P90</f>
        <v>2000</v>
      </c>
      <c r="F90">
        <f t="shared" ref="F90:F153" si="11">C90/Q90</f>
        <v>10000</v>
      </c>
      <c r="G90" s="2" t="s">
        <v>804</v>
      </c>
      <c r="H90">
        <f t="shared" si="7"/>
        <v>10</v>
      </c>
      <c r="I90" s="2">
        <v>10</v>
      </c>
      <c r="J90"/>
      <c r="K90"/>
      <c r="L90"/>
      <c r="M90"/>
      <c r="N90" s="26">
        <v>20000</v>
      </c>
      <c r="O90" s="59">
        <v>36.466666666666669</v>
      </c>
      <c r="P90" s="27">
        <v>10</v>
      </c>
      <c r="Q90" s="27">
        <v>2</v>
      </c>
      <c r="R90" s="37"/>
    </row>
    <row r="91" spans="1:18" ht="15" hidden="1" thickBot="1" x14ac:dyDescent="0.4">
      <c r="A91" s="31" t="s">
        <v>106</v>
      </c>
      <c r="B91" t="s">
        <v>460</v>
      </c>
      <c r="C91">
        <f t="shared" si="8"/>
        <v>10000</v>
      </c>
      <c r="D91">
        <f t="shared" si="9"/>
        <v>548.44606946983549</v>
      </c>
      <c r="E91">
        <f t="shared" si="10"/>
        <v>1000</v>
      </c>
      <c r="F91">
        <f t="shared" si="11"/>
        <v>5000</v>
      </c>
      <c r="G91" s="2" t="s">
        <v>804</v>
      </c>
      <c r="H91">
        <f t="shared" si="7"/>
        <v>10</v>
      </c>
      <c r="I91" s="2">
        <v>10</v>
      </c>
      <c r="J91"/>
      <c r="K91"/>
      <c r="L91"/>
      <c r="M91"/>
      <c r="N91" s="32">
        <v>10000</v>
      </c>
      <c r="O91" s="61">
        <v>18.233333333333334</v>
      </c>
      <c r="P91" s="33">
        <v>10</v>
      </c>
      <c r="Q91" s="33">
        <v>2</v>
      </c>
      <c r="R91" s="38"/>
    </row>
    <row r="92" spans="1:18" ht="58.5" thickBot="1" x14ac:dyDescent="0.4">
      <c r="A92" s="25" t="s">
        <v>689</v>
      </c>
      <c r="B92" t="s">
        <v>865</v>
      </c>
      <c r="C92">
        <f t="shared" si="8"/>
        <v>17783.419243778739</v>
      </c>
      <c r="D92">
        <f t="shared" si="9"/>
        <v>538.8914922357194</v>
      </c>
      <c r="E92">
        <f t="shared" si="10"/>
        <v>1481.9516036482282</v>
      </c>
      <c r="F92">
        <f t="shared" si="11"/>
        <v>889.17096218893698</v>
      </c>
      <c r="G92" s="2" t="s">
        <v>864</v>
      </c>
      <c r="H92">
        <f t="shared" si="7"/>
        <v>126.5</v>
      </c>
      <c r="I92" s="2">
        <v>10</v>
      </c>
      <c r="L92" s="2">
        <f>Input!B122</f>
        <v>243</v>
      </c>
      <c r="N92" s="26">
        <v>5000</v>
      </c>
      <c r="O92" s="59">
        <v>33</v>
      </c>
      <c r="P92" s="27">
        <v>12</v>
      </c>
      <c r="Q92" s="27">
        <v>20</v>
      </c>
      <c r="R92" s="38"/>
    </row>
    <row r="93" spans="1:18" ht="15" thickBot="1" x14ac:dyDescent="0.4">
      <c r="A93" s="28" t="s">
        <v>515</v>
      </c>
      <c r="B93" t="s">
        <v>990</v>
      </c>
      <c r="C93">
        <f t="shared" si="8"/>
        <v>17320.508075688773</v>
      </c>
      <c r="D93">
        <f t="shared" si="9"/>
        <v>527.79608153444701</v>
      </c>
      <c r="E93">
        <f t="shared" si="10"/>
        <v>1237.1791482634837</v>
      </c>
      <c r="F93">
        <f t="shared" si="11"/>
        <v>494.87165930539351</v>
      </c>
      <c r="G93" s="2" t="s">
        <v>345</v>
      </c>
      <c r="H93">
        <f t="shared" si="7"/>
        <v>120</v>
      </c>
      <c r="I93" s="14">
        <f>AVERAGE(Products!B39:B40)</f>
        <v>120</v>
      </c>
      <c r="N93" s="29">
        <v>5000</v>
      </c>
      <c r="O93" s="60">
        <v>32.81666666666667</v>
      </c>
      <c r="P93" s="30">
        <v>14</v>
      </c>
      <c r="Q93" s="30">
        <v>35</v>
      </c>
      <c r="R93" s="37"/>
    </row>
    <row r="94" spans="1:18" ht="15" hidden="1" thickBot="1" x14ac:dyDescent="0.4">
      <c r="A94" s="28" t="s">
        <v>489</v>
      </c>
      <c r="B94" t="s">
        <v>102</v>
      </c>
      <c r="C94">
        <f t="shared" si="8"/>
        <v>7500</v>
      </c>
      <c r="D94">
        <f t="shared" si="9"/>
        <v>514.28571428571422</v>
      </c>
      <c r="E94">
        <f t="shared" si="10"/>
        <v>166.66666666666666</v>
      </c>
      <c r="F94">
        <f t="shared" si="11"/>
        <v>375</v>
      </c>
      <c r="G94" s="2" t="s">
        <v>804</v>
      </c>
      <c r="H94">
        <f t="shared" si="7"/>
        <v>10</v>
      </c>
      <c r="I94">
        <v>10</v>
      </c>
      <c r="J94"/>
      <c r="K94"/>
      <c r="L94"/>
      <c r="M94"/>
      <c r="N94" s="29">
        <v>7500</v>
      </c>
      <c r="O94" s="60">
        <v>14.583333333333334</v>
      </c>
      <c r="P94" s="30">
        <v>45</v>
      </c>
      <c r="Q94" s="30">
        <v>20</v>
      </c>
      <c r="R94" s="38"/>
    </row>
    <row r="95" spans="1:18" ht="15" hidden="1" thickBot="1" x14ac:dyDescent="0.4">
      <c r="A95" s="28" t="s">
        <v>524</v>
      </c>
      <c r="B95" t="s">
        <v>102</v>
      </c>
      <c r="C95">
        <f t="shared" si="8"/>
        <v>15000</v>
      </c>
      <c r="D95">
        <f t="shared" si="9"/>
        <v>514.28571428571422</v>
      </c>
      <c r="E95">
        <f t="shared" si="10"/>
        <v>333.33333333333331</v>
      </c>
      <c r="F95">
        <f t="shared" si="11"/>
        <v>652.17391304347825</v>
      </c>
      <c r="G95" s="2" t="s">
        <v>804</v>
      </c>
      <c r="H95">
        <f t="shared" si="7"/>
        <v>10</v>
      </c>
      <c r="I95" s="2">
        <v>10</v>
      </c>
      <c r="J95"/>
      <c r="K95"/>
      <c r="L95"/>
      <c r="M95"/>
      <c r="N95" s="29">
        <v>15000</v>
      </c>
      <c r="O95" s="60">
        <v>29.166666666666668</v>
      </c>
      <c r="P95" s="30">
        <v>45</v>
      </c>
      <c r="Q95" s="30">
        <v>23</v>
      </c>
      <c r="R95" s="37"/>
    </row>
    <row r="96" spans="1:18" ht="15" hidden="1" thickBot="1" x14ac:dyDescent="0.4">
      <c r="A96" s="25" t="s">
        <v>787</v>
      </c>
      <c r="B96" s="37"/>
      <c r="C96">
        <f t="shared" si="8"/>
        <v>7500</v>
      </c>
      <c r="D96">
        <f t="shared" si="9"/>
        <v>514.28571428571422</v>
      </c>
      <c r="E96">
        <f t="shared" si="10"/>
        <v>1875</v>
      </c>
      <c r="F96">
        <f t="shared" si="11"/>
        <v>750</v>
      </c>
      <c r="G96" s="2" t="s">
        <v>804</v>
      </c>
      <c r="H96">
        <f t="shared" si="7"/>
        <v>10</v>
      </c>
      <c r="I96" s="2">
        <v>10</v>
      </c>
      <c r="J96" s="37"/>
      <c r="K96" s="37"/>
      <c r="L96" s="37"/>
      <c r="M96" s="37"/>
      <c r="N96" s="26">
        <v>7500</v>
      </c>
      <c r="O96" s="59">
        <v>14.583333333333334</v>
      </c>
      <c r="P96" s="27">
        <v>4</v>
      </c>
      <c r="Q96" s="27">
        <v>10</v>
      </c>
      <c r="R96" s="38"/>
    </row>
    <row r="97" spans="1:18" ht="44" thickBot="1" x14ac:dyDescent="0.4">
      <c r="A97" s="28" t="s">
        <v>600</v>
      </c>
      <c r="B97" t="s">
        <v>568</v>
      </c>
      <c r="C97">
        <f t="shared" si="8"/>
        <v>12000</v>
      </c>
      <c r="D97">
        <f t="shared" si="9"/>
        <v>506.32911392405066</v>
      </c>
      <c r="E97">
        <f t="shared" si="10"/>
        <v>342.85714285714283</v>
      </c>
      <c r="F97">
        <f t="shared" si="11"/>
        <v>342.85714285714283</v>
      </c>
      <c r="G97" s="2" t="s">
        <v>838</v>
      </c>
      <c r="H97">
        <f t="shared" si="7"/>
        <v>10</v>
      </c>
      <c r="I97" s="2">
        <v>10</v>
      </c>
      <c r="N97" s="29">
        <v>12000</v>
      </c>
      <c r="O97" s="60">
        <v>23.7</v>
      </c>
      <c r="P97" s="30">
        <v>35</v>
      </c>
      <c r="Q97" s="30">
        <v>35</v>
      </c>
      <c r="R97" s="38"/>
    </row>
    <row r="98" spans="1:18" ht="15" hidden="1" thickBot="1" x14ac:dyDescent="0.4">
      <c r="A98" s="22" t="s">
        <v>283</v>
      </c>
      <c r="B98" t="s">
        <v>460</v>
      </c>
      <c r="C98">
        <f t="shared" si="8"/>
        <v>5000</v>
      </c>
      <c r="D98">
        <f t="shared" si="9"/>
        <v>500</v>
      </c>
      <c r="E98">
        <f t="shared" si="10"/>
        <v>833.33333333333337</v>
      </c>
      <c r="F98">
        <f t="shared" si="11"/>
        <v>250</v>
      </c>
      <c r="G98" s="2" t="s">
        <v>804</v>
      </c>
      <c r="H98">
        <f t="shared" si="7"/>
        <v>10</v>
      </c>
      <c r="I98" s="2">
        <v>10</v>
      </c>
      <c r="J98"/>
      <c r="K98"/>
      <c r="L98"/>
      <c r="M98"/>
      <c r="N98" s="23">
        <v>5000</v>
      </c>
      <c r="O98" s="58">
        <v>10</v>
      </c>
      <c r="P98" s="24">
        <v>6</v>
      </c>
      <c r="Q98" s="24">
        <v>20</v>
      </c>
      <c r="R98" s="37"/>
    </row>
    <row r="99" spans="1:18" ht="58.5" thickBot="1" x14ac:dyDescent="0.4">
      <c r="A99" s="31" t="s">
        <v>641</v>
      </c>
      <c r="B99" t="s">
        <v>102</v>
      </c>
      <c r="C99">
        <f t="shared" si="8"/>
        <v>7288.6898685566257</v>
      </c>
      <c r="D99">
        <f t="shared" si="9"/>
        <v>499.79587670102575</v>
      </c>
      <c r="E99">
        <f t="shared" si="10"/>
        <v>809.85442983962503</v>
      </c>
      <c r="F99">
        <f t="shared" si="11"/>
        <v>911.08623356957821</v>
      </c>
      <c r="G99" s="2" t="s">
        <v>849</v>
      </c>
      <c r="H99">
        <f t="shared" si="7"/>
        <v>85</v>
      </c>
      <c r="I99" s="2">
        <v>10</v>
      </c>
      <c r="J99" s="14">
        <f>MAX(Products!B72:B86)</f>
        <v>160</v>
      </c>
      <c r="N99" s="32">
        <v>2500</v>
      </c>
      <c r="O99" s="61">
        <v>14.583333333333334</v>
      </c>
      <c r="P99" s="33">
        <v>9</v>
      </c>
      <c r="Q99" s="33">
        <v>8</v>
      </c>
      <c r="R99" s="37"/>
    </row>
    <row r="100" spans="1:18" ht="15" thickBot="1" x14ac:dyDescent="0.4">
      <c r="A100" s="25" t="s">
        <v>490</v>
      </c>
      <c r="C100">
        <f t="shared" si="8"/>
        <v>1788.8543819998317</v>
      </c>
      <c r="D100">
        <f t="shared" si="9"/>
        <v>492.34524275224726</v>
      </c>
      <c r="E100">
        <f t="shared" si="10"/>
        <v>223.60679774997897</v>
      </c>
      <c r="F100">
        <f t="shared" si="11"/>
        <v>44.721359549995796</v>
      </c>
      <c r="G100" s="2" t="s">
        <v>974</v>
      </c>
      <c r="H100">
        <f t="shared" si="7"/>
        <v>50</v>
      </c>
      <c r="I100" s="2">
        <f>Input!B314</f>
        <v>50</v>
      </c>
      <c r="N100" s="27">
        <v>800</v>
      </c>
      <c r="O100" s="59">
        <v>3.6333333333333333</v>
      </c>
      <c r="P100" s="27">
        <v>8</v>
      </c>
      <c r="Q100" s="27">
        <v>40</v>
      </c>
      <c r="R100" s="38"/>
    </row>
    <row r="101" spans="1:18" ht="29.5" thickBot="1" x14ac:dyDescent="0.4">
      <c r="A101" s="22" t="s">
        <v>589</v>
      </c>
      <c r="B101" t="s">
        <v>590</v>
      </c>
      <c r="C101">
        <f t="shared" ca="1" si="8"/>
        <v>18230.86431119702</v>
      </c>
      <c r="D101">
        <f t="shared" ca="1" si="9"/>
        <v>499.93229372569522</v>
      </c>
      <c r="E101">
        <f t="shared" ca="1" si="10"/>
        <v>911.54321555985098</v>
      </c>
      <c r="F101">
        <f t="shared" ca="1" si="11"/>
        <v>911.54321555985098</v>
      </c>
      <c r="G101" s="2" t="s">
        <v>834</v>
      </c>
      <c r="H101">
        <f t="shared" ca="1" si="7"/>
        <v>132.94576541331088</v>
      </c>
      <c r="I101" s="2">
        <f ca="1">GEOMEAN(Input!B32,Tools!B2)</f>
        <v>165.89153082662176</v>
      </c>
      <c r="J101" s="2">
        <f>Workstations!B19</f>
        <v>100</v>
      </c>
      <c r="N101" s="23">
        <v>5000</v>
      </c>
      <c r="O101" s="58">
        <v>36.466666666666669</v>
      </c>
      <c r="P101" s="24">
        <v>20</v>
      </c>
      <c r="Q101" s="24">
        <v>20</v>
      </c>
      <c r="R101" s="38"/>
    </row>
    <row r="102" spans="1:18" ht="44" thickBot="1" x14ac:dyDescent="0.4">
      <c r="A102" s="28" t="s">
        <v>756</v>
      </c>
      <c r="B102" t="s">
        <v>852</v>
      </c>
      <c r="C102">
        <f t="shared" si="8"/>
        <v>10670.051546267245</v>
      </c>
      <c r="D102">
        <f t="shared" si="9"/>
        <v>485.00234301214749</v>
      </c>
      <c r="E102">
        <f t="shared" si="10"/>
        <v>2134.0103092534491</v>
      </c>
      <c r="F102">
        <f t="shared" si="11"/>
        <v>1067.0051546267246</v>
      </c>
      <c r="G102" s="2" t="s">
        <v>911</v>
      </c>
      <c r="H102">
        <f t="shared" si="7"/>
        <v>126.5</v>
      </c>
      <c r="I102" s="2">
        <v>10</v>
      </c>
      <c r="K102" s="2">
        <f>Input!B122</f>
        <v>243</v>
      </c>
      <c r="N102" s="29">
        <v>3000</v>
      </c>
      <c r="O102" s="60">
        <v>22</v>
      </c>
      <c r="P102" s="30">
        <v>5</v>
      </c>
      <c r="Q102" s="30">
        <v>10</v>
      </c>
      <c r="R102" s="38"/>
    </row>
    <row r="103" spans="1:18" ht="58.5" thickBot="1" x14ac:dyDescent="0.4">
      <c r="A103" s="25" t="s">
        <v>297</v>
      </c>
      <c r="B103" t="s">
        <v>460</v>
      </c>
      <c r="C103">
        <f t="shared" ca="1" si="8"/>
        <v>738.4527743870965</v>
      </c>
      <c r="D103">
        <f t="shared" ca="1" si="9"/>
        <v>486.8919391563274</v>
      </c>
      <c r="E103">
        <f t="shared" ca="1" si="10"/>
        <v>369.22638719354825</v>
      </c>
      <c r="F103">
        <f t="shared" ca="1" si="11"/>
        <v>738.4527743870965</v>
      </c>
      <c r="G103" s="2" t="s">
        <v>914</v>
      </c>
      <c r="H103">
        <f ca="1">1/20*(10*I103+J103+K103+8*L103)</f>
        <v>87.25</v>
      </c>
      <c r="I103" s="2">
        <f>Workstations!$B$26</f>
        <v>74</v>
      </c>
      <c r="J103" s="14">
        <f>Products!$B$2</f>
        <v>206</v>
      </c>
      <c r="K103" s="2">
        <f>Input!$B$18</f>
        <v>101</v>
      </c>
      <c r="L103" s="2">
        <f ca="1">H103</f>
        <v>87.25</v>
      </c>
      <c r="N103" s="27">
        <v>250</v>
      </c>
      <c r="O103" s="59">
        <v>1.5166666666666666</v>
      </c>
      <c r="P103" s="27">
        <v>2</v>
      </c>
      <c r="Q103" s="27">
        <v>1</v>
      </c>
      <c r="R103" s="38"/>
    </row>
    <row r="104" spans="1:18" ht="15" hidden="1" thickBot="1" x14ac:dyDescent="0.4">
      <c r="A104" s="22" t="s">
        <v>792</v>
      </c>
      <c r="B104" t="s">
        <v>460</v>
      </c>
      <c r="C104">
        <f t="shared" si="8"/>
        <v>13000</v>
      </c>
      <c r="D104">
        <f t="shared" si="9"/>
        <v>475.31992687385736</v>
      </c>
      <c r="E104">
        <f t="shared" si="10"/>
        <v>325</v>
      </c>
      <c r="F104">
        <f t="shared" si="11"/>
        <v>650</v>
      </c>
      <c r="G104" s="2" t="s">
        <v>804</v>
      </c>
      <c r="H104">
        <f t="shared" ref="H104:H112" si="12">AVERAGE(I104:M104)</f>
        <v>10</v>
      </c>
      <c r="I104" s="2">
        <v>10</v>
      </c>
      <c r="J104"/>
      <c r="K104"/>
      <c r="L104"/>
      <c r="M104"/>
      <c r="N104" s="23">
        <v>13000</v>
      </c>
      <c r="O104" s="58">
        <v>27.35</v>
      </c>
      <c r="P104" s="24">
        <v>40</v>
      </c>
      <c r="Q104" s="24">
        <v>20</v>
      </c>
      <c r="R104" s="38"/>
    </row>
    <row r="105" spans="1:18" ht="73" thickBot="1" x14ac:dyDescent="0.4">
      <c r="A105" s="25" t="s">
        <v>695</v>
      </c>
      <c r="B105" t="s">
        <v>848</v>
      </c>
      <c r="C105">
        <f t="shared" si="8"/>
        <v>6757.6993126359212</v>
      </c>
      <c r="D105">
        <f t="shared" si="9"/>
        <v>463.38509572360601</v>
      </c>
      <c r="E105">
        <f t="shared" si="10"/>
        <v>1689.4248281589803</v>
      </c>
      <c r="F105">
        <f t="shared" si="11"/>
        <v>1689.4248281589803</v>
      </c>
      <c r="G105" s="2" t="s">
        <v>870</v>
      </c>
      <c r="H105">
        <f t="shared" si="12"/>
        <v>126.5</v>
      </c>
      <c r="I105" s="2">
        <v>10</v>
      </c>
      <c r="K105" s="2">
        <f>Input!B122</f>
        <v>243</v>
      </c>
      <c r="N105" s="26">
        <v>1900</v>
      </c>
      <c r="O105" s="59">
        <v>14.583333333333334</v>
      </c>
      <c r="P105" s="27">
        <v>4</v>
      </c>
      <c r="Q105" s="27">
        <v>4</v>
      </c>
      <c r="R105" s="38"/>
    </row>
    <row r="106" spans="1:18" ht="15" hidden="1" thickBot="1" x14ac:dyDescent="0.4">
      <c r="A106" s="28" t="s">
        <v>453</v>
      </c>
      <c r="B106" t="s">
        <v>454</v>
      </c>
      <c r="C106">
        <f t="shared" si="8"/>
        <v>100000</v>
      </c>
      <c r="D106">
        <f t="shared" si="9"/>
        <v>456.96877380045697</v>
      </c>
      <c r="E106">
        <f t="shared" si="10"/>
        <v>2500</v>
      </c>
      <c r="F106">
        <f t="shared" si="11"/>
        <v>10000000</v>
      </c>
      <c r="G106" s="2" t="s">
        <v>804</v>
      </c>
      <c r="H106">
        <f t="shared" si="12"/>
        <v>10</v>
      </c>
      <c r="I106">
        <v>10</v>
      </c>
      <c r="J106"/>
      <c r="K106"/>
      <c r="L106"/>
      <c r="M106"/>
      <c r="N106" s="29">
        <v>100000</v>
      </c>
      <c r="O106" s="60">
        <v>218.83333333333334</v>
      </c>
      <c r="P106" s="30">
        <v>40</v>
      </c>
      <c r="Q106" s="30">
        <v>0.01</v>
      </c>
      <c r="R106" s="37"/>
    </row>
    <row r="107" spans="1:18" ht="15" hidden="1" thickBot="1" x14ac:dyDescent="0.4">
      <c r="A107" s="31" t="s">
        <v>668</v>
      </c>
      <c r="B107" t="s">
        <v>669</v>
      </c>
      <c r="C107">
        <f t="shared" si="8"/>
        <v>10000</v>
      </c>
      <c r="D107">
        <f t="shared" si="9"/>
        <v>456.96877380045697</v>
      </c>
      <c r="E107">
        <f t="shared" si="10"/>
        <v>833.33333333333337</v>
      </c>
      <c r="F107">
        <f t="shared" si="11"/>
        <v>333.33333333333331</v>
      </c>
      <c r="G107" s="2" t="s">
        <v>804</v>
      </c>
      <c r="H107">
        <f t="shared" si="12"/>
        <v>10</v>
      </c>
      <c r="I107" s="2">
        <v>10</v>
      </c>
      <c r="J107"/>
      <c r="K107"/>
      <c r="L107"/>
      <c r="M107"/>
      <c r="N107" s="32">
        <v>10000</v>
      </c>
      <c r="O107" s="61">
        <v>21.883333333333333</v>
      </c>
      <c r="P107" s="33">
        <v>12</v>
      </c>
      <c r="Q107" s="33">
        <v>30</v>
      </c>
      <c r="R107" s="38"/>
    </row>
    <row r="108" spans="1:18" ht="29.5" thickBot="1" x14ac:dyDescent="0.4">
      <c r="A108" s="28" t="s">
        <v>547</v>
      </c>
      <c r="C108">
        <f t="shared" ca="1" si="8"/>
        <v>170.1671662546583</v>
      </c>
      <c r="D108">
        <f t="shared" ca="1" si="9"/>
        <v>510.50149876397489</v>
      </c>
      <c r="E108">
        <f t="shared" ca="1" si="10"/>
        <v>170.1671662546583</v>
      </c>
      <c r="F108">
        <f t="shared" ca="1" si="11"/>
        <v>34.033433250931658</v>
      </c>
      <c r="G108" s="2" t="s">
        <v>827</v>
      </c>
      <c r="H108">
        <f t="shared" ca="1" si="12"/>
        <v>115.82745788456207</v>
      </c>
      <c r="I108" s="2">
        <f>MAX(Input!B211:B220)</f>
        <v>0</v>
      </c>
      <c r="J108" s="2">
        <f ca="1">GEOMEAN(Tools!B4,Input!B32)</f>
        <v>231.65491576912413</v>
      </c>
      <c r="N108" s="30">
        <v>50</v>
      </c>
      <c r="O108" s="60">
        <v>0.33333333333333331</v>
      </c>
      <c r="P108" s="30">
        <v>1</v>
      </c>
      <c r="Q108" s="30">
        <v>5</v>
      </c>
      <c r="R108" s="38"/>
    </row>
    <row r="109" spans="1:18" ht="29.5" thickBot="1" x14ac:dyDescent="0.4">
      <c r="A109" s="28" t="s">
        <v>580</v>
      </c>
      <c r="B109" t="s">
        <v>579</v>
      </c>
      <c r="C109">
        <f t="shared" si="8"/>
        <v>13119.641763401927</v>
      </c>
      <c r="D109">
        <f t="shared" si="9"/>
        <v>449.8162890309232</v>
      </c>
      <c r="E109">
        <f t="shared" si="10"/>
        <v>1639.9552204252409</v>
      </c>
      <c r="F109">
        <f t="shared" si="11"/>
        <v>1639.9552204252409</v>
      </c>
      <c r="G109" s="2" t="s">
        <v>832</v>
      </c>
      <c r="H109">
        <f t="shared" si="12"/>
        <v>85</v>
      </c>
      <c r="I109" s="2">
        <v>10</v>
      </c>
      <c r="J109" s="14">
        <f>MAX(Products!B72:B86)</f>
        <v>160</v>
      </c>
      <c r="N109" s="29">
        <v>4500</v>
      </c>
      <c r="O109" s="60">
        <v>29.166666666666668</v>
      </c>
      <c r="P109" s="30">
        <v>8</v>
      </c>
      <c r="Q109" s="30">
        <v>8</v>
      </c>
      <c r="R109" s="38"/>
    </row>
    <row r="110" spans="1:18" ht="15" hidden="1" thickBot="1" x14ac:dyDescent="0.4">
      <c r="A110" s="28" t="s">
        <v>769</v>
      </c>
      <c r="B110" t="s">
        <v>102</v>
      </c>
      <c r="C110">
        <f t="shared" si="8"/>
        <v>4000</v>
      </c>
      <c r="D110">
        <f t="shared" si="9"/>
        <v>444.44444444444446</v>
      </c>
      <c r="E110">
        <f t="shared" si="10"/>
        <v>1000</v>
      </c>
      <c r="F110">
        <f t="shared" si="11"/>
        <v>16</v>
      </c>
      <c r="G110" s="2" t="s">
        <v>804</v>
      </c>
      <c r="H110">
        <f t="shared" si="12"/>
        <v>10</v>
      </c>
      <c r="I110" s="2">
        <v>10</v>
      </c>
      <c r="J110"/>
      <c r="K110"/>
      <c r="L110"/>
      <c r="M110"/>
      <c r="N110" s="29">
        <v>4000</v>
      </c>
      <c r="O110" s="60">
        <v>9</v>
      </c>
      <c r="P110" s="30">
        <v>4</v>
      </c>
      <c r="Q110" s="30">
        <v>250</v>
      </c>
      <c r="R110" s="37"/>
    </row>
    <row r="111" spans="1:18" ht="15" hidden="1" thickBot="1" x14ac:dyDescent="0.4">
      <c r="A111" s="28" t="s">
        <v>801</v>
      </c>
      <c r="B111" t="s">
        <v>460</v>
      </c>
      <c r="C111">
        <f t="shared" si="8"/>
        <v>125</v>
      </c>
      <c r="D111">
        <f t="shared" si="9"/>
        <v>441.1764705882353</v>
      </c>
      <c r="E111">
        <f t="shared" si="10"/>
        <v>12.5</v>
      </c>
      <c r="F111">
        <f t="shared" si="11"/>
        <v>62.5</v>
      </c>
      <c r="G111" s="2" t="s">
        <v>804</v>
      </c>
      <c r="H111">
        <f t="shared" si="12"/>
        <v>10</v>
      </c>
      <c r="I111" s="2">
        <v>10</v>
      </c>
      <c r="J111"/>
      <c r="K111"/>
      <c r="L111"/>
      <c r="M111"/>
      <c r="N111" s="30">
        <v>125</v>
      </c>
      <c r="O111" s="60">
        <v>0.28333333333333333</v>
      </c>
      <c r="P111" s="30">
        <v>10</v>
      </c>
      <c r="Q111" s="30">
        <v>2</v>
      </c>
      <c r="R111" s="37"/>
    </row>
    <row r="112" spans="1:18" ht="15" hidden="1" thickBot="1" x14ac:dyDescent="0.4">
      <c r="A112" s="25" t="s">
        <v>459</v>
      </c>
      <c r="B112" t="s">
        <v>460</v>
      </c>
      <c r="C112">
        <f t="shared" si="8"/>
        <v>15000</v>
      </c>
      <c r="D112">
        <f t="shared" si="9"/>
        <v>440.96031357177856</v>
      </c>
      <c r="E112">
        <f t="shared" si="10"/>
        <v>300</v>
      </c>
      <c r="F112">
        <f t="shared" si="11"/>
        <v>600</v>
      </c>
      <c r="G112" s="2" t="s">
        <v>804</v>
      </c>
      <c r="H112">
        <f t="shared" si="12"/>
        <v>10</v>
      </c>
      <c r="I112">
        <v>10</v>
      </c>
      <c r="J112"/>
      <c r="K112"/>
      <c r="L112"/>
      <c r="M112"/>
      <c r="N112" s="26">
        <v>15000</v>
      </c>
      <c r="O112" s="59">
        <v>34.016666666666666</v>
      </c>
      <c r="P112" s="27">
        <v>50</v>
      </c>
      <c r="Q112" s="27">
        <v>25</v>
      </c>
      <c r="R112" s="38"/>
    </row>
    <row r="113" spans="1:18" ht="58.5" thickBot="1" x14ac:dyDescent="0.4">
      <c r="A113" s="28" t="s">
        <v>113</v>
      </c>
      <c r="B113" t="s">
        <v>460</v>
      </c>
      <c r="C113">
        <f t="shared" ca="1" si="8"/>
        <v>886.14332926451573</v>
      </c>
      <c r="D113">
        <f t="shared" ca="1" si="9"/>
        <v>443.07166463225786</v>
      </c>
      <c r="E113">
        <f t="shared" ca="1" si="10"/>
        <v>295.38110975483858</v>
      </c>
      <c r="F113">
        <f t="shared" ca="1" si="11"/>
        <v>126.5919041806451</v>
      </c>
      <c r="G113" s="2" t="s">
        <v>907</v>
      </c>
      <c r="H113">
        <f ca="1">1/20*(10*I113+J113+K113+8*L113)</f>
        <v>87.25</v>
      </c>
      <c r="I113" s="2">
        <f>Workstations!$B$26</f>
        <v>74</v>
      </c>
      <c r="J113" s="14">
        <f>Products!$B$2</f>
        <v>206</v>
      </c>
      <c r="K113" s="2">
        <f>Input!$B$18</f>
        <v>101</v>
      </c>
      <c r="L113" s="2">
        <f ca="1">H113</f>
        <v>87.25</v>
      </c>
      <c r="N113" s="30">
        <v>300</v>
      </c>
      <c r="O113" s="60">
        <v>2</v>
      </c>
      <c r="P113" s="30">
        <v>3</v>
      </c>
      <c r="Q113" s="30">
        <v>7</v>
      </c>
      <c r="R113" s="38"/>
    </row>
    <row r="114" spans="1:18" ht="29.5" thickBot="1" x14ac:dyDescent="0.4">
      <c r="A114" s="25" t="s">
        <v>581</v>
      </c>
      <c r="B114" t="s">
        <v>579</v>
      </c>
      <c r="C114">
        <f t="shared" si="8"/>
        <v>6260.9903369994108</v>
      </c>
      <c r="D114">
        <f t="shared" si="9"/>
        <v>429.32505167995959</v>
      </c>
      <c r="E114">
        <f t="shared" si="10"/>
        <v>626.09903369994106</v>
      </c>
      <c r="F114">
        <f t="shared" si="11"/>
        <v>1252.1980673998821</v>
      </c>
      <c r="G114" s="2" t="s">
        <v>832</v>
      </c>
      <c r="H114">
        <f>AVERAGE(I114:M114)</f>
        <v>98</v>
      </c>
      <c r="I114" s="2">
        <f>Input!B50</f>
        <v>36</v>
      </c>
      <c r="J114" s="14">
        <f>MAX(Products!B72:B86)</f>
        <v>160</v>
      </c>
      <c r="N114" s="26">
        <v>2000</v>
      </c>
      <c r="O114" s="59">
        <v>14.583333333333334</v>
      </c>
      <c r="P114" s="27">
        <v>10</v>
      </c>
      <c r="Q114" s="27">
        <v>5</v>
      </c>
      <c r="R114" s="37"/>
    </row>
    <row r="115" spans="1:18" ht="73" thickBot="1" x14ac:dyDescent="0.4">
      <c r="A115" s="25" t="s">
        <v>618</v>
      </c>
      <c r="B115" t="s">
        <v>505</v>
      </c>
      <c r="C115">
        <f t="shared" si="8"/>
        <v>7000</v>
      </c>
      <c r="D115">
        <f t="shared" si="9"/>
        <v>426.82926829268297</v>
      </c>
      <c r="E115">
        <f t="shared" si="10"/>
        <v>175</v>
      </c>
      <c r="F115">
        <f t="shared" si="11"/>
        <v>280</v>
      </c>
      <c r="G115" s="2" t="s">
        <v>841</v>
      </c>
      <c r="H115">
        <f>AVERAGE(I115:M115)</f>
        <v>10</v>
      </c>
      <c r="I115" s="2">
        <v>10</v>
      </c>
      <c r="N115" s="26">
        <v>7000</v>
      </c>
      <c r="O115" s="59">
        <v>16.399999999999999</v>
      </c>
      <c r="P115" s="27">
        <v>40</v>
      </c>
      <c r="Q115" s="27">
        <v>25</v>
      </c>
      <c r="R115" s="38"/>
    </row>
    <row r="116" spans="1:18" ht="15" hidden="1" thickBot="1" x14ac:dyDescent="0.4">
      <c r="A116" s="25" t="s">
        <v>467</v>
      </c>
      <c r="B116" t="s">
        <v>102</v>
      </c>
      <c r="C116">
        <f t="shared" si="8"/>
        <v>500</v>
      </c>
      <c r="D116">
        <f t="shared" si="9"/>
        <v>416.66666666666669</v>
      </c>
      <c r="E116">
        <f t="shared" si="10"/>
        <v>166.66666666666666</v>
      </c>
      <c r="F116">
        <f t="shared" si="11"/>
        <v>500</v>
      </c>
      <c r="G116" s="2" t="s">
        <v>804</v>
      </c>
      <c r="H116">
        <f>AVERAGE(I116:M116)</f>
        <v>10</v>
      </c>
      <c r="I116">
        <v>10</v>
      </c>
      <c r="J116"/>
      <c r="K116"/>
      <c r="L116"/>
      <c r="M116"/>
      <c r="N116" s="27">
        <v>500</v>
      </c>
      <c r="O116" s="59">
        <v>1.2</v>
      </c>
      <c r="P116" s="27">
        <v>3</v>
      </c>
      <c r="Q116" s="27">
        <v>1</v>
      </c>
      <c r="R116" s="37"/>
    </row>
    <row r="117" spans="1:18" ht="15" hidden="1" thickBot="1" x14ac:dyDescent="0.4">
      <c r="A117" s="31" t="s">
        <v>488</v>
      </c>
      <c r="B117" t="s">
        <v>102</v>
      </c>
      <c r="C117">
        <f t="shared" si="8"/>
        <v>1500</v>
      </c>
      <c r="D117">
        <f t="shared" si="9"/>
        <v>412.8440366972477</v>
      </c>
      <c r="E117">
        <f t="shared" si="10"/>
        <v>60</v>
      </c>
      <c r="F117">
        <f t="shared" si="11"/>
        <v>100</v>
      </c>
      <c r="G117" s="2" t="s">
        <v>804</v>
      </c>
      <c r="H117">
        <f>AVERAGE(I117:M117)</f>
        <v>10</v>
      </c>
      <c r="I117">
        <v>10</v>
      </c>
      <c r="J117"/>
      <c r="K117"/>
      <c r="L117"/>
      <c r="M117"/>
      <c r="N117" s="32">
        <v>1500</v>
      </c>
      <c r="O117" s="61">
        <v>3.6333333333333333</v>
      </c>
      <c r="P117" s="33">
        <v>25</v>
      </c>
      <c r="Q117" s="33">
        <v>15</v>
      </c>
      <c r="R117" s="37"/>
    </row>
    <row r="118" spans="1:18" ht="15" hidden="1" thickBot="1" x14ac:dyDescent="0.4">
      <c r="A118" s="22" t="s">
        <v>463</v>
      </c>
      <c r="B118" t="s">
        <v>102</v>
      </c>
      <c r="C118">
        <f t="shared" si="8"/>
        <v>3000</v>
      </c>
      <c r="D118">
        <f t="shared" si="9"/>
        <v>411.89931350114415</v>
      </c>
      <c r="E118">
        <f t="shared" si="10"/>
        <v>100</v>
      </c>
      <c r="F118">
        <f t="shared" si="11"/>
        <v>200</v>
      </c>
      <c r="G118" s="2" t="s">
        <v>804</v>
      </c>
      <c r="H118">
        <f>AVERAGE(I118:M118)</f>
        <v>10</v>
      </c>
      <c r="I118">
        <v>10</v>
      </c>
      <c r="J118"/>
      <c r="K118"/>
      <c r="L118"/>
      <c r="M118"/>
      <c r="N118" s="23">
        <v>3000</v>
      </c>
      <c r="O118" s="58">
        <v>7.2833333333333332</v>
      </c>
      <c r="P118" s="24">
        <v>30</v>
      </c>
      <c r="Q118" s="24">
        <v>15</v>
      </c>
      <c r="R118" s="38"/>
    </row>
    <row r="119" spans="1:18" ht="58.5" thickBot="1" x14ac:dyDescent="0.4">
      <c r="A119" s="25" t="s">
        <v>768</v>
      </c>
      <c r="B119" t="s">
        <v>895</v>
      </c>
      <c r="C119">
        <f t="shared" ca="1" si="8"/>
        <v>10180.734553461893</v>
      </c>
      <c r="D119">
        <f t="shared" ca="1" si="9"/>
        <v>462.76066152099514</v>
      </c>
      <c r="E119">
        <f t="shared" ca="1" si="10"/>
        <v>3393.5781844872977</v>
      </c>
      <c r="F119">
        <f t="shared" ca="1" si="11"/>
        <v>1272.5918191827366</v>
      </c>
      <c r="G119" s="2" t="s">
        <v>917</v>
      </c>
      <c r="H119">
        <f ca="1">1/4*(2*(1/4*(3*I119+J119))+K119+L119)</f>
        <v>115.16372894228104</v>
      </c>
      <c r="I119" s="2">
        <f>Input!B24</f>
        <v>30</v>
      </c>
      <c r="J119" s="2">
        <f>Workstations!B13</f>
        <v>150</v>
      </c>
      <c r="K119" s="2">
        <f>Workstations!B14</f>
        <v>109</v>
      </c>
      <c r="L119" s="2">
        <f ca="1">Input!I7</f>
        <v>231.65491576912413</v>
      </c>
      <c r="N119" s="26">
        <v>3000</v>
      </c>
      <c r="O119" s="59">
        <v>22</v>
      </c>
      <c r="P119" s="27">
        <v>3</v>
      </c>
      <c r="Q119" s="27">
        <v>8</v>
      </c>
      <c r="R119" s="38"/>
    </row>
    <row r="120" spans="1:18" ht="15" hidden="1" thickBot="1" x14ac:dyDescent="0.4">
      <c r="A120" s="28" t="s">
        <v>785</v>
      </c>
      <c r="B120" t="s">
        <v>786</v>
      </c>
      <c r="C120">
        <f t="shared" si="8"/>
        <v>17500</v>
      </c>
      <c r="D120">
        <f t="shared" si="9"/>
        <v>399.84767707539987</v>
      </c>
      <c r="E120">
        <f t="shared" si="10"/>
        <v>437.5</v>
      </c>
      <c r="F120">
        <f t="shared" si="11"/>
        <v>291.66666666666669</v>
      </c>
      <c r="G120" s="2" t="s">
        <v>804</v>
      </c>
      <c r="H120">
        <f t="shared" ref="H120:H151" si="13">AVERAGE(I120:M120)</f>
        <v>10</v>
      </c>
      <c r="I120" s="2">
        <v>10</v>
      </c>
      <c r="J120"/>
      <c r="K120"/>
      <c r="L120"/>
      <c r="M120"/>
      <c r="N120" s="29">
        <v>17500</v>
      </c>
      <c r="O120" s="60">
        <v>43.766666666666666</v>
      </c>
      <c r="P120" s="30">
        <v>40</v>
      </c>
      <c r="Q120" s="30">
        <v>60</v>
      </c>
      <c r="R120" s="38"/>
    </row>
    <row r="121" spans="1:18" ht="15" hidden="1" thickBot="1" x14ac:dyDescent="0.4">
      <c r="A121" s="25" t="s">
        <v>539</v>
      </c>
      <c r="B121" t="s">
        <v>460</v>
      </c>
      <c r="C121">
        <f t="shared" si="8"/>
        <v>2400</v>
      </c>
      <c r="D121">
        <f t="shared" si="9"/>
        <v>395.60439560439562</v>
      </c>
      <c r="E121">
        <f t="shared" si="10"/>
        <v>120</v>
      </c>
      <c r="F121">
        <f t="shared" si="11"/>
        <v>240</v>
      </c>
      <c r="G121" s="2" t="s">
        <v>804</v>
      </c>
      <c r="H121">
        <f t="shared" si="13"/>
        <v>10</v>
      </c>
      <c r="I121" s="2">
        <v>10</v>
      </c>
      <c r="J121"/>
      <c r="K121"/>
      <c r="L121"/>
      <c r="M121"/>
      <c r="N121" s="26">
        <v>2400</v>
      </c>
      <c r="O121" s="59">
        <v>6.0666666666666664</v>
      </c>
      <c r="P121" s="27">
        <v>20</v>
      </c>
      <c r="Q121" s="27">
        <v>10</v>
      </c>
      <c r="R121" s="37"/>
    </row>
    <row r="122" spans="1:18" ht="44" thickBot="1" x14ac:dyDescent="0.4">
      <c r="A122" s="28" t="s">
        <v>553</v>
      </c>
      <c r="C122">
        <f t="shared" si="8"/>
        <v>21340.103092534489</v>
      </c>
      <c r="D122">
        <f t="shared" si="9"/>
        <v>395.18709430619424</v>
      </c>
      <c r="E122">
        <f t="shared" si="10"/>
        <v>1422.6735395022993</v>
      </c>
      <c r="F122">
        <f t="shared" si="11"/>
        <v>213.40103092534488</v>
      </c>
      <c r="G122" s="2" t="s">
        <v>825</v>
      </c>
      <c r="H122">
        <f t="shared" si="13"/>
        <v>126.5</v>
      </c>
      <c r="I122" s="2">
        <v>10</v>
      </c>
      <c r="J122" s="2">
        <f>Input!B122</f>
        <v>243</v>
      </c>
      <c r="N122" s="29">
        <v>6000</v>
      </c>
      <c r="O122" s="60">
        <v>54</v>
      </c>
      <c r="P122" s="30">
        <v>15</v>
      </c>
      <c r="Q122" s="30">
        <v>100</v>
      </c>
      <c r="R122" s="37"/>
    </row>
    <row r="123" spans="1:18" ht="15" hidden="1" thickBot="1" x14ac:dyDescent="0.4">
      <c r="A123" s="25" t="s">
        <v>773</v>
      </c>
      <c r="B123" t="s">
        <v>102</v>
      </c>
      <c r="C123">
        <f t="shared" si="8"/>
        <v>5000</v>
      </c>
      <c r="D123">
        <f t="shared" si="9"/>
        <v>392.15686274509807</v>
      </c>
      <c r="E123">
        <f t="shared" si="10"/>
        <v>250</v>
      </c>
      <c r="F123">
        <f t="shared" si="11"/>
        <v>20</v>
      </c>
      <c r="G123" s="2" t="s">
        <v>804</v>
      </c>
      <c r="H123">
        <f t="shared" si="13"/>
        <v>10</v>
      </c>
      <c r="I123" s="2">
        <v>10</v>
      </c>
      <c r="J123"/>
      <c r="K123"/>
      <c r="L123"/>
      <c r="M123"/>
      <c r="N123" s="26">
        <v>5000</v>
      </c>
      <c r="O123" s="59">
        <v>12.75</v>
      </c>
      <c r="P123" s="27">
        <v>20</v>
      </c>
      <c r="Q123" s="27">
        <v>250</v>
      </c>
      <c r="R123" s="37"/>
    </row>
    <row r="124" spans="1:18" ht="29.5" thickBot="1" x14ac:dyDescent="0.4">
      <c r="A124" s="25" t="s">
        <v>676</v>
      </c>
      <c r="B124" t="s">
        <v>485</v>
      </c>
      <c r="C124">
        <f t="shared" si="8"/>
        <v>4268.0206185068973</v>
      </c>
      <c r="D124">
        <f t="shared" si="9"/>
        <v>388.00187440971791</v>
      </c>
      <c r="E124">
        <f t="shared" si="10"/>
        <v>609.717231215271</v>
      </c>
      <c r="F124">
        <f t="shared" si="11"/>
        <v>304.8586156076355</v>
      </c>
      <c r="G124" s="2" t="s">
        <v>859</v>
      </c>
      <c r="H124">
        <f t="shared" si="13"/>
        <v>126.5</v>
      </c>
      <c r="I124" s="2">
        <v>10</v>
      </c>
      <c r="J124" s="2">
        <f>Input!B122</f>
        <v>243</v>
      </c>
      <c r="N124" s="26">
        <v>1200</v>
      </c>
      <c r="O124" s="59">
        <v>11</v>
      </c>
      <c r="P124" s="27">
        <v>7</v>
      </c>
      <c r="Q124" s="27">
        <v>14</v>
      </c>
      <c r="R124" s="37"/>
    </row>
    <row r="125" spans="1:18" ht="15" hidden="1" thickBot="1" x14ac:dyDescent="0.4">
      <c r="A125" s="25" t="s">
        <v>720</v>
      </c>
      <c r="B125" t="s">
        <v>150</v>
      </c>
      <c r="C125">
        <f t="shared" si="8"/>
        <v>16000</v>
      </c>
      <c r="D125">
        <f t="shared" si="9"/>
        <v>381.40643623361143</v>
      </c>
      <c r="E125">
        <f t="shared" si="10"/>
        <v>1000</v>
      </c>
      <c r="F125">
        <f t="shared" si="11"/>
        <v>533.33333333333337</v>
      </c>
      <c r="G125" s="2" t="s">
        <v>804</v>
      </c>
      <c r="H125">
        <f t="shared" si="13"/>
        <v>10</v>
      </c>
      <c r="I125" s="2">
        <v>10</v>
      </c>
      <c r="J125"/>
      <c r="K125"/>
      <c r="L125"/>
      <c r="M125"/>
      <c r="N125" s="26">
        <v>16000</v>
      </c>
      <c r="O125" s="59">
        <v>41.95</v>
      </c>
      <c r="P125" s="27">
        <v>16</v>
      </c>
      <c r="Q125" s="27">
        <v>30</v>
      </c>
      <c r="R125" s="37"/>
    </row>
    <row r="126" spans="1:18" ht="15" thickBot="1" x14ac:dyDescent="0.4">
      <c r="A126" s="31" t="s">
        <v>638</v>
      </c>
      <c r="B126" t="s">
        <v>848</v>
      </c>
      <c r="C126">
        <f t="shared" si="8"/>
        <v>4000</v>
      </c>
      <c r="D126">
        <f t="shared" si="9"/>
        <v>365.85365853658539</v>
      </c>
      <c r="E126">
        <f t="shared" si="10"/>
        <v>160</v>
      </c>
      <c r="F126">
        <f t="shared" si="11"/>
        <v>40</v>
      </c>
      <c r="G126" s="2" t="s">
        <v>639</v>
      </c>
      <c r="H126">
        <f t="shared" si="13"/>
        <v>10</v>
      </c>
      <c r="I126" s="2">
        <v>10</v>
      </c>
      <c r="N126" s="32">
        <v>4000</v>
      </c>
      <c r="O126" s="61">
        <v>10.933333333333334</v>
      </c>
      <c r="P126" s="33">
        <v>25</v>
      </c>
      <c r="Q126" s="33">
        <v>100</v>
      </c>
      <c r="R126" s="38"/>
    </row>
    <row r="127" spans="1:18" ht="44" thickBot="1" x14ac:dyDescent="0.4">
      <c r="A127" s="28" t="s">
        <v>592</v>
      </c>
      <c r="B127" t="s">
        <v>477</v>
      </c>
      <c r="C127">
        <f t="shared" si="8"/>
        <v>16005.077319400865</v>
      </c>
      <c r="D127">
        <f t="shared" si="9"/>
        <v>351.11686989544859</v>
      </c>
      <c r="E127">
        <f t="shared" si="10"/>
        <v>1600.5077319400866</v>
      </c>
      <c r="F127">
        <f t="shared" si="11"/>
        <v>266.75128865668108</v>
      </c>
      <c r="G127" s="2" t="s">
        <v>836</v>
      </c>
      <c r="H127">
        <f t="shared" si="13"/>
        <v>126.5</v>
      </c>
      <c r="I127" s="2">
        <v>10</v>
      </c>
      <c r="J127" s="2">
        <f>Input!B122</f>
        <v>243</v>
      </c>
      <c r="N127" s="29">
        <v>4500</v>
      </c>
      <c r="O127" s="60">
        <v>45.583333333333336</v>
      </c>
      <c r="P127" s="30">
        <v>10</v>
      </c>
      <c r="Q127" s="30">
        <v>60</v>
      </c>
      <c r="R127" s="38"/>
    </row>
    <row r="128" spans="1:18" ht="15" hidden="1" thickBot="1" x14ac:dyDescent="0.4">
      <c r="A128" s="25" t="s">
        <v>735</v>
      </c>
      <c r="B128" t="s">
        <v>102</v>
      </c>
      <c r="C128">
        <f t="shared" si="8"/>
        <v>2500</v>
      </c>
      <c r="D128">
        <f t="shared" si="9"/>
        <v>344.82758620689657</v>
      </c>
      <c r="E128">
        <f t="shared" si="10"/>
        <v>500</v>
      </c>
      <c r="F128">
        <f t="shared" si="11"/>
        <v>166.66666666666666</v>
      </c>
      <c r="G128" s="2" t="s">
        <v>804</v>
      </c>
      <c r="H128">
        <f t="shared" si="13"/>
        <v>10</v>
      </c>
      <c r="I128" s="2">
        <v>10</v>
      </c>
      <c r="J128"/>
      <c r="K128"/>
      <c r="L128"/>
      <c r="M128"/>
      <c r="N128" s="26">
        <v>2500</v>
      </c>
      <c r="O128" s="59">
        <v>7.25</v>
      </c>
      <c r="P128" s="27">
        <v>5</v>
      </c>
      <c r="Q128" s="27">
        <v>15</v>
      </c>
      <c r="R128" s="38"/>
    </row>
    <row r="129" spans="1:18" ht="15" hidden="1" thickBot="1" x14ac:dyDescent="0.4">
      <c r="A129" s="22" t="s">
        <v>619</v>
      </c>
      <c r="B129" t="s">
        <v>102</v>
      </c>
      <c r="C129">
        <f t="shared" si="8"/>
        <v>12500</v>
      </c>
      <c r="D129">
        <f t="shared" si="9"/>
        <v>342.77879341864713</v>
      </c>
      <c r="E129">
        <f t="shared" si="10"/>
        <v>357.14285714285717</v>
      </c>
      <c r="F129">
        <f t="shared" si="11"/>
        <v>833.33333333333337</v>
      </c>
      <c r="G129" s="2" t="s">
        <v>804</v>
      </c>
      <c r="H129">
        <f t="shared" si="13"/>
        <v>10</v>
      </c>
      <c r="I129" s="2">
        <v>10</v>
      </c>
      <c r="J129"/>
      <c r="K129"/>
      <c r="L129"/>
      <c r="M129"/>
      <c r="N129" s="23">
        <v>12500</v>
      </c>
      <c r="O129" s="58">
        <v>36.466666666666669</v>
      </c>
      <c r="P129" s="24">
        <v>35</v>
      </c>
      <c r="Q129" s="24">
        <v>15</v>
      </c>
      <c r="R129" s="37"/>
    </row>
    <row r="130" spans="1:18" ht="15" hidden="1" thickBot="1" x14ac:dyDescent="0.4">
      <c r="A130" s="28" t="s">
        <v>739</v>
      </c>
      <c r="B130" t="s">
        <v>605</v>
      </c>
      <c r="C130">
        <f t="shared" si="8"/>
        <v>15000</v>
      </c>
      <c r="D130">
        <f t="shared" si="9"/>
        <v>342.72658035034272</v>
      </c>
      <c r="E130">
        <f t="shared" si="10"/>
        <v>428.57142857142856</v>
      </c>
      <c r="F130">
        <f t="shared" si="11"/>
        <v>1500</v>
      </c>
      <c r="G130" s="2" t="s">
        <v>804</v>
      </c>
      <c r="H130">
        <f t="shared" si="13"/>
        <v>10</v>
      </c>
      <c r="I130" s="2">
        <v>10</v>
      </c>
      <c r="J130"/>
      <c r="K130"/>
      <c r="L130"/>
      <c r="M130"/>
      <c r="N130" s="29">
        <v>15000</v>
      </c>
      <c r="O130" s="60">
        <v>43.766666666666666</v>
      </c>
      <c r="P130" s="30">
        <v>35</v>
      </c>
      <c r="Q130" s="30">
        <v>10</v>
      </c>
      <c r="R130" s="38"/>
    </row>
    <row r="131" spans="1:18" ht="15" hidden="1" thickBot="1" x14ac:dyDescent="0.4">
      <c r="A131" s="31" t="s">
        <v>763</v>
      </c>
      <c r="B131" t="s">
        <v>477</v>
      </c>
      <c r="C131">
        <f t="shared" si="8"/>
        <v>30000</v>
      </c>
      <c r="D131">
        <f t="shared" si="9"/>
        <v>342.72658035034272</v>
      </c>
      <c r="E131">
        <f t="shared" si="10"/>
        <v>857.14285714285711</v>
      </c>
      <c r="F131">
        <f t="shared" si="11"/>
        <v>600</v>
      </c>
      <c r="G131" s="2" t="s">
        <v>804</v>
      </c>
      <c r="H131">
        <f t="shared" si="13"/>
        <v>10</v>
      </c>
      <c r="I131" s="2">
        <v>10</v>
      </c>
      <c r="J131"/>
      <c r="K131"/>
      <c r="L131"/>
      <c r="M131"/>
      <c r="N131" s="32">
        <v>30000</v>
      </c>
      <c r="O131" s="61">
        <v>87.533333333333331</v>
      </c>
      <c r="P131" s="33">
        <v>35</v>
      </c>
      <c r="Q131" s="33">
        <v>50</v>
      </c>
      <c r="R131" s="38"/>
    </row>
    <row r="132" spans="1:18" ht="15" hidden="1" thickBot="1" x14ac:dyDescent="0.4">
      <c r="A132" s="31" t="s">
        <v>470</v>
      </c>
      <c r="B132" t="s">
        <v>102</v>
      </c>
      <c r="C132">
        <f t="shared" si="8"/>
        <v>200</v>
      </c>
      <c r="D132">
        <f t="shared" si="9"/>
        <v>333.33333333333337</v>
      </c>
      <c r="E132">
        <f t="shared" si="10"/>
        <v>100</v>
      </c>
      <c r="F132">
        <f t="shared" si="11"/>
        <v>20000</v>
      </c>
      <c r="G132" s="2" t="s">
        <v>804</v>
      </c>
      <c r="H132">
        <f t="shared" si="13"/>
        <v>10</v>
      </c>
      <c r="I132">
        <v>10</v>
      </c>
      <c r="J132"/>
      <c r="K132"/>
      <c r="L132"/>
      <c r="M132"/>
      <c r="N132" s="33">
        <v>200</v>
      </c>
      <c r="O132" s="61">
        <v>0.6</v>
      </c>
      <c r="P132" s="33">
        <v>2</v>
      </c>
      <c r="Q132" s="33">
        <v>0.01</v>
      </c>
      <c r="R132" s="38"/>
    </row>
    <row r="133" spans="1:18" ht="15" hidden="1" thickBot="1" x14ac:dyDescent="0.4">
      <c r="A133" s="31" t="s">
        <v>700</v>
      </c>
      <c r="B133" t="s">
        <v>460</v>
      </c>
      <c r="C133">
        <f t="shared" si="8"/>
        <v>10000</v>
      </c>
      <c r="D133">
        <f t="shared" si="9"/>
        <v>333.33333333333331</v>
      </c>
      <c r="E133">
        <f t="shared" si="10"/>
        <v>400</v>
      </c>
      <c r="F133">
        <f t="shared" si="11"/>
        <v>1000</v>
      </c>
      <c r="G133" s="2" t="s">
        <v>804</v>
      </c>
      <c r="H133">
        <f t="shared" si="13"/>
        <v>10</v>
      </c>
      <c r="I133" s="2">
        <v>10</v>
      </c>
      <c r="J133"/>
      <c r="K133"/>
      <c r="L133"/>
      <c r="M133"/>
      <c r="N133" s="32">
        <v>10000</v>
      </c>
      <c r="O133" s="61">
        <v>30</v>
      </c>
      <c r="P133" s="33">
        <v>25</v>
      </c>
      <c r="Q133" s="33">
        <v>10</v>
      </c>
      <c r="R133" s="37"/>
    </row>
    <row r="134" spans="1:18" ht="58.5" thickBot="1" x14ac:dyDescent="0.4">
      <c r="A134" s="22" t="s">
        <v>679</v>
      </c>
      <c r="B134" t="s">
        <v>680</v>
      </c>
      <c r="C134">
        <f t="shared" si="8"/>
        <v>1500</v>
      </c>
      <c r="D134">
        <f t="shared" si="9"/>
        <v>329.67032967032969</v>
      </c>
      <c r="E134">
        <f t="shared" si="10"/>
        <v>750</v>
      </c>
      <c r="F134">
        <f t="shared" si="11"/>
        <v>60</v>
      </c>
      <c r="G134" s="2" t="s">
        <v>860</v>
      </c>
      <c r="H134">
        <f t="shared" si="13"/>
        <v>10</v>
      </c>
      <c r="I134" s="2">
        <v>10</v>
      </c>
      <c r="N134" s="23">
        <v>1500</v>
      </c>
      <c r="O134" s="58">
        <v>4.55</v>
      </c>
      <c r="P134" s="24">
        <v>2</v>
      </c>
      <c r="Q134" s="24">
        <v>25</v>
      </c>
      <c r="R134" s="37"/>
    </row>
    <row r="135" spans="1:18" ht="29.5" thickBot="1" x14ac:dyDescent="0.4">
      <c r="A135" s="22" t="s">
        <v>542</v>
      </c>
      <c r="C135">
        <f t="shared" si="8"/>
        <v>7500</v>
      </c>
      <c r="D135">
        <f t="shared" si="9"/>
        <v>329.18800292611553</v>
      </c>
      <c r="E135">
        <f t="shared" si="10"/>
        <v>214.28571428571428</v>
      </c>
      <c r="F135">
        <f t="shared" si="11"/>
        <v>125</v>
      </c>
      <c r="G135" s="2" t="s">
        <v>817</v>
      </c>
      <c r="H135">
        <f t="shared" si="13"/>
        <v>10</v>
      </c>
      <c r="I135" s="2">
        <v>10</v>
      </c>
      <c r="N135" s="23">
        <v>7500</v>
      </c>
      <c r="O135" s="58">
        <v>22.783333333333335</v>
      </c>
      <c r="P135" s="24">
        <v>35</v>
      </c>
      <c r="Q135" s="24">
        <v>60</v>
      </c>
      <c r="R135" s="38"/>
    </row>
    <row r="136" spans="1:18" ht="15" hidden="1" thickBot="1" x14ac:dyDescent="0.4">
      <c r="A136" s="22" t="s">
        <v>632</v>
      </c>
      <c r="B136" s="56" t="s">
        <v>102</v>
      </c>
      <c r="C136">
        <f t="shared" si="8"/>
        <v>12000</v>
      </c>
      <c r="D136">
        <f t="shared" si="9"/>
        <v>329.06764168190125</v>
      </c>
      <c r="E136">
        <f t="shared" si="10"/>
        <v>100</v>
      </c>
      <c r="F136">
        <f t="shared" si="11"/>
        <v>400</v>
      </c>
      <c r="G136" s="2" t="s">
        <v>804</v>
      </c>
      <c r="H136">
        <f t="shared" si="13"/>
        <v>10</v>
      </c>
      <c r="I136" s="2">
        <v>10</v>
      </c>
      <c r="J136" s="56"/>
      <c r="K136" s="56"/>
      <c r="L136" s="56"/>
      <c r="M136" s="56"/>
      <c r="N136" s="23">
        <v>12000</v>
      </c>
      <c r="O136" s="58">
        <v>36.466666666666669</v>
      </c>
      <c r="P136" s="24">
        <v>120</v>
      </c>
      <c r="Q136" s="24">
        <v>30</v>
      </c>
      <c r="R136" s="37"/>
    </row>
    <row r="137" spans="1:18" ht="15" hidden="1" thickBot="1" x14ac:dyDescent="0.4">
      <c r="A137" s="25" t="s">
        <v>733</v>
      </c>
      <c r="B137" t="s">
        <v>460</v>
      </c>
      <c r="C137">
        <f t="shared" si="8"/>
        <v>3000</v>
      </c>
      <c r="D137">
        <f t="shared" si="9"/>
        <v>329.06764168190125</v>
      </c>
      <c r="E137">
        <f t="shared" si="10"/>
        <v>130.43478260869566</v>
      </c>
      <c r="F137">
        <f t="shared" si="11"/>
        <v>600</v>
      </c>
      <c r="G137" s="2" t="s">
        <v>804</v>
      </c>
      <c r="H137">
        <f t="shared" si="13"/>
        <v>10</v>
      </c>
      <c r="I137" s="2">
        <v>10</v>
      </c>
      <c r="J137"/>
      <c r="K137"/>
      <c r="L137"/>
      <c r="M137"/>
      <c r="N137" s="26">
        <v>3000</v>
      </c>
      <c r="O137" s="59">
        <v>9.1166666666666671</v>
      </c>
      <c r="P137" s="27">
        <v>23</v>
      </c>
      <c r="Q137" s="27">
        <v>5</v>
      </c>
      <c r="R137" s="38"/>
    </row>
    <row r="138" spans="1:18" ht="29.5" thickBot="1" x14ac:dyDescent="0.4">
      <c r="A138" s="25" t="s">
        <v>647</v>
      </c>
      <c r="B138" t="s">
        <v>852</v>
      </c>
      <c r="C138">
        <f t="shared" si="8"/>
        <v>14226.735395022992</v>
      </c>
      <c r="D138">
        <f t="shared" si="9"/>
        <v>325.05869143236083</v>
      </c>
      <c r="E138">
        <f t="shared" si="10"/>
        <v>2371.1225658371654</v>
      </c>
      <c r="F138">
        <f t="shared" si="11"/>
        <v>2845.3470790045985</v>
      </c>
      <c r="G138" s="2" t="s">
        <v>851</v>
      </c>
      <c r="H138">
        <f t="shared" si="13"/>
        <v>126.5</v>
      </c>
      <c r="I138" s="2">
        <v>10</v>
      </c>
      <c r="J138" s="2">
        <f>Input!B122</f>
        <v>243</v>
      </c>
      <c r="N138" s="26">
        <v>4000</v>
      </c>
      <c r="O138" s="59">
        <v>43.766666666666666</v>
      </c>
      <c r="P138" s="27">
        <v>6</v>
      </c>
      <c r="Q138" s="27">
        <v>5</v>
      </c>
      <c r="R138" s="37"/>
    </row>
    <row r="139" spans="1:18" ht="44" thickBot="1" x14ac:dyDescent="0.4">
      <c r="A139" s="22" t="s">
        <v>736</v>
      </c>
      <c r="B139" t="s">
        <v>887</v>
      </c>
      <c r="C139">
        <f t="shared" si="8"/>
        <v>16000</v>
      </c>
      <c r="D139">
        <f t="shared" si="9"/>
        <v>324.98307379823967</v>
      </c>
      <c r="E139">
        <f t="shared" si="10"/>
        <v>500</v>
      </c>
      <c r="F139">
        <f t="shared" si="11"/>
        <v>333.33333333333331</v>
      </c>
      <c r="G139" s="2" t="s">
        <v>903</v>
      </c>
      <c r="H139">
        <f t="shared" si="13"/>
        <v>10</v>
      </c>
      <c r="I139" s="2">
        <v>10</v>
      </c>
      <c r="N139" s="23">
        <v>16000</v>
      </c>
      <c r="O139" s="58">
        <v>49.233333333333334</v>
      </c>
      <c r="P139" s="24">
        <v>32</v>
      </c>
      <c r="Q139" s="24">
        <v>48</v>
      </c>
      <c r="R139" s="37"/>
    </row>
    <row r="140" spans="1:18" ht="44" thickBot="1" x14ac:dyDescent="0.4">
      <c r="A140" s="31" t="s">
        <v>591</v>
      </c>
      <c r="B140" t="s">
        <v>134</v>
      </c>
      <c r="C140">
        <f t="shared" si="8"/>
        <v>2845.3470790045985</v>
      </c>
      <c r="D140">
        <f t="shared" si="9"/>
        <v>316.14967544495539</v>
      </c>
      <c r="E140">
        <f t="shared" si="10"/>
        <v>711.33676975114963</v>
      </c>
      <c r="F140">
        <f t="shared" si="11"/>
        <v>474.22451316743309</v>
      </c>
      <c r="G140" s="2" t="s">
        <v>835</v>
      </c>
      <c r="H140">
        <f t="shared" si="13"/>
        <v>126.5</v>
      </c>
      <c r="I140" s="2">
        <v>10</v>
      </c>
      <c r="J140" s="2">
        <f>Input!B122</f>
        <v>243</v>
      </c>
      <c r="N140" s="33">
        <v>800</v>
      </c>
      <c r="O140" s="61">
        <v>9</v>
      </c>
      <c r="P140" s="33">
        <v>4</v>
      </c>
      <c r="Q140" s="33">
        <v>6</v>
      </c>
      <c r="R140" s="37"/>
    </row>
    <row r="141" spans="1:18" ht="15" hidden="1" thickBot="1" x14ac:dyDescent="0.4">
      <c r="A141" s="25" t="s">
        <v>636</v>
      </c>
      <c r="B141" t="s">
        <v>637</v>
      </c>
      <c r="C141">
        <f t="shared" si="8"/>
        <v>10000</v>
      </c>
      <c r="D141">
        <f t="shared" si="9"/>
        <v>309.59752321981426</v>
      </c>
      <c r="E141">
        <f t="shared" si="10"/>
        <v>500</v>
      </c>
      <c r="F141">
        <f t="shared" si="11"/>
        <v>200</v>
      </c>
      <c r="G141" s="2" t="s">
        <v>804</v>
      </c>
      <c r="H141">
        <f t="shared" si="13"/>
        <v>10</v>
      </c>
      <c r="I141" s="2">
        <v>10</v>
      </c>
      <c r="J141"/>
      <c r="K141"/>
      <c r="L141"/>
      <c r="M141"/>
      <c r="N141" s="26">
        <v>10000</v>
      </c>
      <c r="O141" s="59">
        <v>32.299999999999997</v>
      </c>
      <c r="P141" s="27">
        <v>20</v>
      </c>
      <c r="Q141" s="27">
        <v>50</v>
      </c>
      <c r="R141" s="38"/>
    </row>
    <row r="142" spans="1:18" ht="15" hidden="1" thickBot="1" x14ac:dyDescent="0.4">
      <c r="A142" s="22" t="s">
        <v>662</v>
      </c>
      <c r="B142" t="s">
        <v>102</v>
      </c>
      <c r="C142">
        <f t="shared" si="8"/>
        <v>1500</v>
      </c>
      <c r="D142">
        <f t="shared" si="9"/>
        <v>309.27835051546396</v>
      </c>
      <c r="E142">
        <f t="shared" si="10"/>
        <v>55.555555555555557</v>
      </c>
      <c r="F142">
        <f t="shared" si="11"/>
        <v>214.28571428571428</v>
      </c>
      <c r="G142" s="2" t="s">
        <v>804</v>
      </c>
      <c r="H142">
        <f t="shared" si="13"/>
        <v>10</v>
      </c>
      <c r="I142" s="2">
        <v>10</v>
      </c>
      <c r="J142"/>
      <c r="K142"/>
      <c r="L142"/>
      <c r="M142"/>
      <c r="N142" s="23">
        <v>1500</v>
      </c>
      <c r="O142" s="58">
        <v>4.8499999999999996</v>
      </c>
      <c r="P142" s="24">
        <v>27</v>
      </c>
      <c r="Q142" s="24">
        <v>7</v>
      </c>
      <c r="R142" s="38"/>
    </row>
    <row r="143" spans="1:18" ht="15" thickBot="1" x14ac:dyDescent="0.4">
      <c r="A143" s="25" t="s">
        <v>556</v>
      </c>
      <c r="C143">
        <f t="shared" si="8"/>
        <v>9000</v>
      </c>
      <c r="D143">
        <f t="shared" si="9"/>
        <v>308.57142857142856</v>
      </c>
      <c r="E143">
        <f t="shared" si="10"/>
        <v>360</v>
      </c>
      <c r="F143">
        <f t="shared" si="11"/>
        <v>450</v>
      </c>
      <c r="G143" s="2" t="s">
        <v>558</v>
      </c>
      <c r="H143">
        <f t="shared" si="13"/>
        <v>10</v>
      </c>
      <c r="I143" s="2">
        <v>10</v>
      </c>
      <c r="N143" s="26">
        <v>9000</v>
      </c>
      <c r="O143" s="59">
        <v>29.166666666666668</v>
      </c>
      <c r="P143" s="27">
        <v>25</v>
      </c>
      <c r="Q143" s="27">
        <v>20</v>
      </c>
      <c r="R143" s="38"/>
    </row>
    <row r="144" spans="1:18" ht="58.5" thickBot="1" x14ac:dyDescent="0.4">
      <c r="A144" s="28" t="s">
        <v>803</v>
      </c>
      <c r="B144" t="s">
        <v>875</v>
      </c>
      <c r="C144">
        <f t="shared" si="8"/>
        <v>10000</v>
      </c>
      <c r="D144">
        <f t="shared" si="9"/>
        <v>304.72320975114269</v>
      </c>
      <c r="E144">
        <f t="shared" si="10"/>
        <v>285.71428571428572</v>
      </c>
      <c r="F144">
        <f t="shared" si="11"/>
        <v>250</v>
      </c>
      <c r="G144" s="2" t="s">
        <v>930</v>
      </c>
      <c r="H144">
        <f t="shared" si="13"/>
        <v>10</v>
      </c>
      <c r="I144" s="2">
        <v>10</v>
      </c>
      <c r="N144" s="29">
        <v>10000</v>
      </c>
      <c r="O144" s="60">
        <v>32.81666666666667</v>
      </c>
      <c r="P144" s="30">
        <v>35</v>
      </c>
      <c r="Q144" s="30">
        <v>40</v>
      </c>
      <c r="R144" s="38"/>
    </row>
    <row r="145" spans="1:18" ht="15" hidden="1" thickBot="1" x14ac:dyDescent="0.4">
      <c r="A145" s="25" t="s">
        <v>620</v>
      </c>
      <c r="B145" t="s">
        <v>102</v>
      </c>
      <c r="C145">
        <f t="shared" si="8"/>
        <v>20000</v>
      </c>
      <c r="D145">
        <f t="shared" si="9"/>
        <v>304.64584920030461</v>
      </c>
      <c r="E145">
        <f t="shared" si="10"/>
        <v>500</v>
      </c>
      <c r="F145">
        <f t="shared" si="11"/>
        <v>500</v>
      </c>
      <c r="G145" s="2" t="s">
        <v>804</v>
      </c>
      <c r="H145">
        <f t="shared" si="13"/>
        <v>10</v>
      </c>
      <c r="I145" s="2">
        <v>10</v>
      </c>
      <c r="J145"/>
      <c r="K145"/>
      <c r="L145"/>
      <c r="M145"/>
      <c r="N145" s="26">
        <v>20000</v>
      </c>
      <c r="O145" s="59">
        <v>65.650000000000006</v>
      </c>
      <c r="P145" s="27">
        <v>40</v>
      </c>
      <c r="Q145" s="27">
        <v>40</v>
      </c>
      <c r="R145" s="38"/>
    </row>
    <row r="146" spans="1:18" ht="29.5" thickBot="1" x14ac:dyDescent="0.4">
      <c r="A146" s="28" t="s">
        <v>646</v>
      </c>
      <c r="B146" t="s">
        <v>151</v>
      </c>
      <c r="C146">
        <f t="shared" si="8"/>
        <v>300</v>
      </c>
      <c r="D146">
        <f t="shared" si="9"/>
        <v>300</v>
      </c>
      <c r="E146">
        <f t="shared" si="10"/>
        <v>25</v>
      </c>
      <c r="F146">
        <f t="shared" si="11"/>
        <v>15</v>
      </c>
      <c r="G146" s="2" t="s">
        <v>850</v>
      </c>
      <c r="H146">
        <f t="shared" si="13"/>
        <v>10</v>
      </c>
      <c r="I146" s="2">
        <v>10</v>
      </c>
      <c r="N146" s="30">
        <v>300</v>
      </c>
      <c r="O146" s="60">
        <v>1</v>
      </c>
      <c r="P146" s="30">
        <v>12</v>
      </c>
      <c r="Q146" s="30">
        <v>20</v>
      </c>
      <c r="R146" s="37"/>
    </row>
    <row r="147" spans="1:18" ht="44" thickBot="1" x14ac:dyDescent="0.4">
      <c r="A147" s="28" t="s">
        <v>656</v>
      </c>
      <c r="B147" t="s">
        <v>657</v>
      </c>
      <c r="C147">
        <f t="shared" si="8"/>
        <v>600</v>
      </c>
      <c r="D147">
        <f t="shared" si="9"/>
        <v>300</v>
      </c>
      <c r="E147">
        <f t="shared" si="10"/>
        <v>100</v>
      </c>
      <c r="F147">
        <f t="shared" si="11"/>
        <v>20</v>
      </c>
      <c r="G147" s="2" t="s">
        <v>855</v>
      </c>
      <c r="H147">
        <f t="shared" si="13"/>
        <v>10</v>
      </c>
      <c r="I147" s="2">
        <v>10</v>
      </c>
      <c r="N147" s="30">
        <v>600</v>
      </c>
      <c r="O147" s="60">
        <v>2</v>
      </c>
      <c r="P147" s="30">
        <v>6</v>
      </c>
      <c r="Q147" s="30">
        <v>30</v>
      </c>
      <c r="R147" s="37"/>
    </row>
    <row r="148" spans="1:18" ht="29.5" thickBot="1" x14ac:dyDescent="0.4">
      <c r="A148" s="25" t="s">
        <v>724</v>
      </c>
      <c r="B148" t="s">
        <v>885</v>
      </c>
      <c r="C148">
        <f t="shared" si="8"/>
        <v>600</v>
      </c>
      <c r="D148">
        <f t="shared" si="9"/>
        <v>300</v>
      </c>
      <c r="E148">
        <f t="shared" si="10"/>
        <v>100</v>
      </c>
      <c r="F148">
        <f t="shared" si="11"/>
        <v>120</v>
      </c>
      <c r="G148" s="2" t="s">
        <v>886</v>
      </c>
      <c r="H148">
        <f t="shared" si="13"/>
        <v>10</v>
      </c>
      <c r="I148" s="2">
        <v>10</v>
      </c>
      <c r="N148" s="27">
        <v>600</v>
      </c>
      <c r="O148" s="59">
        <v>2</v>
      </c>
      <c r="P148" s="27">
        <v>6</v>
      </c>
      <c r="Q148" s="27">
        <v>5</v>
      </c>
      <c r="R148" s="38"/>
    </row>
    <row r="149" spans="1:18" ht="15" hidden="1" thickBot="1" x14ac:dyDescent="0.4">
      <c r="A149" s="22" t="s">
        <v>621</v>
      </c>
      <c r="B149" t="s">
        <v>504</v>
      </c>
      <c r="C149">
        <f t="shared" si="8"/>
        <v>4000</v>
      </c>
      <c r="D149">
        <f t="shared" si="9"/>
        <v>292.6829268292683</v>
      </c>
      <c r="E149">
        <f t="shared" si="10"/>
        <v>285.71428571428572</v>
      </c>
      <c r="F149">
        <f t="shared" si="11"/>
        <v>100</v>
      </c>
      <c r="G149" s="2" t="s">
        <v>804</v>
      </c>
      <c r="H149">
        <f t="shared" si="13"/>
        <v>10</v>
      </c>
      <c r="I149" s="2">
        <v>10</v>
      </c>
      <c r="J149"/>
      <c r="K149"/>
      <c r="L149"/>
      <c r="M149"/>
      <c r="N149" s="23">
        <v>4000</v>
      </c>
      <c r="O149" s="58">
        <v>13.666666666666666</v>
      </c>
      <c r="P149" s="24">
        <v>14</v>
      </c>
      <c r="Q149" s="24">
        <v>40</v>
      </c>
      <c r="R149" s="37"/>
    </row>
    <row r="150" spans="1:18" ht="15" hidden="1" thickBot="1" x14ac:dyDescent="0.4">
      <c r="A150" s="25" t="s">
        <v>530</v>
      </c>
      <c r="B150" t="s">
        <v>460</v>
      </c>
      <c r="C150">
        <f t="shared" si="8"/>
        <v>10000</v>
      </c>
      <c r="D150">
        <f t="shared" si="9"/>
        <v>286.12303290414877</v>
      </c>
      <c r="E150">
        <f t="shared" si="10"/>
        <v>400</v>
      </c>
      <c r="F150">
        <f t="shared" si="11"/>
        <v>666.66666666666663</v>
      </c>
      <c r="G150" s="2" t="s">
        <v>804</v>
      </c>
      <c r="H150">
        <f t="shared" si="13"/>
        <v>10</v>
      </c>
      <c r="I150" s="2">
        <v>10</v>
      </c>
      <c r="J150"/>
      <c r="K150"/>
      <c r="L150"/>
      <c r="M150"/>
      <c r="N150" s="26">
        <v>10000</v>
      </c>
      <c r="O150" s="59">
        <v>34.950000000000003</v>
      </c>
      <c r="P150" s="27">
        <v>25</v>
      </c>
      <c r="Q150" s="27">
        <v>15</v>
      </c>
      <c r="R150" s="37"/>
    </row>
    <row r="151" spans="1:18" ht="44" thickBot="1" x14ac:dyDescent="0.4">
      <c r="A151" s="28" t="s">
        <v>486</v>
      </c>
      <c r="C151">
        <f t="shared" si="8"/>
        <v>8650</v>
      </c>
      <c r="D151">
        <f t="shared" si="9"/>
        <v>280.54054054054058</v>
      </c>
      <c r="E151">
        <f t="shared" si="10"/>
        <v>288.33333333333331</v>
      </c>
      <c r="F151">
        <f t="shared" si="11"/>
        <v>432.5</v>
      </c>
      <c r="G151" s="2" t="s">
        <v>806</v>
      </c>
      <c r="H151">
        <f t="shared" si="13"/>
        <v>10</v>
      </c>
      <c r="I151" s="2">
        <v>10</v>
      </c>
      <c r="N151" s="29">
        <v>8650</v>
      </c>
      <c r="O151" s="60">
        <v>30.833333333333332</v>
      </c>
      <c r="P151" s="30">
        <v>30</v>
      </c>
      <c r="Q151" s="30">
        <v>20</v>
      </c>
      <c r="R151" s="37"/>
    </row>
    <row r="152" spans="1:18" ht="15" hidden="1" thickBot="1" x14ac:dyDescent="0.4">
      <c r="A152" s="31" t="s">
        <v>608</v>
      </c>
      <c r="B152" t="s">
        <v>102</v>
      </c>
      <c r="C152">
        <f t="shared" si="8"/>
        <v>2500</v>
      </c>
      <c r="D152">
        <f t="shared" si="9"/>
        <v>277.77777777777777</v>
      </c>
      <c r="E152">
        <f t="shared" si="10"/>
        <v>208.33333333333334</v>
      </c>
      <c r="F152">
        <f t="shared" si="11"/>
        <v>166.66666666666666</v>
      </c>
      <c r="G152" s="2" t="s">
        <v>804</v>
      </c>
      <c r="H152">
        <f t="shared" ref="H152:H180" si="14">AVERAGE(I152:M152)</f>
        <v>10</v>
      </c>
      <c r="I152" s="2">
        <v>10</v>
      </c>
      <c r="J152"/>
      <c r="K152"/>
      <c r="L152"/>
      <c r="M152"/>
      <c r="N152" s="32">
        <v>2500</v>
      </c>
      <c r="O152" s="61">
        <v>9</v>
      </c>
      <c r="P152" s="33">
        <v>12</v>
      </c>
      <c r="Q152" s="33">
        <v>15</v>
      </c>
      <c r="R152" s="37"/>
    </row>
    <row r="153" spans="1:18" ht="15" hidden="1" thickBot="1" x14ac:dyDescent="0.4">
      <c r="A153" s="25" t="s">
        <v>526</v>
      </c>
      <c r="B153" t="s">
        <v>85</v>
      </c>
      <c r="C153">
        <f t="shared" si="8"/>
        <v>500</v>
      </c>
      <c r="D153">
        <f t="shared" si="9"/>
        <v>275.22935779816515</v>
      </c>
      <c r="E153">
        <f t="shared" si="10"/>
        <v>9.2592592592592595</v>
      </c>
      <c r="F153">
        <f t="shared" si="11"/>
        <v>100</v>
      </c>
      <c r="G153" s="2" t="s">
        <v>804</v>
      </c>
      <c r="H153">
        <f t="shared" si="14"/>
        <v>10</v>
      </c>
      <c r="I153" s="2">
        <v>10</v>
      </c>
      <c r="J153"/>
      <c r="K153"/>
      <c r="L153"/>
      <c r="M153"/>
      <c r="N153" s="27">
        <v>500</v>
      </c>
      <c r="O153" s="59">
        <v>1.8166666666666667</v>
      </c>
      <c r="P153" s="27">
        <v>54</v>
      </c>
      <c r="Q153" s="27">
        <v>5</v>
      </c>
      <c r="R153" s="38"/>
    </row>
    <row r="154" spans="1:18" ht="15" hidden="1" thickBot="1" x14ac:dyDescent="0.4">
      <c r="A154" s="22" t="s">
        <v>537</v>
      </c>
      <c r="B154" t="s">
        <v>102</v>
      </c>
      <c r="C154">
        <f t="shared" ref="C154:C217" si="15">N154*(H154/10)^0.5</f>
        <v>500</v>
      </c>
      <c r="D154">
        <f t="shared" ref="D154:D217" si="16">C154/O154</f>
        <v>275.22935779816515</v>
      </c>
      <c r="E154">
        <f t="shared" ref="E154:E217" si="17">C154/P154</f>
        <v>45.454545454545453</v>
      </c>
      <c r="F154">
        <f t="shared" ref="F154:F217" si="18">C154/Q154</f>
        <v>33.333333333333336</v>
      </c>
      <c r="G154" s="2" t="s">
        <v>804</v>
      </c>
      <c r="H154">
        <f t="shared" si="14"/>
        <v>10</v>
      </c>
      <c r="I154" s="2">
        <v>10</v>
      </c>
      <c r="J154"/>
      <c r="K154"/>
      <c r="L154"/>
      <c r="M154"/>
      <c r="N154" s="24">
        <v>500</v>
      </c>
      <c r="O154" s="58">
        <v>1.8166666666666667</v>
      </c>
      <c r="P154" s="24">
        <v>11</v>
      </c>
      <c r="Q154" s="24">
        <v>15</v>
      </c>
      <c r="R154" s="37"/>
    </row>
    <row r="155" spans="1:18" ht="15" hidden="1" thickBot="1" x14ac:dyDescent="0.4">
      <c r="A155" s="25" t="s">
        <v>743</v>
      </c>
      <c r="B155" t="s">
        <v>460</v>
      </c>
      <c r="C155">
        <f t="shared" si="15"/>
        <v>3000</v>
      </c>
      <c r="D155">
        <f t="shared" si="16"/>
        <v>274.80916030534354</v>
      </c>
      <c r="E155">
        <f t="shared" si="17"/>
        <v>187.5</v>
      </c>
      <c r="F155">
        <f t="shared" si="18"/>
        <v>187.5</v>
      </c>
      <c r="G155" s="2" t="s">
        <v>804</v>
      </c>
      <c r="H155">
        <f t="shared" si="14"/>
        <v>10</v>
      </c>
      <c r="I155" s="2">
        <v>10</v>
      </c>
      <c r="J155"/>
      <c r="K155"/>
      <c r="L155"/>
      <c r="M155"/>
      <c r="N155" s="26">
        <v>3000</v>
      </c>
      <c r="O155" s="59">
        <v>10.916666666666666</v>
      </c>
      <c r="P155" s="27">
        <v>16</v>
      </c>
      <c r="Q155" s="27">
        <v>16</v>
      </c>
      <c r="R155" s="38"/>
    </row>
    <row r="156" spans="1:18" ht="15" hidden="1" thickBot="1" x14ac:dyDescent="0.4">
      <c r="A156" s="28" t="s">
        <v>594</v>
      </c>
      <c r="B156" t="s">
        <v>102</v>
      </c>
      <c r="C156">
        <f t="shared" si="15"/>
        <v>2000</v>
      </c>
      <c r="D156">
        <f t="shared" si="16"/>
        <v>274.5995423340961</v>
      </c>
      <c r="E156">
        <f t="shared" si="17"/>
        <v>83.333333333333329</v>
      </c>
      <c r="F156">
        <f t="shared" si="18"/>
        <v>40</v>
      </c>
      <c r="G156" s="2" t="s">
        <v>804</v>
      </c>
      <c r="H156">
        <f t="shared" si="14"/>
        <v>10</v>
      </c>
      <c r="I156" s="2">
        <v>10</v>
      </c>
      <c r="J156"/>
      <c r="K156"/>
      <c r="L156"/>
      <c r="M156"/>
      <c r="N156" s="29">
        <v>2000</v>
      </c>
      <c r="O156" s="60">
        <v>7.2833333333333332</v>
      </c>
      <c r="P156" s="30">
        <v>24</v>
      </c>
      <c r="Q156" s="30">
        <v>50</v>
      </c>
      <c r="R156" s="37"/>
    </row>
    <row r="157" spans="1:18" ht="15" hidden="1" thickBot="1" x14ac:dyDescent="0.4">
      <c r="A157" s="25" t="s">
        <v>697</v>
      </c>
      <c r="B157" t="s">
        <v>102</v>
      </c>
      <c r="C157">
        <f t="shared" si="15"/>
        <v>2000</v>
      </c>
      <c r="D157">
        <f t="shared" si="16"/>
        <v>274.5995423340961</v>
      </c>
      <c r="E157">
        <f t="shared" si="17"/>
        <v>133.33333333333334</v>
      </c>
      <c r="F157">
        <f t="shared" si="18"/>
        <v>80</v>
      </c>
      <c r="G157" s="2" t="s">
        <v>804</v>
      </c>
      <c r="H157">
        <f t="shared" si="14"/>
        <v>10</v>
      </c>
      <c r="I157" s="2">
        <v>10</v>
      </c>
      <c r="J157"/>
      <c r="K157"/>
      <c r="L157"/>
      <c r="M157"/>
      <c r="N157" s="26">
        <v>2000</v>
      </c>
      <c r="O157" s="59">
        <v>7.2833333333333332</v>
      </c>
      <c r="P157" s="27">
        <v>15</v>
      </c>
      <c r="Q157" s="27">
        <v>25</v>
      </c>
      <c r="R157" s="38"/>
    </row>
    <row r="158" spans="1:18" ht="58.5" thickBot="1" x14ac:dyDescent="0.4">
      <c r="A158" s="28" t="s">
        <v>725</v>
      </c>
      <c r="B158" t="s">
        <v>887</v>
      </c>
      <c r="C158">
        <f t="shared" si="15"/>
        <v>2000</v>
      </c>
      <c r="D158">
        <f t="shared" si="16"/>
        <v>274.5995423340961</v>
      </c>
      <c r="E158">
        <f t="shared" si="17"/>
        <v>200</v>
      </c>
      <c r="F158">
        <f t="shared" si="18"/>
        <v>111.11111111111111</v>
      </c>
      <c r="G158" s="2" t="s">
        <v>888</v>
      </c>
      <c r="H158">
        <f t="shared" si="14"/>
        <v>10</v>
      </c>
      <c r="I158" s="2">
        <v>10</v>
      </c>
      <c r="N158" s="29">
        <v>2000</v>
      </c>
      <c r="O158" s="60">
        <v>7.2833333333333332</v>
      </c>
      <c r="P158" s="30">
        <v>10</v>
      </c>
      <c r="Q158" s="30">
        <v>18</v>
      </c>
      <c r="R158" s="38"/>
    </row>
    <row r="159" spans="1:18" ht="15" hidden="1" thickBot="1" x14ac:dyDescent="0.4">
      <c r="A159" s="31" t="s">
        <v>576</v>
      </c>
      <c r="B159" s="56" t="s">
        <v>102</v>
      </c>
      <c r="C159">
        <f t="shared" si="15"/>
        <v>3000</v>
      </c>
      <c r="D159">
        <f t="shared" si="16"/>
        <v>274.39024390243901</v>
      </c>
      <c r="E159">
        <f t="shared" si="17"/>
        <v>150</v>
      </c>
      <c r="F159">
        <f t="shared" si="18"/>
        <v>300</v>
      </c>
      <c r="G159" s="2" t="s">
        <v>804</v>
      </c>
      <c r="H159">
        <f t="shared" si="14"/>
        <v>10</v>
      </c>
      <c r="I159" s="2">
        <v>10</v>
      </c>
      <c r="J159" s="56"/>
      <c r="K159" s="56"/>
      <c r="L159" s="56"/>
      <c r="M159" s="56"/>
      <c r="N159" s="32">
        <v>3000</v>
      </c>
      <c r="O159" s="61">
        <v>10.933333333333334</v>
      </c>
      <c r="P159" s="33">
        <v>20</v>
      </c>
      <c r="Q159" s="33">
        <v>10</v>
      </c>
      <c r="R159" s="38"/>
    </row>
    <row r="160" spans="1:18" ht="58.5" thickBot="1" x14ac:dyDescent="0.4">
      <c r="A160" s="22" t="s">
        <v>765</v>
      </c>
      <c r="B160" t="s">
        <v>902</v>
      </c>
      <c r="C160">
        <f t="shared" si="15"/>
        <v>4000</v>
      </c>
      <c r="D160">
        <f t="shared" si="16"/>
        <v>274.28571428571428</v>
      </c>
      <c r="E160">
        <f t="shared" si="17"/>
        <v>285.71428571428572</v>
      </c>
      <c r="F160">
        <f t="shared" si="18"/>
        <v>133.33333333333334</v>
      </c>
      <c r="G160" s="2" t="s">
        <v>916</v>
      </c>
      <c r="H160">
        <f t="shared" si="14"/>
        <v>10</v>
      </c>
      <c r="I160" s="2">
        <v>10</v>
      </c>
      <c r="N160" s="23">
        <v>4000</v>
      </c>
      <c r="O160" s="58">
        <v>14.583333333333334</v>
      </c>
      <c r="P160" s="24">
        <v>14</v>
      </c>
      <c r="Q160" s="24">
        <v>30</v>
      </c>
      <c r="R160" s="37"/>
    </row>
    <row r="161" spans="1:18" ht="15" hidden="1" thickBot="1" x14ac:dyDescent="0.4">
      <c r="A161" s="28" t="s">
        <v>577</v>
      </c>
      <c r="B161" t="s">
        <v>102</v>
      </c>
      <c r="C161">
        <f t="shared" si="15"/>
        <v>5000</v>
      </c>
      <c r="D161">
        <f t="shared" si="16"/>
        <v>274.22303473491775</v>
      </c>
      <c r="E161">
        <f t="shared" si="17"/>
        <v>166.66666666666666</v>
      </c>
      <c r="F161">
        <f t="shared" si="18"/>
        <v>416.66666666666669</v>
      </c>
      <c r="G161" s="2" t="s">
        <v>804</v>
      </c>
      <c r="H161">
        <f t="shared" si="14"/>
        <v>10</v>
      </c>
      <c r="I161" s="2">
        <v>10</v>
      </c>
      <c r="J161"/>
      <c r="K161"/>
      <c r="L161"/>
      <c r="M161"/>
      <c r="N161" s="29">
        <v>5000</v>
      </c>
      <c r="O161" s="60">
        <v>18.233333333333334</v>
      </c>
      <c r="P161" s="30">
        <v>30</v>
      </c>
      <c r="Q161" s="30">
        <v>12</v>
      </c>
      <c r="R161" s="37"/>
    </row>
    <row r="162" spans="1:18" ht="44" thickBot="1" x14ac:dyDescent="0.4">
      <c r="A162" s="31" t="s">
        <v>567</v>
      </c>
      <c r="B162" t="s">
        <v>568</v>
      </c>
      <c r="C162">
        <f t="shared" si="15"/>
        <v>24000</v>
      </c>
      <c r="D162">
        <f t="shared" si="16"/>
        <v>274.18126428027421</v>
      </c>
      <c r="E162">
        <f t="shared" si="17"/>
        <v>533.33333333333337</v>
      </c>
      <c r="F162">
        <f t="shared" si="18"/>
        <v>533.33333333333337</v>
      </c>
      <c r="G162" s="2" t="s">
        <v>828</v>
      </c>
      <c r="H162">
        <f t="shared" si="14"/>
        <v>10</v>
      </c>
      <c r="I162" s="2">
        <v>10</v>
      </c>
      <c r="N162" s="32">
        <v>24000</v>
      </c>
      <c r="O162" s="61">
        <v>87.533333333333331</v>
      </c>
      <c r="P162" s="33">
        <v>45</v>
      </c>
      <c r="Q162" s="33">
        <v>45</v>
      </c>
      <c r="R162" s="37"/>
    </row>
    <row r="163" spans="1:18" ht="29.5" thickBot="1" x14ac:dyDescent="0.4">
      <c r="A163" s="22" t="s">
        <v>732</v>
      </c>
      <c r="B163" t="s">
        <v>898</v>
      </c>
      <c r="C163">
        <f t="shared" si="15"/>
        <v>6000</v>
      </c>
      <c r="D163">
        <f t="shared" si="16"/>
        <v>272.72727272727275</v>
      </c>
      <c r="E163">
        <f t="shared" si="17"/>
        <v>600</v>
      </c>
      <c r="F163">
        <f t="shared" si="18"/>
        <v>300</v>
      </c>
      <c r="G163" s="2" t="s">
        <v>899</v>
      </c>
      <c r="H163">
        <f t="shared" si="14"/>
        <v>10</v>
      </c>
      <c r="I163" s="2">
        <v>10</v>
      </c>
      <c r="N163" s="23">
        <v>6000</v>
      </c>
      <c r="O163" s="58">
        <v>22</v>
      </c>
      <c r="P163" s="24">
        <v>10</v>
      </c>
      <c r="Q163" s="24">
        <v>20</v>
      </c>
      <c r="R163" s="38"/>
    </row>
    <row r="164" spans="1:18" ht="58.5" thickBot="1" x14ac:dyDescent="0.4">
      <c r="A164" s="28" t="s">
        <v>778</v>
      </c>
      <c r="B164" t="s">
        <v>925</v>
      </c>
      <c r="C164">
        <f t="shared" si="15"/>
        <v>3000</v>
      </c>
      <c r="D164">
        <f t="shared" si="16"/>
        <v>272.72727272727275</v>
      </c>
      <c r="E164">
        <f t="shared" si="17"/>
        <v>375</v>
      </c>
      <c r="F164">
        <f t="shared" si="18"/>
        <v>85.714285714285708</v>
      </c>
      <c r="G164" s="2" t="s">
        <v>924</v>
      </c>
      <c r="H164">
        <f t="shared" si="14"/>
        <v>10</v>
      </c>
      <c r="I164" s="2">
        <v>10</v>
      </c>
      <c r="N164" s="29">
        <v>3000</v>
      </c>
      <c r="O164" s="60">
        <v>11</v>
      </c>
      <c r="P164" s="30">
        <v>8</v>
      </c>
      <c r="Q164" s="30">
        <v>35</v>
      </c>
      <c r="R164" s="37"/>
    </row>
    <row r="165" spans="1:18" ht="58.5" thickBot="1" x14ac:dyDescent="0.4">
      <c r="A165" s="25" t="s">
        <v>587</v>
      </c>
      <c r="B165" t="s">
        <v>541</v>
      </c>
      <c r="C165">
        <f t="shared" si="15"/>
        <v>11000</v>
      </c>
      <c r="D165">
        <f t="shared" si="16"/>
        <v>268.07473598700244</v>
      </c>
      <c r="E165">
        <f t="shared" si="17"/>
        <v>1100</v>
      </c>
      <c r="F165">
        <f t="shared" si="18"/>
        <v>1100</v>
      </c>
      <c r="G165" s="2" t="s">
        <v>833</v>
      </c>
      <c r="H165">
        <f t="shared" si="14"/>
        <v>10</v>
      </c>
      <c r="I165" s="2">
        <v>10</v>
      </c>
      <c r="N165" s="26">
        <v>11000</v>
      </c>
      <c r="O165" s="59">
        <v>41.033333333333331</v>
      </c>
      <c r="P165" s="27">
        <v>10</v>
      </c>
      <c r="Q165" s="27">
        <v>10</v>
      </c>
      <c r="R165" s="38"/>
    </row>
    <row r="166" spans="1:18" ht="15" hidden="1" thickBot="1" x14ac:dyDescent="0.4">
      <c r="A166" s="22" t="s">
        <v>529</v>
      </c>
      <c r="B166" t="s">
        <v>460</v>
      </c>
      <c r="C166">
        <f t="shared" si="15"/>
        <v>4000</v>
      </c>
      <c r="D166">
        <f t="shared" si="16"/>
        <v>266.66666666666669</v>
      </c>
      <c r="E166">
        <f t="shared" si="17"/>
        <v>266.66666666666669</v>
      </c>
      <c r="F166">
        <f t="shared" si="18"/>
        <v>266.66666666666669</v>
      </c>
      <c r="G166" s="2" t="s">
        <v>804</v>
      </c>
      <c r="H166">
        <f t="shared" si="14"/>
        <v>10</v>
      </c>
      <c r="I166" s="2">
        <v>10</v>
      </c>
      <c r="J166"/>
      <c r="K166"/>
      <c r="L166"/>
      <c r="M166"/>
      <c r="N166" s="23">
        <v>4000</v>
      </c>
      <c r="O166" s="58">
        <v>15</v>
      </c>
      <c r="P166" s="24">
        <v>15</v>
      </c>
      <c r="Q166" s="24">
        <v>15</v>
      </c>
      <c r="R166" s="38"/>
    </row>
    <row r="167" spans="1:18" ht="15" hidden="1" thickBot="1" x14ac:dyDescent="0.4">
      <c r="A167" s="31" t="s">
        <v>604</v>
      </c>
      <c r="B167" t="s">
        <v>605</v>
      </c>
      <c r="C167">
        <f t="shared" si="15"/>
        <v>6000</v>
      </c>
      <c r="D167">
        <f t="shared" si="16"/>
        <v>263.35040234089246</v>
      </c>
      <c r="E167">
        <f t="shared" si="17"/>
        <v>400</v>
      </c>
      <c r="F167">
        <f t="shared" si="18"/>
        <v>1200</v>
      </c>
      <c r="G167" s="2" t="s">
        <v>804</v>
      </c>
      <c r="H167">
        <f t="shared" si="14"/>
        <v>10</v>
      </c>
      <c r="I167" s="2">
        <v>10</v>
      </c>
      <c r="J167"/>
      <c r="K167"/>
      <c r="L167"/>
      <c r="M167"/>
      <c r="N167" s="32">
        <v>6000</v>
      </c>
      <c r="O167" s="61">
        <v>22.783333333333335</v>
      </c>
      <c r="P167" s="33">
        <v>15</v>
      </c>
      <c r="Q167" s="33">
        <v>5</v>
      </c>
      <c r="R167" s="37"/>
    </row>
    <row r="168" spans="1:18" ht="15" hidden="1" thickBot="1" x14ac:dyDescent="0.4">
      <c r="A168" s="31" t="s">
        <v>611</v>
      </c>
      <c r="B168" t="s">
        <v>252</v>
      </c>
      <c r="C168">
        <f t="shared" si="15"/>
        <v>1000</v>
      </c>
      <c r="D168">
        <f t="shared" si="16"/>
        <v>263.15789473684214</v>
      </c>
      <c r="E168">
        <f t="shared" si="17"/>
        <v>83.333333333333329</v>
      </c>
      <c r="F168">
        <f t="shared" si="18"/>
        <v>100</v>
      </c>
      <c r="G168" s="2" t="s">
        <v>804</v>
      </c>
      <c r="H168">
        <f t="shared" si="14"/>
        <v>10</v>
      </c>
      <c r="I168" s="2">
        <v>10</v>
      </c>
      <c r="J168"/>
      <c r="K168"/>
      <c r="L168"/>
      <c r="M168"/>
      <c r="N168" s="32">
        <v>1000</v>
      </c>
      <c r="O168" s="61">
        <v>3.8</v>
      </c>
      <c r="P168" s="33">
        <v>12</v>
      </c>
      <c r="Q168" s="33">
        <v>10</v>
      </c>
      <c r="R168" s="38"/>
    </row>
    <row r="169" spans="1:18" ht="44" thickBot="1" x14ac:dyDescent="0.4">
      <c r="A169" s="31" t="s">
        <v>712</v>
      </c>
      <c r="B169" t="s">
        <v>487</v>
      </c>
      <c r="C169">
        <f t="shared" si="15"/>
        <v>11500</v>
      </c>
      <c r="D169">
        <f t="shared" si="16"/>
        <v>262.85714285714283</v>
      </c>
      <c r="E169">
        <f t="shared" si="17"/>
        <v>328.57142857142856</v>
      </c>
      <c r="F169">
        <f t="shared" si="18"/>
        <v>383.33333333333331</v>
      </c>
      <c r="G169" s="2" t="s">
        <v>880</v>
      </c>
      <c r="H169">
        <f t="shared" si="14"/>
        <v>10</v>
      </c>
      <c r="I169" s="2">
        <v>10</v>
      </c>
      <c r="N169" s="32">
        <v>11500</v>
      </c>
      <c r="O169" s="61">
        <v>43.75</v>
      </c>
      <c r="P169" s="33">
        <v>35</v>
      </c>
      <c r="Q169" s="33">
        <v>30</v>
      </c>
      <c r="R169" s="38"/>
    </row>
    <row r="170" spans="1:18" ht="44" thickBot="1" x14ac:dyDescent="0.4">
      <c r="A170" s="28" t="s">
        <v>706</v>
      </c>
      <c r="B170" t="s">
        <v>487</v>
      </c>
      <c r="C170">
        <f t="shared" si="15"/>
        <v>5650</v>
      </c>
      <c r="D170">
        <f t="shared" si="16"/>
        <v>258.18735719725817</v>
      </c>
      <c r="E170">
        <f t="shared" si="17"/>
        <v>226</v>
      </c>
      <c r="F170">
        <f t="shared" si="18"/>
        <v>565</v>
      </c>
      <c r="G170" s="2" t="s">
        <v>879</v>
      </c>
      <c r="H170">
        <f t="shared" si="14"/>
        <v>10</v>
      </c>
      <c r="I170" s="2">
        <v>10</v>
      </c>
      <c r="N170" s="29">
        <v>5650</v>
      </c>
      <c r="O170" s="60">
        <v>21.883333333333333</v>
      </c>
      <c r="P170" s="30">
        <v>25</v>
      </c>
      <c r="Q170" s="30">
        <v>10</v>
      </c>
      <c r="R170" s="37"/>
    </row>
    <row r="171" spans="1:18" ht="15" hidden="1" thickBot="1" x14ac:dyDescent="0.4">
      <c r="A171" s="25" t="s">
        <v>528</v>
      </c>
      <c r="B171" t="s">
        <v>522</v>
      </c>
      <c r="C171">
        <f t="shared" si="15"/>
        <v>1400</v>
      </c>
      <c r="D171">
        <f t="shared" si="16"/>
        <v>256.09756097560972</v>
      </c>
      <c r="E171">
        <f t="shared" si="17"/>
        <v>116.66666666666667</v>
      </c>
      <c r="F171">
        <f t="shared" si="18"/>
        <v>116.66666666666667</v>
      </c>
      <c r="G171" s="2" t="s">
        <v>804</v>
      </c>
      <c r="H171">
        <f t="shared" si="14"/>
        <v>10</v>
      </c>
      <c r="I171" s="2">
        <v>10</v>
      </c>
      <c r="J171"/>
      <c r="K171"/>
      <c r="L171"/>
      <c r="M171"/>
      <c r="N171" s="26">
        <v>1400</v>
      </c>
      <c r="O171" s="59">
        <v>5.4666666666666668</v>
      </c>
      <c r="P171" s="27">
        <v>12</v>
      </c>
      <c r="Q171" s="27">
        <v>12</v>
      </c>
      <c r="R171" s="38"/>
    </row>
    <row r="172" spans="1:18" ht="15" hidden="1" thickBot="1" x14ac:dyDescent="0.4">
      <c r="A172" s="28" t="s">
        <v>718</v>
      </c>
      <c r="B172" t="s">
        <v>102</v>
      </c>
      <c r="C172">
        <f t="shared" si="15"/>
        <v>2800</v>
      </c>
      <c r="D172">
        <f t="shared" si="16"/>
        <v>254.54545454545453</v>
      </c>
      <c r="E172">
        <f t="shared" si="17"/>
        <v>164.70588235294119</v>
      </c>
      <c r="F172">
        <f t="shared" si="18"/>
        <v>233.33333333333334</v>
      </c>
      <c r="G172" s="2" t="s">
        <v>804</v>
      </c>
      <c r="H172">
        <f t="shared" si="14"/>
        <v>10</v>
      </c>
      <c r="I172" s="2">
        <v>10</v>
      </c>
      <c r="J172"/>
      <c r="K172"/>
      <c r="L172"/>
      <c r="M172"/>
      <c r="N172" s="29">
        <v>2800</v>
      </c>
      <c r="O172" s="60">
        <v>11</v>
      </c>
      <c r="P172" s="30">
        <v>17</v>
      </c>
      <c r="Q172" s="30">
        <v>12</v>
      </c>
      <c r="R172" s="37"/>
    </row>
    <row r="173" spans="1:18" ht="15" hidden="1" thickBot="1" x14ac:dyDescent="0.4">
      <c r="A173" s="22" t="s">
        <v>545</v>
      </c>
      <c r="B173" t="s">
        <v>460</v>
      </c>
      <c r="C173">
        <f t="shared" si="15"/>
        <v>150</v>
      </c>
      <c r="D173">
        <f t="shared" si="16"/>
        <v>250</v>
      </c>
      <c r="E173">
        <f t="shared" si="17"/>
        <v>30</v>
      </c>
      <c r="F173">
        <f t="shared" si="18"/>
        <v>30</v>
      </c>
      <c r="G173" s="2" t="s">
        <v>804</v>
      </c>
      <c r="H173">
        <f t="shared" si="14"/>
        <v>10</v>
      </c>
      <c r="I173" s="2">
        <v>10</v>
      </c>
      <c r="J173"/>
      <c r="K173"/>
      <c r="L173"/>
      <c r="M173"/>
      <c r="N173" s="24">
        <v>150</v>
      </c>
      <c r="O173" s="58">
        <v>0.6</v>
      </c>
      <c r="P173" s="24">
        <v>5</v>
      </c>
      <c r="Q173" s="24">
        <v>5</v>
      </c>
      <c r="R173" s="37"/>
    </row>
    <row r="174" spans="1:18" ht="15" hidden="1" thickBot="1" x14ac:dyDescent="0.4">
      <c r="A174" s="25" t="s">
        <v>661</v>
      </c>
      <c r="B174" t="s">
        <v>102</v>
      </c>
      <c r="C174">
        <f t="shared" si="15"/>
        <v>600</v>
      </c>
      <c r="D174">
        <f t="shared" si="16"/>
        <v>248.27586206896552</v>
      </c>
      <c r="E174">
        <f t="shared" si="17"/>
        <v>60</v>
      </c>
      <c r="F174">
        <f t="shared" si="18"/>
        <v>60</v>
      </c>
      <c r="G174" s="2" t="s">
        <v>804</v>
      </c>
      <c r="H174">
        <f t="shared" si="14"/>
        <v>10</v>
      </c>
      <c r="I174" s="2">
        <v>10</v>
      </c>
      <c r="J174"/>
      <c r="K174"/>
      <c r="L174"/>
      <c r="M174"/>
      <c r="N174" s="27">
        <v>600</v>
      </c>
      <c r="O174" s="59">
        <v>2.4166666666666665</v>
      </c>
      <c r="P174" s="27">
        <v>10</v>
      </c>
      <c r="Q174" s="27">
        <v>10</v>
      </c>
      <c r="R174" s="37"/>
    </row>
    <row r="175" spans="1:18" ht="15" hidden="1" thickBot="1" x14ac:dyDescent="0.4">
      <c r="A175" s="25" t="s">
        <v>479</v>
      </c>
      <c r="B175" t="s">
        <v>480</v>
      </c>
      <c r="C175">
        <f t="shared" si="15"/>
        <v>1000</v>
      </c>
      <c r="D175">
        <f t="shared" si="16"/>
        <v>246.9135802469136</v>
      </c>
      <c r="E175">
        <f t="shared" si="17"/>
        <v>66.666666666666671</v>
      </c>
      <c r="F175">
        <f t="shared" si="18"/>
        <v>333.33333333333331</v>
      </c>
      <c r="G175" s="2" t="s">
        <v>804</v>
      </c>
      <c r="H175">
        <f t="shared" si="14"/>
        <v>10</v>
      </c>
      <c r="I175">
        <v>10</v>
      </c>
      <c r="J175"/>
      <c r="K175"/>
      <c r="L175"/>
      <c r="M175"/>
      <c r="N175" s="26">
        <v>1000</v>
      </c>
      <c r="O175" s="59">
        <v>4.05</v>
      </c>
      <c r="P175" s="27">
        <v>15</v>
      </c>
      <c r="Q175" s="27">
        <v>3</v>
      </c>
      <c r="R175" s="37"/>
    </row>
    <row r="176" spans="1:18" ht="44" thickBot="1" x14ac:dyDescent="0.4">
      <c r="A176" s="25" t="s">
        <v>726</v>
      </c>
      <c r="B176" t="s">
        <v>875</v>
      </c>
      <c r="C176">
        <f t="shared" si="15"/>
        <v>4000</v>
      </c>
      <c r="D176">
        <f t="shared" si="16"/>
        <v>243.90243902439028</v>
      </c>
      <c r="E176">
        <f t="shared" si="17"/>
        <v>222.22222222222223</v>
      </c>
      <c r="F176">
        <f t="shared" si="18"/>
        <v>200</v>
      </c>
      <c r="G176" s="2" t="s">
        <v>889</v>
      </c>
      <c r="H176">
        <f t="shared" si="14"/>
        <v>10</v>
      </c>
      <c r="I176" s="2">
        <v>10</v>
      </c>
      <c r="N176" s="26">
        <v>4000</v>
      </c>
      <c r="O176" s="59">
        <v>16.399999999999999</v>
      </c>
      <c r="P176" s="27">
        <v>18</v>
      </c>
      <c r="Q176" s="27">
        <v>20</v>
      </c>
      <c r="R176" s="37"/>
    </row>
    <row r="177" spans="1:18" ht="29.5" thickBot="1" x14ac:dyDescent="0.4">
      <c r="A177" s="25" t="s">
        <v>740</v>
      </c>
      <c r="B177" t="s">
        <v>517</v>
      </c>
      <c r="C177">
        <f t="shared" si="15"/>
        <v>3500</v>
      </c>
      <c r="D177">
        <f t="shared" si="16"/>
        <v>240</v>
      </c>
      <c r="E177">
        <f t="shared" si="17"/>
        <v>388.88888888888891</v>
      </c>
      <c r="F177">
        <f t="shared" si="18"/>
        <v>70</v>
      </c>
      <c r="G177" s="2" t="s">
        <v>905</v>
      </c>
      <c r="H177">
        <f t="shared" si="14"/>
        <v>10</v>
      </c>
      <c r="I177" s="2">
        <v>10</v>
      </c>
      <c r="N177" s="26">
        <v>3500</v>
      </c>
      <c r="O177" s="59">
        <v>14.583333333333334</v>
      </c>
      <c r="P177" s="27">
        <v>9</v>
      </c>
      <c r="Q177" s="27">
        <v>50</v>
      </c>
      <c r="R177" s="38"/>
    </row>
    <row r="178" spans="1:18" ht="15" hidden="1" thickBot="1" x14ac:dyDescent="0.4">
      <c r="A178" s="25" t="s">
        <v>790</v>
      </c>
      <c r="B178" t="s">
        <v>102</v>
      </c>
      <c r="C178">
        <f t="shared" si="15"/>
        <v>7000</v>
      </c>
      <c r="D178">
        <f t="shared" si="16"/>
        <v>240</v>
      </c>
      <c r="E178">
        <f t="shared" si="17"/>
        <v>280</v>
      </c>
      <c r="F178">
        <f t="shared" si="18"/>
        <v>233.33333333333334</v>
      </c>
      <c r="G178" s="2" t="s">
        <v>804</v>
      </c>
      <c r="H178">
        <f t="shared" si="14"/>
        <v>10</v>
      </c>
      <c r="I178" s="2">
        <v>10</v>
      </c>
      <c r="J178"/>
      <c r="K178"/>
      <c r="L178"/>
      <c r="M178"/>
      <c r="N178" s="26">
        <v>7000</v>
      </c>
      <c r="O178" s="59">
        <v>29.166666666666668</v>
      </c>
      <c r="P178" s="27">
        <v>25</v>
      </c>
      <c r="Q178" s="27">
        <v>30</v>
      </c>
      <c r="R178" s="38"/>
    </row>
    <row r="179" spans="1:18" ht="15" hidden="1" thickBot="1" x14ac:dyDescent="0.4">
      <c r="A179" s="28" t="s">
        <v>471</v>
      </c>
      <c r="B179" t="s">
        <v>469</v>
      </c>
      <c r="C179">
        <f t="shared" si="15"/>
        <v>650</v>
      </c>
      <c r="D179">
        <f t="shared" si="16"/>
        <v>237.80487804878049</v>
      </c>
      <c r="E179">
        <f t="shared" si="17"/>
        <v>162.5</v>
      </c>
      <c r="F179">
        <f t="shared" si="18"/>
        <v>325</v>
      </c>
      <c r="G179" s="2" t="s">
        <v>804</v>
      </c>
      <c r="H179">
        <f t="shared" si="14"/>
        <v>10</v>
      </c>
      <c r="I179">
        <v>10</v>
      </c>
      <c r="J179"/>
      <c r="K179"/>
      <c r="L179"/>
      <c r="M179"/>
      <c r="N179" s="30">
        <v>650</v>
      </c>
      <c r="O179" s="60">
        <v>2.7333333333333334</v>
      </c>
      <c r="P179" s="30">
        <v>4</v>
      </c>
      <c r="Q179" s="30">
        <v>2</v>
      </c>
      <c r="R179" s="38"/>
    </row>
    <row r="180" spans="1:18" ht="15" hidden="1" thickBot="1" x14ac:dyDescent="0.4">
      <c r="A180" s="25" t="s">
        <v>784</v>
      </c>
      <c r="B180" t="s">
        <v>460</v>
      </c>
      <c r="C180">
        <f t="shared" si="15"/>
        <v>1250</v>
      </c>
      <c r="D180">
        <f t="shared" si="16"/>
        <v>237.34177215189874</v>
      </c>
      <c r="E180">
        <f t="shared" si="17"/>
        <v>250</v>
      </c>
      <c r="F180">
        <f t="shared" si="18"/>
        <v>125</v>
      </c>
      <c r="G180" s="2" t="s">
        <v>804</v>
      </c>
      <c r="H180">
        <f t="shared" si="14"/>
        <v>10</v>
      </c>
      <c r="I180" s="2">
        <v>10</v>
      </c>
      <c r="J180"/>
      <c r="K180"/>
      <c r="L180"/>
      <c r="M180"/>
      <c r="N180" s="26">
        <v>1250</v>
      </c>
      <c r="O180" s="59">
        <v>5.2666666666666666</v>
      </c>
      <c r="P180" s="27">
        <v>5</v>
      </c>
      <c r="Q180" s="27">
        <v>10</v>
      </c>
      <c r="R180" s="38"/>
    </row>
    <row r="181" spans="1:18" ht="58.5" thickBot="1" x14ac:dyDescent="0.4">
      <c r="A181" s="31" t="s">
        <v>105</v>
      </c>
      <c r="C181">
        <f t="shared" ca="1" si="15"/>
        <v>147.69055487741929</v>
      </c>
      <c r="D181">
        <f t="shared" ca="1" si="16"/>
        <v>239.49819709851775</v>
      </c>
      <c r="E181">
        <f t="shared" ca="1" si="17"/>
        <v>147.69055487741929</v>
      </c>
      <c r="F181">
        <f t="shared" ca="1" si="18"/>
        <v>49.230184959139763</v>
      </c>
      <c r="G181" s="2" t="s">
        <v>823</v>
      </c>
      <c r="H181">
        <f ca="1">1/20*(10*I181+J181+K181+8*L181)</f>
        <v>87.25</v>
      </c>
      <c r="I181" s="2">
        <f>Workstations!$B$26</f>
        <v>74</v>
      </c>
      <c r="J181" s="14">
        <f>Products!$B$2</f>
        <v>206</v>
      </c>
      <c r="K181" s="2">
        <f>Input!$B$18</f>
        <v>101</v>
      </c>
      <c r="L181" s="2">
        <f ca="1">H181</f>
        <v>87.25</v>
      </c>
      <c r="N181" s="33">
        <v>50</v>
      </c>
      <c r="O181" s="61">
        <v>0.6166666666666667</v>
      </c>
      <c r="P181" s="33">
        <v>1</v>
      </c>
      <c r="Q181" s="33">
        <v>3</v>
      </c>
      <c r="R181" s="37"/>
    </row>
    <row r="182" spans="1:18" ht="15" hidden="1" thickBot="1" x14ac:dyDescent="0.4">
      <c r="A182" s="22" t="s">
        <v>635</v>
      </c>
      <c r="B182" t="s">
        <v>460</v>
      </c>
      <c r="C182">
        <f t="shared" si="15"/>
        <v>5000</v>
      </c>
      <c r="D182">
        <f t="shared" si="16"/>
        <v>232.55813953488371</v>
      </c>
      <c r="E182">
        <f t="shared" si="17"/>
        <v>500</v>
      </c>
      <c r="F182">
        <f t="shared" si="18"/>
        <v>111.11111111111111</v>
      </c>
      <c r="G182" s="2" t="s">
        <v>804</v>
      </c>
      <c r="H182">
        <f t="shared" ref="H182:H201" si="19">AVERAGE(I182:M182)</f>
        <v>10</v>
      </c>
      <c r="I182" s="2">
        <v>10</v>
      </c>
      <c r="J182"/>
      <c r="K182"/>
      <c r="L182"/>
      <c r="M182"/>
      <c r="N182" s="23">
        <v>5000</v>
      </c>
      <c r="O182" s="58">
        <v>21.5</v>
      </c>
      <c r="P182" s="24">
        <v>10</v>
      </c>
      <c r="Q182" s="24">
        <v>45</v>
      </c>
      <c r="R182" s="38"/>
    </row>
    <row r="183" spans="1:18" ht="15" hidden="1" thickBot="1" x14ac:dyDescent="0.4">
      <c r="A183" s="22" t="s">
        <v>723</v>
      </c>
      <c r="B183" t="s">
        <v>460</v>
      </c>
      <c r="C183">
        <f t="shared" si="15"/>
        <v>8000</v>
      </c>
      <c r="D183">
        <f t="shared" si="16"/>
        <v>229.66507177033492</v>
      </c>
      <c r="E183">
        <f t="shared" si="17"/>
        <v>333.33333333333331</v>
      </c>
      <c r="F183">
        <f t="shared" si="18"/>
        <v>250</v>
      </c>
      <c r="G183" s="2" t="s">
        <v>804</v>
      </c>
      <c r="H183">
        <f t="shared" si="19"/>
        <v>10</v>
      </c>
      <c r="I183" s="2">
        <v>10</v>
      </c>
      <c r="J183"/>
      <c r="K183"/>
      <c r="L183"/>
      <c r="M183"/>
      <c r="N183" s="23">
        <v>8000</v>
      </c>
      <c r="O183" s="58">
        <v>34.833333333333336</v>
      </c>
      <c r="P183" s="24">
        <v>24</v>
      </c>
      <c r="Q183" s="24">
        <v>32</v>
      </c>
      <c r="R183" s="37"/>
    </row>
    <row r="184" spans="1:18" ht="29.5" thickBot="1" x14ac:dyDescent="0.4">
      <c r="A184" s="22" t="s">
        <v>734</v>
      </c>
      <c r="B184" t="s">
        <v>902</v>
      </c>
      <c r="C184">
        <f t="shared" si="15"/>
        <v>1250</v>
      </c>
      <c r="D184">
        <f t="shared" si="16"/>
        <v>228.65853658536585</v>
      </c>
      <c r="E184">
        <f t="shared" si="17"/>
        <v>52.083333333333336</v>
      </c>
      <c r="F184">
        <f t="shared" si="18"/>
        <v>250</v>
      </c>
      <c r="G184" s="2" t="s">
        <v>901</v>
      </c>
      <c r="H184">
        <f t="shared" si="19"/>
        <v>10</v>
      </c>
      <c r="I184" s="2">
        <v>10</v>
      </c>
      <c r="N184" s="23">
        <v>1250</v>
      </c>
      <c r="O184" s="58">
        <v>5.4666666666666668</v>
      </c>
      <c r="P184" s="24">
        <v>24</v>
      </c>
      <c r="Q184" s="24">
        <v>5</v>
      </c>
      <c r="R184" s="37"/>
    </row>
    <row r="185" spans="1:18" ht="15" hidden="1" thickBot="1" x14ac:dyDescent="0.4">
      <c r="A185" s="25" t="s">
        <v>602</v>
      </c>
      <c r="B185" t="s">
        <v>603</v>
      </c>
      <c r="C185">
        <f t="shared" si="15"/>
        <v>10000</v>
      </c>
      <c r="D185">
        <f t="shared" si="16"/>
        <v>228.48438690022849</v>
      </c>
      <c r="E185">
        <f t="shared" si="17"/>
        <v>500</v>
      </c>
      <c r="F185">
        <f t="shared" si="18"/>
        <v>166.66666666666666</v>
      </c>
      <c r="G185" s="2" t="s">
        <v>804</v>
      </c>
      <c r="H185">
        <f t="shared" si="19"/>
        <v>10</v>
      </c>
      <c r="I185" s="2">
        <v>10</v>
      </c>
      <c r="J185"/>
      <c r="K185"/>
      <c r="L185"/>
      <c r="M185"/>
      <c r="N185" s="26">
        <v>10000</v>
      </c>
      <c r="O185" s="59">
        <v>43.766666666666666</v>
      </c>
      <c r="P185" s="27">
        <v>20</v>
      </c>
      <c r="Q185" s="27">
        <v>60</v>
      </c>
      <c r="R185" s="37"/>
    </row>
    <row r="186" spans="1:18" ht="15" hidden="1" thickBot="1" x14ac:dyDescent="0.4">
      <c r="A186" s="22" t="s">
        <v>569</v>
      </c>
      <c r="B186" s="56" t="s">
        <v>102</v>
      </c>
      <c r="C186">
        <f t="shared" si="15"/>
        <v>15000</v>
      </c>
      <c r="D186">
        <f t="shared" si="16"/>
        <v>228.48438690022846</v>
      </c>
      <c r="E186">
        <f t="shared" si="17"/>
        <v>500</v>
      </c>
      <c r="F186">
        <f t="shared" si="18"/>
        <v>750</v>
      </c>
      <c r="G186" s="2" t="s">
        <v>804</v>
      </c>
      <c r="H186">
        <f t="shared" si="19"/>
        <v>10</v>
      </c>
      <c r="I186" s="2">
        <v>10</v>
      </c>
      <c r="J186" s="56"/>
      <c r="K186" s="56"/>
      <c r="L186" s="56"/>
      <c r="M186" s="56"/>
      <c r="N186" s="23">
        <v>15000</v>
      </c>
      <c r="O186" s="58">
        <v>65.650000000000006</v>
      </c>
      <c r="P186" s="24">
        <v>30</v>
      </c>
      <c r="Q186" s="24">
        <v>20</v>
      </c>
      <c r="R186" s="38"/>
    </row>
    <row r="187" spans="1:18" ht="15" hidden="1" thickBot="1" x14ac:dyDescent="0.4">
      <c r="A187" s="31" t="s">
        <v>514</v>
      </c>
      <c r="B187" t="s">
        <v>102</v>
      </c>
      <c r="C187">
        <f t="shared" si="15"/>
        <v>550</v>
      </c>
      <c r="D187">
        <f t="shared" si="16"/>
        <v>227.58620689655174</v>
      </c>
      <c r="E187">
        <f t="shared" si="17"/>
        <v>137.5</v>
      </c>
      <c r="F187">
        <f t="shared" si="18"/>
        <v>110</v>
      </c>
      <c r="G187" s="2" t="s">
        <v>804</v>
      </c>
      <c r="H187">
        <f t="shared" si="19"/>
        <v>10</v>
      </c>
      <c r="I187" s="2">
        <v>10</v>
      </c>
      <c r="J187"/>
      <c r="K187"/>
      <c r="L187"/>
      <c r="M187"/>
      <c r="N187" s="33">
        <v>550</v>
      </c>
      <c r="O187" s="61">
        <v>2.4166666666666665</v>
      </c>
      <c r="P187" s="33">
        <v>4</v>
      </c>
      <c r="Q187" s="33">
        <v>5</v>
      </c>
      <c r="R187" s="38"/>
    </row>
    <row r="188" spans="1:18" ht="29.5" thickBot="1" x14ac:dyDescent="0.4">
      <c r="A188" s="25" t="s">
        <v>693</v>
      </c>
      <c r="B188" t="s">
        <v>868</v>
      </c>
      <c r="C188">
        <f t="shared" si="15"/>
        <v>2500</v>
      </c>
      <c r="D188">
        <f t="shared" si="16"/>
        <v>227.27272727272728</v>
      </c>
      <c r="E188">
        <f t="shared" si="17"/>
        <v>208.33333333333334</v>
      </c>
      <c r="F188">
        <f t="shared" si="18"/>
        <v>125</v>
      </c>
      <c r="G188" s="2" t="s">
        <v>869</v>
      </c>
      <c r="H188">
        <f t="shared" si="19"/>
        <v>10</v>
      </c>
      <c r="I188" s="2">
        <v>10</v>
      </c>
      <c r="N188" s="26">
        <v>2500</v>
      </c>
      <c r="O188" s="59">
        <v>11</v>
      </c>
      <c r="P188" s="27">
        <v>12</v>
      </c>
      <c r="Q188" s="27">
        <v>20</v>
      </c>
      <c r="R188" s="37"/>
    </row>
    <row r="189" spans="1:18" ht="15" hidden="1" thickBot="1" x14ac:dyDescent="0.4">
      <c r="A189" s="31" t="s">
        <v>800</v>
      </c>
      <c r="B189" t="s">
        <v>252</v>
      </c>
      <c r="C189">
        <f t="shared" si="15"/>
        <v>2500</v>
      </c>
      <c r="D189">
        <f t="shared" si="16"/>
        <v>227.27272727272728</v>
      </c>
      <c r="E189">
        <f t="shared" si="17"/>
        <v>500</v>
      </c>
      <c r="F189">
        <f t="shared" si="18"/>
        <v>250</v>
      </c>
      <c r="G189" s="2" t="s">
        <v>804</v>
      </c>
      <c r="H189">
        <f t="shared" si="19"/>
        <v>10</v>
      </c>
      <c r="I189" s="2">
        <v>10</v>
      </c>
      <c r="J189"/>
      <c r="K189"/>
      <c r="L189"/>
      <c r="M189"/>
      <c r="N189" s="32">
        <v>2500</v>
      </c>
      <c r="O189" s="61">
        <v>11</v>
      </c>
      <c r="P189" s="33">
        <v>5</v>
      </c>
      <c r="Q189" s="33">
        <v>10</v>
      </c>
      <c r="R189" s="38"/>
    </row>
    <row r="190" spans="1:18" ht="15" hidden="1" thickBot="1" x14ac:dyDescent="0.4">
      <c r="A190" s="22" t="s">
        <v>555</v>
      </c>
      <c r="B190" t="s">
        <v>102</v>
      </c>
      <c r="C190">
        <f t="shared" si="15"/>
        <v>1800</v>
      </c>
      <c r="D190">
        <f t="shared" si="16"/>
        <v>225</v>
      </c>
      <c r="E190">
        <f t="shared" si="17"/>
        <v>120</v>
      </c>
      <c r="F190">
        <f t="shared" si="18"/>
        <v>600</v>
      </c>
      <c r="G190" s="2" t="s">
        <v>804</v>
      </c>
      <c r="H190">
        <f t="shared" si="19"/>
        <v>10</v>
      </c>
      <c r="I190" s="2">
        <v>10</v>
      </c>
      <c r="J190"/>
      <c r="K190"/>
      <c r="L190"/>
      <c r="M190"/>
      <c r="N190" s="23">
        <v>1800</v>
      </c>
      <c r="O190" s="58">
        <v>8</v>
      </c>
      <c r="P190" s="24">
        <v>15</v>
      </c>
      <c r="Q190" s="24">
        <v>3</v>
      </c>
      <c r="R190" s="38"/>
    </row>
    <row r="191" spans="1:18" ht="15" hidden="1" thickBot="1" x14ac:dyDescent="0.4">
      <c r="A191" s="28" t="s">
        <v>585</v>
      </c>
      <c r="B191" t="s">
        <v>102</v>
      </c>
      <c r="C191">
        <f t="shared" si="15"/>
        <v>800</v>
      </c>
      <c r="D191">
        <f t="shared" si="16"/>
        <v>220.18348623853211</v>
      </c>
      <c r="E191">
        <f t="shared" si="17"/>
        <v>400</v>
      </c>
      <c r="F191">
        <f t="shared" si="18"/>
        <v>133.33333333333334</v>
      </c>
      <c r="G191" s="2" t="s">
        <v>804</v>
      </c>
      <c r="H191">
        <f t="shared" si="19"/>
        <v>10</v>
      </c>
      <c r="I191" s="2">
        <v>10</v>
      </c>
      <c r="J191"/>
      <c r="K191"/>
      <c r="L191"/>
      <c r="M191"/>
      <c r="N191" s="30">
        <v>800</v>
      </c>
      <c r="O191" s="60">
        <v>3.6333333333333333</v>
      </c>
      <c r="P191" s="30">
        <v>2</v>
      </c>
      <c r="Q191" s="30">
        <v>6</v>
      </c>
      <c r="R191" s="37"/>
    </row>
    <row r="192" spans="1:18" ht="15" hidden="1" thickBot="1" x14ac:dyDescent="0.4">
      <c r="A192" s="28" t="s">
        <v>103</v>
      </c>
      <c r="B192" t="s">
        <v>460</v>
      </c>
      <c r="C192">
        <f t="shared" si="15"/>
        <v>1600</v>
      </c>
      <c r="D192">
        <f t="shared" si="16"/>
        <v>219.67963386727689</v>
      </c>
      <c r="E192">
        <f t="shared" si="17"/>
        <v>320</v>
      </c>
      <c r="F192">
        <f t="shared" si="18"/>
        <v>160000</v>
      </c>
      <c r="G192" s="2" t="s">
        <v>804</v>
      </c>
      <c r="H192">
        <f t="shared" si="19"/>
        <v>10</v>
      </c>
      <c r="I192" s="2">
        <v>10</v>
      </c>
      <c r="J192"/>
      <c r="K192"/>
      <c r="L192"/>
      <c r="M192"/>
      <c r="N192" s="29">
        <v>1600</v>
      </c>
      <c r="O192" s="60">
        <v>7.2833333333333332</v>
      </c>
      <c r="P192" s="30">
        <v>5</v>
      </c>
      <c r="Q192" s="30">
        <v>0.01</v>
      </c>
      <c r="R192" s="38"/>
    </row>
    <row r="193" spans="1:18" ht="44" thickBot="1" x14ac:dyDescent="0.4">
      <c r="A193" s="25" t="s">
        <v>27</v>
      </c>
      <c r="B193" t="s">
        <v>504</v>
      </c>
      <c r="C193">
        <f t="shared" si="15"/>
        <v>3000</v>
      </c>
      <c r="D193">
        <f t="shared" si="16"/>
        <v>219.51219512195124</v>
      </c>
      <c r="E193">
        <f t="shared" si="17"/>
        <v>214.28571428571428</v>
      </c>
      <c r="F193">
        <f t="shared" si="18"/>
        <v>187.5</v>
      </c>
      <c r="G193" s="2" t="s">
        <v>839</v>
      </c>
      <c r="H193">
        <f t="shared" si="19"/>
        <v>10</v>
      </c>
      <c r="I193" s="2">
        <v>10</v>
      </c>
      <c r="N193" s="26">
        <v>3000</v>
      </c>
      <c r="O193" s="59">
        <v>13.666666666666666</v>
      </c>
      <c r="P193" s="27">
        <v>14</v>
      </c>
      <c r="Q193" s="27">
        <v>16</v>
      </c>
      <c r="R193" s="38"/>
    </row>
    <row r="194" spans="1:18" ht="15" hidden="1" thickBot="1" x14ac:dyDescent="0.4">
      <c r="A194" s="22" t="s">
        <v>531</v>
      </c>
      <c r="B194" t="s">
        <v>102</v>
      </c>
      <c r="C194">
        <f t="shared" si="15"/>
        <v>600</v>
      </c>
      <c r="D194">
        <f t="shared" si="16"/>
        <v>219.51219512195121</v>
      </c>
      <c r="E194">
        <f t="shared" si="17"/>
        <v>19.35483870967742</v>
      </c>
      <c r="F194">
        <f t="shared" si="18"/>
        <v>85.714285714285708</v>
      </c>
      <c r="G194" s="2" t="s">
        <v>804</v>
      </c>
      <c r="H194">
        <f t="shared" si="19"/>
        <v>10</v>
      </c>
      <c r="I194" s="2">
        <v>10</v>
      </c>
      <c r="J194"/>
      <c r="K194"/>
      <c r="L194"/>
      <c r="M194"/>
      <c r="N194" s="24">
        <v>600</v>
      </c>
      <c r="O194" s="58">
        <v>2.7333333333333334</v>
      </c>
      <c r="P194" s="24">
        <v>31</v>
      </c>
      <c r="Q194" s="24">
        <v>7</v>
      </c>
      <c r="R194" s="38"/>
    </row>
    <row r="195" spans="1:18" ht="15" hidden="1" thickBot="1" x14ac:dyDescent="0.4">
      <c r="A195" s="28" t="s">
        <v>561</v>
      </c>
      <c r="B195" t="s">
        <v>469</v>
      </c>
      <c r="C195">
        <f t="shared" si="15"/>
        <v>3900</v>
      </c>
      <c r="D195">
        <f t="shared" si="16"/>
        <v>213.89396709323583</v>
      </c>
      <c r="E195">
        <f t="shared" si="17"/>
        <v>487.5</v>
      </c>
      <c r="F195">
        <f t="shared" si="18"/>
        <v>780</v>
      </c>
      <c r="G195" s="2" t="s">
        <v>804</v>
      </c>
      <c r="H195">
        <f t="shared" si="19"/>
        <v>10</v>
      </c>
      <c r="I195" s="2">
        <v>10</v>
      </c>
      <c r="J195"/>
      <c r="K195"/>
      <c r="L195"/>
      <c r="M195"/>
      <c r="N195" s="29">
        <v>3900</v>
      </c>
      <c r="O195" s="60">
        <v>18.233333333333334</v>
      </c>
      <c r="P195" s="30">
        <v>8</v>
      </c>
      <c r="Q195" s="30">
        <v>5</v>
      </c>
      <c r="R195" s="37"/>
    </row>
    <row r="196" spans="1:18" ht="15" hidden="1" thickBot="1" x14ac:dyDescent="0.4">
      <c r="A196" s="25" t="s">
        <v>496</v>
      </c>
      <c r="B196" s="37"/>
      <c r="C196">
        <f t="shared" si="15"/>
        <v>125</v>
      </c>
      <c r="D196">
        <f t="shared" si="16"/>
        <v>208.33333333333334</v>
      </c>
      <c r="E196">
        <f t="shared" si="17"/>
        <v>62.5</v>
      </c>
      <c r="F196">
        <f t="shared" si="18"/>
        <v>25</v>
      </c>
      <c r="G196" s="2" t="s">
        <v>804</v>
      </c>
      <c r="H196">
        <f t="shared" si="19"/>
        <v>10</v>
      </c>
      <c r="I196" s="2">
        <v>10</v>
      </c>
      <c r="J196" s="37"/>
      <c r="K196" s="37"/>
      <c r="L196" s="37"/>
      <c r="M196" s="37"/>
      <c r="N196" s="27">
        <v>125</v>
      </c>
      <c r="O196" s="59">
        <v>0.6</v>
      </c>
      <c r="P196" s="27">
        <v>2</v>
      </c>
      <c r="Q196" s="27">
        <v>5</v>
      </c>
      <c r="R196" s="38"/>
    </row>
    <row r="197" spans="1:18" ht="29.5" thickBot="1" x14ac:dyDescent="0.4">
      <c r="A197" s="25" t="s">
        <v>651</v>
      </c>
      <c r="B197" t="s">
        <v>504</v>
      </c>
      <c r="C197">
        <f t="shared" si="15"/>
        <v>4096</v>
      </c>
      <c r="D197">
        <f t="shared" si="16"/>
        <v>207.39240506329114</v>
      </c>
      <c r="E197">
        <f t="shared" si="17"/>
        <v>117.02857142857142</v>
      </c>
      <c r="F197">
        <f t="shared" si="18"/>
        <v>204.8</v>
      </c>
      <c r="G197" s="2" t="s">
        <v>854</v>
      </c>
      <c r="H197">
        <f t="shared" si="19"/>
        <v>10</v>
      </c>
      <c r="I197" s="2">
        <v>10</v>
      </c>
      <c r="N197" s="26">
        <v>4096</v>
      </c>
      <c r="O197" s="59">
        <v>19.75</v>
      </c>
      <c r="P197" s="27">
        <v>35</v>
      </c>
      <c r="Q197" s="27">
        <v>20</v>
      </c>
      <c r="R197" s="37"/>
    </row>
    <row r="198" spans="1:18" ht="15" hidden="1" thickBot="1" x14ac:dyDescent="0.4">
      <c r="A198" s="31" t="s">
        <v>634</v>
      </c>
      <c r="B198" s="37"/>
      <c r="C198">
        <f t="shared" si="15"/>
        <v>500</v>
      </c>
      <c r="D198">
        <f t="shared" si="16"/>
        <v>206.89655172413794</v>
      </c>
      <c r="E198">
        <f t="shared" si="17"/>
        <v>100</v>
      </c>
      <c r="F198">
        <f t="shared" si="18"/>
        <v>250</v>
      </c>
      <c r="G198" s="2" t="s">
        <v>804</v>
      </c>
      <c r="H198">
        <f t="shared" si="19"/>
        <v>10</v>
      </c>
      <c r="I198" s="2">
        <v>10</v>
      </c>
      <c r="J198" s="37"/>
      <c r="K198" s="37"/>
      <c r="L198" s="37"/>
      <c r="M198" s="37"/>
      <c r="N198" s="33">
        <v>500</v>
      </c>
      <c r="O198" s="61">
        <v>2.4166666666666665</v>
      </c>
      <c r="P198" s="33">
        <v>5</v>
      </c>
      <c r="Q198" s="33">
        <v>2</v>
      </c>
      <c r="R198" s="38"/>
    </row>
    <row r="199" spans="1:18" ht="15" hidden="1" thickBot="1" x14ac:dyDescent="0.4">
      <c r="A199" s="25" t="s">
        <v>546</v>
      </c>
      <c r="B199" t="s">
        <v>460</v>
      </c>
      <c r="C199">
        <f t="shared" si="15"/>
        <v>750</v>
      </c>
      <c r="D199">
        <f t="shared" si="16"/>
        <v>206.42201834862385</v>
      </c>
      <c r="E199">
        <f t="shared" si="17"/>
        <v>83.333333333333329</v>
      </c>
      <c r="F199">
        <f t="shared" si="18"/>
        <v>150</v>
      </c>
      <c r="G199" s="2" t="s">
        <v>804</v>
      </c>
      <c r="H199">
        <f t="shared" si="19"/>
        <v>10</v>
      </c>
      <c r="I199" s="2">
        <v>10</v>
      </c>
      <c r="J199"/>
      <c r="K199"/>
      <c r="L199"/>
      <c r="M199"/>
      <c r="N199" s="27">
        <v>750</v>
      </c>
      <c r="O199" s="59">
        <v>3.6333333333333333</v>
      </c>
      <c r="P199" s="27">
        <v>9</v>
      </c>
      <c r="Q199" s="27">
        <v>5</v>
      </c>
      <c r="R199" s="37"/>
    </row>
    <row r="200" spans="1:18" ht="15" thickBot="1" x14ac:dyDescent="0.4">
      <c r="A200" s="25" t="s">
        <v>560</v>
      </c>
      <c r="C200">
        <f t="shared" si="15"/>
        <v>7500</v>
      </c>
      <c r="D200">
        <f t="shared" si="16"/>
        <v>205.66727605118828</v>
      </c>
      <c r="E200">
        <f t="shared" si="17"/>
        <v>441.1764705882353</v>
      </c>
      <c r="F200">
        <f t="shared" si="18"/>
        <v>500</v>
      </c>
      <c r="G200" s="2" t="s">
        <v>821</v>
      </c>
      <c r="H200">
        <f t="shared" si="19"/>
        <v>10</v>
      </c>
      <c r="I200" s="2">
        <v>10</v>
      </c>
      <c r="N200" s="26">
        <v>7500</v>
      </c>
      <c r="O200" s="59">
        <v>36.466666666666669</v>
      </c>
      <c r="P200" s="27">
        <v>17</v>
      </c>
      <c r="Q200" s="27">
        <v>15</v>
      </c>
      <c r="R200" s="37"/>
    </row>
    <row r="201" spans="1:18" ht="15" hidden="1" thickBot="1" x14ac:dyDescent="0.4">
      <c r="A201" s="28" t="s">
        <v>625</v>
      </c>
      <c r="B201" t="s">
        <v>102</v>
      </c>
      <c r="C201">
        <f t="shared" si="15"/>
        <v>15000</v>
      </c>
      <c r="D201">
        <f t="shared" si="16"/>
        <v>205.66727605118828</v>
      </c>
      <c r="E201">
        <f t="shared" si="17"/>
        <v>428.57142857142856</v>
      </c>
      <c r="F201">
        <f t="shared" si="18"/>
        <v>1500</v>
      </c>
      <c r="G201" s="2" t="s">
        <v>804</v>
      </c>
      <c r="H201">
        <f t="shared" si="19"/>
        <v>10</v>
      </c>
      <c r="I201" s="2">
        <v>10</v>
      </c>
      <c r="J201"/>
      <c r="K201"/>
      <c r="L201"/>
      <c r="M201"/>
      <c r="N201" s="29">
        <v>15000</v>
      </c>
      <c r="O201" s="60">
        <v>72.933333333333337</v>
      </c>
      <c r="P201" s="30">
        <v>35</v>
      </c>
      <c r="Q201" s="30">
        <v>10</v>
      </c>
      <c r="R201" s="38"/>
    </row>
    <row r="202" spans="1:18" ht="58.5" thickBot="1" x14ac:dyDescent="0.4">
      <c r="A202" s="22" t="s">
        <v>116</v>
      </c>
      <c r="B202" t="s">
        <v>460</v>
      </c>
      <c r="C202">
        <f t="shared" ca="1" si="15"/>
        <v>2953.811097548386</v>
      </c>
      <c r="D202">
        <f t="shared" ca="1" si="16"/>
        <v>202.54704668903219</v>
      </c>
      <c r="E202">
        <f t="shared" ca="1" si="17"/>
        <v>738.4527743870965</v>
      </c>
      <c r="F202">
        <f t="shared" ca="1" si="18"/>
        <v>421.97301393548372</v>
      </c>
      <c r="G202" s="2" t="s">
        <v>921</v>
      </c>
      <c r="H202">
        <f ca="1">1/20*(10*I202+J202+K202+8*L202)</f>
        <v>87.25</v>
      </c>
      <c r="I202" s="2">
        <f>Workstations!$B$26</f>
        <v>74</v>
      </c>
      <c r="J202" s="14">
        <f>Products!$B$2</f>
        <v>206</v>
      </c>
      <c r="K202" s="2">
        <f>Input!$B$18</f>
        <v>101</v>
      </c>
      <c r="L202" s="2">
        <f ca="1">H202</f>
        <v>87.25</v>
      </c>
      <c r="N202" s="23">
        <v>1000</v>
      </c>
      <c r="O202" s="58">
        <v>14.583333333333334</v>
      </c>
      <c r="P202" s="24">
        <v>4</v>
      </c>
      <c r="Q202" s="24">
        <v>7</v>
      </c>
      <c r="R202" s="37"/>
    </row>
    <row r="203" spans="1:18" ht="15" thickBot="1" x14ac:dyDescent="0.4">
      <c r="A203" s="25" t="s">
        <v>549</v>
      </c>
      <c r="C203">
        <f t="shared" si="15"/>
        <v>840</v>
      </c>
      <c r="D203">
        <f t="shared" si="16"/>
        <v>197.64705882352942</v>
      </c>
      <c r="E203">
        <f t="shared" si="17"/>
        <v>210</v>
      </c>
      <c r="F203">
        <f t="shared" si="18"/>
        <v>42</v>
      </c>
      <c r="G203" s="2" t="s">
        <v>819</v>
      </c>
      <c r="H203">
        <f>AVERAGE(I203:M203)</f>
        <v>10</v>
      </c>
      <c r="I203" s="2">
        <v>10</v>
      </c>
      <c r="N203" s="27">
        <v>840</v>
      </c>
      <c r="O203" s="59">
        <v>4.25</v>
      </c>
      <c r="P203" s="27">
        <v>4</v>
      </c>
      <c r="Q203" s="27">
        <v>20</v>
      </c>
      <c r="R203" s="38"/>
    </row>
    <row r="204" spans="1:18" ht="15" hidden="1" thickBot="1" x14ac:dyDescent="0.4">
      <c r="A204" s="22" t="s">
        <v>575</v>
      </c>
      <c r="B204" t="s">
        <v>457</v>
      </c>
      <c r="C204">
        <f t="shared" si="15"/>
        <v>1422</v>
      </c>
      <c r="D204">
        <f t="shared" si="16"/>
        <v>195.24027459954235</v>
      </c>
      <c r="E204">
        <f t="shared" si="17"/>
        <v>142.19999999999999</v>
      </c>
      <c r="F204">
        <f t="shared" si="18"/>
        <v>79</v>
      </c>
      <c r="G204" s="2" t="s">
        <v>804</v>
      </c>
      <c r="H204">
        <f>AVERAGE(I204:M204)</f>
        <v>10</v>
      </c>
      <c r="I204" s="2">
        <v>10</v>
      </c>
      <c r="J204"/>
      <c r="K204"/>
      <c r="L204"/>
      <c r="M204"/>
      <c r="N204" s="23">
        <v>1422</v>
      </c>
      <c r="O204" s="58">
        <v>7.2833333333333332</v>
      </c>
      <c r="P204" s="24">
        <v>10</v>
      </c>
      <c r="Q204" s="24">
        <v>18</v>
      </c>
      <c r="R204" s="37"/>
    </row>
    <row r="205" spans="1:18" ht="15" hidden="1" thickBot="1" x14ac:dyDescent="0.4">
      <c r="A205" s="28" t="s">
        <v>745</v>
      </c>
      <c r="B205" t="s">
        <v>102</v>
      </c>
      <c r="C205">
        <f t="shared" si="15"/>
        <v>950</v>
      </c>
      <c r="D205">
        <f t="shared" si="16"/>
        <v>195.20547945205479</v>
      </c>
      <c r="E205">
        <f t="shared" si="17"/>
        <v>475</v>
      </c>
      <c r="F205">
        <f t="shared" si="18"/>
        <v>316.66666666666669</v>
      </c>
      <c r="G205" s="2" t="s">
        <v>804</v>
      </c>
      <c r="H205">
        <f>AVERAGE(I205:M205)</f>
        <v>10</v>
      </c>
      <c r="I205" s="2">
        <v>10</v>
      </c>
      <c r="J205"/>
      <c r="K205"/>
      <c r="L205"/>
      <c r="M205"/>
      <c r="N205" s="30">
        <v>950</v>
      </c>
      <c r="O205" s="60">
        <v>4.8666666666666671</v>
      </c>
      <c r="P205" s="30">
        <v>2</v>
      </c>
      <c r="Q205" s="30">
        <v>3</v>
      </c>
      <c r="R205" s="38"/>
    </row>
    <row r="206" spans="1:18" ht="15" hidden="1" thickBot="1" x14ac:dyDescent="0.4">
      <c r="A206" s="28" t="s">
        <v>758</v>
      </c>
      <c r="B206" t="s">
        <v>102</v>
      </c>
      <c r="C206">
        <f t="shared" si="15"/>
        <v>1600</v>
      </c>
      <c r="D206">
        <f t="shared" si="16"/>
        <v>195.1219512195122</v>
      </c>
      <c r="E206">
        <f t="shared" si="17"/>
        <v>160</v>
      </c>
      <c r="F206">
        <f t="shared" si="18"/>
        <v>80</v>
      </c>
      <c r="G206" s="2" t="s">
        <v>804</v>
      </c>
      <c r="H206">
        <f>AVERAGE(I206:M206)</f>
        <v>10</v>
      </c>
      <c r="I206" s="2">
        <v>10</v>
      </c>
      <c r="J206"/>
      <c r="K206"/>
      <c r="L206"/>
      <c r="M206"/>
      <c r="N206" s="29">
        <v>1600</v>
      </c>
      <c r="O206" s="60">
        <v>8.1999999999999993</v>
      </c>
      <c r="P206" s="30">
        <v>10</v>
      </c>
      <c r="Q206" s="30">
        <v>20</v>
      </c>
      <c r="R206" s="38"/>
    </row>
    <row r="207" spans="1:18" ht="29.5" hidden="1" thickBot="1" x14ac:dyDescent="0.4">
      <c r="A207" s="28" t="s">
        <v>774</v>
      </c>
      <c r="B207" t="s">
        <v>775</v>
      </c>
      <c r="C207">
        <f t="shared" si="15"/>
        <v>450</v>
      </c>
      <c r="D207">
        <f t="shared" si="16"/>
        <v>184.93150684931504</v>
      </c>
      <c r="E207">
        <f t="shared" si="17"/>
        <v>225</v>
      </c>
      <c r="F207">
        <f t="shared" si="18"/>
        <v>450</v>
      </c>
      <c r="G207" s="2" t="s">
        <v>804</v>
      </c>
      <c r="H207">
        <f>AVERAGE(I207:M207)</f>
        <v>10</v>
      </c>
      <c r="I207" s="2">
        <v>10</v>
      </c>
      <c r="J207"/>
      <c r="K207"/>
      <c r="L207"/>
      <c r="M207"/>
      <c r="N207" s="30">
        <v>450</v>
      </c>
      <c r="O207" s="60">
        <v>2.4333333333333336</v>
      </c>
      <c r="P207" s="30">
        <v>2</v>
      </c>
      <c r="Q207" s="30">
        <v>1</v>
      </c>
      <c r="R207" s="38"/>
    </row>
    <row r="208" spans="1:18" ht="29.5" thickBot="1" x14ac:dyDescent="0.4">
      <c r="A208" s="25" t="s">
        <v>472</v>
      </c>
      <c r="B208" t="s">
        <v>473</v>
      </c>
      <c r="C208">
        <f t="shared" ca="1" si="15"/>
        <v>6926.3351552378926</v>
      </c>
      <c r="D208">
        <f t="shared" ca="1" si="16"/>
        <v>192.39819875660814</v>
      </c>
      <c r="E208">
        <f t="shared" ca="1" si="17"/>
        <v>865.79189440473658</v>
      </c>
      <c r="F208">
        <f t="shared" ca="1" si="18"/>
        <v>692.63351552378924</v>
      </c>
      <c r="G208" s="2" t="s">
        <v>807</v>
      </c>
      <c r="H208">
        <f ca="1">I208</f>
        <v>213.21830525637472</v>
      </c>
      <c r="I208" s="2">
        <f ca="1">MAX(Weaponry!B4,Weaponry!B22)</f>
        <v>213.21830525637472</v>
      </c>
      <c r="N208" s="26">
        <v>1500</v>
      </c>
      <c r="O208" s="59">
        <v>36</v>
      </c>
      <c r="P208" s="27">
        <v>8</v>
      </c>
      <c r="Q208" s="27">
        <v>10</v>
      </c>
      <c r="R208" s="37"/>
    </row>
    <row r="209" spans="1:18" ht="29.5" thickBot="1" x14ac:dyDescent="0.4">
      <c r="A209" s="31" t="s">
        <v>544</v>
      </c>
      <c r="C209">
        <f t="shared" si="15"/>
        <v>2000</v>
      </c>
      <c r="D209">
        <f t="shared" si="16"/>
        <v>182.92682926829269</v>
      </c>
      <c r="E209">
        <f t="shared" si="17"/>
        <v>133.33333333333334</v>
      </c>
      <c r="F209">
        <f t="shared" si="18"/>
        <v>133.33333333333334</v>
      </c>
      <c r="G209" s="2" t="s">
        <v>818</v>
      </c>
      <c r="H209">
        <f t="shared" ref="H209:H222" si="20">AVERAGE(I209:M209)</f>
        <v>10</v>
      </c>
      <c r="I209" s="2">
        <v>10</v>
      </c>
      <c r="N209" s="32">
        <v>2000</v>
      </c>
      <c r="O209" s="61">
        <v>10.933333333333334</v>
      </c>
      <c r="P209" s="33">
        <v>15</v>
      </c>
      <c r="Q209" s="33">
        <v>15</v>
      </c>
      <c r="R209" s="37"/>
    </row>
    <row r="210" spans="1:18" ht="15" hidden="1" thickBot="1" x14ac:dyDescent="0.4">
      <c r="A210" s="25" t="s">
        <v>606</v>
      </c>
      <c r="B210" t="s">
        <v>460</v>
      </c>
      <c r="C210">
        <f t="shared" si="15"/>
        <v>1500</v>
      </c>
      <c r="D210">
        <f t="shared" si="16"/>
        <v>182.92682926829269</v>
      </c>
      <c r="E210">
        <f t="shared" si="17"/>
        <v>250</v>
      </c>
      <c r="F210">
        <f t="shared" si="18"/>
        <v>150</v>
      </c>
      <c r="G210" s="2" t="s">
        <v>804</v>
      </c>
      <c r="H210">
        <f t="shared" si="20"/>
        <v>10</v>
      </c>
      <c r="I210" s="2">
        <v>10</v>
      </c>
      <c r="J210"/>
      <c r="K210"/>
      <c r="L210"/>
      <c r="M210"/>
      <c r="N210" s="26">
        <v>1500</v>
      </c>
      <c r="O210" s="59">
        <v>8.1999999999999993</v>
      </c>
      <c r="P210" s="27">
        <v>6</v>
      </c>
      <c r="Q210" s="27">
        <v>10</v>
      </c>
      <c r="R210" s="38"/>
    </row>
    <row r="211" spans="1:18" ht="15" hidden="1" thickBot="1" x14ac:dyDescent="0.4">
      <c r="A211" s="28" t="s">
        <v>672</v>
      </c>
      <c r="B211" t="s">
        <v>102</v>
      </c>
      <c r="C211">
        <f t="shared" si="15"/>
        <v>1500</v>
      </c>
      <c r="D211">
        <f t="shared" si="16"/>
        <v>182.92682926829269</v>
      </c>
      <c r="E211">
        <f t="shared" si="17"/>
        <v>100</v>
      </c>
      <c r="F211">
        <f t="shared" si="18"/>
        <v>300</v>
      </c>
      <c r="G211" s="2" t="s">
        <v>804</v>
      </c>
      <c r="H211">
        <f t="shared" si="20"/>
        <v>10</v>
      </c>
      <c r="I211" s="2">
        <v>10</v>
      </c>
      <c r="J211"/>
      <c r="K211"/>
      <c r="L211"/>
      <c r="M211"/>
      <c r="N211" s="29">
        <v>1500</v>
      </c>
      <c r="O211" s="60">
        <v>8.1999999999999993</v>
      </c>
      <c r="P211" s="30">
        <v>15</v>
      </c>
      <c r="Q211" s="30">
        <v>5</v>
      </c>
      <c r="R211" s="37"/>
    </row>
    <row r="212" spans="1:18" ht="44" thickBot="1" x14ac:dyDescent="0.4">
      <c r="A212" s="31" t="s">
        <v>687</v>
      </c>
      <c r="B212" t="s">
        <v>863</v>
      </c>
      <c r="C212">
        <f t="shared" si="15"/>
        <v>1000</v>
      </c>
      <c r="D212">
        <f t="shared" si="16"/>
        <v>182.92682926829269</v>
      </c>
      <c r="E212">
        <f t="shared" si="17"/>
        <v>71.428571428571431</v>
      </c>
      <c r="F212">
        <f t="shared" si="18"/>
        <v>100</v>
      </c>
      <c r="G212" s="2" t="s">
        <v>862</v>
      </c>
      <c r="H212">
        <f t="shared" si="20"/>
        <v>10</v>
      </c>
      <c r="I212" s="2">
        <v>10</v>
      </c>
      <c r="N212" s="32">
        <v>1000</v>
      </c>
      <c r="O212" s="61">
        <v>5.4666666666666668</v>
      </c>
      <c r="P212" s="33">
        <v>14</v>
      </c>
      <c r="Q212" s="33">
        <v>10</v>
      </c>
      <c r="R212" s="38"/>
    </row>
    <row r="213" spans="1:18" ht="15" hidden="1" thickBot="1" x14ac:dyDescent="0.4">
      <c r="A213" s="28" t="s">
        <v>694</v>
      </c>
      <c r="B213" t="s">
        <v>460</v>
      </c>
      <c r="C213">
        <f t="shared" si="15"/>
        <v>1000</v>
      </c>
      <c r="D213">
        <f t="shared" si="16"/>
        <v>182.92682926829269</v>
      </c>
      <c r="E213">
        <f t="shared" si="17"/>
        <v>111.11111111111111</v>
      </c>
      <c r="F213">
        <f t="shared" si="18"/>
        <v>250</v>
      </c>
      <c r="G213" s="2" t="s">
        <v>804</v>
      </c>
      <c r="H213">
        <f t="shared" si="20"/>
        <v>10</v>
      </c>
      <c r="I213" s="2">
        <v>10</v>
      </c>
      <c r="J213"/>
      <c r="K213"/>
      <c r="L213"/>
      <c r="M213"/>
      <c r="N213" s="29">
        <v>1000</v>
      </c>
      <c r="O213" s="60">
        <v>5.4666666666666668</v>
      </c>
      <c r="P213" s="30">
        <v>9</v>
      </c>
      <c r="Q213" s="30">
        <v>4</v>
      </c>
      <c r="R213" s="37"/>
    </row>
    <row r="214" spans="1:18" ht="44" thickBot="1" x14ac:dyDescent="0.4">
      <c r="A214" s="25" t="s">
        <v>759</v>
      </c>
      <c r="B214" t="s">
        <v>912</v>
      </c>
      <c r="C214">
        <f t="shared" si="15"/>
        <v>3000</v>
      </c>
      <c r="D214">
        <f t="shared" si="16"/>
        <v>182.92682926829269</v>
      </c>
      <c r="E214">
        <f t="shared" si="17"/>
        <v>85.714285714285708</v>
      </c>
      <c r="F214">
        <f t="shared" si="18"/>
        <v>60</v>
      </c>
      <c r="G214" s="2" t="s">
        <v>913</v>
      </c>
      <c r="H214">
        <f t="shared" si="20"/>
        <v>10</v>
      </c>
      <c r="I214" s="2">
        <v>10</v>
      </c>
      <c r="N214" s="26">
        <v>3000</v>
      </c>
      <c r="O214" s="59">
        <v>16.399999999999999</v>
      </c>
      <c r="P214" s="27">
        <v>35</v>
      </c>
      <c r="Q214" s="27">
        <v>50</v>
      </c>
      <c r="R214" s="37"/>
    </row>
    <row r="215" spans="1:18" ht="15" thickBot="1" x14ac:dyDescent="0.4">
      <c r="A215" s="25" t="s">
        <v>798</v>
      </c>
      <c r="B215" t="s">
        <v>134</v>
      </c>
      <c r="C215">
        <f t="shared" si="15"/>
        <v>1500</v>
      </c>
      <c r="D215">
        <f t="shared" si="16"/>
        <v>182.92682926829269</v>
      </c>
      <c r="E215">
        <f t="shared" si="17"/>
        <v>187.5</v>
      </c>
      <c r="F215">
        <f t="shared" si="18"/>
        <v>42.857142857142854</v>
      </c>
      <c r="G215" s="2" t="s">
        <v>928</v>
      </c>
      <c r="H215">
        <f t="shared" si="20"/>
        <v>10</v>
      </c>
      <c r="I215" s="2">
        <v>10</v>
      </c>
      <c r="N215" s="26">
        <v>1500</v>
      </c>
      <c r="O215" s="59">
        <v>8.1999999999999993</v>
      </c>
      <c r="P215" s="27">
        <v>8</v>
      </c>
      <c r="Q215" s="27">
        <v>35</v>
      </c>
      <c r="R215" s="38"/>
    </row>
    <row r="216" spans="1:18" ht="15" hidden="1" thickBot="1" x14ac:dyDescent="0.4">
      <c r="A216" s="28" t="s">
        <v>746</v>
      </c>
      <c r="B216" t="s">
        <v>102</v>
      </c>
      <c r="C216">
        <f t="shared" si="15"/>
        <v>6000</v>
      </c>
      <c r="D216">
        <f t="shared" si="16"/>
        <v>182.8339258506856</v>
      </c>
      <c r="E216">
        <f t="shared" si="17"/>
        <v>375</v>
      </c>
      <c r="F216">
        <f t="shared" si="18"/>
        <v>250</v>
      </c>
      <c r="G216" s="2" t="s">
        <v>804</v>
      </c>
      <c r="H216">
        <f t="shared" si="20"/>
        <v>10</v>
      </c>
      <c r="I216" s="2">
        <v>10</v>
      </c>
      <c r="J216"/>
      <c r="K216"/>
      <c r="L216"/>
      <c r="M216"/>
      <c r="N216" s="29">
        <v>6000</v>
      </c>
      <c r="O216" s="60">
        <v>32.81666666666667</v>
      </c>
      <c r="P216" s="30">
        <v>16</v>
      </c>
      <c r="Q216" s="30">
        <v>24</v>
      </c>
      <c r="R216" s="37"/>
    </row>
    <row r="217" spans="1:18" ht="15" hidden="1" thickBot="1" x14ac:dyDescent="0.4">
      <c r="A217" s="28" t="s">
        <v>664</v>
      </c>
      <c r="B217" s="38"/>
      <c r="C217">
        <f t="shared" si="15"/>
        <v>5000</v>
      </c>
      <c r="D217">
        <f t="shared" si="16"/>
        <v>182.81535648994515</v>
      </c>
      <c r="E217">
        <f t="shared" si="17"/>
        <v>166.66666666666666</v>
      </c>
      <c r="F217">
        <f t="shared" si="18"/>
        <v>166.66666666666666</v>
      </c>
      <c r="G217" s="2" t="s">
        <v>804</v>
      </c>
      <c r="H217">
        <f t="shared" si="20"/>
        <v>10</v>
      </c>
      <c r="I217" s="2">
        <v>10</v>
      </c>
      <c r="J217" s="38"/>
      <c r="K217" s="38"/>
      <c r="L217" s="38"/>
      <c r="M217" s="38"/>
      <c r="N217" s="29">
        <v>5000</v>
      </c>
      <c r="O217" s="60">
        <v>27.35</v>
      </c>
      <c r="P217" s="30">
        <v>30</v>
      </c>
      <c r="Q217" s="30">
        <v>30</v>
      </c>
      <c r="R217" s="38"/>
    </row>
    <row r="218" spans="1:18" ht="15" hidden="1" thickBot="1" x14ac:dyDescent="0.4">
      <c r="A218" s="31" t="s">
        <v>653</v>
      </c>
      <c r="B218" t="s">
        <v>102</v>
      </c>
      <c r="C218">
        <f t="shared" ref="C218:C281" si="21">N218*(H218/10)^0.5</f>
        <v>2000</v>
      </c>
      <c r="D218">
        <f t="shared" ref="D218:D281" si="22">C218/O218</f>
        <v>181.81818181818181</v>
      </c>
      <c r="E218">
        <f t="shared" ref="E218:E281" si="23">C218/P218</f>
        <v>250</v>
      </c>
      <c r="F218">
        <f t="shared" ref="F218:F281" si="24">C218/Q218</f>
        <v>200</v>
      </c>
      <c r="G218" s="2" t="s">
        <v>804</v>
      </c>
      <c r="H218">
        <f t="shared" si="20"/>
        <v>10</v>
      </c>
      <c r="I218" s="2">
        <v>10</v>
      </c>
      <c r="J218"/>
      <c r="K218"/>
      <c r="L218"/>
      <c r="M218"/>
      <c r="N218" s="32">
        <v>2000</v>
      </c>
      <c r="O218" s="61">
        <v>11</v>
      </c>
      <c r="P218" s="33">
        <v>8</v>
      </c>
      <c r="Q218" s="33">
        <v>10</v>
      </c>
      <c r="R218" s="37"/>
    </row>
    <row r="219" spans="1:18" ht="15" thickBot="1" x14ac:dyDescent="0.4">
      <c r="A219" s="22" t="s">
        <v>696</v>
      </c>
      <c r="B219" t="s">
        <v>871</v>
      </c>
      <c r="C219">
        <f t="shared" si="21"/>
        <v>2000</v>
      </c>
      <c r="D219">
        <f t="shared" si="22"/>
        <v>181.81818181818181</v>
      </c>
      <c r="E219">
        <f t="shared" si="23"/>
        <v>333.33333333333331</v>
      </c>
      <c r="F219">
        <f t="shared" si="24"/>
        <v>285.71428571428572</v>
      </c>
      <c r="G219" s="2" t="s">
        <v>872</v>
      </c>
      <c r="H219">
        <f t="shared" si="20"/>
        <v>10</v>
      </c>
      <c r="I219" s="2">
        <v>10</v>
      </c>
      <c r="N219" s="23">
        <v>2000</v>
      </c>
      <c r="O219" s="58">
        <v>11</v>
      </c>
      <c r="P219" s="24">
        <v>6</v>
      </c>
      <c r="Q219" s="24">
        <v>7</v>
      </c>
      <c r="R219" s="38"/>
    </row>
    <row r="220" spans="1:18" ht="58.5" thickBot="1" x14ac:dyDescent="0.4">
      <c r="A220" s="28" t="s">
        <v>683</v>
      </c>
      <c r="B220" t="s">
        <v>374</v>
      </c>
      <c r="C220">
        <f t="shared" si="21"/>
        <v>7800</v>
      </c>
      <c r="D220">
        <f t="shared" si="22"/>
        <v>178.21782178217822</v>
      </c>
      <c r="E220">
        <f t="shared" si="23"/>
        <v>433.33333333333331</v>
      </c>
      <c r="F220">
        <f t="shared" si="24"/>
        <v>195</v>
      </c>
      <c r="G220" s="2" t="s">
        <v>861</v>
      </c>
      <c r="H220">
        <f t="shared" si="20"/>
        <v>10</v>
      </c>
      <c r="I220" s="2">
        <v>10</v>
      </c>
      <c r="N220" s="29">
        <v>7800</v>
      </c>
      <c r="O220" s="60">
        <v>43.766666666666666</v>
      </c>
      <c r="P220" s="30">
        <v>18</v>
      </c>
      <c r="Q220" s="30">
        <v>40</v>
      </c>
      <c r="R220" s="38"/>
    </row>
    <row r="221" spans="1:18" ht="44" thickBot="1" x14ac:dyDescent="0.4">
      <c r="A221" s="28" t="s">
        <v>562</v>
      </c>
      <c r="B221" t="s">
        <v>563</v>
      </c>
      <c r="C221">
        <f t="shared" si="21"/>
        <v>2000</v>
      </c>
      <c r="D221">
        <f t="shared" si="22"/>
        <v>175.69546120058567</v>
      </c>
      <c r="E221">
        <f t="shared" si="23"/>
        <v>80</v>
      </c>
      <c r="F221">
        <f t="shared" si="24"/>
        <v>50</v>
      </c>
      <c r="G221" s="2" t="s">
        <v>824</v>
      </c>
      <c r="H221">
        <f t="shared" si="20"/>
        <v>10</v>
      </c>
      <c r="I221" s="2">
        <v>10</v>
      </c>
      <c r="N221" s="29">
        <v>2000</v>
      </c>
      <c r="O221" s="60">
        <v>11.383333333333333</v>
      </c>
      <c r="P221" s="30">
        <v>25</v>
      </c>
      <c r="Q221" s="30">
        <v>40</v>
      </c>
      <c r="R221" s="37"/>
    </row>
    <row r="222" spans="1:18" ht="15" hidden="1" thickBot="1" x14ac:dyDescent="0.4">
      <c r="A222" s="28" t="s">
        <v>286</v>
      </c>
      <c r="B222" t="s">
        <v>460</v>
      </c>
      <c r="C222">
        <f t="shared" si="21"/>
        <v>7500</v>
      </c>
      <c r="D222">
        <f t="shared" si="22"/>
        <v>175.2336448598131</v>
      </c>
      <c r="E222">
        <f t="shared" si="23"/>
        <v>833.33333333333337</v>
      </c>
      <c r="F222">
        <f t="shared" si="24"/>
        <v>625</v>
      </c>
      <c r="G222" s="2" t="s">
        <v>804</v>
      </c>
      <c r="H222">
        <f t="shared" si="20"/>
        <v>10</v>
      </c>
      <c r="I222" s="2">
        <v>10</v>
      </c>
      <c r="J222"/>
      <c r="K222"/>
      <c r="L222"/>
      <c r="M222"/>
      <c r="N222" s="29">
        <v>7500</v>
      </c>
      <c r="O222" s="60">
        <v>42.8</v>
      </c>
      <c r="P222" s="30">
        <v>9</v>
      </c>
      <c r="Q222" s="30">
        <v>12</v>
      </c>
      <c r="R222" s="37"/>
    </row>
    <row r="223" spans="1:18" ht="58.5" thickBot="1" x14ac:dyDescent="0.4">
      <c r="A223" s="25" t="s">
        <v>267</v>
      </c>
      <c r="B223" t="s">
        <v>460</v>
      </c>
      <c r="C223">
        <f t="shared" ca="1" si="21"/>
        <v>886.14332926451573</v>
      </c>
      <c r="D223">
        <f t="shared" ca="1" si="22"/>
        <v>177.22866585290313</v>
      </c>
      <c r="E223">
        <f t="shared" ca="1" si="23"/>
        <v>147.69055487741929</v>
      </c>
      <c r="F223">
        <f t="shared" ca="1" si="24"/>
        <v>295.38110975483858</v>
      </c>
      <c r="G223" s="2" t="s">
        <v>920</v>
      </c>
      <c r="H223">
        <f ca="1">1/20*(10*I223+J223+K223+8*L223)</f>
        <v>87.25</v>
      </c>
      <c r="I223" s="2">
        <f>Workstations!$B$26</f>
        <v>74</v>
      </c>
      <c r="J223" s="14">
        <f>Products!$B$2</f>
        <v>206</v>
      </c>
      <c r="K223" s="2">
        <f>Input!$B$18</f>
        <v>101</v>
      </c>
      <c r="L223" s="2">
        <f ca="1">H223</f>
        <v>87.25</v>
      </c>
      <c r="N223" s="27">
        <v>300</v>
      </c>
      <c r="O223" s="59">
        <v>5</v>
      </c>
      <c r="P223" s="27">
        <v>6</v>
      </c>
      <c r="Q223" s="27">
        <v>3</v>
      </c>
      <c r="R223" s="38"/>
    </row>
    <row r="224" spans="1:18" ht="15" hidden="1" thickBot="1" x14ac:dyDescent="0.4">
      <c r="A224" s="25" t="s">
        <v>511</v>
      </c>
      <c r="B224" t="s">
        <v>102</v>
      </c>
      <c r="C224">
        <f t="shared" si="21"/>
        <v>1500</v>
      </c>
      <c r="D224">
        <f t="shared" si="22"/>
        <v>166.66666666666666</v>
      </c>
      <c r="E224">
        <f t="shared" si="23"/>
        <v>93.75</v>
      </c>
      <c r="F224">
        <f t="shared" si="24"/>
        <v>100</v>
      </c>
      <c r="G224" s="2" t="s">
        <v>804</v>
      </c>
      <c r="H224">
        <f t="shared" ref="H224:H244" si="25">AVERAGE(I224:M224)</f>
        <v>10</v>
      </c>
      <c r="I224" s="2">
        <v>10</v>
      </c>
      <c r="J224"/>
      <c r="K224"/>
      <c r="L224"/>
      <c r="M224"/>
      <c r="N224" s="26">
        <v>1500</v>
      </c>
      <c r="O224" s="59">
        <v>9</v>
      </c>
      <c r="P224" s="27">
        <v>16</v>
      </c>
      <c r="Q224" s="27">
        <v>15</v>
      </c>
      <c r="R224" s="37"/>
    </row>
    <row r="225" spans="1:18" ht="15" hidden="1" thickBot="1" x14ac:dyDescent="0.4">
      <c r="A225" s="25" t="s">
        <v>645</v>
      </c>
      <c r="B225" t="s">
        <v>460</v>
      </c>
      <c r="C225">
        <f t="shared" si="21"/>
        <v>600</v>
      </c>
      <c r="D225">
        <f t="shared" si="22"/>
        <v>165.89861751152074</v>
      </c>
      <c r="E225">
        <f t="shared" si="23"/>
        <v>75</v>
      </c>
      <c r="F225">
        <f t="shared" si="24"/>
        <v>150</v>
      </c>
      <c r="G225" s="2" t="s">
        <v>804</v>
      </c>
      <c r="H225">
        <f t="shared" si="25"/>
        <v>10</v>
      </c>
      <c r="I225" s="2">
        <v>10</v>
      </c>
      <c r="J225"/>
      <c r="K225"/>
      <c r="L225"/>
      <c r="M225"/>
      <c r="N225" s="27">
        <v>600</v>
      </c>
      <c r="O225" s="59">
        <v>3.6166666666666667</v>
      </c>
      <c r="P225" s="27">
        <v>8</v>
      </c>
      <c r="Q225" s="27">
        <v>4</v>
      </c>
      <c r="R225" s="38"/>
    </row>
    <row r="226" spans="1:18" ht="15" hidden="1" thickBot="1" x14ac:dyDescent="0.4">
      <c r="A226" s="25" t="s">
        <v>533</v>
      </c>
      <c r="B226" t="s">
        <v>522</v>
      </c>
      <c r="C226">
        <f t="shared" si="21"/>
        <v>300</v>
      </c>
      <c r="D226">
        <f t="shared" si="22"/>
        <v>165.1376146788991</v>
      </c>
      <c r="E226">
        <f t="shared" si="23"/>
        <v>60</v>
      </c>
      <c r="F226">
        <f t="shared" si="24"/>
        <v>100</v>
      </c>
      <c r="G226" s="2" t="s">
        <v>804</v>
      </c>
      <c r="H226">
        <f t="shared" si="25"/>
        <v>10</v>
      </c>
      <c r="I226" s="2">
        <v>10</v>
      </c>
      <c r="J226"/>
      <c r="K226"/>
      <c r="L226"/>
      <c r="M226"/>
      <c r="N226" s="27">
        <v>300</v>
      </c>
      <c r="O226" s="59">
        <v>1.8166666666666667</v>
      </c>
      <c r="P226" s="27">
        <v>5</v>
      </c>
      <c r="Q226" s="27">
        <v>3</v>
      </c>
      <c r="R226" s="37"/>
    </row>
    <row r="227" spans="1:18" ht="15" hidden="1" thickBot="1" x14ac:dyDescent="0.4">
      <c r="A227" s="28" t="s">
        <v>534</v>
      </c>
      <c r="B227" t="s">
        <v>102</v>
      </c>
      <c r="C227">
        <f t="shared" si="21"/>
        <v>500</v>
      </c>
      <c r="D227">
        <f t="shared" si="22"/>
        <v>164.83516483516485</v>
      </c>
      <c r="E227">
        <f t="shared" si="23"/>
        <v>62.5</v>
      </c>
      <c r="F227">
        <f t="shared" si="24"/>
        <v>50</v>
      </c>
      <c r="G227" s="2" t="s">
        <v>804</v>
      </c>
      <c r="H227">
        <f t="shared" si="25"/>
        <v>10</v>
      </c>
      <c r="I227" s="2">
        <v>10</v>
      </c>
      <c r="J227"/>
      <c r="K227"/>
      <c r="L227"/>
      <c r="M227"/>
      <c r="N227" s="30">
        <v>500</v>
      </c>
      <c r="O227" s="60">
        <v>3.0333333333333332</v>
      </c>
      <c r="P227" s="30">
        <v>8</v>
      </c>
      <c r="Q227" s="30">
        <v>10</v>
      </c>
      <c r="R227" s="38"/>
    </row>
    <row r="228" spans="1:18" ht="15" hidden="1" thickBot="1" x14ac:dyDescent="0.4">
      <c r="A228" s="28" t="s">
        <v>612</v>
      </c>
      <c r="B228" t="s">
        <v>613</v>
      </c>
      <c r="C228">
        <f t="shared" si="21"/>
        <v>1200</v>
      </c>
      <c r="D228">
        <f t="shared" si="22"/>
        <v>164.75972540045768</v>
      </c>
      <c r="E228">
        <f t="shared" si="23"/>
        <v>400</v>
      </c>
      <c r="F228">
        <f t="shared" si="24"/>
        <v>75</v>
      </c>
      <c r="G228" s="2" t="s">
        <v>804</v>
      </c>
      <c r="H228">
        <f t="shared" si="25"/>
        <v>10</v>
      </c>
      <c r="I228" s="2">
        <v>10</v>
      </c>
      <c r="J228"/>
      <c r="K228"/>
      <c r="L228"/>
      <c r="M228"/>
      <c r="N228" s="29">
        <v>1200</v>
      </c>
      <c r="O228" s="60">
        <v>7.2833333333333332</v>
      </c>
      <c r="P228" s="30">
        <v>3</v>
      </c>
      <c r="Q228" s="30">
        <v>16</v>
      </c>
      <c r="R228" s="37"/>
    </row>
    <row r="229" spans="1:18" ht="15" hidden="1" thickBot="1" x14ac:dyDescent="0.4">
      <c r="A229" s="28" t="s">
        <v>788</v>
      </c>
      <c r="B229" t="s">
        <v>102</v>
      </c>
      <c r="C229">
        <f t="shared" si="21"/>
        <v>1200</v>
      </c>
      <c r="D229">
        <f t="shared" si="22"/>
        <v>164.75972540045768</v>
      </c>
      <c r="E229">
        <f t="shared" si="23"/>
        <v>92.307692307692307</v>
      </c>
      <c r="F229">
        <f t="shared" si="24"/>
        <v>171.42857142857142</v>
      </c>
      <c r="G229" s="2" t="s">
        <v>804</v>
      </c>
      <c r="H229">
        <f t="shared" si="25"/>
        <v>10</v>
      </c>
      <c r="I229" s="2">
        <v>10</v>
      </c>
      <c r="J229"/>
      <c r="K229"/>
      <c r="L229"/>
      <c r="M229"/>
      <c r="N229" s="29">
        <v>1200</v>
      </c>
      <c r="O229" s="60">
        <v>7.2833333333333332</v>
      </c>
      <c r="P229" s="30">
        <v>13</v>
      </c>
      <c r="Q229" s="30">
        <v>7</v>
      </c>
      <c r="R229" s="37"/>
    </row>
    <row r="230" spans="1:18" ht="15" hidden="1" thickBot="1" x14ac:dyDescent="0.4">
      <c r="A230" s="31" t="s">
        <v>691</v>
      </c>
      <c r="B230" t="s">
        <v>691</v>
      </c>
      <c r="C230">
        <f t="shared" si="21"/>
        <v>900</v>
      </c>
      <c r="D230">
        <f t="shared" si="22"/>
        <v>164.63414634146341</v>
      </c>
      <c r="E230">
        <f t="shared" si="23"/>
        <v>180</v>
      </c>
      <c r="F230">
        <f t="shared" si="24"/>
        <v>45</v>
      </c>
      <c r="G230" s="2" t="s">
        <v>804</v>
      </c>
      <c r="H230">
        <f t="shared" si="25"/>
        <v>10</v>
      </c>
      <c r="I230" s="2">
        <v>10</v>
      </c>
      <c r="J230"/>
      <c r="K230"/>
      <c r="L230"/>
      <c r="M230"/>
      <c r="N230" s="33">
        <v>900</v>
      </c>
      <c r="O230" s="61">
        <v>5.4666666666666668</v>
      </c>
      <c r="P230" s="33">
        <v>5</v>
      </c>
      <c r="Q230" s="33">
        <v>20</v>
      </c>
      <c r="R230" s="37"/>
    </row>
    <row r="231" spans="1:18" ht="15" hidden="1" thickBot="1" x14ac:dyDescent="0.4">
      <c r="A231" s="28" t="s">
        <v>509</v>
      </c>
      <c r="B231" t="s">
        <v>510</v>
      </c>
      <c r="C231">
        <f t="shared" si="21"/>
        <v>4800</v>
      </c>
      <c r="D231">
        <f t="shared" si="22"/>
        <v>164.57142857142856</v>
      </c>
      <c r="E231">
        <f t="shared" si="23"/>
        <v>192</v>
      </c>
      <c r="F231">
        <f t="shared" si="24"/>
        <v>240</v>
      </c>
      <c r="G231" s="2" t="s">
        <v>804</v>
      </c>
      <c r="H231">
        <f t="shared" si="25"/>
        <v>10</v>
      </c>
      <c r="I231" s="2">
        <v>10</v>
      </c>
      <c r="J231"/>
      <c r="K231"/>
      <c r="L231"/>
      <c r="M231"/>
      <c r="N231" s="29">
        <v>4800</v>
      </c>
      <c r="O231" s="60">
        <v>29.166666666666668</v>
      </c>
      <c r="P231" s="30">
        <v>25</v>
      </c>
      <c r="Q231" s="30">
        <v>20</v>
      </c>
      <c r="R231" s="37"/>
    </row>
    <row r="232" spans="1:18" ht="15" hidden="1" thickBot="1" x14ac:dyDescent="0.4">
      <c r="A232" s="25" t="s">
        <v>685</v>
      </c>
      <c r="B232" t="s">
        <v>102</v>
      </c>
      <c r="C232">
        <f t="shared" si="21"/>
        <v>2400</v>
      </c>
      <c r="D232">
        <f t="shared" si="22"/>
        <v>164.57142857142856</v>
      </c>
      <c r="E232">
        <f t="shared" si="23"/>
        <v>141.1764705882353</v>
      </c>
      <c r="F232">
        <f t="shared" si="24"/>
        <v>96</v>
      </c>
      <c r="G232" s="2" t="s">
        <v>804</v>
      </c>
      <c r="H232">
        <f t="shared" si="25"/>
        <v>10</v>
      </c>
      <c r="I232" s="2">
        <v>10</v>
      </c>
      <c r="J232"/>
      <c r="K232"/>
      <c r="L232"/>
      <c r="M232"/>
      <c r="N232" s="26">
        <v>2400</v>
      </c>
      <c r="O232" s="59">
        <v>14.583333333333334</v>
      </c>
      <c r="P232" s="27">
        <v>17</v>
      </c>
      <c r="Q232" s="27">
        <v>25</v>
      </c>
      <c r="R232" s="38"/>
    </row>
    <row r="233" spans="1:18" ht="15" hidden="1" thickBot="1" x14ac:dyDescent="0.4">
      <c r="A233" s="25" t="s">
        <v>498</v>
      </c>
      <c r="B233" t="s">
        <v>102</v>
      </c>
      <c r="C233">
        <f t="shared" si="21"/>
        <v>5000</v>
      </c>
      <c r="D233">
        <f t="shared" si="22"/>
        <v>164.56390565002744</v>
      </c>
      <c r="E233">
        <f t="shared" si="23"/>
        <v>500</v>
      </c>
      <c r="F233">
        <f t="shared" si="24"/>
        <v>333.33333333333331</v>
      </c>
      <c r="G233" s="2" t="s">
        <v>804</v>
      </c>
      <c r="H233">
        <f t="shared" si="25"/>
        <v>10</v>
      </c>
      <c r="I233" s="2">
        <v>10</v>
      </c>
      <c r="J233"/>
      <c r="K233"/>
      <c r="L233"/>
      <c r="M233"/>
      <c r="N233" s="26">
        <v>5000</v>
      </c>
      <c r="O233" s="59">
        <v>30.383333333333333</v>
      </c>
      <c r="P233" s="27">
        <v>10</v>
      </c>
      <c r="Q233" s="27">
        <v>15</v>
      </c>
      <c r="R233" s="37"/>
    </row>
    <row r="234" spans="1:18" ht="44" thickBot="1" x14ac:dyDescent="0.4">
      <c r="A234" s="28" t="s">
        <v>623</v>
      </c>
      <c r="B234" t="s">
        <v>374</v>
      </c>
      <c r="C234">
        <f t="shared" si="21"/>
        <v>7500</v>
      </c>
      <c r="D234">
        <f t="shared" si="22"/>
        <v>164.53382084095063</v>
      </c>
      <c r="E234">
        <f t="shared" si="23"/>
        <v>535.71428571428567</v>
      </c>
      <c r="F234">
        <f t="shared" si="24"/>
        <v>267.85714285714283</v>
      </c>
      <c r="G234" s="2" t="s">
        <v>842</v>
      </c>
      <c r="H234">
        <f t="shared" si="25"/>
        <v>10</v>
      </c>
      <c r="I234" s="2">
        <v>10</v>
      </c>
      <c r="N234" s="29">
        <v>7500</v>
      </c>
      <c r="O234" s="60">
        <v>45.583333333333336</v>
      </c>
      <c r="P234" s="30">
        <v>14</v>
      </c>
      <c r="Q234" s="30">
        <v>28</v>
      </c>
      <c r="R234" s="38"/>
    </row>
    <row r="235" spans="1:18" ht="15" hidden="1" thickBot="1" x14ac:dyDescent="0.4">
      <c r="A235" s="28" t="s">
        <v>670</v>
      </c>
      <c r="B235" t="s">
        <v>246</v>
      </c>
      <c r="C235">
        <f t="shared" si="21"/>
        <v>3600</v>
      </c>
      <c r="D235">
        <f t="shared" si="22"/>
        <v>164.50875856816452</v>
      </c>
      <c r="E235">
        <f t="shared" si="23"/>
        <v>360</v>
      </c>
      <c r="F235">
        <f t="shared" si="24"/>
        <v>327.27272727272725</v>
      </c>
      <c r="G235" s="2" t="s">
        <v>804</v>
      </c>
      <c r="H235">
        <f t="shared" si="25"/>
        <v>10</v>
      </c>
      <c r="I235" s="2">
        <v>10</v>
      </c>
      <c r="J235"/>
      <c r="K235"/>
      <c r="L235"/>
      <c r="M235"/>
      <c r="N235" s="29">
        <v>3600</v>
      </c>
      <c r="O235" s="60">
        <v>21.883333333333333</v>
      </c>
      <c r="P235" s="30">
        <v>10</v>
      </c>
      <c r="Q235" s="30">
        <v>11</v>
      </c>
      <c r="R235" s="37"/>
    </row>
    <row r="236" spans="1:18" ht="29.5" thickBot="1" x14ac:dyDescent="0.4">
      <c r="A236" s="25" t="s">
        <v>655</v>
      </c>
      <c r="B236" t="s">
        <v>192</v>
      </c>
      <c r="C236">
        <f t="shared" si="21"/>
        <v>2000</v>
      </c>
      <c r="D236">
        <f t="shared" si="22"/>
        <v>162.82225237449117</v>
      </c>
      <c r="E236">
        <f t="shared" si="23"/>
        <v>133.33333333333334</v>
      </c>
      <c r="F236">
        <f t="shared" si="24"/>
        <v>400</v>
      </c>
      <c r="G236" s="2" t="s">
        <v>856</v>
      </c>
      <c r="H236">
        <f t="shared" si="25"/>
        <v>10</v>
      </c>
      <c r="I236" s="2">
        <v>10</v>
      </c>
      <c r="N236" s="26">
        <v>2000</v>
      </c>
      <c r="O236" s="59">
        <v>12.283333333333333</v>
      </c>
      <c r="P236" s="27">
        <v>15</v>
      </c>
      <c r="Q236" s="27">
        <v>5</v>
      </c>
      <c r="R236" s="38"/>
    </row>
    <row r="237" spans="1:18" ht="15" thickBot="1" x14ac:dyDescent="0.4">
      <c r="A237" s="22" t="s">
        <v>799</v>
      </c>
      <c r="B237" t="s">
        <v>658</v>
      </c>
      <c r="C237">
        <f t="shared" si="21"/>
        <v>100</v>
      </c>
      <c r="D237">
        <f t="shared" si="22"/>
        <v>162.16216216216216</v>
      </c>
      <c r="E237">
        <f t="shared" si="23"/>
        <v>50</v>
      </c>
      <c r="F237">
        <f t="shared" si="24"/>
        <v>33.333333333333336</v>
      </c>
      <c r="G237" s="2" t="s">
        <v>929</v>
      </c>
      <c r="H237">
        <f t="shared" si="25"/>
        <v>10</v>
      </c>
      <c r="I237" s="2">
        <v>10</v>
      </c>
      <c r="N237" s="24">
        <v>100</v>
      </c>
      <c r="O237" s="58">
        <v>0.6166666666666667</v>
      </c>
      <c r="P237" s="24">
        <v>2</v>
      </c>
      <c r="Q237" s="24">
        <v>3</v>
      </c>
      <c r="R237" s="37"/>
    </row>
    <row r="238" spans="1:18" ht="15" hidden="1" thickBot="1" x14ac:dyDescent="0.4">
      <c r="A238" s="28" t="s">
        <v>637</v>
      </c>
      <c r="B238" t="s">
        <v>460</v>
      </c>
      <c r="C238">
        <f t="shared" si="21"/>
        <v>2500</v>
      </c>
      <c r="D238">
        <f t="shared" si="22"/>
        <v>154.79876160990713</v>
      </c>
      <c r="E238">
        <f t="shared" si="23"/>
        <v>312.5</v>
      </c>
      <c r="F238">
        <f t="shared" si="24"/>
        <v>83.333333333333329</v>
      </c>
      <c r="G238" s="2" t="s">
        <v>804</v>
      </c>
      <c r="H238">
        <f t="shared" si="25"/>
        <v>10</v>
      </c>
      <c r="I238" s="2">
        <v>10</v>
      </c>
      <c r="J238"/>
      <c r="K238"/>
      <c r="L238"/>
      <c r="M238"/>
      <c r="N238" s="29">
        <v>2500</v>
      </c>
      <c r="O238" s="60">
        <v>16.149999999999999</v>
      </c>
      <c r="P238" s="30">
        <v>8</v>
      </c>
      <c r="Q238" s="30">
        <v>30</v>
      </c>
      <c r="R238" s="37"/>
    </row>
    <row r="239" spans="1:18" ht="15" hidden="1" thickBot="1" x14ac:dyDescent="0.4">
      <c r="A239" s="25" t="s">
        <v>455</v>
      </c>
      <c r="B239" t="s">
        <v>102</v>
      </c>
      <c r="C239">
        <f t="shared" si="21"/>
        <v>5000</v>
      </c>
      <c r="D239">
        <f t="shared" si="22"/>
        <v>152.36160487557135</v>
      </c>
      <c r="E239">
        <f t="shared" si="23"/>
        <v>357.14285714285717</v>
      </c>
      <c r="F239">
        <f t="shared" si="24"/>
        <v>166.66666666666666</v>
      </c>
      <c r="G239" s="2" t="s">
        <v>804</v>
      </c>
      <c r="H239">
        <f t="shared" si="25"/>
        <v>10</v>
      </c>
      <c r="I239">
        <v>10</v>
      </c>
      <c r="J239"/>
      <c r="K239"/>
      <c r="L239"/>
      <c r="M239"/>
      <c r="N239" s="26">
        <v>5000</v>
      </c>
      <c r="O239" s="59">
        <v>32.81666666666667</v>
      </c>
      <c r="P239" s="27">
        <v>14</v>
      </c>
      <c r="Q239" s="27">
        <v>30</v>
      </c>
      <c r="R239" s="37"/>
    </row>
    <row r="240" spans="1:18" ht="15" hidden="1" thickBot="1" x14ac:dyDescent="0.4">
      <c r="A240" s="28" t="s">
        <v>797</v>
      </c>
      <c r="B240" t="s">
        <v>102</v>
      </c>
      <c r="C240">
        <f t="shared" si="21"/>
        <v>5500</v>
      </c>
      <c r="D240">
        <f t="shared" si="22"/>
        <v>150.82266910420475</v>
      </c>
      <c r="E240">
        <f t="shared" si="23"/>
        <v>366.66666666666669</v>
      </c>
      <c r="F240">
        <f t="shared" si="24"/>
        <v>220</v>
      </c>
      <c r="G240" s="2" t="s">
        <v>804</v>
      </c>
      <c r="H240">
        <f t="shared" si="25"/>
        <v>10</v>
      </c>
      <c r="I240" s="2">
        <v>10</v>
      </c>
      <c r="J240"/>
      <c r="K240"/>
      <c r="L240"/>
      <c r="M240"/>
      <c r="N240" s="29">
        <v>5500</v>
      </c>
      <c r="O240" s="60">
        <v>36.466666666666669</v>
      </c>
      <c r="P240" s="30">
        <v>15</v>
      </c>
      <c r="Q240" s="30">
        <v>25</v>
      </c>
      <c r="R240" s="37"/>
    </row>
    <row r="241" spans="1:18" ht="15" hidden="1" thickBot="1" x14ac:dyDescent="0.4">
      <c r="A241" s="28" t="s">
        <v>502</v>
      </c>
      <c r="B241" t="s">
        <v>102</v>
      </c>
      <c r="C241">
        <f t="shared" si="21"/>
        <v>3000</v>
      </c>
      <c r="D241">
        <f t="shared" si="22"/>
        <v>149.62593516209475</v>
      </c>
      <c r="E241">
        <f t="shared" si="23"/>
        <v>100</v>
      </c>
      <c r="F241">
        <f t="shared" si="24"/>
        <v>120</v>
      </c>
      <c r="G241" s="2" t="s">
        <v>804</v>
      </c>
      <c r="H241">
        <f t="shared" si="25"/>
        <v>10</v>
      </c>
      <c r="I241" s="2">
        <v>10</v>
      </c>
      <c r="J241"/>
      <c r="K241"/>
      <c r="L241"/>
      <c r="M241"/>
      <c r="N241" s="29">
        <v>3000</v>
      </c>
      <c r="O241" s="60">
        <v>20.05</v>
      </c>
      <c r="P241" s="30">
        <v>30</v>
      </c>
      <c r="Q241" s="30">
        <v>25</v>
      </c>
      <c r="R241" s="38"/>
    </row>
    <row r="242" spans="1:18" ht="15" hidden="1" thickBot="1" x14ac:dyDescent="0.4">
      <c r="A242" s="28" t="s">
        <v>607</v>
      </c>
      <c r="B242" s="38"/>
      <c r="C242">
        <f t="shared" si="21"/>
        <v>1080</v>
      </c>
      <c r="D242">
        <f t="shared" si="22"/>
        <v>148.28375286041191</v>
      </c>
      <c r="E242">
        <f t="shared" si="23"/>
        <v>216</v>
      </c>
      <c r="F242">
        <f t="shared" si="24"/>
        <v>108</v>
      </c>
      <c r="G242" s="2" t="s">
        <v>804</v>
      </c>
      <c r="H242">
        <f t="shared" si="25"/>
        <v>10</v>
      </c>
      <c r="I242" s="2">
        <v>10</v>
      </c>
      <c r="J242" s="38"/>
      <c r="K242" s="38"/>
      <c r="L242" s="38"/>
      <c r="M242" s="38"/>
      <c r="N242" s="29">
        <v>1080</v>
      </c>
      <c r="O242" s="60">
        <v>7.2833333333333332</v>
      </c>
      <c r="P242" s="30">
        <v>5</v>
      </c>
      <c r="Q242" s="30">
        <v>10</v>
      </c>
      <c r="R242" s="37"/>
    </row>
    <row r="243" spans="1:18" ht="29.5" thickBot="1" x14ac:dyDescent="0.4">
      <c r="A243" s="28" t="s">
        <v>527</v>
      </c>
      <c r="C243">
        <f t="shared" si="21"/>
        <v>5400</v>
      </c>
      <c r="D243">
        <f t="shared" si="22"/>
        <v>148.08043875685556</v>
      </c>
      <c r="E243">
        <f t="shared" si="23"/>
        <v>135</v>
      </c>
      <c r="F243">
        <f t="shared" si="24"/>
        <v>135</v>
      </c>
      <c r="G243" s="2" t="s">
        <v>815</v>
      </c>
      <c r="H243">
        <f t="shared" si="25"/>
        <v>10</v>
      </c>
      <c r="I243" s="2">
        <v>10</v>
      </c>
      <c r="N243" s="29">
        <v>5400</v>
      </c>
      <c r="O243" s="60">
        <v>36.466666666666669</v>
      </c>
      <c r="P243" s="30">
        <v>40</v>
      </c>
      <c r="Q243" s="30">
        <v>40</v>
      </c>
      <c r="R243" s="38"/>
    </row>
    <row r="244" spans="1:18" ht="15" thickBot="1" x14ac:dyDescent="0.4">
      <c r="A244" s="28" t="s">
        <v>559</v>
      </c>
      <c r="C244">
        <f t="shared" si="21"/>
        <v>7500</v>
      </c>
      <c r="D244">
        <f t="shared" si="22"/>
        <v>146.91478942213516</v>
      </c>
      <c r="E244">
        <f t="shared" si="23"/>
        <v>357.14285714285717</v>
      </c>
      <c r="F244">
        <f t="shared" si="24"/>
        <v>937.5</v>
      </c>
      <c r="G244" s="2" t="s">
        <v>239</v>
      </c>
      <c r="H244">
        <f t="shared" si="25"/>
        <v>10</v>
      </c>
      <c r="I244" s="2">
        <v>10</v>
      </c>
      <c r="N244" s="29">
        <v>7500</v>
      </c>
      <c r="O244" s="60">
        <v>51.05</v>
      </c>
      <c r="P244" s="30">
        <v>21</v>
      </c>
      <c r="Q244" s="30">
        <v>8</v>
      </c>
      <c r="R244" s="37"/>
    </row>
    <row r="245" spans="1:18" ht="44" thickBot="1" x14ac:dyDescent="0.4">
      <c r="A245" s="25" t="s">
        <v>483</v>
      </c>
      <c r="C245">
        <f t="shared" si="21"/>
        <v>400</v>
      </c>
      <c r="D245">
        <f t="shared" si="22"/>
        <v>146.34146341463415</v>
      </c>
      <c r="E245">
        <f t="shared" si="23"/>
        <v>80</v>
      </c>
      <c r="F245">
        <f t="shared" si="24"/>
        <v>200</v>
      </c>
      <c r="G245" s="2" t="s">
        <v>808</v>
      </c>
      <c r="H245">
        <f>AVERAGE(I236:M236)</f>
        <v>10</v>
      </c>
      <c r="I245" s="2">
        <f>Input!B209</f>
        <v>90</v>
      </c>
      <c r="J245" s="2">
        <f>Input!B122</f>
        <v>243</v>
      </c>
      <c r="K245" s="2">
        <f ca="1">GEOMEAN(Tools!B4,Input!B32)</f>
        <v>231.65491576912413</v>
      </c>
      <c r="N245" s="27">
        <v>400</v>
      </c>
      <c r="O245" s="59">
        <v>2.7333333333333334</v>
      </c>
      <c r="P245" s="27">
        <v>5</v>
      </c>
      <c r="Q245" s="27">
        <v>2</v>
      </c>
      <c r="R245" s="38"/>
    </row>
    <row r="246" spans="1:18" ht="15" thickBot="1" x14ac:dyDescent="0.4">
      <c r="A246" s="25" t="s">
        <v>777</v>
      </c>
      <c r="B246" t="s">
        <v>109</v>
      </c>
      <c r="C246">
        <f t="shared" si="21"/>
        <v>800</v>
      </c>
      <c r="D246">
        <f t="shared" si="22"/>
        <v>146.34146341463415</v>
      </c>
      <c r="E246">
        <f t="shared" si="23"/>
        <v>160</v>
      </c>
      <c r="F246">
        <f t="shared" si="24"/>
        <v>53.333333333333336</v>
      </c>
      <c r="G246" s="2" t="s">
        <v>922</v>
      </c>
      <c r="H246">
        <f t="shared" ref="H246:H277" si="26">AVERAGE(I246:M246)</f>
        <v>10</v>
      </c>
      <c r="I246" s="2">
        <v>10</v>
      </c>
      <c r="N246" s="27">
        <v>800</v>
      </c>
      <c r="O246" s="59">
        <v>5.4666666666666668</v>
      </c>
      <c r="P246" s="27">
        <v>5</v>
      </c>
      <c r="Q246" s="27">
        <v>15</v>
      </c>
      <c r="R246" s="38"/>
    </row>
    <row r="247" spans="1:18" ht="15" hidden="1" thickBot="1" x14ac:dyDescent="0.4">
      <c r="A247" s="28" t="s">
        <v>265</v>
      </c>
      <c r="B247" t="s">
        <v>460</v>
      </c>
      <c r="C247">
        <f t="shared" si="21"/>
        <v>700</v>
      </c>
      <c r="D247">
        <f t="shared" si="22"/>
        <v>140</v>
      </c>
      <c r="E247">
        <f t="shared" si="23"/>
        <v>233.33333333333334</v>
      </c>
      <c r="F247">
        <f t="shared" si="24"/>
        <v>233.33333333333334</v>
      </c>
      <c r="G247" s="2" t="s">
        <v>804</v>
      </c>
      <c r="H247">
        <f t="shared" si="26"/>
        <v>10</v>
      </c>
      <c r="I247" s="2">
        <v>10</v>
      </c>
      <c r="J247"/>
      <c r="K247"/>
      <c r="L247"/>
      <c r="M247"/>
      <c r="N247" s="30">
        <v>700</v>
      </c>
      <c r="O247" s="60">
        <v>5</v>
      </c>
      <c r="P247" s="30">
        <v>3</v>
      </c>
      <c r="Q247" s="30">
        <v>3</v>
      </c>
      <c r="R247" s="37"/>
    </row>
    <row r="248" spans="1:18" ht="15" hidden="1" thickBot="1" x14ac:dyDescent="0.4">
      <c r="A248" s="28" t="s">
        <v>518</v>
      </c>
      <c r="B248" t="s">
        <v>102</v>
      </c>
      <c r="C248">
        <f t="shared" si="21"/>
        <v>1000</v>
      </c>
      <c r="D248">
        <f t="shared" si="22"/>
        <v>138.56812933025404</v>
      </c>
      <c r="E248">
        <f t="shared" si="23"/>
        <v>100</v>
      </c>
      <c r="F248">
        <f t="shared" si="24"/>
        <v>100</v>
      </c>
      <c r="G248" s="2" t="s">
        <v>804</v>
      </c>
      <c r="H248">
        <f t="shared" si="26"/>
        <v>10</v>
      </c>
      <c r="I248" s="2">
        <v>10</v>
      </c>
      <c r="J248"/>
      <c r="K248"/>
      <c r="L248"/>
      <c r="M248"/>
      <c r="N248" s="29">
        <v>1000</v>
      </c>
      <c r="O248" s="60">
        <v>7.2166666666666668</v>
      </c>
      <c r="P248" s="30">
        <v>10</v>
      </c>
      <c r="Q248" s="30">
        <v>10</v>
      </c>
      <c r="R248" s="37"/>
    </row>
    <row r="249" spans="1:18" ht="15" hidden="1" thickBot="1" x14ac:dyDescent="0.4">
      <c r="A249" s="31" t="s">
        <v>622</v>
      </c>
      <c r="B249" t="s">
        <v>460</v>
      </c>
      <c r="C249">
        <f t="shared" si="21"/>
        <v>1000</v>
      </c>
      <c r="D249">
        <f t="shared" si="22"/>
        <v>137.29977116704805</v>
      </c>
      <c r="E249">
        <f t="shared" si="23"/>
        <v>333.33333333333331</v>
      </c>
      <c r="F249">
        <f t="shared" si="24"/>
        <v>500</v>
      </c>
      <c r="G249" s="2" t="s">
        <v>804</v>
      </c>
      <c r="H249">
        <f t="shared" si="26"/>
        <v>10</v>
      </c>
      <c r="I249" s="2">
        <v>10</v>
      </c>
      <c r="J249"/>
      <c r="K249"/>
      <c r="L249"/>
      <c r="M249"/>
      <c r="N249" s="32">
        <v>1000</v>
      </c>
      <c r="O249" s="61">
        <v>7.2833333333333332</v>
      </c>
      <c r="P249" s="33">
        <v>3</v>
      </c>
      <c r="Q249" s="33">
        <v>2</v>
      </c>
      <c r="R249" s="38"/>
    </row>
    <row r="250" spans="1:18" ht="15" hidden="1" thickBot="1" x14ac:dyDescent="0.4">
      <c r="A250" s="28" t="s">
        <v>686</v>
      </c>
      <c r="B250" t="s">
        <v>599</v>
      </c>
      <c r="C250">
        <f t="shared" si="21"/>
        <v>1000</v>
      </c>
      <c r="D250">
        <f t="shared" si="22"/>
        <v>137.29977116704805</v>
      </c>
      <c r="E250">
        <f t="shared" si="23"/>
        <v>83.333333333333329</v>
      </c>
      <c r="F250">
        <f t="shared" si="24"/>
        <v>200</v>
      </c>
      <c r="G250" s="2" t="s">
        <v>804</v>
      </c>
      <c r="H250">
        <f t="shared" si="26"/>
        <v>10</v>
      </c>
      <c r="I250" s="2">
        <v>10</v>
      </c>
      <c r="J250"/>
      <c r="K250"/>
      <c r="L250"/>
      <c r="M250"/>
      <c r="N250" s="29">
        <v>1000</v>
      </c>
      <c r="O250" s="60">
        <v>7.2833333333333332</v>
      </c>
      <c r="P250" s="30">
        <v>12</v>
      </c>
      <c r="Q250" s="30">
        <v>5</v>
      </c>
      <c r="R250" s="38"/>
    </row>
    <row r="251" spans="1:18" ht="15" hidden="1" thickBot="1" x14ac:dyDescent="0.4">
      <c r="A251" s="25" t="s">
        <v>779</v>
      </c>
      <c r="B251" t="s">
        <v>102</v>
      </c>
      <c r="C251">
        <f t="shared" si="21"/>
        <v>1000</v>
      </c>
      <c r="D251">
        <f t="shared" si="22"/>
        <v>137.29977116704805</v>
      </c>
      <c r="E251">
        <f t="shared" si="23"/>
        <v>62.5</v>
      </c>
      <c r="F251">
        <f t="shared" si="24"/>
        <v>50</v>
      </c>
      <c r="G251" s="2" t="s">
        <v>804</v>
      </c>
      <c r="H251">
        <f t="shared" si="26"/>
        <v>10</v>
      </c>
      <c r="I251" s="2">
        <v>10</v>
      </c>
      <c r="J251"/>
      <c r="K251"/>
      <c r="L251"/>
      <c r="M251"/>
      <c r="N251" s="26">
        <v>1000</v>
      </c>
      <c r="O251" s="59">
        <v>7.2833333333333332</v>
      </c>
      <c r="P251" s="27">
        <v>16</v>
      </c>
      <c r="Q251" s="27">
        <v>20</v>
      </c>
      <c r="R251" s="37"/>
    </row>
    <row r="252" spans="1:18" ht="15" hidden="1" thickBot="1" x14ac:dyDescent="0.4">
      <c r="A252" s="28" t="s">
        <v>698</v>
      </c>
      <c r="B252" t="s">
        <v>102</v>
      </c>
      <c r="C252">
        <f t="shared" si="21"/>
        <v>2000</v>
      </c>
      <c r="D252">
        <f t="shared" si="22"/>
        <v>137.14285714285714</v>
      </c>
      <c r="E252">
        <f t="shared" si="23"/>
        <v>111.11111111111111</v>
      </c>
      <c r="F252">
        <f t="shared" si="24"/>
        <v>66.666666666666671</v>
      </c>
      <c r="G252" s="2" t="s">
        <v>804</v>
      </c>
      <c r="H252">
        <f t="shared" si="26"/>
        <v>10</v>
      </c>
      <c r="I252" s="2">
        <v>10</v>
      </c>
      <c r="J252"/>
      <c r="K252"/>
      <c r="L252"/>
      <c r="M252"/>
      <c r="N252" s="29">
        <v>2000</v>
      </c>
      <c r="O252" s="60">
        <v>14.583333333333334</v>
      </c>
      <c r="P252" s="30">
        <v>18</v>
      </c>
      <c r="Q252" s="30">
        <v>30</v>
      </c>
      <c r="R252" s="38"/>
    </row>
    <row r="253" spans="1:18" ht="15" hidden="1" thickBot="1" x14ac:dyDescent="0.4">
      <c r="A253" s="22" t="s">
        <v>721</v>
      </c>
      <c r="B253" t="s">
        <v>102</v>
      </c>
      <c r="C253">
        <f t="shared" si="21"/>
        <v>2000</v>
      </c>
      <c r="D253">
        <f t="shared" si="22"/>
        <v>137.14285714285714</v>
      </c>
      <c r="E253">
        <f t="shared" si="23"/>
        <v>111.11111111111111</v>
      </c>
      <c r="F253">
        <f t="shared" si="24"/>
        <v>66.666666666666671</v>
      </c>
      <c r="G253" s="2" t="s">
        <v>804</v>
      </c>
      <c r="H253">
        <f t="shared" si="26"/>
        <v>10</v>
      </c>
      <c r="I253" s="2">
        <v>10</v>
      </c>
      <c r="J253"/>
      <c r="K253"/>
      <c r="L253"/>
      <c r="M253"/>
      <c r="N253" s="23">
        <v>2000</v>
      </c>
      <c r="O253" s="58">
        <v>14.583333333333334</v>
      </c>
      <c r="P253" s="24">
        <v>18</v>
      </c>
      <c r="Q253" s="24">
        <v>30</v>
      </c>
      <c r="R253" s="38"/>
    </row>
    <row r="254" spans="1:18" ht="15" hidden="1" thickBot="1" x14ac:dyDescent="0.4">
      <c r="A254" s="31" t="s">
        <v>572</v>
      </c>
      <c r="B254" t="s">
        <v>102</v>
      </c>
      <c r="C254">
        <f t="shared" si="21"/>
        <v>4500</v>
      </c>
      <c r="D254">
        <f t="shared" si="22"/>
        <v>137.12544438801422</v>
      </c>
      <c r="E254">
        <f t="shared" si="23"/>
        <v>2250</v>
      </c>
      <c r="F254">
        <f t="shared" si="24"/>
        <v>225</v>
      </c>
      <c r="G254" s="2" t="s">
        <v>804</v>
      </c>
      <c r="H254">
        <f t="shared" si="26"/>
        <v>10</v>
      </c>
      <c r="I254" s="2">
        <v>10</v>
      </c>
      <c r="J254"/>
      <c r="K254"/>
      <c r="L254"/>
      <c r="M254"/>
      <c r="N254" s="32">
        <v>4500</v>
      </c>
      <c r="O254" s="61">
        <v>32.81666666666667</v>
      </c>
      <c r="P254" s="33">
        <v>2</v>
      </c>
      <c r="Q254" s="33">
        <v>20</v>
      </c>
      <c r="R254" s="38"/>
    </row>
    <row r="255" spans="1:18" ht="15" hidden="1" thickBot="1" x14ac:dyDescent="0.4">
      <c r="A255" s="25" t="s">
        <v>707</v>
      </c>
      <c r="B255" t="s">
        <v>102</v>
      </c>
      <c r="C255">
        <f t="shared" si="21"/>
        <v>2500</v>
      </c>
      <c r="D255">
        <f t="shared" si="22"/>
        <v>137.11151736745887</v>
      </c>
      <c r="E255">
        <f t="shared" si="23"/>
        <v>100</v>
      </c>
      <c r="F255">
        <f t="shared" si="24"/>
        <v>166.66666666666666</v>
      </c>
      <c r="G255" s="2" t="s">
        <v>804</v>
      </c>
      <c r="H255">
        <f t="shared" si="26"/>
        <v>10</v>
      </c>
      <c r="I255" s="2">
        <v>10</v>
      </c>
      <c r="J255"/>
      <c r="K255"/>
      <c r="L255"/>
      <c r="M255"/>
      <c r="N255" s="26">
        <v>2500</v>
      </c>
      <c r="O255" s="59">
        <v>18.233333333333334</v>
      </c>
      <c r="P255" s="27">
        <v>25</v>
      </c>
      <c r="Q255" s="27">
        <v>15</v>
      </c>
      <c r="R255" s="38"/>
    </row>
    <row r="256" spans="1:18" ht="15" hidden="1" thickBot="1" x14ac:dyDescent="0.4">
      <c r="A256" s="25" t="s">
        <v>503</v>
      </c>
      <c r="B256" t="s">
        <v>504</v>
      </c>
      <c r="C256">
        <f t="shared" si="21"/>
        <v>1500</v>
      </c>
      <c r="D256">
        <f t="shared" si="22"/>
        <v>136.36363636363637</v>
      </c>
      <c r="E256">
        <f t="shared" si="23"/>
        <v>100</v>
      </c>
      <c r="F256">
        <f t="shared" si="24"/>
        <v>30</v>
      </c>
      <c r="G256" s="2" t="s">
        <v>804</v>
      </c>
      <c r="H256">
        <f t="shared" si="26"/>
        <v>10</v>
      </c>
      <c r="I256" s="2">
        <v>10</v>
      </c>
      <c r="J256"/>
      <c r="K256"/>
      <c r="L256"/>
      <c r="M256"/>
      <c r="N256" s="26">
        <v>1500</v>
      </c>
      <c r="O256" s="59">
        <v>11</v>
      </c>
      <c r="P256" s="27">
        <v>15</v>
      </c>
      <c r="Q256" s="27">
        <v>50</v>
      </c>
      <c r="R256" s="37"/>
    </row>
    <row r="257" spans="1:18" ht="15" hidden="1" thickBot="1" x14ac:dyDescent="0.4">
      <c r="A257" s="25" t="s">
        <v>766</v>
      </c>
      <c r="B257" s="37"/>
      <c r="C257">
        <f t="shared" si="21"/>
        <v>125</v>
      </c>
      <c r="D257">
        <f t="shared" si="22"/>
        <v>136.36363636363637</v>
      </c>
      <c r="E257">
        <f t="shared" si="23"/>
        <v>41.666666666666664</v>
      </c>
      <c r="F257">
        <f t="shared" si="24"/>
        <v>31.25</v>
      </c>
      <c r="G257" s="2" t="s">
        <v>804</v>
      </c>
      <c r="H257">
        <f t="shared" si="26"/>
        <v>10</v>
      </c>
      <c r="I257" s="2">
        <v>10</v>
      </c>
      <c r="J257" s="37"/>
      <c r="K257" s="37"/>
      <c r="L257" s="37"/>
      <c r="M257" s="37"/>
      <c r="N257" s="27">
        <v>125</v>
      </c>
      <c r="O257" s="59">
        <v>0.91666666666666663</v>
      </c>
      <c r="P257" s="27">
        <v>3</v>
      </c>
      <c r="Q257" s="27">
        <v>4</v>
      </c>
      <c r="R257" s="38"/>
    </row>
    <row r="258" spans="1:18" ht="15" hidden="1" thickBot="1" x14ac:dyDescent="0.4">
      <c r="A258" s="22" t="s">
        <v>644</v>
      </c>
      <c r="B258" t="s">
        <v>102</v>
      </c>
      <c r="C258">
        <f t="shared" si="21"/>
        <v>400</v>
      </c>
      <c r="D258">
        <f t="shared" si="22"/>
        <v>133.33333333333334</v>
      </c>
      <c r="E258">
        <f t="shared" si="23"/>
        <v>133.33333333333334</v>
      </c>
      <c r="F258">
        <f t="shared" si="24"/>
        <v>133.33333333333334</v>
      </c>
      <c r="G258" s="2" t="s">
        <v>804</v>
      </c>
      <c r="H258">
        <f t="shared" si="26"/>
        <v>10</v>
      </c>
      <c r="I258" s="2">
        <v>10</v>
      </c>
      <c r="J258"/>
      <c r="K258"/>
      <c r="L258"/>
      <c r="M258"/>
      <c r="N258" s="24">
        <v>400</v>
      </c>
      <c r="O258" s="58">
        <v>3</v>
      </c>
      <c r="P258" s="24">
        <v>3</v>
      </c>
      <c r="Q258" s="24">
        <v>3</v>
      </c>
      <c r="R258" s="37"/>
    </row>
    <row r="259" spans="1:18" ht="15" hidden="1" thickBot="1" x14ac:dyDescent="0.4">
      <c r="A259" s="25" t="s">
        <v>722</v>
      </c>
      <c r="B259" t="s">
        <v>454</v>
      </c>
      <c r="C259">
        <f t="shared" si="21"/>
        <v>800</v>
      </c>
      <c r="D259">
        <f t="shared" si="22"/>
        <v>133.33333333333334</v>
      </c>
      <c r="E259">
        <f t="shared" si="23"/>
        <v>160</v>
      </c>
      <c r="F259">
        <f t="shared" si="24"/>
        <v>266.66666666666669</v>
      </c>
      <c r="G259" s="2" t="s">
        <v>804</v>
      </c>
      <c r="H259">
        <f t="shared" si="26"/>
        <v>10</v>
      </c>
      <c r="I259" s="2">
        <v>10</v>
      </c>
      <c r="J259"/>
      <c r="K259"/>
      <c r="L259"/>
      <c r="M259"/>
      <c r="N259" s="27">
        <v>800</v>
      </c>
      <c r="O259" s="59">
        <v>6</v>
      </c>
      <c r="P259" s="27">
        <v>5</v>
      </c>
      <c r="Q259" s="27">
        <v>3</v>
      </c>
      <c r="R259" s="38"/>
    </row>
    <row r="260" spans="1:18" ht="15" hidden="1" thickBot="1" x14ac:dyDescent="0.4">
      <c r="A260" s="25" t="s">
        <v>782</v>
      </c>
      <c r="B260" t="s">
        <v>548</v>
      </c>
      <c r="C260">
        <f t="shared" si="21"/>
        <v>500</v>
      </c>
      <c r="D260">
        <f t="shared" si="22"/>
        <v>132.15859030837004</v>
      </c>
      <c r="E260">
        <f t="shared" si="23"/>
        <v>166.66666666666666</v>
      </c>
      <c r="F260">
        <f t="shared" si="24"/>
        <v>125</v>
      </c>
      <c r="G260" s="2" t="s">
        <v>804</v>
      </c>
      <c r="H260">
        <f t="shared" si="26"/>
        <v>10</v>
      </c>
      <c r="I260" s="2">
        <v>10</v>
      </c>
      <c r="J260"/>
      <c r="K260"/>
      <c r="L260"/>
      <c r="M260"/>
      <c r="N260" s="27">
        <v>500</v>
      </c>
      <c r="O260" s="59">
        <v>3.7833333333333332</v>
      </c>
      <c r="P260" s="27">
        <v>3</v>
      </c>
      <c r="Q260" s="27">
        <v>4</v>
      </c>
      <c r="R260" s="37"/>
    </row>
    <row r="261" spans="1:18" ht="29.5" thickBot="1" x14ac:dyDescent="0.4">
      <c r="A261" s="25" t="s">
        <v>671</v>
      </c>
      <c r="B261" t="s">
        <v>517</v>
      </c>
      <c r="C261">
        <f t="shared" si="21"/>
        <v>6000</v>
      </c>
      <c r="D261">
        <f t="shared" si="22"/>
        <v>131.62705667276052</v>
      </c>
      <c r="E261">
        <f t="shared" si="23"/>
        <v>750</v>
      </c>
      <c r="F261">
        <f t="shared" si="24"/>
        <v>80</v>
      </c>
      <c r="G261" s="2" t="s">
        <v>858</v>
      </c>
      <c r="H261">
        <f t="shared" si="26"/>
        <v>10</v>
      </c>
      <c r="I261" s="2">
        <v>10</v>
      </c>
      <c r="N261" s="26">
        <v>6000</v>
      </c>
      <c r="O261" s="59">
        <v>45.583333333333336</v>
      </c>
      <c r="P261" s="27">
        <v>8</v>
      </c>
      <c r="Q261" s="27">
        <v>75</v>
      </c>
      <c r="R261" s="37"/>
    </row>
    <row r="262" spans="1:18" ht="15" thickBot="1" x14ac:dyDescent="0.4">
      <c r="A262" s="28" t="s">
        <v>565</v>
      </c>
      <c r="B262" t="s">
        <v>131</v>
      </c>
      <c r="C262">
        <f t="shared" si="21"/>
        <v>1300</v>
      </c>
      <c r="D262">
        <f t="shared" si="22"/>
        <v>130</v>
      </c>
      <c r="E262">
        <f t="shared" si="23"/>
        <v>144.44444444444446</v>
      </c>
      <c r="F262">
        <f t="shared" si="24"/>
        <v>130</v>
      </c>
      <c r="G262" s="2" t="s">
        <v>566</v>
      </c>
      <c r="H262">
        <f t="shared" si="26"/>
        <v>10</v>
      </c>
      <c r="I262" s="2">
        <v>10</v>
      </c>
      <c r="N262" s="29">
        <v>1300</v>
      </c>
      <c r="O262" s="60">
        <v>10</v>
      </c>
      <c r="P262" s="30">
        <v>9</v>
      </c>
      <c r="Q262" s="30">
        <v>10</v>
      </c>
      <c r="R262" s="38"/>
    </row>
    <row r="263" spans="1:18" ht="15" hidden="1" thickBot="1" x14ac:dyDescent="0.4">
      <c r="A263" s="22" t="s">
        <v>654</v>
      </c>
      <c r="B263" t="s">
        <v>102</v>
      </c>
      <c r="C263">
        <f t="shared" si="21"/>
        <v>1500</v>
      </c>
      <c r="D263">
        <f t="shared" si="22"/>
        <v>128.57142857142858</v>
      </c>
      <c r="E263">
        <f t="shared" si="23"/>
        <v>300</v>
      </c>
      <c r="F263">
        <f t="shared" si="24"/>
        <v>125</v>
      </c>
      <c r="G263" s="2" t="s">
        <v>804</v>
      </c>
      <c r="H263">
        <f t="shared" si="26"/>
        <v>10</v>
      </c>
      <c r="I263" s="2">
        <v>10</v>
      </c>
      <c r="J263"/>
      <c r="K263"/>
      <c r="L263"/>
      <c r="M263"/>
      <c r="N263" s="23">
        <v>1500</v>
      </c>
      <c r="O263" s="58">
        <v>11.666666666666666</v>
      </c>
      <c r="P263" s="24">
        <v>5</v>
      </c>
      <c r="Q263" s="24">
        <v>12</v>
      </c>
      <c r="R263" s="38"/>
    </row>
    <row r="264" spans="1:18" ht="29.5" thickBot="1" x14ac:dyDescent="0.4">
      <c r="A264" s="25" t="s">
        <v>614</v>
      </c>
      <c r="B264" t="s">
        <v>355</v>
      </c>
      <c r="C264">
        <f t="shared" ca="1" si="21"/>
        <v>15396.022213545941</v>
      </c>
      <c r="D264">
        <f t="shared" ca="1" si="22"/>
        <v>562.92585789930308</v>
      </c>
      <c r="E264">
        <f t="shared" ca="1" si="23"/>
        <v>855.33456741921896</v>
      </c>
      <c r="F264">
        <f t="shared" ca="1" si="24"/>
        <v>769.80111067729706</v>
      </c>
      <c r="G264" s="2" t="s">
        <v>840</v>
      </c>
      <c r="H264">
        <f t="shared" ca="1" si="26"/>
        <v>193.5</v>
      </c>
      <c r="I264" s="2" cm="1">
        <f t="array" aca="1" ref="I264" ca="1">MAX(IF(Products!A1:A500="Bone Glue",Products!B1:B500))</f>
        <v>130</v>
      </c>
      <c r="J264" s="2" cm="1">
        <f t="array" aca="1" ref="J264" ca="1">MAX(IF(Input!A1:A500="Highest Straw",Input!B1:B500))</f>
        <v>257</v>
      </c>
      <c r="N264" s="26">
        <v>3500</v>
      </c>
      <c r="O264" s="59">
        <v>27.35</v>
      </c>
      <c r="P264" s="27">
        <v>18</v>
      </c>
      <c r="Q264" s="27">
        <v>20</v>
      </c>
      <c r="R264" s="37"/>
    </row>
    <row r="265" spans="1:18" ht="15" hidden="1" thickBot="1" x14ac:dyDescent="0.4">
      <c r="A265" s="25" t="s">
        <v>598</v>
      </c>
      <c r="B265" t="s">
        <v>599</v>
      </c>
      <c r="C265">
        <f t="shared" si="21"/>
        <v>4500</v>
      </c>
      <c r="D265">
        <f t="shared" si="22"/>
        <v>125</v>
      </c>
      <c r="E265">
        <f t="shared" si="23"/>
        <v>562.5</v>
      </c>
      <c r="F265">
        <f t="shared" si="24"/>
        <v>750</v>
      </c>
      <c r="G265" s="2" t="s">
        <v>804</v>
      </c>
      <c r="H265">
        <f t="shared" si="26"/>
        <v>10</v>
      </c>
      <c r="I265" s="2">
        <v>10</v>
      </c>
      <c r="J265"/>
      <c r="K265"/>
      <c r="L265"/>
      <c r="M265"/>
      <c r="N265" s="26">
        <v>4500</v>
      </c>
      <c r="O265" s="59">
        <v>36</v>
      </c>
      <c r="P265" s="27">
        <v>8</v>
      </c>
      <c r="Q265" s="27">
        <v>6</v>
      </c>
      <c r="R265" s="38"/>
    </row>
    <row r="266" spans="1:18" ht="15" hidden="1" thickBot="1" x14ac:dyDescent="0.4">
      <c r="A266" s="28" t="s">
        <v>266</v>
      </c>
      <c r="B266" t="s">
        <v>460</v>
      </c>
      <c r="C266">
        <f t="shared" si="21"/>
        <v>900</v>
      </c>
      <c r="D266">
        <f t="shared" si="22"/>
        <v>123.56979405034325</v>
      </c>
      <c r="E266">
        <f t="shared" si="23"/>
        <v>112.5</v>
      </c>
      <c r="F266">
        <f t="shared" si="24"/>
        <v>150</v>
      </c>
      <c r="G266" s="2" t="s">
        <v>804</v>
      </c>
      <c r="H266">
        <f t="shared" si="26"/>
        <v>10</v>
      </c>
      <c r="I266" s="2">
        <v>10</v>
      </c>
      <c r="J266"/>
      <c r="K266"/>
      <c r="L266"/>
      <c r="M266"/>
      <c r="N266" s="30">
        <v>900</v>
      </c>
      <c r="O266" s="60">
        <v>7.2833333333333332</v>
      </c>
      <c r="P266" s="30">
        <v>8</v>
      </c>
      <c r="Q266" s="30">
        <v>6</v>
      </c>
      <c r="R266" s="37"/>
    </row>
    <row r="267" spans="1:18" ht="15" hidden="1" thickBot="1" x14ac:dyDescent="0.4">
      <c r="A267" s="25" t="s">
        <v>269</v>
      </c>
      <c r="B267" t="s">
        <v>460</v>
      </c>
      <c r="C267">
        <f t="shared" si="21"/>
        <v>2500</v>
      </c>
      <c r="D267">
        <f t="shared" si="22"/>
        <v>116.27906976744185</v>
      </c>
      <c r="E267">
        <f t="shared" si="23"/>
        <v>125</v>
      </c>
      <c r="F267">
        <f t="shared" si="24"/>
        <v>125</v>
      </c>
      <c r="G267" s="2" t="s">
        <v>804</v>
      </c>
      <c r="H267">
        <f t="shared" si="26"/>
        <v>10</v>
      </c>
      <c r="I267" s="2">
        <v>10</v>
      </c>
      <c r="J267"/>
      <c r="K267"/>
      <c r="L267"/>
      <c r="M267"/>
      <c r="N267" s="26">
        <v>2500</v>
      </c>
      <c r="O267" s="59">
        <v>21.5</v>
      </c>
      <c r="P267" s="27">
        <v>20</v>
      </c>
      <c r="Q267" s="27">
        <v>20</v>
      </c>
      <c r="R267" s="38"/>
    </row>
    <row r="268" spans="1:18" ht="15" hidden="1" thickBot="1" x14ac:dyDescent="0.4">
      <c r="A268" s="25" t="s">
        <v>507</v>
      </c>
      <c r="B268" t="s">
        <v>102</v>
      </c>
      <c r="C268">
        <f t="shared" si="21"/>
        <v>1250</v>
      </c>
      <c r="D268">
        <f t="shared" si="22"/>
        <v>115.56240369799693</v>
      </c>
      <c r="E268">
        <f t="shared" si="23"/>
        <v>104.16666666666667</v>
      </c>
      <c r="F268">
        <f t="shared" si="24"/>
        <v>125</v>
      </c>
      <c r="G268" s="2" t="s">
        <v>804</v>
      </c>
      <c r="H268">
        <f t="shared" si="26"/>
        <v>10</v>
      </c>
      <c r="I268" s="2">
        <v>10</v>
      </c>
      <c r="J268"/>
      <c r="K268"/>
      <c r="L268"/>
      <c r="M268"/>
      <c r="N268" s="26">
        <v>1250</v>
      </c>
      <c r="O268" s="59">
        <v>10.816666666666666</v>
      </c>
      <c r="P268" s="27">
        <v>12</v>
      </c>
      <c r="Q268" s="27">
        <v>10</v>
      </c>
      <c r="R268" s="37"/>
    </row>
    <row r="269" spans="1:18" ht="15" hidden="1" thickBot="1" x14ac:dyDescent="0.4">
      <c r="A269" s="28" t="s">
        <v>610</v>
      </c>
      <c r="B269" t="s">
        <v>457</v>
      </c>
      <c r="C269">
        <f t="shared" si="21"/>
        <v>4000</v>
      </c>
      <c r="D269">
        <f t="shared" si="22"/>
        <v>114.28571428571429</v>
      </c>
      <c r="E269">
        <f t="shared" si="23"/>
        <v>500</v>
      </c>
      <c r="F269">
        <f t="shared" si="24"/>
        <v>400</v>
      </c>
      <c r="G269" s="2" t="s">
        <v>804</v>
      </c>
      <c r="H269">
        <f t="shared" si="26"/>
        <v>10</v>
      </c>
      <c r="I269" s="2">
        <v>10</v>
      </c>
      <c r="J269"/>
      <c r="K269"/>
      <c r="L269"/>
      <c r="M269"/>
      <c r="N269" s="29">
        <v>4000</v>
      </c>
      <c r="O269" s="60">
        <v>35</v>
      </c>
      <c r="P269" s="30">
        <v>8</v>
      </c>
      <c r="Q269" s="30">
        <v>10</v>
      </c>
      <c r="R269" s="38"/>
    </row>
    <row r="270" spans="1:18" ht="58.5" thickBot="1" x14ac:dyDescent="0.4">
      <c r="A270" s="28" t="s">
        <v>573</v>
      </c>
      <c r="B270" t="s">
        <v>541</v>
      </c>
      <c r="C270">
        <f t="shared" ca="1" si="21"/>
        <v>5306.59966456864</v>
      </c>
      <c r="D270">
        <f t="shared" ca="1" si="22"/>
        <v>364.29745981020415</v>
      </c>
      <c r="E270">
        <f t="shared" ca="1" si="23"/>
        <v>442.21663871405332</v>
      </c>
      <c r="F270">
        <f t="shared" ca="1" si="24"/>
        <v>189.52141659173714</v>
      </c>
      <c r="G270" s="2" t="s">
        <v>830</v>
      </c>
      <c r="H270">
        <f t="shared" ca="1" si="26"/>
        <v>110</v>
      </c>
      <c r="I270" s="2" cm="1">
        <f t="array" aca="1" ref="I270" ca="1">MAX(IF(Products!A1:A500="Lead",Products!B1:B500))</f>
        <v>90</v>
      </c>
      <c r="J270" s="2" cm="1">
        <f t="array" aca="1" ref="J270" ca="1">MAX(IF(Products!A1:A500="Bone Glue",Products!B1:B500))</f>
        <v>130</v>
      </c>
      <c r="N270" s="29">
        <v>1600</v>
      </c>
      <c r="O270" s="60">
        <v>14.566666666666666</v>
      </c>
      <c r="P270" s="30">
        <v>12</v>
      </c>
      <c r="Q270" s="30">
        <v>28</v>
      </c>
      <c r="R270" s="37"/>
    </row>
    <row r="271" spans="1:18" ht="58.5" thickBot="1" x14ac:dyDescent="0.4">
      <c r="A271" s="25" t="s">
        <v>574</v>
      </c>
      <c r="B271" t="s">
        <v>504</v>
      </c>
      <c r="C271">
        <f t="shared" si="21"/>
        <v>900</v>
      </c>
      <c r="D271">
        <f t="shared" si="22"/>
        <v>109.75609756097562</v>
      </c>
      <c r="E271">
        <f t="shared" si="23"/>
        <v>128.57142857142858</v>
      </c>
      <c r="F271">
        <f t="shared" si="24"/>
        <v>32.142857142857146</v>
      </c>
      <c r="G271" s="2" t="s">
        <v>831</v>
      </c>
      <c r="H271">
        <f t="shared" si="26"/>
        <v>10</v>
      </c>
      <c r="I271" s="2">
        <v>10</v>
      </c>
      <c r="N271" s="27">
        <v>900</v>
      </c>
      <c r="O271" s="59">
        <v>8.1999999999999993</v>
      </c>
      <c r="P271" s="27">
        <v>7</v>
      </c>
      <c r="Q271" s="27">
        <v>28</v>
      </c>
      <c r="R271" s="37"/>
    </row>
    <row r="272" spans="1:18" ht="15" hidden="1" thickBot="1" x14ac:dyDescent="0.4">
      <c r="A272" s="22" t="s">
        <v>643</v>
      </c>
      <c r="B272" t="s">
        <v>102</v>
      </c>
      <c r="C272">
        <f t="shared" si="21"/>
        <v>2000</v>
      </c>
      <c r="D272">
        <f t="shared" si="22"/>
        <v>109.68921389396709</v>
      </c>
      <c r="E272">
        <f t="shared" si="23"/>
        <v>666.66666666666663</v>
      </c>
      <c r="F272">
        <f t="shared" si="24"/>
        <v>133.33333333333334</v>
      </c>
      <c r="G272" s="2" t="s">
        <v>804</v>
      </c>
      <c r="H272">
        <f t="shared" si="26"/>
        <v>10</v>
      </c>
      <c r="I272" s="2">
        <v>10</v>
      </c>
      <c r="J272"/>
      <c r="K272"/>
      <c r="L272"/>
      <c r="M272"/>
      <c r="N272" s="23">
        <v>2000</v>
      </c>
      <c r="O272" s="58">
        <v>18.233333333333334</v>
      </c>
      <c r="P272" s="24">
        <v>3</v>
      </c>
      <c r="Q272" s="24">
        <v>15</v>
      </c>
      <c r="R272" s="37"/>
    </row>
    <row r="273" spans="1:18" ht="15" hidden="1" thickBot="1" x14ac:dyDescent="0.4">
      <c r="A273" s="22" t="s">
        <v>710</v>
      </c>
      <c r="B273" t="s">
        <v>102</v>
      </c>
      <c r="C273">
        <f t="shared" si="21"/>
        <v>1000</v>
      </c>
      <c r="D273">
        <f t="shared" si="22"/>
        <v>109.68921389396709</v>
      </c>
      <c r="E273">
        <f t="shared" si="23"/>
        <v>50</v>
      </c>
      <c r="F273">
        <f t="shared" si="24"/>
        <v>83.333333333333329</v>
      </c>
      <c r="G273" s="2" t="s">
        <v>804</v>
      </c>
      <c r="H273">
        <f t="shared" si="26"/>
        <v>10</v>
      </c>
      <c r="I273" s="2">
        <v>10</v>
      </c>
      <c r="J273"/>
      <c r="K273"/>
      <c r="L273"/>
      <c r="M273"/>
      <c r="N273" s="23">
        <v>1000</v>
      </c>
      <c r="O273" s="58">
        <v>9.1166666666666671</v>
      </c>
      <c r="P273" s="24">
        <v>20</v>
      </c>
      <c r="Q273" s="24">
        <v>12</v>
      </c>
      <c r="R273" s="37"/>
    </row>
    <row r="274" spans="1:18" ht="15" hidden="1" thickBot="1" x14ac:dyDescent="0.4">
      <c r="A274" s="28" t="s">
        <v>114</v>
      </c>
      <c r="B274" t="s">
        <v>460</v>
      </c>
      <c r="C274">
        <f t="shared" si="21"/>
        <v>1000</v>
      </c>
      <c r="D274">
        <f t="shared" si="22"/>
        <v>109.68921389396709</v>
      </c>
      <c r="E274">
        <f t="shared" si="23"/>
        <v>333.33333333333331</v>
      </c>
      <c r="F274">
        <f t="shared" si="24"/>
        <v>200</v>
      </c>
      <c r="G274" s="2" t="s">
        <v>804</v>
      </c>
      <c r="H274">
        <f t="shared" si="26"/>
        <v>10</v>
      </c>
      <c r="I274" s="2">
        <v>10</v>
      </c>
      <c r="J274"/>
      <c r="K274"/>
      <c r="L274"/>
      <c r="M274"/>
      <c r="N274" s="29">
        <v>1000</v>
      </c>
      <c r="O274" s="60">
        <v>9.1166666666666671</v>
      </c>
      <c r="P274" s="30">
        <v>3</v>
      </c>
      <c r="Q274" s="30">
        <v>5</v>
      </c>
      <c r="R274" s="38"/>
    </row>
    <row r="275" spans="1:18" ht="15" thickBot="1" x14ac:dyDescent="0.4">
      <c r="A275" s="25" t="s">
        <v>796</v>
      </c>
      <c r="B275" t="s">
        <v>134</v>
      </c>
      <c r="C275">
        <f t="shared" si="21"/>
        <v>8000</v>
      </c>
      <c r="D275">
        <f t="shared" si="22"/>
        <v>109.58904109589041</v>
      </c>
      <c r="E275">
        <f t="shared" si="23"/>
        <v>666.66666666666663</v>
      </c>
      <c r="F275">
        <f t="shared" si="24"/>
        <v>200</v>
      </c>
      <c r="G275" s="2" t="s">
        <v>927</v>
      </c>
      <c r="H275">
        <f t="shared" si="26"/>
        <v>10</v>
      </c>
      <c r="I275" s="2">
        <v>10</v>
      </c>
      <c r="N275" s="26">
        <v>8000</v>
      </c>
      <c r="O275" s="59">
        <v>73</v>
      </c>
      <c r="P275" s="27">
        <v>12</v>
      </c>
      <c r="Q275" s="27">
        <v>40</v>
      </c>
      <c r="R275" s="37"/>
    </row>
    <row r="276" spans="1:18" ht="15" hidden="1" thickBot="1" x14ac:dyDescent="0.4">
      <c r="A276" s="31" t="s">
        <v>673</v>
      </c>
      <c r="B276" t="s">
        <v>674</v>
      </c>
      <c r="C276">
        <f t="shared" si="21"/>
        <v>1750</v>
      </c>
      <c r="D276">
        <f t="shared" si="22"/>
        <v>109.375</v>
      </c>
      <c r="E276">
        <f t="shared" si="23"/>
        <v>875</v>
      </c>
      <c r="F276">
        <f t="shared" si="24"/>
        <v>145.83333333333334</v>
      </c>
      <c r="G276" s="2" t="s">
        <v>804</v>
      </c>
      <c r="H276">
        <f t="shared" si="26"/>
        <v>10</v>
      </c>
      <c r="I276" s="2">
        <v>10</v>
      </c>
      <c r="J276"/>
      <c r="K276"/>
      <c r="L276"/>
      <c r="M276"/>
      <c r="N276" s="32">
        <v>1750</v>
      </c>
      <c r="O276" s="61">
        <v>16</v>
      </c>
      <c r="P276" s="33">
        <v>2</v>
      </c>
      <c r="Q276" s="33">
        <v>12</v>
      </c>
      <c r="R276" s="38"/>
    </row>
    <row r="277" spans="1:18" ht="58.5" thickBot="1" x14ac:dyDescent="0.4">
      <c r="A277" s="25" t="s">
        <v>728</v>
      </c>
      <c r="B277" t="s">
        <v>892</v>
      </c>
      <c r="C277">
        <f t="shared" si="21"/>
        <v>2400</v>
      </c>
      <c r="D277">
        <f t="shared" si="22"/>
        <v>109.09090909090909</v>
      </c>
      <c r="E277">
        <f t="shared" si="23"/>
        <v>400</v>
      </c>
      <c r="F277">
        <f t="shared" si="24"/>
        <v>200</v>
      </c>
      <c r="G277" s="2" t="s">
        <v>893</v>
      </c>
      <c r="H277">
        <f t="shared" si="26"/>
        <v>10</v>
      </c>
      <c r="I277" s="2">
        <v>10</v>
      </c>
      <c r="N277" s="26">
        <v>2400</v>
      </c>
      <c r="O277" s="59">
        <v>22</v>
      </c>
      <c r="P277" s="27">
        <v>6</v>
      </c>
      <c r="Q277" s="27">
        <v>12</v>
      </c>
      <c r="R277" s="37"/>
    </row>
    <row r="278" spans="1:18" ht="15" hidden="1" thickBot="1" x14ac:dyDescent="0.4">
      <c r="A278" s="31" t="s">
        <v>493</v>
      </c>
      <c r="B278" t="s">
        <v>102</v>
      </c>
      <c r="C278">
        <f t="shared" si="21"/>
        <v>1500</v>
      </c>
      <c r="D278">
        <f t="shared" si="22"/>
        <v>103.44827586206897</v>
      </c>
      <c r="E278">
        <f t="shared" si="23"/>
        <v>75</v>
      </c>
      <c r="F278">
        <f t="shared" si="24"/>
        <v>100</v>
      </c>
      <c r="G278" s="2" t="s">
        <v>804</v>
      </c>
      <c r="H278">
        <f t="shared" ref="H278:H309" si="27">AVERAGE(I278:M278)</f>
        <v>10</v>
      </c>
      <c r="I278" s="2">
        <v>10</v>
      </c>
      <c r="J278"/>
      <c r="K278"/>
      <c r="L278"/>
      <c r="M278"/>
      <c r="N278" s="32">
        <v>1500</v>
      </c>
      <c r="O278" s="61">
        <v>14.5</v>
      </c>
      <c r="P278" s="33">
        <v>20</v>
      </c>
      <c r="Q278" s="33">
        <v>15</v>
      </c>
      <c r="R278" s="37"/>
    </row>
    <row r="279" spans="1:18" ht="15" hidden="1" thickBot="1" x14ac:dyDescent="0.4">
      <c r="A279" s="25" t="s">
        <v>628</v>
      </c>
      <c r="B279" t="s">
        <v>102</v>
      </c>
      <c r="C279">
        <f t="shared" si="21"/>
        <v>1500</v>
      </c>
      <c r="D279">
        <f t="shared" si="22"/>
        <v>102.85714285714285</v>
      </c>
      <c r="E279">
        <f t="shared" si="23"/>
        <v>214.28571428571428</v>
      </c>
      <c r="F279">
        <f t="shared" si="24"/>
        <v>50</v>
      </c>
      <c r="G279" s="2" t="s">
        <v>804</v>
      </c>
      <c r="H279">
        <f t="shared" si="27"/>
        <v>10</v>
      </c>
      <c r="I279" s="2">
        <v>10</v>
      </c>
      <c r="J279"/>
      <c r="K279"/>
      <c r="L279"/>
      <c r="M279"/>
      <c r="N279" s="26">
        <v>1500</v>
      </c>
      <c r="O279" s="59">
        <v>14.583333333333334</v>
      </c>
      <c r="P279" s="27">
        <v>7</v>
      </c>
      <c r="Q279" s="27">
        <v>30</v>
      </c>
      <c r="R279" s="62"/>
    </row>
    <row r="280" spans="1:18" ht="15" hidden="1" thickBot="1" x14ac:dyDescent="0.4">
      <c r="A280" s="28" t="s">
        <v>652</v>
      </c>
      <c r="B280" t="s">
        <v>102</v>
      </c>
      <c r="C280">
        <f t="shared" si="21"/>
        <v>1500</v>
      </c>
      <c r="D280">
        <f t="shared" si="22"/>
        <v>102.85714285714285</v>
      </c>
      <c r="E280">
        <f t="shared" si="23"/>
        <v>250</v>
      </c>
      <c r="F280">
        <f t="shared" si="24"/>
        <v>166.66666666666666</v>
      </c>
      <c r="G280" s="2" t="s">
        <v>804</v>
      </c>
      <c r="H280">
        <f t="shared" si="27"/>
        <v>10</v>
      </c>
      <c r="I280" s="2">
        <v>10</v>
      </c>
      <c r="J280"/>
      <c r="K280"/>
      <c r="L280"/>
      <c r="M280"/>
      <c r="N280" s="29">
        <v>1500</v>
      </c>
      <c r="O280" s="60">
        <v>14.583333333333334</v>
      </c>
      <c r="P280" s="30">
        <v>6</v>
      </c>
      <c r="Q280" s="30">
        <v>9</v>
      </c>
      <c r="R280" s="38"/>
    </row>
    <row r="281" spans="1:18" ht="15" hidden="1" thickBot="1" x14ac:dyDescent="0.4">
      <c r="A281" s="22" t="s">
        <v>115</v>
      </c>
      <c r="B281" s="56" t="s">
        <v>460</v>
      </c>
      <c r="C281">
        <f t="shared" si="21"/>
        <v>550</v>
      </c>
      <c r="D281">
        <f t="shared" si="22"/>
        <v>100.60975609756098</v>
      </c>
      <c r="E281">
        <f t="shared" si="23"/>
        <v>275</v>
      </c>
      <c r="F281">
        <f t="shared" si="24"/>
        <v>110</v>
      </c>
      <c r="G281" s="2" t="s">
        <v>804</v>
      </c>
      <c r="H281">
        <f t="shared" si="27"/>
        <v>10</v>
      </c>
      <c r="I281" s="2">
        <v>10</v>
      </c>
      <c r="J281" s="56"/>
      <c r="K281" s="56"/>
      <c r="L281" s="56"/>
      <c r="M281" s="56"/>
      <c r="N281" s="24">
        <v>550</v>
      </c>
      <c r="O281" s="58">
        <v>5.4666666666666668</v>
      </c>
      <c r="P281" s="24">
        <v>2</v>
      </c>
      <c r="Q281" s="24">
        <v>5</v>
      </c>
      <c r="R281" s="37"/>
    </row>
    <row r="282" spans="1:18" ht="15" hidden="1" thickBot="1" x14ac:dyDescent="0.4">
      <c r="A282" s="25" t="s">
        <v>709</v>
      </c>
      <c r="B282" t="s">
        <v>102</v>
      </c>
      <c r="C282">
        <f t="shared" ref="C282:C314" si="28">N282*(H282/10)^0.5</f>
        <v>1000</v>
      </c>
      <c r="D282">
        <f t="shared" ref="D282:D314" si="29">C282/O282</f>
        <v>100</v>
      </c>
      <c r="E282">
        <f t="shared" ref="E282:E314" si="30">C282/P282</f>
        <v>250</v>
      </c>
      <c r="F282">
        <f t="shared" ref="F282:F314" si="31">C282/Q282</f>
        <v>200</v>
      </c>
      <c r="G282" s="2" t="s">
        <v>804</v>
      </c>
      <c r="H282">
        <f t="shared" si="27"/>
        <v>10</v>
      </c>
      <c r="I282" s="2">
        <v>10</v>
      </c>
      <c r="J282"/>
      <c r="K282"/>
      <c r="L282"/>
      <c r="M282"/>
      <c r="N282" s="26">
        <v>1000</v>
      </c>
      <c r="O282" s="59">
        <v>10</v>
      </c>
      <c r="P282" s="27">
        <v>4</v>
      </c>
      <c r="Q282" s="27">
        <v>5</v>
      </c>
      <c r="R282" s="38"/>
    </row>
    <row r="283" spans="1:18" ht="15" hidden="1" thickBot="1" x14ac:dyDescent="0.4">
      <c r="A283" s="28" t="s">
        <v>112</v>
      </c>
      <c r="B283" t="s">
        <v>460</v>
      </c>
      <c r="C283">
        <f t="shared" si="28"/>
        <v>600</v>
      </c>
      <c r="D283">
        <f t="shared" si="29"/>
        <v>100</v>
      </c>
      <c r="E283">
        <f t="shared" si="30"/>
        <v>200</v>
      </c>
      <c r="F283">
        <f t="shared" si="31"/>
        <v>120</v>
      </c>
      <c r="G283" s="2" t="s">
        <v>804</v>
      </c>
      <c r="H283">
        <f t="shared" si="27"/>
        <v>10</v>
      </c>
      <c r="I283" s="2">
        <v>10</v>
      </c>
      <c r="J283"/>
      <c r="K283"/>
      <c r="L283"/>
      <c r="M283"/>
      <c r="N283" s="30">
        <v>600</v>
      </c>
      <c r="O283" s="60">
        <v>6</v>
      </c>
      <c r="P283" s="30">
        <v>3</v>
      </c>
      <c r="Q283" s="30">
        <v>5</v>
      </c>
      <c r="R283" s="38"/>
    </row>
    <row r="284" spans="1:18" ht="29.5" thickBot="1" x14ac:dyDescent="0.4">
      <c r="A284" s="28" t="s">
        <v>751</v>
      </c>
      <c r="B284" t="s">
        <v>102</v>
      </c>
      <c r="C284">
        <f t="shared" si="28"/>
        <v>450</v>
      </c>
      <c r="D284">
        <f t="shared" si="29"/>
        <v>98.901098901098905</v>
      </c>
      <c r="E284">
        <f t="shared" si="30"/>
        <v>150</v>
      </c>
      <c r="F284">
        <f t="shared" si="31"/>
        <v>150</v>
      </c>
      <c r="G284" s="2" t="s">
        <v>908</v>
      </c>
      <c r="H284">
        <f t="shared" si="27"/>
        <v>10</v>
      </c>
      <c r="I284" s="2">
        <v>10</v>
      </c>
      <c r="N284" s="30">
        <v>450</v>
      </c>
      <c r="O284" s="60">
        <v>4.55</v>
      </c>
      <c r="P284" s="30">
        <v>3</v>
      </c>
      <c r="Q284" s="30">
        <v>3</v>
      </c>
      <c r="R284" s="37"/>
    </row>
    <row r="285" spans="1:18" ht="15" hidden="1" thickBot="1" x14ac:dyDescent="0.4">
      <c r="A285" s="28" t="s">
        <v>795</v>
      </c>
      <c r="B285" t="s">
        <v>102</v>
      </c>
      <c r="C285">
        <f t="shared" si="28"/>
        <v>1250</v>
      </c>
      <c r="D285">
        <f t="shared" si="29"/>
        <v>98.039215686274517</v>
      </c>
      <c r="E285">
        <f t="shared" si="30"/>
        <v>35.714285714285715</v>
      </c>
      <c r="F285">
        <f t="shared" si="31"/>
        <v>50</v>
      </c>
      <c r="G285" s="2" t="s">
        <v>804</v>
      </c>
      <c r="H285">
        <f t="shared" si="27"/>
        <v>10</v>
      </c>
      <c r="I285" s="2">
        <v>10</v>
      </c>
      <c r="J285"/>
      <c r="K285"/>
      <c r="L285"/>
      <c r="M285"/>
      <c r="N285" s="29">
        <v>1250</v>
      </c>
      <c r="O285" s="60">
        <v>12.75</v>
      </c>
      <c r="P285" s="30">
        <v>35</v>
      </c>
      <c r="Q285" s="30">
        <v>25</v>
      </c>
      <c r="R285" s="38"/>
    </row>
    <row r="286" spans="1:18" ht="15" thickBot="1" x14ac:dyDescent="0.4">
      <c r="A286" s="28" t="s">
        <v>783</v>
      </c>
      <c r="B286" t="s">
        <v>109</v>
      </c>
      <c r="C286">
        <f t="shared" si="28"/>
        <v>10000</v>
      </c>
      <c r="D286">
        <f t="shared" si="29"/>
        <v>97.927207442467775</v>
      </c>
      <c r="E286">
        <f t="shared" si="30"/>
        <v>5000</v>
      </c>
      <c r="F286">
        <f t="shared" si="31"/>
        <v>400</v>
      </c>
      <c r="G286" s="2" t="s">
        <v>926</v>
      </c>
      <c r="H286">
        <f t="shared" si="27"/>
        <v>10</v>
      </c>
      <c r="I286" s="2">
        <v>10</v>
      </c>
      <c r="N286" s="29">
        <v>10000</v>
      </c>
      <c r="O286" s="60">
        <v>102.11666666666666</v>
      </c>
      <c r="P286" s="30">
        <v>2</v>
      </c>
      <c r="Q286" s="30">
        <v>25</v>
      </c>
      <c r="R286" s="37"/>
    </row>
    <row r="287" spans="1:18" ht="15" hidden="1" thickBot="1" x14ac:dyDescent="0.4">
      <c r="A287" s="28" t="s">
        <v>781</v>
      </c>
      <c r="B287" t="s">
        <v>460</v>
      </c>
      <c r="C287">
        <f t="shared" si="28"/>
        <v>750</v>
      </c>
      <c r="D287">
        <f t="shared" si="29"/>
        <v>93.75</v>
      </c>
      <c r="E287">
        <f t="shared" si="30"/>
        <v>250</v>
      </c>
      <c r="F287">
        <f t="shared" si="31"/>
        <v>150</v>
      </c>
      <c r="G287" s="2" t="s">
        <v>804</v>
      </c>
      <c r="H287">
        <f t="shared" si="27"/>
        <v>10</v>
      </c>
      <c r="I287" s="2">
        <v>10</v>
      </c>
      <c r="J287"/>
      <c r="K287"/>
      <c r="L287"/>
      <c r="M287"/>
      <c r="N287" s="30">
        <v>750</v>
      </c>
      <c r="O287" s="60">
        <v>8</v>
      </c>
      <c r="P287" s="30">
        <v>3</v>
      </c>
      <c r="Q287" s="30">
        <v>5</v>
      </c>
      <c r="R287" s="38"/>
    </row>
    <row r="288" spans="1:18" ht="15" hidden="1" thickBot="1" x14ac:dyDescent="0.4">
      <c r="A288" s="31" t="s">
        <v>752</v>
      </c>
      <c r="B288" t="s">
        <v>688</v>
      </c>
      <c r="C288">
        <f t="shared" si="28"/>
        <v>5000</v>
      </c>
      <c r="D288">
        <f t="shared" si="29"/>
        <v>91.407678244972573</v>
      </c>
      <c r="E288">
        <f t="shared" si="30"/>
        <v>416.66666666666669</v>
      </c>
      <c r="F288">
        <f t="shared" si="31"/>
        <v>500</v>
      </c>
      <c r="G288" s="2" t="s">
        <v>804</v>
      </c>
      <c r="H288">
        <f t="shared" si="27"/>
        <v>10</v>
      </c>
      <c r="I288" s="2">
        <v>10</v>
      </c>
      <c r="J288"/>
      <c r="K288"/>
      <c r="L288"/>
      <c r="M288"/>
      <c r="N288" s="32">
        <v>5000</v>
      </c>
      <c r="O288" s="61">
        <v>54.7</v>
      </c>
      <c r="P288" s="33">
        <v>12</v>
      </c>
      <c r="Q288" s="33">
        <v>10</v>
      </c>
      <c r="R288" s="38"/>
    </row>
    <row r="289" spans="1:18" ht="15" hidden="1" thickBot="1" x14ac:dyDescent="0.4">
      <c r="A289" s="28" t="s">
        <v>648</v>
      </c>
      <c r="B289" t="s">
        <v>102</v>
      </c>
      <c r="C289">
        <f t="shared" si="28"/>
        <v>2000</v>
      </c>
      <c r="D289">
        <f t="shared" si="29"/>
        <v>91.393754760091397</v>
      </c>
      <c r="E289">
        <f t="shared" si="30"/>
        <v>500</v>
      </c>
      <c r="F289">
        <f t="shared" si="31"/>
        <v>133.33333333333334</v>
      </c>
      <c r="G289" s="2" t="s">
        <v>804</v>
      </c>
      <c r="H289">
        <f t="shared" si="27"/>
        <v>10</v>
      </c>
      <c r="I289" s="2">
        <v>10</v>
      </c>
      <c r="J289"/>
      <c r="K289"/>
      <c r="L289"/>
      <c r="M289"/>
      <c r="N289" s="29">
        <v>2000</v>
      </c>
      <c r="O289" s="60">
        <v>21.883333333333333</v>
      </c>
      <c r="P289" s="30">
        <v>4</v>
      </c>
      <c r="Q289" s="30">
        <v>15</v>
      </c>
      <c r="R289" s="37"/>
    </row>
    <row r="290" spans="1:18" ht="29.5" thickBot="1" x14ac:dyDescent="0.4">
      <c r="A290" s="31" t="s">
        <v>715</v>
      </c>
      <c r="B290" t="s">
        <v>881</v>
      </c>
      <c r="C290">
        <f t="shared" si="28"/>
        <v>7500</v>
      </c>
      <c r="D290">
        <f t="shared" si="29"/>
        <v>85.681645087585679</v>
      </c>
      <c r="E290">
        <f t="shared" si="30"/>
        <v>833.33333333333337</v>
      </c>
      <c r="F290">
        <f t="shared" si="31"/>
        <v>500</v>
      </c>
      <c r="G290" s="2" t="s">
        <v>882</v>
      </c>
      <c r="H290">
        <f t="shared" si="27"/>
        <v>10</v>
      </c>
      <c r="I290" s="2">
        <v>10</v>
      </c>
      <c r="N290" s="32">
        <v>7500</v>
      </c>
      <c r="O290" s="61">
        <v>87.533333333333331</v>
      </c>
      <c r="P290" s="33">
        <v>9</v>
      </c>
      <c r="Q290" s="33">
        <v>15</v>
      </c>
      <c r="R290" s="37"/>
    </row>
    <row r="291" spans="1:18" ht="15" thickBot="1" x14ac:dyDescent="0.4">
      <c r="A291" s="25" t="s">
        <v>738</v>
      </c>
      <c r="B291" t="s">
        <v>737</v>
      </c>
      <c r="C291">
        <f t="shared" si="28"/>
        <v>125</v>
      </c>
      <c r="D291">
        <f t="shared" si="29"/>
        <v>85.22727272727272</v>
      </c>
      <c r="E291">
        <f t="shared" si="30"/>
        <v>31.25</v>
      </c>
      <c r="F291">
        <f t="shared" si="31"/>
        <v>15.625</v>
      </c>
      <c r="G291" s="2" t="s">
        <v>904</v>
      </c>
      <c r="H291">
        <f t="shared" si="27"/>
        <v>10</v>
      </c>
      <c r="I291" s="2">
        <v>10</v>
      </c>
      <c r="N291" s="27">
        <v>125</v>
      </c>
      <c r="O291" s="59">
        <v>1.4666666666666668</v>
      </c>
      <c r="P291" s="27">
        <v>4</v>
      </c>
      <c r="Q291" s="27">
        <v>8</v>
      </c>
      <c r="R291" s="38"/>
    </row>
    <row r="292" spans="1:18" ht="15" hidden="1" thickBot="1" x14ac:dyDescent="0.4">
      <c r="A292" s="25" t="s">
        <v>761</v>
      </c>
      <c r="B292" t="s">
        <v>381</v>
      </c>
      <c r="C292">
        <f t="shared" si="28"/>
        <v>75</v>
      </c>
      <c r="D292">
        <f t="shared" si="29"/>
        <v>83.333333333333329</v>
      </c>
      <c r="E292">
        <f t="shared" si="30"/>
        <v>25</v>
      </c>
      <c r="F292">
        <f t="shared" si="31"/>
        <v>37.5</v>
      </c>
      <c r="G292" s="2" t="s">
        <v>804</v>
      </c>
      <c r="H292">
        <f t="shared" si="27"/>
        <v>10</v>
      </c>
      <c r="I292" s="2">
        <v>10</v>
      </c>
      <c r="J292"/>
      <c r="K292"/>
      <c r="L292"/>
      <c r="M292"/>
      <c r="N292" s="27">
        <v>75</v>
      </c>
      <c r="O292" s="59">
        <v>0.9</v>
      </c>
      <c r="P292" s="27">
        <v>3</v>
      </c>
      <c r="Q292" s="27">
        <v>2</v>
      </c>
      <c r="R292" s="38"/>
    </row>
    <row r="293" spans="1:18" ht="15" hidden="1" thickBot="1" x14ac:dyDescent="0.4">
      <c r="A293" s="28" t="s">
        <v>650</v>
      </c>
      <c r="B293" t="s">
        <v>102</v>
      </c>
      <c r="C293">
        <f t="shared" si="28"/>
        <v>1200</v>
      </c>
      <c r="D293">
        <f t="shared" si="29"/>
        <v>82.285714285714278</v>
      </c>
      <c r="E293">
        <f t="shared" si="30"/>
        <v>60</v>
      </c>
      <c r="F293">
        <f t="shared" si="31"/>
        <v>30</v>
      </c>
      <c r="G293" s="2" t="s">
        <v>804</v>
      </c>
      <c r="H293">
        <f t="shared" si="27"/>
        <v>10</v>
      </c>
      <c r="I293" s="2">
        <v>10</v>
      </c>
      <c r="J293"/>
      <c r="K293"/>
      <c r="L293"/>
      <c r="M293"/>
      <c r="N293" s="29">
        <v>1200</v>
      </c>
      <c r="O293" s="60">
        <v>14.583333333333334</v>
      </c>
      <c r="P293" s="30">
        <v>20</v>
      </c>
      <c r="Q293" s="30">
        <v>40</v>
      </c>
      <c r="R293" s="38"/>
    </row>
    <row r="294" spans="1:18" ht="15" hidden="1" thickBot="1" x14ac:dyDescent="0.4">
      <c r="A294" s="28" t="s">
        <v>497</v>
      </c>
      <c r="B294" t="s">
        <v>102</v>
      </c>
      <c r="C294">
        <f t="shared" si="28"/>
        <v>3000</v>
      </c>
      <c r="D294">
        <f t="shared" si="29"/>
        <v>82.266910420475313</v>
      </c>
      <c r="E294">
        <f t="shared" si="30"/>
        <v>375</v>
      </c>
      <c r="F294">
        <f t="shared" si="31"/>
        <v>300</v>
      </c>
      <c r="G294" s="2" t="s">
        <v>804</v>
      </c>
      <c r="H294">
        <f t="shared" si="27"/>
        <v>10</v>
      </c>
      <c r="I294" s="2">
        <v>10</v>
      </c>
      <c r="J294"/>
      <c r="K294"/>
      <c r="L294"/>
      <c r="M294"/>
      <c r="N294" s="29">
        <v>3000</v>
      </c>
      <c r="O294" s="60">
        <v>36.466666666666669</v>
      </c>
      <c r="P294" s="30">
        <v>8</v>
      </c>
      <c r="Q294" s="30">
        <v>10</v>
      </c>
      <c r="R294" s="37"/>
    </row>
    <row r="295" spans="1:18" ht="15" hidden="1" thickBot="1" x14ac:dyDescent="0.4">
      <c r="A295" s="25" t="s">
        <v>630</v>
      </c>
      <c r="B295" t="s">
        <v>109</v>
      </c>
      <c r="C295">
        <f t="shared" si="28"/>
        <v>175</v>
      </c>
      <c r="D295">
        <f t="shared" si="29"/>
        <v>72.413793103448285</v>
      </c>
      <c r="E295">
        <f t="shared" si="30"/>
        <v>58.333333333333336</v>
      </c>
      <c r="F295">
        <f t="shared" si="31"/>
        <v>175</v>
      </c>
      <c r="G295" s="2" t="s">
        <v>804</v>
      </c>
      <c r="H295">
        <f t="shared" si="27"/>
        <v>10</v>
      </c>
      <c r="I295" s="2">
        <v>10</v>
      </c>
      <c r="J295"/>
      <c r="K295"/>
      <c r="L295"/>
      <c r="M295"/>
      <c r="N295" s="27">
        <v>175</v>
      </c>
      <c r="O295" s="59">
        <v>2.4166666666666665</v>
      </c>
      <c r="P295" s="27">
        <v>3</v>
      </c>
      <c r="Q295" s="27">
        <v>1</v>
      </c>
      <c r="R295" s="38"/>
    </row>
    <row r="296" spans="1:18" ht="15" hidden="1" thickBot="1" x14ac:dyDescent="0.4">
      <c r="A296" s="22" t="s">
        <v>476</v>
      </c>
      <c r="B296" t="s">
        <v>477</v>
      </c>
      <c r="C296">
        <f t="shared" si="28"/>
        <v>500</v>
      </c>
      <c r="D296">
        <f t="shared" si="29"/>
        <v>68.649885583524025</v>
      </c>
      <c r="E296">
        <f t="shared" si="30"/>
        <v>500</v>
      </c>
      <c r="F296">
        <f t="shared" si="31"/>
        <v>125</v>
      </c>
      <c r="G296" s="2" t="s">
        <v>804</v>
      </c>
      <c r="H296">
        <f t="shared" si="27"/>
        <v>10</v>
      </c>
      <c r="I296">
        <v>10</v>
      </c>
      <c r="J296"/>
      <c r="K296"/>
      <c r="L296"/>
      <c r="M296"/>
      <c r="N296" s="24">
        <v>500</v>
      </c>
      <c r="O296" s="58">
        <v>7.2833333333333332</v>
      </c>
      <c r="P296" s="24">
        <v>1</v>
      </c>
      <c r="Q296" s="24">
        <v>4</v>
      </c>
      <c r="R296" s="38"/>
    </row>
    <row r="297" spans="1:18" ht="15" hidden="1" thickBot="1" x14ac:dyDescent="0.4">
      <c r="A297" s="22" t="s">
        <v>659</v>
      </c>
      <c r="B297" t="s">
        <v>660</v>
      </c>
      <c r="C297">
        <f t="shared" si="28"/>
        <v>500</v>
      </c>
      <c r="D297">
        <f t="shared" si="29"/>
        <v>68.649885583524025</v>
      </c>
      <c r="E297">
        <f t="shared" si="30"/>
        <v>62.5</v>
      </c>
      <c r="F297">
        <f t="shared" si="31"/>
        <v>41.666666666666664</v>
      </c>
      <c r="G297" s="2" t="s">
        <v>804</v>
      </c>
      <c r="H297">
        <f t="shared" si="27"/>
        <v>10</v>
      </c>
      <c r="I297" s="2">
        <v>10</v>
      </c>
      <c r="J297"/>
      <c r="K297"/>
      <c r="L297"/>
      <c r="M297"/>
      <c r="N297" s="24">
        <v>500</v>
      </c>
      <c r="O297" s="58">
        <v>7.2833333333333332</v>
      </c>
      <c r="P297" s="24">
        <v>8</v>
      </c>
      <c r="Q297" s="24">
        <v>12</v>
      </c>
      <c r="R297" s="38"/>
    </row>
    <row r="298" spans="1:18" ht="15" hidden="1" thickBot="1" x14ac:dyDescent="0.4">
      <c r="A298" s="25" t="s">
        <v>793</v>
      </c>
      <c r="B298" t="s">
        <v>794</v>
      </c>
      <c r="C298">
        <f t="shared" si="28"/>
        <v>1500</v>
      </c>
      <c r="D298">
        <f t="shared" si="29"/>
        <v>68.545316070068552</v>
      </c>
      <c r="E298">
        <f t="shared" si="30"/>
        <v>300</v>
      </c>
      <c r="F298">
        <f t="shared" si="31"/>
        <v>125</v>
      </c>
      <c r="G298" s="2" t="s">
        <v>804</v>
      </c>
      <c r="H298">
        <f t="shared" si="27"/>
        <v>10</v>
      </c>
      <c r="I298" s="2">
        <v>10</v>
      </c>
      <c r="J298"/>
      <c r="K298"/>
      <c r="L298"/>
      <c r="M298"/>
      <c r="N298" s="26">
        <v>1500</v>
      </c>
      <c r="O298" s="59">
        <v>21.883333333333333</v>
      </c>
      <c r="P298" s="27">
        <v>5</v>
      </c>
      <c r="Q298" s="27">
        <v>12</v>
      </c>
      <c r="R298" s="38"/>
    </row>
    <row r="299" spans="1:18" ht="15" thickBot="1" x14ac:dyDescent="0.4">
      <c r="A299" s="31" t="s">
        <v>554</v>
      </c>
      <c r="C299">
        <f t="shared" si="28"/>
        <v>1500</v>
      </c>
      <c r="D299">
        <f t="shared" si="29"/>
        <v>68.181818181818187</v>
      </c>
      <c r="E299">
        <f t="shared" si="30"/>
        <v>187.5</v>
      </c>
      <c r="F299">
        <f t="shared" si="31"/>
        <v>214.28571428571428</v>
      </c>
      <c r="G299" s="2" t="s">
        <v>820</v>
      </c>
      <c r="H299">
        <f t="shared" si="27"/>
        <v>10</v>
      </c>
      <c r="I299" s="2">
        <v>10</v>
      </c>
      <c r="N299" s="32">
        <v>1500</v>
      </c>
      <c r="O299" s="61">
        <v>22</v>
      </c>
      <c r="P299" s="33">
        <v>8</v>
      </c>
      <c r="Q299" s="33">
        <v>7</v>
      </c>
      <c r="R299" s="37"/>
    </row>
    <row r="300" spans="1:18" ht="15" thickBot="1" x14ac:dyDescent="0.4">
      <c r="A300" s="25" t="s">
        <v>764</v>
      </c>
      <c r="B300" t="s">
        <v>902</v>
      </c>
      <c r="C300">
        <f t="shared" si="28"/>
        <v>1500</v>
      </c>
      <c r="D300">
        <f t="shared" si="29"/>
        <v>68.181818181818187</v>
      </c>
      <c r="E300">
        <f t="shared" si="30"/>
        <v>250</v>
      </c>
      <c r="F300">
        <f t="shared" si="31"/>
        <v>100</v>
      </c>
      <c r="G300" s="2" t="s">
        <v>915</v>
      </c>
      <c r="H300">
        <f t="shared" si="27"/>
        <v>10</v>
      </c>
      <c r="I300" s="2">
        <v>10</v>
      </c>
      <c r="N300" s="26">
        <v>1500</v>
      </c>
      <c r="O300" s="59">
        <v>22</v>
      </c>
      <c r="P300" s="27">
        <v>6</v>
      </c>
      <c r="Q300" s="27">
        <v>15</v>
      </c>
      <c r="R300" s="38"/>
    </row>
    <row r="301" spans="1:18" ht="15" hidden="1" thickBot="1" x14ac:dyDescent="0.4">
      <c r="A301" s="31" t="s">
        <v>523</v>
      </c>
      <c r="B301" s="56" t="s">
        <v>460</v>
      </c>
      <c r="C301">
        <f t="shared" si="28"/>
        <v>50</v>
      </c>
      <c r="D301">
        <f t="shared" si="29"/>
        <v>66.666666666666671</v>
      </c>
      <c r="E301">
        <f t="shared" si="30"/>
        <v>25</v>
      </c>
      <c r="F301">
        <f t="shared" si="31"/>
        <v>16.666666666666668</v>
      </c>
      <c r="G301" s="2" t="s">
        <v>804</v>
      </c>
      <c r="H301">
        <f t="shared" si="27"/>
        <v>10</v>
      </c>
      <c r="I301" s="2">
        <v>10</v>
      </c>
      <c r="J301" s="56"/>
      <c r="K301" s="56"/>
      <c r="L301" s="56"/>
      <c r="M301" s="56"/>
      <c r="N301" s="33">
        <v>50</v>
      </c>
      <c r="O301" s="61">
        <v>0.75</v>
      </c>
      <c r="P301" s="33">
        <v>2</v>
      </c>
      <c r="Q301" s="33">
        <v>3</v>
      </c>
      <c r="R301" s="37"/>
    </row>
    <row r="302" spans="1:18" ht="15" hidden="1" thickBot="1" x14ac:dyDescent="0.4">
      <c r="A302" s="25" t="s">
        <v>551</v>
      </c>
      <c r="B302" t="s">
        <v>552</v>
      </c>
      <c r="C302">
        <f t="shared" si="28"/>
        <v>900</v>
      </c>
      <c r="D302">
        <f t="shared" si="29"/>
        <v>61.714285714285715</v>
      </c>
      <c r="E302">
        <f t="shared" si="30"/>
        <v>300</v>
      </c>
      <c r="F302">
        <f t="shared" si="31"/>
        <v>45</v>
      </c>
      <c r="G302" s="2" t="s">
        <v>804</v>
      </c>
      <c r="H302">
        <f t="shared" si="27"/>
        <v>10</v>
      </c>
      <c r="I302" s="2">
        <v>10</v>
      </c>
      <c r="J302"/>
      <c r="K302"/>
      <c r="L302"/>
      <c r="M302"/>
      <c r="N302" s="27">
        <v>900</v>
      </c>
      <c r="O302" s="59">
        <v>14.583333333333334</v>
      </c>
      <c r="P302" s="27">
        <v>3</v>
      </c>
      <c r="Q302" s="27">
        <v>20</v>
      </c>
      <c r="R302" s="38"/>
    </row>
    <row r="303" spans="1:18" ht="15" hidden="1" thickBot="1" x14ac:dyDescent="0.4">
      <c r="A303" s="25" t="s">
        <v>595</v>
      </c>
      <c r="B303" t="s">
        <v>596</v>
      </c>
      <c r="C303">
        <f t="shared" si="28"/>
        <v>450</v>
      </c>
      <c r="D303">
        <f t="shared" si="29"/>
        <v>56.25</v>
      </c>
      <c r="E303">
        <f t="shared" si="30"/>
        <v>150</v>
      </c>
      <c r="F303">
        <f t="shared" si="31"/>
        <v>225</v>
      </c>
      <c r="G303" s="2" t="s">
        <v>804</v>
      </c>
      <c r="H303">
        <f t="shared" si="27"/>
        <v>10</v>
      </c>
      <c r="I303" s="2">
        <v>10</v>
      </c>
      <c r="J303"/>
      <c r="K303"/>
      <c r="L303"/>
      <c r="M303"/>
      <c r="N303" s="27">
        <v>450</v>
      </c>
      <c r="O303" s="59">
        <v>8</v>
      </c>
      <c r="P303" s="27">
        <v>3</v>
      </c>
      <c r="Q303" s="27">
        <v>2</v>
      </c>
      <c r="R303" s="37"/>
    </row>
    <row r="304" spans="1:18" ht="15" hidden="1" thickBot="1" x14ac:dyDescent="0.4">
      <c r="A304" s="22" t="s">
        <v>601</v>
      </c>
      <c r="B304" t="s">
        <v>688</v>
      </c>
      <c r="C304">
        <f t="shared" si="28"/>
        <v>2000</v>
      </c>
      <c r="D304">
        <f t="shared" si="29"/>
        <v>54.844606946983546</v>
      </c>
      <c r="E304">
        <f t="shared" si="30"/>
        <v>285.71428571428572</v>
      </c>
      <c r="F304">
        <f t="shared" si="31"/>
        <v>100</v>
      </c>
      <c r="G304" s="2" t="s">
        <v>804</v>
      </c>
      <c r="H304">
        <f t="shared" si="27"/>
        <v>10</v>
      </c>
      <c r="I304" s="2">
        <v>10</v>
      </c>
      <c r="J304"/>
      <c r="K304"/>
      <c r="L304"/>
      <c r="M304"/>
      <c r="N304" s="23">
        <v>2000</v>
      </c>
      <c r="O304" s="58">
        <v>36.466666666666669</v>
      </c>
      <c r="P304" s="24">
        <v>7</v>
      </c>
      <c r="Q304" s="24">
        <v>20</v>
      </c>
      <c r="R304" s="37"/>
    </row>
    <row r="305" spans="1:18" ht="58.5" thickBot="1" x14ac:dyDescent="0.4">
      <c r="A305" s="28" t="s">
        <v>627</v>
      </c>
      <c r="B305" t="s">
        <v>151</v>
      </c>
      <c r="C305">
        <f t="shared" si="28"/>
        <v>125</v>
      </c>
      <c r="D305">
        <f t="shared" si="29"/>
        <v>51.724137931034484</v>
      </c>
      <c r="E305">
        <f t="shared" si="30"/>
        <v>31.25</v>
      </c>
      <c r="F305">
        <f t="shared" si="31"/>
        <v>20.833333333333332</v>
      </c>
      <c r="G305" s="2" t="s">
        <v>844</v>
      </c>
      <c r="H305">
        <f t="shared" si="27"/>
        <v>10</v>
      </c>
      <c r="I305" s="2">
        <v>10</v>
      </c>
      <c r="N305" s="30">
        <v>125</v>
      </c>
      <c r="O305" s="60">
        <v>2.4166666666666665</v>
      </c>
      <c r="P305" s="30">
        <v>4</v>
      </c>
      <c r="Q305" s="30">
        <v>6</v>
      </c>
      <c r="R305" s="37"/>
    </row>
    <row r="306" spans="1:18" ht="44" thickBot="1" x14ac:dyDescent="0.4">
      <c r="A306" s="31" t="s">
        <v>626</v>
      </c>
      <c r="B306" t="s">
        <v>392</v>
      </c>
      <c r="C306">
        <f t="shared" si="28"/>
        <v>1800</v>
      </c>
      <c r="D306">
        <f t="shared" si="29"/>
        <v>50</v>
      </c>
      <c r="E306">
        <f t="shared" si="30"/>
        <v>180</v>
      </c>
      <c r="F306">
        <f t="shared" si="31"/>
        <v>90</v>
      </c>
      <c r="G306" s="2" t="s">
        <v>923</v>
      </c>
      <c r="H306">
        <f t="shared" si="27"/>
        <v>10</v>
      </c>
      <c r="I306" s="2">
        <v>10</v>
      </c>
      <c r="N306" s="32">
        <v>1800</v>
      </c>
      <c r="O306" s="61">
        <v>36</v>
      </c>
      <c r="P306" s="33">
        <v>10</v>
      </c>
      <c r="Q306" s="33">
        <v>20</v>
      </c>
      <c r="R306" s="38"/>
    </row>
    <row r="307" spans="1:18" ht="15" hidden="1" thickBot="1" x14ac:dyDescent="0.4">
      <c r="A307" s="25" t="s">
        <v>667</v>
      </c>
      <c r="B307" t="s">
        <v>102</v>
      </c>
      <c r="C307">
        <f t="shared" si="28"/>
        <v>2000</v>
      </c>
      <c r="D307">
        <f t="shared" si="29"/>
        <v>45.696877380045699</v>
      </c>
      <c r="E307">
        <f t="shared" si="30"/>
        <v>333.33333333333331</v>
      </c>
      <c r="F307">
        <f t="shared" si="31"/>
        <v>100</v>
      </c>
      <c r="G307" s="2" t="s">
        <v>804</v>
      </c>
      <c r="H307">
        <f t="shared" si="27"/>
        <v>10</v>
      </c>
      <c r="I307" s="2">
        <v>10</v>
      </c>
      <c r="J307"/>
      <c r="K307"/>
      <c r="L307"/>
      <c r="M307"/>
      <c r="N307" s="26">
        <v>2000</v>
      </c>
      <c r="O307" s="59">
        <v>43.766666666666666</v>
      </c>
      <c r="P307" s="27">
        <v>6</v>
      </c>
      <c r="Q307" s="27">
        <v>20</v>
      </c>
      <c r="R307" s="37"/>
    </row>
    <row r="308" spans="1:18" ht="15" thickBot="1" x14ac:dyDescent="0.4">
      <c r="A308" s="28" t="s">
        <v>675</v>
      </c>
      <c r="B308" t="s">
        <v>337</v>
      </c>
      <c r="C308">
        <f t="shared" si="28"/>
        <v>75</v>
      </c>
      <c r="D308">
        <f t="shared" si="29"/>
        <v>41.284403669724774</v>
      </c>
      <c r="E308">
        <f t="shared" si="30"/>
        <v>37.5</v>
      </c>
      <c r="F308">
        <f t="shared" si="31"/>
        <v>37.5</v>
      </c>
      <c r="G308" s="2" t="s">
        <v>337</v>
      </c>
      <c r="H308">
        <f t="shared" si="27"/>
        <v>10</v>
      </c>
      <c r="I308" s="2">
        <v>10</v>
      </c>
      <c r="N308" s="30">
        <v>75</v>
      </c>
      <c r="O308" s="60">
        <v>1.8166666666666667</v>
      </c>
      <c r="P308" s="30">
        <v>2</v>
      </c>
      <c r="Q308" s="30">
        <v>2</v>
      </c>
      <c r="R308" s="38"/>
    </row>
    <row r="309" spans="1:18" ht="15" hidden="1" thickBot="1" x14ac:dyDescent="0.4">
      <c r="A309" s="28" t="s">
        <v>506</v>
      </c>
      <c r="B309" t="s">
        <v>521</v>
      </c>
      <c r="C309">
        <f t="shared" si="28"/>
        <v>800</v>
      </c>
      <c r="D309">
        <f t="shared" si="29"/>
        <v>40</v>
      </c>
      <c r="E309">
        <f t="shared" si="30"/>
        <v>266.66666666666669</v>
      </c>
      <c r="F309">
        <f t="shared" si="31"/>
        <v>133.33333333333334</v>
      </c>
      <c r="G309" s="2" t="s">
        <v>804</v>
      </c>
      <c r="H309">
        <f t="shared" si="27"/>
        <v>10</v>
      </c>
      <c r="I309" s="2">
        <v>10</v>
      </c>
      <c r="J309"/>
      <c r="K309"/>
      <c r="L309"/>
      <c r="M309"/>
      <c r="N309" s="30">
        <v>800</v>
      </c>
      <c r="O309" s="60">
        <v>20</v>
      </c>
      <c r="P309" s="30">
        <v>3</v>
      </c>
      <c r="Q309" s="30">
        <v>6</v>
      </c>
      <c r="R309" s="37"/>
    </row>
    <row r="310" spans="1:18" ht="15" hidden="1" thickBot="1" x14ac:dyDescent="0.4">
      <c r="A310" s="22" t="s">
        <v>690</v>
      </c>
      <c r="B310" t="s">
        <v>109</v>
      </c>
      <c r="C310">
        <f t="shared" si="28"/>
        <v>500</v>
      </c>
      <c r="D310">
        <f t="shared" si="29"/>
        <v>34.285714285714285</v>
      </c>
      <c r="E310">
        <f t="shared" si="30"/>
        <v>500</v>
      </c>
      <c r="F310">
        <f t="shared" si="31"/>
        <v>166.66666666666666</v>
      </c>
      <c r="G310" s="2" t="s">
        <v>804</v>
      </c>
      <c r="H310">
        <f t="shared" ref="H310:H314" si="32">AVERAGE(I310:M310)</f>
        <v>10</v>
      </c>
      <c r="I310" s="2">
        <v>10</v>
      </c>
      <c r="J310"/>
      <c r="K310"/>
      <c r="L310"/>
      <c r="M310"/>
      <c r="N310" s="24">
        <v>500</v>
      </c>
      <c r="O310" s="58">
        <v>14.583333333333334</v>
      </c>
      <c r="P310" s="24">
        <v>1</v>
      </c>
      <c r="Q310" s="24">
        <v>3</v>
      </c>
      <c r="R310" s="38"/>
    </row>
    <row r="311" spans="1:18" ht="44" thickBot="1" x14ac:dyDescent="0.4">
      <c r="A311" s="22" t="s">
        <v>23</v>
      </c>
      <c r="C311">
        <f t="shared" si="28"/>
        <v>5000</v>
      </c>
      <c r="D311">
        <f t="shared" si="29"/>
        <v>32.640626700032641</v>
      </c>
      <c r="E311">
        <f t="shared" si="30"/>
        <v>833.33333333333337</v>
      </c>
      <c r="F311">
        <f t="shared" si="31"/>
        <v>500</v>
      </c>
      <c r="G311" s="2" t="s">
        <v>826</v>
      </c>
      <c r="H311">
        <f t="shared" si="32"/>
        <v>10</v>
      </c>
      <c r="I311" s="2">
        <v>10</v>
      </c>
      <c r="N311" s="23">
        <v>5000</v>
      </c>
      <c r="O311" s="58">
        <v>153.18333333333334</v>
      </c>
      <c r="P311" s="24">
        <v>6</v>
      </c>
      <c r="Q311" s="24">
        <v>10</v>
      </c>
      <c r="R311" s="38"/>
    </row>
    <row r="312" spans="1:18" ht="15" hidden="1" thickBot="1" x14ac:dyDescent="0.4">
      <c r="A312" s="22" t="s">
        <v>703</v>
      </c>
      <c r="B312" t="s">
        <v>102</v>
      </c>
      <c r="C312">
        <f t="shared" si="28"/>
        <v>1000</v>
      </c>
      <c r="D312">
        <f t="shared" si="29"/>
        <v>30.472320975114268</v>
      </c>
      <c r="E312">
        <f t="shared" si="30"/>
        <v>50</v>
      </c>
      <c r="F312">
        <f t="shared" si="31"/>
        <v>83.333333333333329</v>
      </c>
      <c r="G312" s="2" t="s">
        <v>804</v>
      </c>
      <c r="H312">
        <f t="shared" si="32"/>
        <v>10</v>
      </c>
      <c r="I312" s="2">
        <v>10</v>
      </c>
      <c r="J312"/>
      <c r="K312"/>
      <c r="L312"/>
      <c r="M312"/>
      <c r="N312" s="23">
        <v>1000</v>
      </c>
      <c r="O312" s="58">
        <v>32.81666666666667</v>
      </c>
      <c r="P312" s="24">
        <v>20</v>
      </c>
      <c r="Q312" s="24">
        <v>12</v>
      </c>
      <c r="R312" s="37"/>
    </row>
    <row r="313" spans="1:18" ht="15" hidden="1" thickBot="1" x14ac:dyDescent="0.4">
      <c r="A313" s="31" t="s">
        <v>536</v>
      </c>
      <c r="B313" t="s">
        <v>458</v>
      </c>
      <c r="C313">
        <f t="shared" si="28"/>
        <v>1000</v>
      </c>
      <c r="D313">
        <f t="shared" si="29"/>
        <v>30.303030303030305</v>
      </c>
      <c r="E313">
        <f t="shared" si="30"/>
        <v>125</v>
      </c>
      <c r="F313">
        <f t="shared" si="31"/>
        <v>100</v>
      </c>
      <c r="G313" s="2" t="s">
        <v>804</v>
      </c>
      <c r="H313">
        <f t="shared" si="32"/>
        <v>10</v>
      </c>
      <c r="I313" s="2">
        <v>10</v>
      </c>
      <c r="J313"/>
      <c r="K313"/>
      <c r="L313"/>
      <c r="M313"/>
      <c r="N313" s="32">
        <v>1000</v>
      </c>
      <c r="O313" s="61">
        <v>33</v>
      </c>
      <c r="P313" s="33">
        <v>8</v>
      </c>
      <c r="Q313" s="33">
        <v>10</v>
      </c>
      <c r="R313" s="37"/>
    </row>
    <row r="314" spans="1:18" ht="29" x14ac:dyDescent="0.35">
      <c r="A314" s="28" t="s">
        <v>571</v>
      </c>
      <c r="B314" t="s">
        <v>568</v>
      </c>
      <c r="C314">
        <f t="shared" si="28"/>
        <v>75</v>
      </c>
      <c r="D314">
        <f t="shared" si="29"/>
        <v>9.375</v>
      </c>
      <c r="E314">
        <f t="shared" si="30"/>
        <v>18.75</v>
      </c>
      <c r="F314">
        <f t="shared" si="31"/>
        <v>12.5</v>
      </c>
      <c r="G314" s="2" t="s">
        <v>829</v>
      </c>
      <c r="H314">
        <f t="shared" si="32"/>
        <v>10</v>
      </c>
      <c r="I314" s="2">
        <v>10</v>
      </c>
      <c r="N314" s="30">
        <v>75</v>
      </c>
      <c r="O314" s="60">
        <v>8</v>
      </c>
      <c r="P314" s="30">
        <v>4</v>
      </c>
      <c r="Q314" s="30">
        <v>6</v>
      </c>
      <c r="R314" s="38"/>
    </row>
  </sheetData>
  <autoFilter ref="A25:Q314" xr:uid="{EE23DC75-CC89-4A80-B80B-0BEBF0B1951A}">
    <filterColumn colId="6">
      <filters>
        <filter val="Acre Clay,_x000a_Pottery Wheel,_x000a_Kiln,_x000a_Fuel"/>
        <filter val="Adder Hide x3,_x000a_Entrails x3,_x000a_Intestines,_x000a_A Beautiful Dream!"/>
        <filter val="Bar of Bronze"/>
        <filter val="Bar of Cast Iron x3, _x000a_Bar of Bronze, _x000a_A Beautiful Dream! x2,_x000a_Smithy and Anvil"/>
        <filter val="Bar of Soap,_x000a_Water"/>
        <filter val="Bar of Tin,_x000a_Glass Pane x2"/>
        <filter val="Basalt,_x000a_Chitin Powder x20"/>
        <filter val="Bat"/>
        <filter val="Bat Hide,_x000a_Bat Wings x2,_x000a_Wool,_x000a_String"/>
        <filter val="Bear Hide,_x000a_Wool x4,_x000a_String"/>
        <filter val="Beetroot"/>
        <filter val="Birch Bark, _x000a_String, _x000a_Branch"/>
        <filter val="Black Tea Leaves, _x000a_Green Tea Leaves, _x000a_Fresh Tea Leaves x2, _x000a_A Beautiful Dream!"/>
        <filter val="Block of Mirkwood,_x000a_Tree or Bush Seed,_x000a_Entrails"/>
        <filter val="Block of Wood x2,_x000a_Stone x2,_x000a_String x2,_x000a_Bone,_x000a_Ashes x10"/>
        <filter val="Block of Wood,_x000a_Wood Polish"/>
        <filter val="Board (when sawing from log)"/>
        <filter val="Board x2,_x000a_Dolomite x2,_x000a_Basalt x4"/>
        <filter val="Bone Clay x2,_x000a_Cloth,_x000a_String"/>
        <filter val="Bone Glue x2,_x000a_Straw x2"/>
        <filter val="Bone Material x3,_x000a_Adder Fang x2,_x000a_Flipper Bones"/>
        <filter val="Bone Material,_x000a_Ashes x20"/>
        <filter val="Bone x2,_x000a_String x2,_x000a_Stone x2,_x000a_Leather"/>
        <filter val="Bone x5,_x000a_A Beautiful Dream!"/>
        <filter val="Branch x4,_x000a_Bone Glue,_x000a_Tar x100"/>
        <filter val="Bread x2, _x000a_Berry x2, _x000a_Fruit x2"/>
        <filter val="Bug x6,_x000a_Block of Wood x2"/>
        <filter val="Cat Gold x8,_x000a_Cave Slime x300,_x000a_Porphyry x2,_x000a_Smithy's Hammer,_x000a_Anvil"/>
        <filter val="Cavebulb,_x000a_Nugget of Any Metal x2"/>
        <filter val="Chicken Egg,_x000a_Any Pigment 0.25L"/>
        <filter val="Cigar x4, Block of Wood, Wax, Parchment"/>
        <filter val="Clay x4,_x000a_ Water x20 (0.2L),_x000a_Cauldron,_x000a_Water"/>
        <filter val="Cloth,_x000a_String x2,_x000a_Flower x6"/>
        <filter val="Conifer Cone, _x000a_Branch x4"/>
        <filter val="Copper Nugget x6,_x000a_A Beautiful Dream!,_x000a_Smithy's Hammer,_x000a_Anvil"/>
        <filter val="Crab Shell x3, _x000a_String x2, _x000a_Sandstone"/>
        <filter val="Cured Pipeweed x4, A Beautiful Dream!, String"/>
        <filter val="Dried Batwings x 8, _x000a_String"/>
        <filter val="Entrails x8,_x000a_Intestines x4,_x000a_A Beautiful Dream! X2"/>
        <filter val="Escargots d'Amour, or_x000a_Onioned Escargot"/>
        <filter val="Feather x2,_x000a_String,_x000a_Stone"/>
        <filter val="Feather x4,_x000a_String,_x000a_Stone"/>
        <filter val="Feather x5,_x000a_String,_x000a_Block of Wood"/>
        <filter val="Feldspar, Gneiss, Clay"/>
        <filter val="Fine Clay x2, Water (0.3L), Kiln, Fuel"/>
        <filter val="Garden Pot, _x000a_Soil, _x000a_Water, _x000a_Chiming Bluebell"/>
        <filter val="Garden Pot, _x000a_Soil, _x000a_Water, _x000a_Dandelion"/>
        <filter val="Garden Pot, _x000a_Soil, _x000a_Water, _x000a_Heartsease"/>
        <filter val="Garden Pot, _x000a_Soil, _x000a_Water, _x000a_Lady's Mantle"/>
        <filter val="Garden Pot, _x000a_Soil, _x000a_Water, _x000a_Lupine"/>
        <filter val="Garden Pot, _x000a_Soil, _x000a_Water, _x000a_Stalagoom"/>
        <filter val="Garden Pot, _x000a_Soil, _x000a_Water, _x000a_Tansy"/>
        <filter val="Garden Pot, _x000a_Soil, _x000a_Water, _x000a_Uncommon Snapdragon"/>
        <filter val="Gelatin x350, _x000a_Red Pigment x10,_x000a_Cauldron,_x000a_Water"/>
        <filter val="Glass Jug x1, _x000a_Cork x1,_x000a_Bark Boat"/>
        <filter val="Glass Jug,_x000a_Cork,_x000a_Reed Ship"/>
        <filter val="Glass Jug,_x000a_Cork,_x000a_Roeboat"/>
        <filter val="Glass x2,_x000a_Clay x2,_x000a_Any Pigment x30"/>
        <filter val="Glass x3"/>
        <filter val="Glass,_x000a_Nugget of Any Metal x2,_x000a_Snow x3"/>
        <filter val="Glass,_x000a_Prepared Animal Hide x2"/>
        <filter val="Glass,_x000a_Quicksilver x20"/>
        <filter val="Goldbeater's Skin,_x000a_Silver Nugget x3"/>
        <filter val="Lava Rock x2,_x000a_Lava x25"/>
        <filter val="Lead Nugget x2,_x000a_A Beautiful Dream!,_x000a_Cauldron,_x000a_Water"/>
        <filter val="Leather x4,_x000a_String x4"/>
        <filter val="Livestock"/>
        <filter val="Log"/>
        <filter val="Mammoth Tusk"/>
        <filter val="Mandrake Root,_x000a_Hide Strap x6,_x000a_Ashes 2kg"/>
        <filter val="Mirkwood Log"/>
        <filter val="Mulch Quality"/>
        <filter val="Oak Block x2,_x000a_Quartz x2"/>
        <filter val="Olive Tree"/>
        <filter val="Onion x6,_x000a_String x2"/>
        <filter val="Petrified Seashell x6,_x000a_Bone x4,_x000a_Block of Wood x2"/>
        <filter val="Petrified Seashell,_x000a_Cat Gold x3,_x000a_Cavedust x200 (2kg)"/>
        <filter val="Petrified Seashell,_x000a_Stone,_x000a_Cavedust x10"/>
        <filter val="Poppy,_x000a_ Herbalist Table,  _x000a_Cauldron, _x000a_Water"/>
        <filter val="Prepared Animal Hide,_x000a_Bone x2"/>
        <filter val="Red Onion"/>
        <filter val="Red Pigment 0.1kg, _x000a_Green Pigment 0.1kg, _x000a_Blue Pigment 0.1kg, _x000a_Glass x3, _x000a_Bar of Copper x2, _x000a_Smithy and Anvil"/>
        <filter val="Reeds x2,_x000a_String"/>
        <filter val="Rendered Animal Fat x3, _x000a_Limestone x2, _x000a_Lye 0.05 kg, _x000a_Cauldron,_x000a_Water"/>
        <filter val="Royal Ant, _x000a_Giant Ant x2, _x000a_Glass Pane x2 , _x000a_Sand x2"/>
        <filter val="Sand x4,_x000a_Bone Glue"/>
        <filter val="Silk Cloth,_x000a_String"/>
        <filter val="Silken Ribbon, _x000a_Spruce Bough x2, _x000a_Hollyberries x2, _x000a_Decent-sized Conifer Cone x2"/>
        <filter val="Silkworm"/>
        <filter val="Snow x2"/>
        <filter val="Squirrel Tail x9,_x000a_String"/>
        <filter val="Steel Nugget x6,_x000a_Smithy and Anvil"/>
        <filter val="Stinging Nettle,_x000a_Spindly Taproot,_x000a_String x6"/>
        <filter val="Stone Arrow or _x000a_Bone Arrow"/>
        <filter val="Stone x5,_x000a_Cloth,_x000a_A Beautiful Dream!"/>
        <filter val="Straw x3 (or grass)"/>
        <filter val="Straw x4,_x000a_String x2"/>
        <filter val="Tin Nugget x2,_x000a_A Beautiful Dream!,_x000a_Cauldron,_x000a_Water"/>
        <filter val="Tin Nugget x3,_x000a_Nugget of Hard Metal,_x000a_Block of Wood x2,_x000a_Board"/>
        <filter val="Tin Nugget x8"/>
        <filter val="Toad,_x000a_Royal Toadstool,_x000a_Frog's Crown,_x000a_A Beautiful Dream!"/>
        <filter val="Unfired Hand Impression, _x000a_Kiln,_x000a_Fuel"/>
        <filter val="Unusually Large Hop Cone,_x000a_Branch x4"/>
        <filter val="Wax x3,_x000a_Cloth"/>
        <filter val="Wheat, Barley, or Millet"/>
        <filter val="Wood or Board,_x000a_Tar Kiln"/>
        <filter val="Wool x2,_x000a_Block of Wood,_x000a_A Beautiful Dream!"/>
        <filter val="Yellow Onion"/>
      </filters>
    </filterColumn>
    <sortState xmlns:xlrd2="http://schemas.microsoft.com/office/spreadsheetml/2017/richdata2" ref="A26:Q314">
      <sortCondition descending="1" ref="D25:D314"/>
    </sortState>
  </autoFilter>
  <hyperlinks>
    <hyperlink ref="A106" r:id="rId1" tooltip="A Talking Whale" display="https://ringofbrodgar.com/wiki/A_Talking_Whale" xr:uid="{41FA2576-EC11-41A5-895B-C7B61733A111}"/>
    <hyperlink ref="A239" r:id="rId2" tooltip="Adder Fang" display="https://ringofbrodgar.com/wiki/Adder_Fang" xr:uid="{75251307-8C8E-4150-A3E1-FE8414D56562}"/>
    <hyperlink ref="A37" r:id="rId3" tooltip="Amber" display="https://ringofbrodgar.com/wiki/Amber" xr:uid="{40BBEEBC-FCED-40CC-9B63-BC28E41EE80B}"/>
    <hyperlink ref="A112" r:id="rId4" tooltip="Ambergris" display="https://ringofbrodgar.com/wiki/Ambergris" xr:uid="{103E17FE-BBBB-4DCB-AEB0-ECF262739ACC}"/>
    <hyperlink ref="A38" r:id="rId5" tooltip="Amethyst" display="https://ringofbrodgar.com/wiki/Amethyst" xr:uid="{18CC059C-D7D8-4045-A68E-1A331BAC23BB}"/>
    <hyperlink ref="A32" r:id="rId6" tooltip="An Old Boot" display="https://ringofbrodgar.com/wiki/An_Old_Boot" xr:uid="{ACEEDAE8-E1CD-4451-9C61-DC1D303AAF17}"/>
    <hyperlink ref="A118" r:id="rId7" tooltip="Ancient Tooth" display="https://ringofbrodgar.com/wiki/Ancient_Tooth" xr:uid="{FEFD9626-1AAB-418D-ABC6-F71B48C6F858}"/>
    <hyperlink ref="A75" r:id="rId8" tooltip="Ant Empress" display="https://ringofbrodgar.com/wiki/Ant_Empress" xr:uid="{5842FC9D-D9AB-4C77-BE9F-24360E4BC5A8}"/>
    <hyperlink ref="A50" r:id="rId9" tooltip="Ant Farm" display="https://ringofbrodgar.com/wiki/Ant_Farm" xr:uid="{3226A422-59F7-43D7-A586-5E87AD61686E}"/>
    <hyperlink ref="A116" r:id="rId10" tooltip="Ant Queen" display="https://ringofbrodgar.com/wiki/Ant_Queen" xr:uid="{8AC571AF-32D2-4AE3-BE0F-1AF77F6C6B41}"/>
    <hyperlink ref="A44" r:id="rId11" tooltip="Ant Queen's Wings" display="https://ringofbrodgar.com/wiki/Ant_Queen%27s_Wings" xr:uid="{DAEBD4C6-50B6-483E-9C8F-53B8F47197F3}"/>
    <hyperlink ref="A132" r:id="rId12" tooltip="Ant Soldiers" display="https://ringofbrodgar.com/wiki/Ant_Soldiers" xr:uid="{305EBD71-863A-4F0B-AD4A-0864463CE860}"/>
    <hyperlink ref="A179" r:id="rId13" tooltip="Ant Wing" display="https://ringofbrodgar.com/wiki/Ant_Wing" xr:uid="{776C2E03-96F1-4392-9D56-B960C4A480BF}"/>
    <hyperlink ref="A208" r:id="rId14" tooltip="Arrow-Shattered Arrow" display="https://ringofbrodgar.com/wiki/Arrow-Shattered_Arrow" xr:uid="{CB981FAB-8874-4FE5-BE6F-CEBF8572E474}"/>
    <hyperlink ref="A296" r:id="rId15" tooltip="Aurochs Hair" display="https://ringofbrodgar.com/wiki/Aurochs_Hair" xr:uid="{EAEAEB47-0404-4EAA-A862-F98CFCD5F2FE}"/>
    <hyperlink ref="A175" r:id="rId16" tooltip="Badger Hair" display="https://ringofbrodgar.com/wiki/Badger_Hair" xr:uid="{B8B66028-9551-4122-B99F-91D7C641F03E}"/>
    <hyperlink ref="A81" r:id="rId17" tooltip="Bar of Soap" display="https://ringofbrodgar.com/wiki/Bar_of_Soap" xr:uid="{F5E165A6-E5F6-4898-9490-E6DB7C000D8C}"/>
    <hyperlink ref="A245" r:id="rId18" tooltip="Barkboat" display="https://ringofbrodgar.com/wiki/Barkboat" xr:uid="{0FA7C9EA-9E43-4C0C-A69F-6F3C6E721F7D}"/>
    <hyperlink ref="A151" r:id="rId19" tooltip="Barkboat-in-a-Bottle" display="https://ringofbrodgar.com/wiki/Barkboat-in-a-Bottle" xr:uid="{AB44453E-D732-4A6D-B2C0-68CE37684B5D}"/>
    <hyperlink ref="A117" r:id="rId20" tooltip="Bat Claw" display="https://ringofbrodgar.com/wiki/Bat_Claw" xr:uid="{83FF511C-BEED-45F0-8CCA-01B605AA781E}"/>
    <hyperlink ref="A94" r:id="rId21" tooltip="Bat Fang" display="https://ringofbrodgar.com/wiki/Bat_Fang" xr:uid="{C0D22939-61AF-4E32-84D0-4EDD290F38C9}"/>
    <hyperlink ref="A100" r:id="rId22" tooltip="Bat Wings" display="https://ringofbrodgar.com/wiki/Bat_Wings" xr:uid="{766171FC-9A57-4D2A-9C62-9C6A09DA4590}"/>
    <hyperlink ref="A68" r:id="rId23" tooltip="Batwing Necklace" display="https://ringofbrodgar.com/wiki/Batwing_Necklace" xr:uid="{2E906542-D7AC-4944-AE09-16641F2CD1E5}"/>
    <hyperlink ref="A278" r:id="rId24" tooltip="Bear Tooth" display="https://ringofbrodgar.com/wiki/Bear_Tooth" xr:uid="{38B5ED01-7E39-4C79-87ED-342ABD1DB81D}"/>
    <hyperlink ref="A58" r:id="rId25" tooltip="Beast Unborn" display="https://ringofbrodgar.com/wiki/Beast_Unborn" xr:uid="{EF671D6C-C472-4CC5-AD88-DD31C1ADF378}"/>
    <hyperlink ref="A196" r:id="rId26" tooltip="Beautiful Ice Sheet" display="https://ringofbrodgar.com/wiki/Beautiful_Ice_Sheet" xr:uid="{6D575EF5-AA1E-4F9D-A307-D8C6D2D6ED7A}"/>
    <hyperlink ref="A294" r:id="rId27" tooltip="Beaver Tail" display="https://ringofbrodgar.com/wiki/Beaver_Tail" xr:uid="{F5ACAD31-4040-4F8A-8F98-F5C3C0A12376}"/>
    <hyperlink ref="A233" r:id="rId28" tooltip="Beaver Teeth" display="https://ringofbrodgar.com/wiki/Beaver_Teeth" xr:uid="{B429C716-082E-40DE-BFE0-A7668B0B09EF}"/>
    <hyperlink ref="A45" r:id="rId29" tooltip="Bee Queen's Wings" display="https://ringofbrodgar.com/wiki/Bee_Queen%27s_Wings" xr:uid="{55ACF72B-3BAF-432D-9056-2A65137C9CEC}"/>
    <hyperlink ref="A59" r:id="rId30" tooltip="Bee Wings" display="https://ringofbrodgar.com/wiki/Bee_Wings" xr:uid="{4339F6E4-F168-4E1D-BDD6-18DEF0A704E1}"/>
    <hyperlink ref="A241" r:id="rId31" tooltip="Billygoat Horn" display="https://ringofbrodgar.com/wiki/Billygoat_Horn" xr:uid="{460ABD55-9B6D-49D1-8AFA-6278A12977A0}"/>
    <hyperlink ref="A256" r:id="rId32" tooltip="Blacksmith's Bauble" display="https://ringofbrodgar.com/wiki/Blacksmith%27s_Bauble" xr:uid="{C671035C-74D1-49E6-A41B-62BBE20DC5B9}"/>
    <hyperlink ref="A192" r:id="rId33" tooltip="Bloated Bolete" display="https://ringofbrodgar.com/wiki/Bloated_Bolete" xr:uid="{FD5B6E28-CD77-4306-87C5-CC8BEBC33C9A}"/>
    <hyperlink ref="A268" r:id="rId34" tooltip="Boar Tusk" display="https://ringofbrodgar.com/wiki/Boar_Tusk" xr:uid="{FC20511E-C7DE-4E47-9801-5168E7BB3336}"/>
    <hyperlink ref="A231" r:id="rId35" tooltip="Bog Turtle Shell" display="https://ringofbrodgar.com/wiki/Bog_Turtle_Shell" xr:uid="{B806B4F3-2B67-46C6-B19D-F1416D6B8EE7}"/>
    <hyperlink ref="A224" r:id="rId36" tooltip="Boreworm Beak" display="https://ringofbrodgar.com/wiki/Boreworm_Beak" xr:uid="{C31340CC-7E15-4843-B5FF-CCE5922D10B5}"/>
    <hyperlink ref="A87" r:id="rId37" tooltip="Bouquet of Flowers" display="https://ringofbrodgar.com/wiki/Bouquet_of_Flowers" xr:uid="{B4A0475F-887B-4867-8882-DEC825BB6FEA}"/>
    <hyperlink ref="A187" r:id="rId38" tooltip="Brimstone Butterfly" display="https://ringofbrodgar.com/wiki/Brimstone_Butterfly" xr:uid="{9267BCBC-D4E1-4643-878A-CA97B2BDF062}"/>
    <hyperlink ref="A93" r:id="rId39" tooltip="Bronze Steed" display="https://ringofbrodgar.com/wiki/Bronze_Steed" xr:uid="{ABB6B6AD-650C-4F83-92A7-F12BC689FBD5}"/>
    <hyperlink ref="A86" r:id="rId40" tooltip="Bug Collection" display="https://ringofbrodgar.com/wiki/Bug_Collection" xr:uid="{6B6DA4C3-4549-46B4-939A-A94D4FFEF377}"/>
    <hyperlink ref="A248" r:id="rId41" tooltip="Bullfinch Feather" display="https://ringofbrodgar.com/wiki/Bullfinch_Feather" xr:uid="{E69289C2-4F6E-4569-86C2-D0E0E0E01FDF}"/>
    <hyperlink ref="A51" r:id="rId42" tooltip="Cachalot Blowhole" display="https://ringofbrodgar.com/wiki/Cachalot_Blowhole" xr:uid="{8059E0C0-0CA0-4DEB-BE48-6FF5BC4E5C25}"/>
    <hyperlink ref="A309" r:id="rId43" tooltip="Cat Gold" display="https://ringofbrodgar.com/wiki/Cat_Gold" xr:uid="{775AC071-AC70-4774-A5CD-D48D50D79822}"/>
    <hyperlink ref="A301" r:id="rId44" tooltip="Cattail Head" display="https://ringofbrodgar.com/wiki/Cattail_Head" xr:uid="{7501DE5C-8289-4E65-91D5-2BBB1119C463}"/>
    <hyperlink ref="A95" r:id="rId45" tooltip="Cave Angler Light" display="https://ringofbrodgar.com/wiki/Cave_Angler_Light" xr:uid="{A5689EFB-324C-42C3-AD53-7FE8D0A9F78F}"/>
    <hyperlink ref="A153" r:id="rId46" tooltip="Cave Angler Scales" display="https://ringofbrodgar.com/wiki/Cave_Angler_Scales" xr:uid="{4E397BA8-970B-4DF4-9314-1D31CCEC1875}"/>
    <hyperlink ref="A243" r:id="rId47" tooltip="Cave Battery" display="https://ringofbrodgar.com/wiki/Cave_Battery" xr:uid="{763BB0B0-C16F-415B-AEBF-4B26E2B47EE4}"/>
    <hyperlink ref="A171" r:id="rId48" tooltip="Cave Centipede" display="https://ringofbrodgar.com/wiki/Cave_Centipede" xr:uid="{BBBAEA8D-0191-4B03-A3A7-63EC5E451A4A}"/>
    <hyperlink ref="A166" r:id="rId49" tooltip="Cave Coral" display="https://ringofbrodgar.com/wiki/Cave_Coral" xr:uid="{CA51825B-10EB-4680-A013-66CE13DC0614}"/>
    <hyperlink ref="A150" r:id="rId50" tooltip="Cave Lantern" display="https://ringofbrodgar.com/wiki/Cave_Lantern" xr:uid="{E38E2CE6-D042-482F-B26B-637CCE01D094}"/>
    <hyperlink ref="A194" r:id="rId51" tooltip="Cave Louse Chitin" display="https://ringofbrodgar.com/wiki/Cave_Louse_Chitin" xr:uid="{FFEE1D8B-0512-42CA-A9F3-26AA3BB12478}"/>
    <hyperlink ref="A226" r:id="rId52" tooltip="Cave Moth" display="https://ringofbrodgar.com/wiki/Cave_Moth" xr:uid="{9D6DD7A0-E5DF-4722-A8C7-1162466537B4}"/>
    <hyperlink ref="A227" r:id="rId53" tooltip="Cave Slime" display="https://ringofbrodgar.com/wiki/Cave_Slime" xr:uid="{E8189467-B593-4625-B77F-FB745B01C796}"/>
    <hyperlink ref="A313" r:id="rId54" tooltip="Cavedust" display="https://ringofbrodgar.com/wiki/Cavedust" xr:uid="{07BF1B88-D996-4F0A-B3CC-6B6CFEF5BD81}"/>
    <hyperlink ref="A154" r:id="rId55" tooltip="Caverat Whiskers" display="https://ringofbrodgar.com/wiki/Caverat_Whiskers" xr:uid="{E6F79F27-0FD7-4F1F-A397-11825E1363E9}"/>
    <hyperlink ref="A121" r:id="rId56" tooltip="Chewed Fibre" display="https://ringofbrodgar.com/wiki/Chewed_Fibre" xr:uid="{4DFFF3A9-D272-4392-B5C5-A73199A80897}"/>
    <hyperlink ref="A64" r:id="rId57" tooltip="Chiming Bluebell" display="https://ringofbrodgar.com/wiki/Chiming_Bluebell" xr:uid="{54648674-88E1-45AE-A638-6C3FA5D04BB1}"/>
    <hyperlink ref="A56" r:id="rId58" tooltip="Cigar" display="https://ringofbrodgar.com/wiki/Cigar" xr:uid="{488208D8-0E96-4587-9BEF-A001BC22D028}"/>
    <hyperlink ref="A135" r:id="rId59" tooltip="Cigar Box" display="https://ringofbrodgar.com/wiki/Cigar_Box" xr:uid="{AF2BD724-A836-4367-A86B-03799EFA63F5}"/>
    <hyperlink ref="A209" r:id="rId60" tooltip="Clay Cuckoo" display="https://ringofbrodgar.com/wiki/Clay_Cuckoo" xr:uid="{9E5BE324-78A2-412A-B76E-7218C2F1EB44}"/>
    <hyperlink ref="A173" r:id="rId61" tooltip="Coltsfoot" display="https://ringofbrodgar.com/wiki/Coltsfoot" xr:uid="{9F435416-9CDE-46B9-AFDA-7242EB71E254}"/>
    <hyperlink ref="A199" r:id="rId62" tooltip="Common Starfish" display="https://ringofbrodgar.com/wiki/Common_Starfish" xr:uid="{53BF40C2-0598-4368-BA9D-E219B67902D2}"/>
    <hyperlink ref="A108" r:id="rId63" tooltip="Cone Cow" display="https://ringofbrodgar.com/wiki/Cone_Cow" xr:uid="{53F30545-AF96-41B3-BA63-7307E96F1631}"/>
    <hyperlink ref="A203" r:id="rId64" tooltip="Corndolly Lantern" display="https://ringofbrodgar.com/wiki/Corndolly_Lantern" xr:uid="{82E40CDB-BAAB-45A2-8917-70ABEBE22E1C}"/>
    <hyperlink ref="A311" r:id="rId65" tooltip="Cornucopia" display="https://ringofbrodgar.com/wiki/Cornucopia" xr:uid="{5B44E767-357B-4F9E-9FDE-373AC066D1D9}"/>
    <hyperlink ref="A302" r:id="rId66" tooltip="Crab Claw" display="https://ringofbrodgar.com/wiki/Crab_Claw" xr:uid="{E8E1CBDA-0C2B-420F-91DE-386DC9BFD720}"/>
    <hyperlink ref="A122" r:id="rId67" tooltip="Crabshell Sunfeather" display="https://ringofbrodgar.com/wiki/Crabshell_Sunfeather" xr:uid="{7735FF65-CC47-4061-B04C-0F54242190ED}"/>
    <hyperlink ref="A299" r:id="rId68" tooltip="Crude Idol" display="https://ringofbrodgar.com/wiki/Crude_Idol" xr:uid="{2D13012E-24E5-4F73-8675-B95BA1D2F62B}"/>
    <hyperlink ref="A190" r:id="rId69" tooltip="Cruel Bee Stinger" display="https://ringofbrodgar.com/wiki/Cruel_Bee_Stinger" xr:uid="{381559A7-FBAF-489C-89AB-0CC943612F2C}"/>
    <hyperlink ref="A143" r:id="rId70" tooltip="Cruel Splinter" display="https://ringofbrodgar.com/wiki/Cruel_Splinter" xr:uid="{2E4BA7A6-F18D-4AB2-A132-81A5F0DB25FF}"/>
    <hyperlink ref="A244" r:id="rId71" tooltip="Crying Red Onion" display="https://ringofbrodgar.com/wiki/Crying_Red_Onion" xr:uid="{B87FC2AF-4B5C-4BD3-A85D-B9D5243A32AD}"/>
    <hyperlink ref="A200" r:id="rId72" tooltip="Crying Yellow Onion" display="https://ringofbrodgar.com/wiki/Crying_Yellow_Onion" xr:uid="{9E8DFA49-5421-41D7-9672-A73FDE09A35A}"/>
    <hyperlink ref="A195" r:id="rId73" tooltip="Curious Needle" display="https://ringofbrodgar.com/wiki/Curious_Needle" xr:uid="{7DE33890-04FC-457B-81C2-2F813E33232B}"/>
    <hyperlink ref="A181" r:id="rId74" tooltip="Dandelion" display="https://ringofbrodgar.com/wiki/Dandelion" xr:uid="{87033B0E-13A8-498C-A732-6331ADD61C23}"/>
    <hyperlink ref="A221" r:id="rId75" tooltip="Dark Effigy" display="https://ringofbrodgar.com/wiki/Dark_Effigy" xr:uid="{67A1650A-C4BD-4DAF-99A6-F195F00581A9}"/>
    <hyperlink ref="A90" r:id="rId76" tooltip="Dark Heart" display="https://ringofbrodgar.com/wiki/Dark_Heart" xr:uid="{A5E1D2D4-7A17-4297-8D8A-9EE6E9519FB5}"/>
    <hyperlink ref="A262" r:id="rId77" tooltip="Death's Head Chrysalis" display="https://ringofbrodgar.com/wiki/Death%27s_Head_Chrysalis" xr:uid="{A7758D8C-3A67-476F-981C-971E261DD521}"/>
    <hyperlink ref="A162" r:id="rId78" tooltip="Deep Sea Atavism" display="https://ringofbrodgar.com/wiki/Deep_Sea_Atavism" xr:uid="{9C098A47-A987-4C92-A73D-8644F1546AE1}"/>
    <hyperlink ref="A247" r:id="rId79" tooltip="Dewy Lady's Mantle" display="https://ringofbrodgar.com/wiki/Dewy_Lady%27s_Mantle" xr:uid="{F99F98BA-C243-496D-94FD-7DFFD9BF6AEA}"/>
    <hyperlink ref="A31" r:id="rId80" tooltip="Diamond" display="https://ringofbrodgar.com/wiki/Diamond" xr:uid="{C351BB9C-7117-4708-9589-789DE246F3EC}"/>
    <hyperlink ref="A314" r:id="rId81" tooltip="Dice" display="https://ringofbrodgar.com/wiki/Dice" xr:uid="{B0CC0494-9B12-45E7-8784-50FD72D8A03C}"/>
    <hyperlink ref="A254" r:id="rId82" tooltip="Disgusting Tapeworm" display="https://ringofbrodgar.com/wiki/Disgusting_Tapeworm" xr:uid="{29707AC4-30FE-4A32-8882-12AE7909C58A}"/>
    <hyperlink ref="A270" r:id="rId83" tooltip="Divination in Lead" display="https://ringofbrodgar.com/wiki/Divination_in_Lead" xr:uid="{617B51D5-DBD3-48DF-B3B6-D10C778307EA}"/>
    <hyperlink ref="A271" r:id="rId84" tooltip="Divination in Tin" display="https://ringofbrodgar.com/wiki/Divination_in_Tin" xr:uid="{61367A6E-CA37-4DA1-A1FB-78F3C1F23DDB}"/>
    <hyperlink ref="A204" r:id="rId85" tooltip="Dust Jewel" display="https://ringofbrodgar.com/wiki/Dust_Jewel" xr:uid="{3926A65E-93E1-418A-9658-584C7FA82068}"/>
    <hyperlink ref="A159" r:id="rId86" tooltip="Eagle Owl Eye" display="https://ringofbrodgar.com/wiki/Eagle_Owl_Eye" xr:uid="{849AF681-093F-420B-8D72-2E3CE26CCB37}"/>
    <hyperlink ref="A161" r:id="rId87" tooltip="Eagle Owl Feather" display="https://ringofbrodgar.com/wiki/Eagle_Owl_Feather" xr:uid="{B40EAF2B-734B-4CE2-9EE8-272D1D24AA31}"/>
    <hyperlink ref="A79" r:id="rId88" tooltip="Easter Egg (Blue)" display="https://ringofbrodgar.com/wiki/Easter_Egg_(Blue)" xr:uid="{B6D6E794-61C2-4D1D-8030-C57906135DFA}"/>
    <hyperlink ref="A109" r:id="rId89" tooltip="Easter Egg (Green)" display="https://ringofbrodgar.com/wiki/Easter_Egg_(Green)" xr:uid="{2F46AA6D-A39C-4418-8D4C-B3AAD734B0B6}"/>
    <hyperlink ref="A114" r:id="rId90" tooltip="Easter Egg (Pink)" display="https://ringofbrodgar.com/wiki/Easter_Egg_(Pink)" xr:uid="{22DB5617-0592-4DEE-8ED5-E10859F4EE8F}"/>
    <hyperlink ref="A67" r:id="rId91" tooltip="Easter Egg (Red)" display="https://ringofbrodgar.com/wiki/Easter_Egg_(Red)" xr:uid="{1F1A46AF-838E-4E9B-9547-19DAD7E1211E}"/>
    <hyperlink ref="A91" r:id="rId92" tooltip="Edelweiß" display="https://ringofbrodgar.com/wiki/Edelwei%C3%9F" xr:uid="{D7DD4708-210C-4EFC-A812-9F8A990D7A9B}"/>
    <hyperlink ref="A82" r:id="rId93" tooltip="Elven Lights" display="https://ringofbrodgar.com/wiki/Elven_Lights" xr:uid="{38678F3B-C045-4259-8D28-1F178B85470A}"/>
    <hyperlink ref="A34" r:id="rId94" tooltip="Emerald" display="https://ringofbrodgar.com/wiki/Emerald" xr:uid="{77050E1B-865F-4AB2-A13F-692D103B5A01}"/>
    <hyperlink ref="A191" r:id="rId95" tooltip="Emerald Dragonfly" display="https://ringofbrodgar.com/wiki/Emerald_Dragonfly" xr:uid="{CA3E81AA-5CA1-40C3-BD0E-76BC29C24F84}"/>
    <hyperlink ref="A165" r:id="rId96" tooltip="Enthroned Toad" display="https://ringofbrodgar.com/wiki/Enthroned_Toad" xr:uid="{6AE0B6F6-4A84-4DF3-9D2F-5556E1E481A1}"/>
    <hyperlink ref="A101" r:id="rId97" tooltip="Everglowing Ember" display="https://ringofbrodgar.com/wiki/Everglowing_Ember" xr:uid="{F3B06068-3140-4A85-8DE1-095D75C1FF1E}"/>
    <hyperlink ref="A140" r:id="rId98" tooltip="Feather Duster" display="https://ringofbrodgar.com/wiki/Feather_Duster" xr:uid="{6F164704-B59B-4F12-B4AD-A9D8E286DB7D}"/>
    <hyperlink ref="A127" r:id="rId99" tooltip="Feather Sunfeather" display="https://ringofbrodgar.com/wiki/Feather_Sunfeather" xr:uid="{990100D9-910B-469F-A040-287B9B49AEA0}"/>
    <hyperlink ref="A60" r:id="rId100" tooltip="Feather Trinket" display="https://ringofbrodgar.com/wiki/Feather_Trinket" xr:uid="{DFFA116A-C5C6-430A-A104-669C81DFD8F2}"/>
    <hyperlink ref="A156" r:id="rId101" tooltip="Firefly" display="https://ringofbrodgar.com/wiki/Firefly" xr:uid="{93043EEB-1A65-4B84-95D4-7145FFED3E3C}"/>
    <hyperlink ref="A303" r:id="rId102" tooltip="Fishy Eyeball" display="https://ringofbrodgar.com/wiki/Fishy_Eyeball" xr:uid="{FA1B5CBD-35A0-4A99-8AE7-5D76715154C9}"/>
    <hyperlink ref="A186" r:id="rId103" tooltip="Flipper Bones" display="https://ringofbrodgar.com/wiki/Flipper_Bones" xr:uid="{109291E4-5E4A-4C18-B828-B3B9AF2D6A1A}"/>
    <hyperlink ref="A265" r:id="rId104" tooltip="Forest Lizard" display="https://ringofbrodgar.com/wiki/Forest_Lizard" xr:uid="{CEA9D586-F8FC-48DF-9B5C-BBDC80E7D9F2}"/>
    <hyperlink ref="A97" r:id="rId105" tooltip="Fossil Collection" display="https://ringofbrodgar.com/wiki/Fossil_Collection" xr:uid="{33D683F7-346E-42D6-ADFC-46C83B11AC5E}"/>
    <hyperlink ref="A185" r:id="rId106" tooltip="Foul Smoke" display="https://ringofbrodgar.com/wiki/Foul_Smoke" xr:uid="{089900E3-C589-4C10-A604-AB9C3591E6FF}"/>
    <hyperlink ref="A98" r:id="rId107" tooltip="Four-Leaf Clover" display="https://ringofbrodgar.com/wiki/Four-Leaf_Clover" xr:uid="{8F755E48-80F7-44D1-9145-3A747161FA9C}"/>
    <hyperlink ref="A167" r:id="rId108" tooltip="Foxfire" display="https://ringofbrodgar.com/wiki/Foxfire" xr:uid="{6323868E-87E0-4874-8439-C5E2771200CB}"/>
    <hyperlink ref="A266" r:id="rId109" tooltip="Frog's Crown" display="https://ringofbrodgar.com/wiki/Frog%27s_Crown" xr:uid="{F235FA3B-ED8E-4600-BAF0-F23C0418296D}"/>
    <hyperlink ref="A210" r:id="rId110" tooltip="Frogspawn" display="https://ringofbrodgar.com/wiki/Frogspawn" xr:uid="{EE52E6AE-7E09-48B8-AB7B-1FD162EC45E5}"/>
    <hyperlink ref="A242" r:id="rId111" tooltip="Fulgurite" display="https://ringofbrodgar.com/wiki/Fulgurite" xr:uid="{C490A3B2-3B2C-479F-A486-9B456BEFFFA0}"/>
    <hyperlink ref="A152" r:id="rId112" tooltip="Garefowl Feather" display="https://ringofbrodgar.com/wiki/Garefowl_Feather" xr:uid="{835F4F25-153B-4CE7-9068-94F03EE60C45}"/>
    <hyperlink ref="A269" r:id="rId113" tooltip="Gemdust" display="https://ringofbrodgar.com/wiki/Gemdust" xr:uid="{4BA4045C-4314-4BF0-9E3D-197D6001E5BB}"/>
    <hyperlink ref="A168" r:id="rId114" tooltip="Ghost Apple" display="https://ringofbrodgar.com/wiki/Ghost_Apple" xr:uid="{9EC12946-B56B-4AF9-AF27-DE72B39BEB9D}"/>
    <hyperlink ref="A228" r:id="rId115" tooltip="Ghostpipe (seed)" display="https://ringofbrodgar.com/wiki/Ghostpipe_(seed)" xr:uid="{320F6145-17E1-41A3-ABFA-5998A34CD094}"/>
    <hyperlink ref="A193" r:id="rId116" tooltip="Gilded Nautilus" display="https://ringofbrodgar.com/wiki/Gilded_Nautilus" xr:uid="{950EC13A-A177-4AA3-98D1-019801B6C09F}"/>
    <hyperlink ref="A71" r:id="rId117" tooltip="Glimmermoss" display="https://ringofbrodgar.com/wiki/Glimmermoss" xr:uid="{51D4E68B-7870-4B44-9EF4-9DF3A467DF84}"/>
    <hyperlink ref="A264" r:id="rId118" tooltip="Glue Troll" display="https://ringofbrodgar.com/wiki/Glue_Troll" xr:uid="{4CDD3A01-B4A3-463F-8F5D-3EE1D0F69481}"/>
    <hyperlink ref="A26" r:id="rId119" tooltip="Gold Egg" display="https://ringofbrodgar.com/wiki/Gold_Egg" xr:uid="{FAB79325-DBDD-46A1-9570-4A264E6FAFE5}"/>
    <hyperlink ref="A115" r:id="rId120" tooltip="Golden Cat" display="https://ringofbrodgar.com/wiki/Golden_Cat" xr:uid="{3228D19D-8049-4BB4-B205-C95667B0A006}"/>
    <hyperlink ref="A129" r:id="rId121" tooltip="Golden Eagle Feather" display="https://ringofbrodgar.com/wiki/Golden_Eagle_Feather" xr:uid="{8C92B3D0-8633-4972-AB2E-46092FA7E514}"/>
    <hyperlink ref="A145" r:id="rId122" tooltip="Golden Eagle Talon" display="https://ringofbrodgar.com/wiki/Golden_Eagle_Talon" xr:uid="{2F95989A-FF6D-4FE0-952D-8B259E9884BB}"/>
    <hyperlink ref="A149" r:id="rId123" tooltip="Golden Tooth" display="https://ringofbrodgar.com/wiki/Golden_Tooth" xr:uid="{D2A3F18D-79FA-40B5-8FAC-A540DE60326B}"/>
    <hyperlink ref="A249" r:id="rId124" tooltip="Gooseneck Barnacle" display="https://ringofbrodgar.com/wiki/Gooseneck_Barnacle" xr:uid="{C3D62FE8-7139-46F9-A88D-BE07BED6CF17}"/>
    <hyperlink ref="A234" r:id="rId125" tooltip="Grand Haruspex" display="https://ringofbrodgar.com/wiki/Grand_Haruspex" xr:uid="{2E45E818-E59A-42A2-9047-B907B032E33E}"/>
    <hyperlink ref="A46" r:id="rId126" tooltip="Great Wax Seal" display="https://ringofbrodgar.com/wiki/Great_Wax_Seal" xr:uid="{1F0FF7C2-9E31-4BB8-8B59-0FAAF739F2A6}"/>
    <hyperlink ref="A201" r:id="rId127" tooltip="Grotesque Tumor" display="https://ringofbrodgar.com/wiki/Grotesque_Tumor" xr:uid="{65B9D8A5-DADC-4E3C-8317-E55EA3ACE6E2}"/>
    <hyperlink ref="A306" r:id="rId128" tooltip="Hand Impression" display="https://ringofbrodgar.com/wiki/Hand_Impression" xr:uid="{A50E68F9-FBA7-4AF4-9FBC-D414E107DDDC}"/>
    <hyperlink ref="A69" r:id="rId129" tooltip="Heartsease" display="https://ringofbrodgar.com/wiki/Heartsease" xr:uid="{EBCE2C82-839F-480E-8CCA-CBD55A7BB5A5}"/>
    <hyperlink ref="A279" r:id="rId130" tooltip="Hedgehog Quills" display="https://ringofbrodgar.com/wiki/Hedgehog_Quills" xr:uid="{6B80AEA7-9B11-426E-ACE5-A196F31F74DA}"/>
    <hyperlink ref="A55" r:id="rId131" tooltip="Hopped-up Cone Cow" display="https://ringofbrodgar.com/wiki/Hopped-up_Cone_Cow" xr:uid="{7C9B942E-E95F-43BE-A273-10BE1F5C4D55}"/>
    <hyperlink ref="A70" r:id="rId132" tooltip="Horrible Knot" display="https://ringofbrodgar.com/wiki/Horrible_Knot" xr:uid="{CF0EF752-10CE-4920-B32C-4EC85F037F60}"/>
    <hyperlink ref="A136" r:id="rId133" tooltip="Horrid Love Dart" display="https://ringofbrodgar.com/wiki/Horrid_Love_Dart" xr:uid="{28591A33-5E64-4496-90C7-3D9C86854BFE}"/>
    <hyperlink ref="A198" r:id="rId134" tooltip="Irrlight" display="https://ringofbrodgar.com/wiki/Irrlight" xr:uid="{275E993E-0A43-45FD-AA9F-B05D939B427D}"/>
    <hyperlink ref="A182" r:id="rId135" tooltip="Itsy Bitsy Spider" display="https://ringofbrodgar.com/wiki/Itsy_Bitsy_Spider" xr:uid="{AB1EB0BB-2DC5-4D1B-B816-578145BDA511}"/>
    <hyperlink ref="A141" r:id="rId136" tooltip="Itsy Bitsy Weaver" display="https://ringofbrodgar.com/wiki/Itsy_Bitsy_Weaver" xr:uid="{CAD017EC-D87D-43E6-8DAF-5CEF7D577540}"/>
    <hyperlink ref="A238" r:id="rId137" tooltip="Itsy Bitsy's Web" display="https://ringofbrodgar.com/wiki/Itsy_Bitsy%27s_Web" xr:uid="{E7F7DFDB-538C-474A-AC0C-E7BB6D1AD0A0}"/>
    <hyperlink ref="A126" r:id="rId138" tooltip="Ivory Figurine" display="https://ringofbrodgar.com/wiki/Ivory_Figurine" xr:uid="{48914A9D-7788-4A4F-A166-BF68CB39DFC7}"/>
    <hyperlink ref="A29" r:id="rId139" tooltip="Jade" display="https://ringofbrodgar.com/wiki/Jade" xr:uid="{4DF69014-377C-43F1-B0A3-23C898F29B83}"/>
    <hyperlink ref="A99" r:id="rId140" tooltip="Jelly Heart" display="https://ringofbrodgar.com/wiki/Jelly_Heart" xr:uid="{3531A64B-ACC1-4BB9-A742-65EC9C9B09A9}"/>
    <hyperlink ref="A272" r:id="rId141" tooltip="Jellyfish" display="https://ringofbrodgar.com/wiki/Jellyfish" xr:uid="{C75DBB03-2A09-4588-97E7-123A00956B15}"/>
    <hyperlink ref="A223" r:id="rId142" tooltip="Lady's Mantle" display="https://ringofbrodgar.com/wiki/Lady%27s_Mantle" xr:uid="{EED9608B-ECEC-4810-8536-D696FA8B6F26}"/>
    <hyperlink ref="A258" r:id="rId143" tooltip="Ladybug" display="https://ringofbrodgar.com/wiki/Ladybug" xr:uid="{40B9C77E-0479-418E-965B-50A493686C78}"/>
    <hyperlink ref="A225" r:id="rId144" tooltip="Lamp Stalk" display="https://ringofbrodgar.com/wiki/Lamp_Stalk" xr:uid="{24E3F66B-BDD1-4CEF-9ADE-61D30587F597}"/>
    <hyperlink ref="A146" r:id="rId145" tooltip="Lather" display="https://ringofbrodgar.com/wiki/Lather" xr:uid="{E54DBE84-9CB1-4CFC-AF05-DB2ADD4CC98E}"/>
    <hyperlink ref="A138" r:id="rId146" tooltip="Leather Ball" display="https://ringofbrodgar.com/wiki/Leather_Ball" xr:uid="{B4925D1A-4A6D-4424-8AF5-D516707071F2}"/>
    <hyperlink ref="A289" r:id="rId147" tooltip="Lucky Rabbit's Foot" display="https://ringofbrodgar.com/wiki/Lucky_Rabbit%27s_Foot" xr:uid="{43A4CF82-B3A5-463C-8769-90F813EC4F70}"/>
    <hyperlink ref="A74" r:id="rId148" tooltip="Lupine" display="https://ringofbrodgar.com/wiki/Lupine" xr:uid="{66D504E5-625F-4778-B6BD-2A2C7C008EC5}"/>
    <hyperlink ref="A293" r:id="rId149" tooltip="Lynx Claws" display="https://ringofbrodgar.com/wiki/Lynx_Claws" xr:uid="{734ACE60-E682-43AB-B049-12F653339B1D}"/>
    <hyperlink ref="A197" r:id="rId150" tooltip="Magnifying Glass" display="https://ringofbrodgar.com/wiki/Magnifying_Glass" xr:uid="{DC64EF03-2683-4FEA-A4D4-2FF92D0D1BD5}"/>
    <hyperlink ref="A280" r:id="rId151" tooltip="Magpie Feather" display="https://ringofbrodgar.com/wiki/Magpie_Feather" xr:uid="{E1BDA993-709F-4B16-97B7-14B60EE52252}"/>
    <hyperlink ref="A218" r:id="rId152" tooltip="Magpie's Thieving Claw" display="https://ringofbrodgar.com/wiki/Magpie%27s_Thieving_Claw" xr:uid="{C2A7EEE4-2D80-4D92-910F-C77B067AFA4F}"/>
    <hyperlink ref="A263" r:id="rId153" tooltip="Mallard Feather" display="https://ringofbrodgar.com/wiki/Mallard_Feather" xr:uid="{E24D80B2-8D2E-4EDB-95A2-D873D832CF7D}"/>
    <hyperlink ref="A236" r:id="rId154" tooltip="Miniature Volcano" display="https://ringofbrodgar.com/wiki/Miniature_Volcano" xr:uid="{8C25C38E-F103-4F3B-B9E2-B4AB4B7B25B9}"/>
    <hyperlink ref="A147" r:id="rId155" tooltip="Mirkwood Offering" display="https://ringofbrodgar.com/wiki/Mirkwood_Offering" xr:uid="{71FBBEF4-5309-4A1F-946B-3549E9695869}"/>
    <hyperlink ref="A267" r:id="rId156" tooltip="Mistletoe" display="https://ringofbrodgar.com/wiki/Mistletoe" xr:uid="{9854BF3A-2DE2-472D-BD0D-3383885F6449}"/>
    <hyperlink ref="A297" r:id="rId157" tooltip="Mole's Pawbone" display="https://ringofbrodgar.com/wiki/Mole%27s_Pawbone" xr:uid="{84B9ECFA-2B51-4859-BA55-391ADDED6047}"/>
    <hyperlink ref="A174" r:id="rId158" tooltip="Monarch Butterfly" display="https://ringofbrodgar.com/wiki/Monarch_Butterfly" xr:uid="{37B7383F-C590-454F-8D94-0B8EB5FAE980}"/>
    <hyperlink ref="A142" r:id="rId159" tooltip="Moonmoth" display="https://ringofbrodgar.com/wiki/Moonmoth" xr:uid="{693A239F-DCFB-48E7-9B99-3699C54EBDE7}"/>
    <hyperlink ref="A39" r:id="rId160" tooltip="Moonstone" display="https://ringofbrodgar.com/wiki/Moonstone" xr:uid="{014DCDDC-CF3C-4321-A60F-E43E9DABBFD8}"/>
    <hyperlink ref="A217" r:id="rId161" tooltip="Moose Antlers" display="https://ringofbrodgar.com/wiki/Moose_Antlers" xr:uid="{FFD78FE1-3EC0-46AB-9C94-5E11F7F08B26}"/>
    <hyperlink ref="A27" r:id="rId162" tooltip="Mother of Pearl" display="https://ringofbrodgar.com/wiki/Mother_of_Pearl" xr:uid="{AF8F016B-4A65-49E9-BB95-1D197440B59A}"/>
    <hyperlink ref="A49" r:id="rId163" tooltip="Nine-Tails" display="https://ringofbrodgar.com/wiki/Nine-Tails" xr:uid="{6F3A0274-6919-46F6-A21D-8C4F495DBA49}"/>
    <hyperlink ref="A107" r:id="rId164" tooltip="Notes of a Foul Symphony" display="https://ringofbrodgar.com/wiki/Notes_of_a_Foul_Symphony" xr:uid="{28C05B9D-6F69-4752-892D-B55EBBEF4F28}"/>
    <hyperlink ref="A235" r:id="rId165" tooltip="Oak Apple" display="https://ringofbrodgar.com/wiki/Oak_Apple" xr:uid="{CFE621CD-E028-4D50-B2AD-4FC5317648A6}"/>
    <hyperlink ref="A261" r:id="rId166" tooltip="Oak Spire" display="https://ringofbrodgar.com/wiki/Oak_Spire" xr:uid="{71821277-A1BE-425C-9AF2-5C833CE11D92}"/>
    <hyperlink ref="A211" r:id="rId167" tooltip="Odd Honeycomb" display="https://ringofbrodgar.com/wiki/Odd_Honeycomb" xr:uid="{F3219A3F-182D-4F35-9F4C-3DCCFC5DF491}"/>
    <hyperlink ref="A276" r:id="rId168" tooltip="Odd Tuber" display="https://ringofbrodgar.com/wiki/Odd_Tuber" xr:uid="{5F27E43D-FBD6-413B-97F1-A0A90A9F7E4B}"/>
    <hyperlink ref="A308" r:id="rId169" tooltip="Olive Branch" display="https://ringofbrodgar.com/wiki/Olive_Branch" xr:uid="{F46935B9-DBDC-40B5-BE6C-F91112987E22}"/>
    <hyperlink ref="A124" r:id="rId170" tooltip="Onion Braid" display="https://ringofbrodgar.com/wiki/Onion_Braid" xr:uid="{AB809B77-2B1D-4F54-B641-EF1A08A3EE3A}"/>
    <hyperlink ref="A40" r:id="rId171" tooltip="Onyx" display="https://ringofbrodgar.com/wiki/Onyx" xr:uid="{3C252F5B-F534-4BBC-845A-16AB7A65AAC9}"/>
    <hyperlink ref="A41" r:id="rId172" tooltip="Opal" display="https://ringofbrodgar.com/wiki/Opal" xr:uid="{5475F9F7-3CDC-46B1-9D33-524556FAFA72}"/>
    <hyperlink ref="A134" r:id="rId173" tooltip="Opium Dragon" display="https://ringofbrodgar.com/wiki/Opium_Dragon" xr:uid="{1C99CE32-FF65-42C5-AC2B-21F16E5B54BE}"/>
    <hyperlink ref="A57" r:id="rId174" tooltip="Orca Brain" display="https://ringofbrodgar.com/wiki/Orca_Brain" xr:uid="{CF95FEA9-864C-46A8-884E-E3049AFEDC3B}"/>
    <hyperlink ref="A220" r:id="rId175" tooltip="Ouroboros" display="https://ringofbrodgar.com/wiki/Ouroboros" xr:uid="{A6145538-7D27-45B2-9BF9-26175B30B7DA}"/>
    <hyperlink ref="A28" r:id="rId176" tooltip="Oyster Pearl" display="https://ringofbrodgar.com/wiki/Oyster_Pearl" xr:uid="{4987CF4A-1E25-4601-AB4D-C8E3B6683CEF}"/>
    <hyperlink ref="A62" r:id="rId177" tooltip="Peculiar Flotsam" display="https://ringofbrodgar.com/wiki/Peculiar_Flotsam" xr:uid="{9E89771D-D329-484F-9C79-4B4FB77F2F57}"/>
    <hyperlink ref="A232" r:id="rId178" tooltip="Pelican Feather" display="https://ringofbrodgar.com/wiki/Pelican_Feather" xr:uid="{6C31A04A-D7E9-4B2C-878E-5912A52CB2B6}"/>
    <hyperlink ref="A250" r:id="rId179" tooltip="Perfect Autumn Leaf" display="https://ringofbrodgar.com/wiki/Perfect_Autumn_Leaf" xr:uid="{C10F07D3-ED74-43DB-81C4-8CFF4E84D611}"/>
    <hyperlink ref="A212" r:id="rId180" tooltip="Petraglyph" display="https://ringofbrodgar.com/wiki/Petraglyph" xr:uid="{1DC95741-DE16-42DD-92C2-36C0BDC92D00}"/>
    <hyperlink ref="A304" r:id="rId181" tooltip="Petrified Seashell" display="https://ringofbrodgar.com/wiki/Petrified_Seashell" xr:uid="{3FFFA46B-26E5-4046-9EC7-70D0DE88EA6F}"/>
    <hyperlink ref="A92" r:id="rId182" tooltip="Plush Bat" display="https://ringofbrodgar.com/wiki/Plush_Bat" xr:uid="{2CAD3D3A-29C8-4E9B-B6F2-B0BC407791B9}"/>
    <hyperlink ref="A310" r:id="rId183" tooltip="Poppy Flower" display="https://ringofbrodgar.com/wiki/Poppy_Flower" xr:uid="{F2778347-CD96-4A45-9C97-ACA38FFBB47A}"/>
    <hyperlink ref="A230" r:id="rId184" tooltip="Poppycaps" display="https://ringofbrodgar.com/wiki/Poppycaps" xr:uid="{0C1D9565-2533-4125-86D4-258DD3C574AF}"/>
    <hyperlink ref="A48" r:id="rId185" tooltip="Porcelain Doll" display="https://ringofbrodgar.com/wiki/Porcelain_Doll" xr:uid="{CF130B45-C481-4DFB-B774-19F655F6A47C}"/>
    <hyperlink ref="A188" r:id="rId186" tooltip="Potent Rod" display="https://ringofbrodgar.com/wiki/Potent_Rod" xr:uid="{E89ED054-2D3C-4A32-A74D-273578EC5605}"/>
    <hyperlink ref="A213" r:id="rId187" tooltip="Precious Snowflake" display="https://ringofbrodgar.com/wiki/Precious_Snowflake" xr:uid="{000634BD-A2BB-4F1D-AEC0-C84ABE4B001B}"/>
    <hyperlink ref="A105" r:id="rId188" tooltip="Primitive Doll" display="https://ringofbrodgar.com/wiki/Primitive_Doll" xr:uid="{CC404272-303C-4E2E-ADF4-DC42A88A94B1}"/>
    <hyperlink ref="A219" r:id="rId189" tooltip="Prism" display="https://ringofbrodgar.com/wiki/Prism" xr:uid="{A4EB816A-2E45-48E7-8422-7026B3B51E8C}"/>
    <hyperlink ref="A157" r:id="rId190" tooltip="Ptarmigan Feather" display="https://ringofbrodgar.com/wiki/Ptarmigan_Feather" xr:uid="{50048C12-AE37-445F-9894-0CACDB673E0A}"/>
    <hyperlink ref="A252" r:id="rId191" tooltip="Quail Feather" display="https://ringofbrodgar.com/wiki/Quail_Feather" xr:uid="{C97ADA4B-E8BD-44AC-900F-A2EDA2637599}"/>
    <hyperlink ref="A72" r:id="rId192" tooltip="Quicksilver Globe" display="https://ringofbrodgar.com/wiki/Quicksilver_Globe" xr:uid="{009509A9-6926-4470-A7B4-32733CF9650A}"/>
    <hyperlink ref="A222" r:id="rId193" tooltip="Rabbit Frost" display="https://ringofbrodgar.com/wiki/Rabbit_Frost" xr:uid="{D5335A70-9802-4B92-BABA-9003C8BA04A7}"/>
    <hyperlink ref="A133" r:id="rId194" tooltip="Rainbow Shell" display="https://ringofbrodgar.com/wiki/Rainbow_Shell" xr:uid="{A9EDAB8E-0222-4D41-B1CC-72408A808F96}"/>
    <hyperlink ref="A53" r:id="rId195" tooltip="Rattle-Tattle-Talisman" display="https://ringofbrodgar.com/wiki/Rattle-Tattle-Talisman" xr:uid="{FA054EAD-DDBD-4677-8D89-91548DD090DF}"/>
    <hyperlink ref="A84" r:id="rId196" tooltip="Red Coral" display="https://ringofbrodgar.com/wiki/Red_Coral" xr:uid="{7F025413-8A46-4212-AEED-3F88E984AF13}"/>
    <hyperlink ref="A312" r:id="rId197" tooltip="Red Deer Antlers" display="https://ringofbrodgar.com/wiki/Red_Deer_Antlers" xr:uid="{CD274E85-5F8B-4E9C-82F2-82774FDF9C94}"/>
    <hyperlink ref="A80" r:id="rId198" tooltip="Reed Ship" display="https://ringofbrodgar.com/wiki/Reed_Ship" xr:uid="{DC4DE3A5-3524-4614-A75D-2F96FB88C2B9}"/>
    <hyperlink ref="A170" r:id="rId199" tooltip="Reed Ship-in-a-Bottle" display="https://ringofbrodgar.com/wiki/Reed_Ship-in-a-Bottle" xr:uid="{4DDB0D84-E484-4309-B9D0-219FCE62E7FF}"/>
    <hyperlink ref="A255" r:id="rId200" tooltip="Reindeer Antlers" display="https://ringofbrodgar.com/wiki/Reindeer_Antlers" xr:uid="{8E47D585-5BEA-4666-BF11-E4AE9A7D7CB8}"/>
    <hyperlink ref="A30" r:id="rId201" tooltip="River Pearl" display="https://ringofbrodgar.com/wiki/River_Pearl" xr:uid="{7D593C0D-3FF9-4250-925D-7EF216466A8E}"/>
    <hyperlink ref="A282" r:id="rId202" tooltip="Rock Dove Feather" display="https://ringofbrodgar.com/wiki/Rock_Dove_Feather" xr:uid="{AC07CC29-220A-40A0-8FB6-96F7C4F6AE21}"/>
    <hyperlink ref="A273" r:id="rId203" tooltip="Roe Deer Antlers" display="https://ringofbrodgar.com/wiki/Roe_Deer_Antlers" xr:uid="{EB829C38-1956-4F24-97C2-6F34D96E7630}"/>
    <hyperlink ref="A169" r:id="rId204" tooltip="Roeboat-in-a-Bottle" display="https://ringofbrodgar.com/wiki/Roeboat-in-a-Bottle" xr:uid="{F34F1341-3E78-4BC4-BF35-3F041C58E39F}"/>
    <hyperlink ref="A283" r:id="rId205" tooltip="Royal Toadstool" display="https://ringofbrodgar.com/wiki/Royal_Toadstool" xr:uid="{64A496C9-ACF6-4E8E-86C2-A48B2FE5A9E8}"/>
    <hyperlink ref="A35" r:id="rId206" tooltip="Ruby" display="https://ringofbrodgar.com/wiki/Ruby" xr:uid="{457C6C1A-E8B7-4B84-AD00-3FBF0CB85B40}"/>
    <hyperlink ref="A85" r:id="rId207" tooltip="Ruby Dragonfly" display="https://ringofbrodgar.com/wiki/Ruby_Dragonfly" xr:uid="{C7C5A995-68E9-40D2-9F36-BFC0B69566EF}"/>
    <hyperlink ref="A290" r:id="rId208" tooltip="Sand Castle" display="https://ringofbrodgar.com/wiki/Sand_Castle" xr:uid="{EBA635FB-814F-42AB-A71A-003A27D13E48}"/>
    <hyperlink ref="A36" r:id="rId209" tooltip="Sapphire" display="https://ringofbrodgar.com/wiki/Sapphire" xr:uid="{75475778-BF39-40E8-82A1-3B33046A04D7}"/>
    <hyperlink ref="A61" r:id="rId210" tooltip="Scarab Talisman" display="https://ringofbrodgar.com/wiki/Scarab_Talisman" xr:uid="{6CCFE735-2B60-4FAE-AA91-451EC86855F8}"/>
    <hyperlink ref="A172" r:id="rId211" tooltip="Scent Gland" display="https://ringofbrodgar.com/wiki/Scent_Gland" xr:uid="{06CA1D0A-F41F-4FB0-AF3A-7A9EBE0BC798}"/>
    <hyperlink ref="A125" r:id="rId212" tooltip="Scratch-Marked Bark" display="https://ringofbrodgar.com/wiki/Scratch-Marked_Bark" xr:uid="{59E4E90C-1F03-4CA8-AD9E-D3F3879C7FA4}"/>
    <hyperlink ref="A253" r:id="rId213" tooltip="Seagull Feather" display="https://ringofbrodgar.com/wiki/Seagull_Feather" xr:uid="{0ADAA1C0-89B9-47EA-822C-B895E8102754}"/>
    <hyperlink ref="A259" r:id="rId214" tooltip="Seahorse" display="https://ringofbrodgar.com/wiki/Seahorse" xr:uid="{FB8677B5-96D4-4728-A2D9-E59870FF801C}"/>
    <hyperlink ref="A183" r:id="rId215" tooltip="Seasponge" display="https://ringofbrodgar.com/wiki/Seasponge" xr:uid="{17EBCD39-8FB3-4315-B1F2-854E343B7D16}"/>
    <hyperlink ref="A148" r:id="rId216" tooltip="Seer's Bones" display="https://ringofbrodgar.com/wiki/Seer%27s_Bones" xr:uid="{E2FF5F75-6A4B-4BEC-9B14-F783300C31E1}"/>
    <hyperlink ref="A158" r:id="rId217" tooltip="Seer's Bowl" display="https://ringofbrodgar.com/wiki/Seer%27s_Bowl" xr:uid="{C046C8DE-4522-469F-8987-EA06473CD09F}"/>
    <hyperlink ref="A176" r:id="rId218" tooltip="Seer's Spindle" display="https://ringofbrodgar.com/wiki/Seer%27s_Spindle" xr:uid="{863DB200-4F93-47C1-BAC1-548774B42720}"/>
    <hyperlink ref="A78" r:id="rId219" tooltip="Seer's Stones" display="https://ringofbrodgar.com/wiki/Seer%27s_Stones" xr:uid="{1A8012FB-9D9E-483E-AACA-FEEFEC0C3265}"/>
    <hyperlink ref="A277" r:id="rId220" tooltip="Seer's Tealeaves" display="https://ringofbrodgar.com/wiki/Seer%27s_Tealeaves" xr:uid="{A8A2A403-847D-4C4E-B455-6E165706A25A}"/>
    <hyperlink ref="A66" r:id="rId221" tooltip="Shiny Marbles" display="https://ringofbrodgar.com/wiki/Shiny_Marbles" xr:uid="{32E57140-F668-4CFB-AE89-BCD088E6BABE}"/>
    <hyperlink ref="A54" r:id="rId222" tooltip="Silken Ribbon" display="https://ringofbrodgar.com/wiki/Silken_Ribbon" xr:uid="{6EDAF49E-D2BF-4276-A8F5-9F938BBD1EFC}"/>
    <hyperlink ref="A163" r:id="rId223" tooltip="Silver Rose" display="https://ringofbrodgar.com/wiki/Silver_Rose" xr:uid="{02B3E92E-41B2-4C14-9B65-E98BE9AEF64E}"/>
    <hyperlink ref="A137" r:id="rId224" tooltip="Sleighbell" display="https://ringofbrodgar.com/wiki/Sleighbell" xr:uid="{7122667D-5C57-475C-BECE-F208B2D27651}"/>
    <hyperlink ref="A184" r:id="rId225" tooltip="Slinky" display="https://ringofbrodgar.com/wiki/Slinky" xr:uid="{1EE5E88C-87BC-4CC4-B760-7D4D6C3175DB}"/>
    <hyperlink ref="A128" r:id="rId226" tooltip="Sly Ear of the Fox" display="https://ringofbrodgar.com/wiki/Sly_Ear_of_the_Fox" xr:uid="{1E6EFA11-0B36-42F0-AF90-9546F902B300}"/>
    <hyperlink ref="A139" r:id="rId227" tooltip="Snow Globe" display="https://ringofbrodgar.com/wiki/Snow_Globe" xr:uid="{B99528E2-BBFC-4598-B03E-988DAF7B8EC2}"/>
    <hyperlink ref="A291" r:id="rId228" tooltip="Snowball" display="https://ringofbrodgar.com/wiki/Snowball" xr:uid="{16DF9CF3-DE3D-42F8-B2DB-0CF234242E03}"/>
    <hyperlink ref="A130" r:id="rId229" tooltip="Sour Grapes" display="https://ringofbrodgar.com/wiki/Sour_Grapes" xr:uid="{950411E8-7EF5-42C2-8E3F-4CEF64676581}"/>
    <hyperlink ref="A177" r:id="rId230" tooltip="Spinning Top" display="https://ringofbrodgar.com/wiki/Spinning_Top" xr:uid="{D747CD41-07E5-4B6D-B975-884C4AA59B12}"/>
    <hyperlink ref="A88" r:id="rId231" tooltip="Spired Forest Conch" display="https://ringofbrodgar.com/wiki/Spired_Forest_Conch" xr:uid="{D76F3202-0038-40CD-B4E8-EDBB8CCE5B10}"/>
    <hyperlink ref="A155" r:id="rId232" tooltip="Sponge" display="https://ringofbrodgar.com/wiki/Sponge" xr:uid="{03CFB7B9-068B-4D45-B290-0A2058E8BE7F}"/>
    <hyperlink ref="A205" r:id="rId233" tooltip="Springtime Bumblebee" display="https://ringofbrodgar.com/wiki/Springtime_Bumblebee" xr:uid="{70F3FB46-3434-4330-843B-7531A070AF2E}"/>
    <hyperlink ref="A307" r:id="rId234" tooltip="Squirrel Tail" display="https://ringofbrodgar.com/wiki/Squirrel_Tail" xr:uid="{0D351359-E9B7-4E83-958B-F614C45DEE50}"/>
    <hyperlink ref="A216" r:id="rId235" tooltip="Stag Beetle" display="https://ringofbrodgar.com/wiki/Stag_Beetle" xr:uid="{FEBB1CAB-8137-494A-823C-F1EDDEB783C2}"/>
    <hyperlink ref="A77" r:id="rId236" tooltip="Stained Glass Heart" display="https://ringofbrodgar.com/wiki/Stained_Glass_Heart" xr:uid="{4A79251C-A984-4717-B81B-1A669DEFD15A}"/>
    <hyperlink ref="A113" r:id="rId237" tooltip="Stalagoom" display="https://ringofbrodgar.com/wiki/Stalagoom" xr:uid="{FDDAE189-6BEF-4BF7-B28C-210197F9F412}"/>
    <hyperlink ref="A76" r:id="rId238" tooltip="Stalagoomba" display="https://ringofbrodgar.com/wiki/Stalagoomba" xr:uid="{38EB0561-D8D4-443B-8C6B-D1CB2B8F221D}"/>
    <hyperlink ref="A284" r:id="rId239" tooltip="Still Life" display="https://ringofbrodgar.com/wiki/Still_Life" xr:uid="{D577F4AB-1EB6-4E73-B0AD-FE35A07E9F8C}"/>
    <hyperlink ref="A288" r:id="rId240" tooltip="Strange Crystal" display="https://ringofbrodgar.com/wiki/Strange_Crystal" xr:uid="{C9FAA345-7529-4630-BED7-6FAFBFE4F60A}"/>
    <hyperlink ref="A63" r:id="rId241" tooltip="Strange Root" display="https://ringofbrodgar.com/wiki/Strange_Root" xr:uid="{120D945E-DDD5-48AD-81CD-C9DEF1EEB870}"/>
    <hyperlink ref="A52" r:id="rId242" tooltip="Straw Doll" display="https://ringofbrodgar.com/wiki/Straw_Doll" xr:uid="{15772D53-4C01-4048-92DD-322787C97501}"/>
    <hyperlink ref="A102" r:id="rId243" tooltip="Stuffed Bear" display="https://ringofbrodgar.com/wiki/Stuffed_Bear" xr:uid="{104DEE0C-CA30-4134-A43D-D150AB0A0CCA}"/>
    <hyperlink ref="A47" r:id="rId244" tooltip="Sugar Diamond" display="https://ringofbrodgar.com/wiki/Sugar_Diamond" xr:uid="{E9DAEAA4-9C4E-4537-960F-7D18C50ED6BB}"/>
    <hyperlink ref="A206" r:id="rId245" tooltip="Swan Feather" display="https://ringofbrodgar.com/wiki/Swan_Feather" xr:uid="{9DEC0699-29E2-45FA-923C-2B0085EC1619}"/>
    <hyperlink ref="A214" r:id="rId246" tooltip="Tafl Board" display="https://ringofbrodgar.com/wiki/Tafl_Board" xr:uid="{D87CBCA0-3394-4EAD-AF58-88F15A5474B5}"/>
    <hyperlink ref="A274" r:id="rId247" tooltip="Tangled Bramble" display="https://ringofbrodgar.com/wiki/Tangled_Bramble" xr:uid="{F0AD09D6-D9F7-4019-8EA0-DB3F284DD73D}"/>
    <hyperlink ref="A103" r:id="rId248" tooltip="Tansy" display="https://ringofbrodgar.com/wiki/Tansy" xr:uid="{82C33CDF-B04F-46F4-8DC1-472A04735DC4}"/>
    <hyperlink ref="A73" r:id="rId249" tooltip="Tar Doll" display="https://ringofbrodgar.com/wiki/Tar_Doll" xr:uid="{BA4DFDD1-1318-4E5F-9E14-F4558266DAE4}"/>
    <hyperlink ref="A292" r:id="rId250" tooltip="The Bee That Stung" display="https://ringofbrodgar.com/wiki/The_Bee_That_Stung" xr:uid="{4CF60FB1-0B84-40D1-B738-C96920D31AF3}"/>
    <hyperlink ref="A33" r:id="rId251" tooltip="The Other Old Boot" display="https://ringofbrodgar.com/wiki/The_Other_Old_Boot" xr:uid="{134A79D5-F215-4875-B8A0-8A756F884DF4}"/>
    <hyperlink ref="A131" r:id="rId252" tooltip="The Perfect Hole" display="https://ringofbrodgar.com/wiki/The_Perfect_Hole" xr:uid="{99E76DE6-A15D-4DD7-ADEC-BDCF8ED56990}"/>
    <hyperlink ref="A281" r:id="rId253" tooltip="Thorny Thistle" display="https://ringofbrodgar.com/wiki/Thorny_Thistle" xr:uid="{96B5FDAC-11DA-4CCB-A9F9-67905BBF3730}"/>
    <hyperlink ref="A300" r:id="rId254" tooltip="Tin Warrior" display="https://ringofbrodgar.com/wiki/Tin_Warrior" xr:uid="{F1EB09F6-F99C-41CE-B8A6-3CA60B3109B7}"/>
    <hyperlink ref="A160" r:id="rId255" tooltip="Tiny Abacus" display="https://ringofbrodgar.com/wiki/Tiny_Abacus" xr:uid="{623F6CAC-646D-4067-8106-249675F172A1}"/>
    <hyperlink ref="A257" r:id="rId256" tooltip="Toadflax" display="https://ringofbrodgar.com/wiki/Toadflax" xr:uid="{9044F33E-D38F-4257-A66B-4CC48BF84F25}"/>
    <hyperlink ref="A42" r:id="rId257" tooltip="Topaz" display="https://ringofbrodgar.com/wiki/Topaz" xr:uid="{8872E5F2-166D-48FA-BD0F-6902F094B2B3}"/>
    <hyperlink ref="A119" r:id="rId258" tooltip="Toy Chariot" display="https://ringofbrodgar.com/wiki/Toy_Chariot" xr:uid="{B0CD7CAB-C319-4C93-A727-8C47D373BFB9}"/>
    <hyperlink ref="A110" r:id="rId259" tooltip="Troll Hair" display="https://ringofbrodgar.com/wiki/Troll_Hair" xr:uid="{382CDD5C-5F2A-4615-911F-513D00C2393A}"/>
    <hyperlink ref="A65" r:id="rId260" tooltip="Troll Skull" display="https://ringofbrodgar.com/wiki/Troll_Skull" xr:uid="{85BDC168-C2D5-4819-8959-DBE15FF75BD7}"/>
    <hyperlink ref="A89" r:id="rId261" tooltip="Troll Tusks" display="https://ringofbrodgar.com/wiki/Troll_Tusks" xr:uid="{FAC4CB5D-C02A-491E-9E21-CD3A29DDC4E9}"/>
    <hyperlink ref="A123" r:id="rId262" tooltip="Troll's Third Eye" display="https://ringofbrodgar.com/wiki/Troll%27s_Third_Eye" xr:uid="{D6BEEFB1-926E-4E45-B0C6-C7C606CED30C}"/>
    <hyperlink ref="A207" r:id="rId263" tooltip="Tuft of Squirrel's Finest Hair" display="https://ringofbrodgar.com/wiki/Tuft_of_Squirrel%27s_Finest_Hair" xr:uid="{F8373612-C2F4-49DF-8A1F-B69539642DBC}"/>
    <hyperlink ref="A43" r:id="rId264" tooltip="Turquoise" display="https://ringofbrodgar.com/wiki/Turquoise" xr:uid="{43FB3611-B31C-4341-9DAB-F864194B7F29}"/>
    <hyperlink ref="A202" r:id="rId265" tooltip="Uncommon Snapdragon" display="https://ringofbrodgar.com/wiki/Uncommon_Snapdragon" xr:uid="{33F6D8DE-182A-423B-BA17-8E33C0EB1057}"/>
    <hyperlink ref="A246" r:id="rId266" tooltip="Uncrushed Husk" display="https://ringofbrodgar.com/wiki/Uncrushed_Husk" xr:uid="{B482F056-713A-49D8-B590-AEF9C7176384}"/>
    <hyperlink ref="A305" r:id="rId267" tooltip="Unfired Hand Impression" display="https://ringofbrodgar.com/wiki/Unfired_Hand_Impression" xr:uid="{24ADEB9C-D166-41A3-8422-3ADE977CB42F}"/>
    <hyperlink ref="A295" r:id="rId268" tooltip="Unusually Large Hop Cone" display="https://ringofbrodgar.com/wiki/Unusually_Large_Hop_Cone" xr:uid="{03648D49-058F-48E8-BEDD-AEAE38570F97}"/>
    <hyperlink ref="A164" r:id="rId269" tooltip="Völva's Wand" display="https://ringofbrodgar.com/wiki/V%C3%B6lva%27s_Wand" xr:uid="{494D779A-1065-42A9-BEFE-948E9AB781E8}"/>
    <hyperlink ref="A251" r:id="rId270" tooltip="Walrus Tusk" display="https://ringofbrodgar.com/wiki/Walrus_Tusk" xr:uid="{D7F20F13-B842-41DB-85BD-9BA2E99B6F26}"/>
    <hyperlink ref="A287" r:id="rId271" tooltip="Washed-up Bladderwrack" display="https://ringofbrodgar.com/wiki/Washed-up_Bladderwrack" xr:uid="{FA3C5EB7-2EF9-4393-A836-F708126FE312}"/>
    <hyperlink ref="A260" r:id="rId272" tooltip="Waterstrider" display="https://ringofbrodgar.com/wiki/Waterstrider" xr:uid="{E4CB3C92-CDCE-4C7B-A859-496105E7A7A3}"/>
    <hyperlink ref="A286" r:id="rId273" tooltip="Weird Beetroot" display="https://ringofbrodgar.com/wiki/Weird_Beetroot" xr:uid="{515A1959-8284-468B-9627-C8AD5D6D1A7D}"/>
    <hyperlink ref="A180" r:id="rId274" tooltip="Whale Barnacles" display="https://ringofbrodgar.com/wiki/Whale_Barnacles" xr:uid="{D1A4A2A5-499B-4574-A0EF-03D378915766}"/>
    <hyperlink ref="A120" r:id="rId275" tooltip="Whalebone Scrimshaw" display="https://ringofbrodgar.com/wiki/Whalebone_Scrimshaw" xr:uid="{1F749B63-060A-437F-946D-1AF885045A6F}"/>
    <hyperlink ref="A96" r:id="rId276" tooltip="Whirling Snowflake" display="https://ringofbrodgar.com/wiki/Whirling_Snowflake" xr:uid="{A228F323-BF03-4CA8-A81A-C1F62F60B8E6}"/>
    <hyperlink ref="A229" r:id="rId277" tooltip="Wicked Claw" display="https://ringofbrodgar.com/wiki/Wicked_Claw" xr:uid="{3162058C-C588-4A29-837D-61F1F5FBE509}"/>
    <hyperlink ref="A178" r:id="rId278" tooltip="Wildgoat Horn" display="https://ringofbrodgar.com/wiki/Wildgoat_Horn" xr:uid="{96018B62-8287-440F-B1B0-738E906E0F82}"/>
    <hyperlink ref="A104" r:id="rId279" tooltip="Wintergreen" display="https://ringofbrodgar.com/wiki/Wintergreen" xr:uid="{5152CF87-1B46-4758-8CFC-F0472E7F89C8}"/>
    <hyperlink ref="A298" r:id="rId280" tooltip="Wishbone" display="https://ringofbrodgar.com/wiki/Wishbone" xr:uid="{F7A2A683-C140-4D32-A087-FDF8930FC9DB}"/>
    <hyperlink ref="A285" r:id="rId281" tooltip="Wolf's Claw" display="https://ringofbrodgar.com/wiki/Wolf%27s_Claw" xr:uid="{370033B9-57D8-4B1E-B203-F02D0374129C}"/>
    <hyperlink ref="A275" r:id="rId282" tooltip="Wondrous Woodshaving" display="https://ringofbrodgar.com/wiki/Wondrous_Woodshaving" xr:uid="{0D83718C-508D-4B54-8D9B-A56F1A781224}"/>
    <hyperlink ref="A240" r:id="rId283" tooltip="Wood Grouse Feather" display="https://ringofbrodgar.com/wiki/Wood_Grouse_Feather" xr:uid="{010DF2F2-8D88-4938-8BC7-82427B7389DC}"/>
    <hyperlink ref="A215" r:id="rId284" tooltip="Wood Incorrupt" display="https://ringofbrodgar.com/wiki/Wood_Incorrupt" xr:uid="{52545129-3634-4CAC-A4F2-3C8128CEE9F4}"/>
    <hyperlink ref="A237" r:id="rId285" tooltip="Woodworm" display="https://ringofbrodgar.com/wiki/Woodworm" xr:uid="{B55C04CC-E4F0-4EDD-AEC2-734AC3504D2D}"/>
    <hyperlink ref="A189" r:id="rId286" tooltip="Worm-Eaten Apple" display="https://ringofbrodgar.com/wiki/Worm-Eaten_Apple" xr:uid="{560FBBDB-2FED-4D8B-ABB2-4CF089E337EC}"/>
    <hyperlink ref="A111" r:id="rId287" tooltip="Yule Cracker" display="https://ringofbrodgar.com/wiki/Yule_Cracker" xr:uid="{77A35431-1C11-4BA7-92D1-2015544322C9}"/>
    <hyperlink ref="A83" r:id="rId288" tooltip="Yule Star" display="https://ringofbrodgar.com/wiki/Yule_Star" xr:uid="{02202CD3-0C58-45CA-B4E8-580F8B5CA298}"/>
    <hyperlink ref="A144" r:id="rId289" tooltip="Yule Wreath" display="https://ringofbrodgar.com/wiki/Yule_Wreath" xr:uid="{2A712071-D5DB-4779-9632-9F9671C87C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5088-30E5-43BE-9814-88C74E0A75D6}">
  <dimension ref="A1:L1"/>
  <sheetViews>
    <sheetView workbookViewId="0">
      <selection activeCell="M14" sqref="M14"/>
    </sheetView>
  </sheetViews>
  <sheetFormatPr defaultRowHeight="14.5" x14ac:dyDescent="0.35"/>
  <sheetData>
    <row r="1" spans="1:12" s="2" customFormat="1" ht="44" thickBot="1" x14ac:dyDescent="0.4">
      <c r="A1" s="41" t="s">
        <v>1</v>
      </c>
      <c r="B1" s="47" t="s">
        <v>67</v>
      </c>
      <c r="C1" s="2" t="s">
        <v>934</v>
      </c>
      <c r="D1" s="2" t="s">
        <v>935</v>
      </c>
      <c r="E1" s="2" t="s">
        <v>936</v>
      </c>
      <c r="F1" s="2" t="s">
        <v>937</v>
      </c>
      <c r="G1" s="2" t="s">
        <v>954</v>
      </c>
      <c r="H1" s="2" t="s">
        <v>123</v>
      </c>
      <c r="I1" s="2" t="s">
        <v>72</v>
      </c>
      <c r="J1" s="2" t="s">
        <v>955</v>
      </c>
      <c r="K1" s="2" t="s">
        <v>956</v>
      </c>
      <c r="L1" s="2" t="s">
        <v>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227D8-C1F5-47F9-A6E4-268C8A3D80E6}">
  <dimension ref="A1:L25"/>
  <sheetViews>
    <sheetView workbookViewId="0">
      <selection activeCell="I6" sqref="I6"/>
    </sheetView>
  </sheetViews>
  <sheetFormatPr defaultRowHeight="14.5" x14ac:dyDescent="0.35"/>
  <cols>
    <col min="1" max="1" width="23.1796875" bestFit="1" customWidth="1"/>
    <col min="4" max="4" width="10.54296875" customWidth="1"/>
    <col min="7" max="7" width="12.453125" customWidth="1"/>
    <col min="8" max="8" width="8.453125" customWidth="1"/>
    <col min="9" max="9" width="15.81640625" customWidth="1"/>
    <col min="10" max="12" width="6.54296875" bestFit="1" customWidth="1"/>
  </cols>
  <sheetData>
    <row r="1" spans="1:12" s="2" customFormat="1" ht="29.5" thickBot="1" x14ac:dyDescent="0.4">
      <c r="A1" s="41" t="s">
        <v>1</v>
      </c>
      <c r="B1" s="47" t="s">
        <v>67</v>
      </c>
      <c r="C1" s="2" t="s">
        <v>934</v>
      </c>
      <c r="D1" s="2" t="s">
        <v>935</v>
      </c>
      <c r="E1" s="2" t="s">
        <v>936</v>
      </c>
      <c r="F1" s="2" t="s">
        <v>937</v>
      </c>
      <c r="G1" s="2" t="s">
        <v>954</v>
      </c>
      <c r="H1" s="2" t="s">
        <v>123</v>
      </c>
      <c r="I1" s="2" t="s">
        <v>72</v>
      </c>
      <c r="J1" s="2" t="s">
        <v>955</v>
      </c>
      <c r="K1" s="2" t="s">
        <v>956</v>
      </c>
      <c r="L1" s="2" t="s">
        <v>957</v>
      </c>
    </row>
    <row r="2" spans="1:12" ht="15" thickBot="1" x14ac:dyDescent="0.4">
      <c r="A2" t="s">
        <v>938</v>
      </c>
      <c r="B2" s="39">
        <v>200</v>
      </c>
      <c r="C2" s="39">
        <f>G2*SQRT(SQRT(B2*Input!$C$3/10))</f>
        <v>910.91108301324323</v>
      </c>
      <c r="D2" s="39">
        <v>10</v>
      </c>
      <c r="E2" s="24" t="s">
        <v>939</v>
      </c>
      <c r="F2" s="39">
        <v>1.4</v>
      </c>
      <c r="G2" s="39">
        <v>150</v>
      </c>
      <c r="H2" s="51"/>
    </row>
    <row r="3" spans="1:12" ht="15" thickBot="1" x14ac:dyDescent="0.4">
      <c r="A3" t="s">
        <v>940</v>
      </c>
      <c r="B3" s="39">
        <v>118</v>
      </c>
      <c r="C3" s="39">
        <f>G3*SQRT(SQRT(B3*Input!$C$3/10))</f>
        <v>425.78241115137365</v>
      </c>
      <c r="D3" s="40">
        <v>15</v>
      </c>
      <c r="E3" s="33" t="s">
        <v>939</v>
      </c>
      <c r="F3" s="40">
        <v>1.6</v>
      </c>
      <c r="G3" s="40">
        <v>80</v>
      </c>
      <c r="H3" s="52"/>
    </row>
    <row r="4" spans="1:12" ht="44" thickBot="1" x14ac:dyDescent="0.4">
      <c r="A4" t="s">
        <v>474</v>
      </c>
      <c r="B4" s="39">
        <f ca="1">H4</f>
        <v>204.88497192304138</v>
      </c>
      <c r="C4" s="39">
        <f ca="1">G4*SQRT(B4/10)</f>
        <v>67.896331773288253</v>
      </c>
      <c r="D4" s="39">
        <v>10</v>
      </c>
      <c r="E4" s="24"/>
      <c r="F4" s="24"/>
      <c r="G4" s="39">
        <v>15</v>
      </c>
      <c r="H4" s="51">
        <f ca="1">AVERAGE(J4:L4)</f>
        <v>204.88497192304138</v>
      </c>
      <c r="I4" s="2" t="s">
        <v>960</v>
      </c>
      <c r="J4">
        <f>Input!B40</f>
        <v>140</v>
      </c>
      <c r="K4">
        <f>Input!B122</f>
        <v>243</v>
      </c>
      <c r="L4" cm="1">
        <f t="array" aca="1" ref="L4" ca="1">GEOMEAN(MAX(IF((Tools!A2:A500="Stone Axe")+(Tools!A2:A500="Metal Axe"),Tools!B2:B500)),MAX(IF(Input!A2:A500="Highest Tree",Input!B2:B500)))</f>
        <v>231.65491576912413</v>
      </c>
    </row>
    <row r="5" spans="1:12" ht="29.5" thickBot="1" x14ac:dyDescent="0.4">
      <c r="A5" t="s">
        <v>941</v>
      </c>
      <c r="B5" s="39">
        <v>228</v>
      </c>
      <c r="C5" s="39">
        <f>G5*SQRT(SQRT(B5*Input!$C$3/10))</f>
        <v>564.74637164328612</v>
      </c>
      <c r="D5" s="40">
        <v>12.5</v>
      </c>
      <c r="E5" s="33" t="s">
        <v>942</v>
      </c>
      <c r="F5" s="40">
        <v>1.2</v>
      </c>
      <c r="G5" s="40">
        <v>90</v>
      </c>
      <c r="H5" s="52">
        <f>1/16*(7*J5+9*AVERAGE(K5:L5))</f>
        <v>112.375</v>
      </c>
      <c r="I5" s="2" t="s">
        <v>1235</v>
      </c>
      <c r="J5">
        <f>Table1[[#This Row],[Quality]]</f>
        <v>102.57142857142857</v>
      </c>
      <c r="K5" s="15">
        <f>Products!B36</f>
        <v>120</v>
      </c>
    </row>
    <row r="6" spans="1:12" ht="44.5" thickBot="1" x14ac:dyDescent="0.45">
      <c r="A6" t="s">
        <v>943</v>
      </c>
      <c r="B6" s="39">
        <v>104</v>
      </c>
      <c r="C6" s="39">
        <f>G6*SQRT(SQRT(B6*Input!$C$3/10))</f>
        <v>232.05881851170125</v>
      </c>
      <c r="D6" s="39">
        <v>20</v>
      </c>
      <c r="E6" s="24" t="s">
        <v>942</v>
      </c>
      <c r="F6" s="39">
        <v>1</v>
      </c>
      <c r="G6" s="39">
        <v>45</v>
      </c>
      <c r="H6" s="51"/>
      <c r="I6" s="2" t="s">
        <v>1236</v>
      </c>
      <c r="J6" s="69" t="e" cm="1">
        <f t="array" ref="J6">MAX(IF(Input!#REF!="Highest Tree",Input!#REF!))</f>
        <v>#REF!</v>
      </c>
      <c r="L6" cm="1">
        <f t="array" aca="1" ref="L6" ca="1">MAX(IF(Products!A1:A500="Bone Glue",Products!B1:B500))</f>
        <v>130</v>
      </c>
    </row>
    <row r="7" spans="1:12" ht="15" thickBot="1" x14ac:dyDescent="0.4">
      <c r="A7" t="s">
        <v>80</v>
      </c>
      <c r="B7" s="39">
        <v>10</v>
      </c>
      <c r="C7" s="39">
        <f>G7*SQRT(SQRT(B7*Input!$C$3/10))</f>
        <v>86.148651330777014</v>
      </c>
      <c r="D7" s="40">
        <v>15</v>
      </c>
      <c r="E7" s="33" t="s">
        <v>942</v>
      </c>
      <c r="F7" s="40">
        <v>1</v>
      </c>
      <c r="G7" s="40">
        <v>30</v>
      </c>
      <c r="H7" s="52"/>
    </row>
    <row r="8" spans="1:12" ht="15" thickBot="1" x14ac:dyDescent="0.4">
      <c r="A8" t="s">
        <v>944</v>
      </c>
      <c r="B8" s="39">
        <v>10</v>
      </c>
      <c r="C8" s="39">
        <f>G8*SQRT(SQRT(B8*Input!$C$3/10))</f>
        <v>387.66893098849658</v>
      </c>
      <c r="D8" s="39">
        <v>10</v>
      </c>
      <c r="E8" s="24" t="s">
        <v>939</v>
      </c>
      <c r="F8" s="39">
        <v>1.5</v>
      </c>
      <c r="G8" s="39">
        <v>135</v>
      </c>
      <c r="H8" s="51"/>
    </row>
    <row r="9" spans="1:12" ht="15" thickBot="1" x14ac:dyDescent="0.4">
      <c r="A9" t="s">
        <v>945</v>
      </c>
      <c r="B9" s="39">
        <v>64</v>
      </c>
      <c r="C9" s="39">
        <f>G9*SQRT(SQRT(B9*Input!$C$3/10))</f>
        <v>22.837166908708532</v>
      </c>
      <c r="D9" s="33"/>
      <c r="E9" s="33" t="s">
        <v>946</v>
      </c>
      <c r="F9" s="40">
        <v>1</v>
      </c>
      <c r="G9" s="40">
        <v>5</v>
      </c>
      <c r="H9" s="52"/>
    </row>
    <row r="10" spans="1:12" ht="15" thickBot="1" x14ac:dyDescent="0.4">
      <c r="A10" t="s">
        <v>79</v>
      </c>
      <c r="B10" s="39">
        <v>10</v>
      </c>
      <c r="C10" s="39">
        <f>G10*SQRT(SQRT(B10*Input!$C$3/10))</f>
        <v>114.86486844103602</v>
      </c>
      <c r="D10" s="39">
        <v>15</v>
      </c>
      <c r="E10" s="24" t="s">
        <v>942</v>
      </c>
      <c r="F10" s="39">
        <v>1</v>
      </c>
      <c r="G10" s="39">
        <v>40</v>
      </c>
      <c r="H10" s="51"/>
    </row>
    <row r="11" spans="1:12" ht="15" thickBot="1" x14ac:dyDescent="0.4">
      <c r="A11" t="s">
        <v>947</v>
      </c>
      <c r="B11" s="39">
        <v>10</v>
      </c>
      <c r="C11" s="39">
        <f>G11*SQRT(SQRT(B11*Input!$C$3/10))</f>
        <v>287.16217110259004</v>
      </c>
      <c r="D11" s="40">
        <v>10</v>
      </c>
      <c r="E11" s="33" t="s">
        <v>942</v>
      </c>
      <c r="F11" s="40">
        <v>1.2</v>
      </c>
      <c r="G11" s="40">
        <v>100</v>
      </c>
      <c r="H11" s="52"/>
    </row>
    <row r="12" spans="1:12" ht="15" thickBot="1" x14ac:dyDescent="0.4">
      <c r="A12" t="s">
        <v>948</v>
      </c>
      <c r="B12" s="39">
        <v>10</v>
      </c>
      <c r="C12" s="39">
        <f>G12*SQRT(SQRT(B12*Input!$C$3/10))</f>
        <v>229.72973688207205</v>
      </c>
      <c r="D12" s="39">
        <v>15</v>
      </c>
      <c r="E12" s="24" t="s">
        <v>939</v>
      </c>
      <c r="F12" s="39">
        <v>1.6</v>
      </c>
      <c r="G12" s="39">
        <v>80</v>
      </c>
      <c r="H12" s="51"/>
    </row>
    <row r="13" spans="1:12" ht="15" thickBot="1" x14ac:dyDescent="0.4">
      <c r="A13" t="s">
        <v>949</v>
      </c>
      <c r="B13" s="39">
        <v>10</v>
      </c>
      <c r="C13" s="39">
        <f>G13*SQRT(SQRT(B13*Input!$C$3/10))</f>
        <v>330.23649676797857</v>
      </c>
      <c r="D13" s="40">
        <v>7.5</v>
      </c>
      <c r="E13" s="33" t="s">
        <v>942</v>
      </c>
      <c r="F13" s="40">
        <v>1.2</v>
      </c>
      <c r="G13" s="40">
        <v>115</v>
      </c>
      <c r="H13" s="52"/>
    </row>
    <row r="14" spans="1:12" ht="44" thickBot="1" x14ac:dyDescent="0.4">
      <c r="A14" t="s">
        <v>950</v>
      </c>
      <c r="B14" s="39">
        <v>38</v>
      </c>
      <c r="C14" s="39">
        <f>G14*SQRT(SQRT(B14*Input!$C$3/10))</f>
        <v>120.28026660319341</v>
      </c>
      <c r="D14" s="24"/>
      <c r="E14" s="24" t="s">
        <v>939</v>
      </c>
      <c r="F14" s="24"/>
      <c r="G14" s="39">
        <v>30</v>
      </c>
      <c r="H14" s="51"/>
      <c r="I14" s="2" t="s">
        <v>962</v>
      </c>
      <c r="L14">
        <f>Input!B122</f>
        <v>243</v>
      </c>
    </row>
    <row r="15" spans="1:12" ht="15" thickBot="1" x14ac:dyDescent="0.4">
      <c r="A15" t="s">
        <v>951</v>
      </c>
      <c r="B15" s="39">
        <v>10</v>
      </c>
      <c r="C15" s="39">
        <f>G15*SQRT(SQRT(B15*Input!$C$3/10))</f>
        <v>11.486486844103602</v>
      </c>
      <c r="D15" s="33"/>
      <c r="E15" s="33" t="s">
        <v>946</v>
      </c>
      <c r="F15" s="40">
        <v>1</v>
      </c>
      <c r="G15" s="40">
        <v>4</v>
      </c>
      <c r="H15" s="52"/>
    </row>
    <row r="16" spans="1:12" ht="58.5" thickBot="1" x14ac:dyDescent="0.4">
      <c r="A16" t="s">
        <v>475</v>
      </c>
      <c r="B16" s="39">
        <f ca="1">H16</f>
        <v>150.2477967067108</v>
      </c>
      <c r="C16" s="39">
        <f ca="1">G16*SQRT(B16/10)</f>
        <v>77.523621356773788</v>
      </c>
      <c r="D16" s="39">
        <v>20</v>
      </c>
      <c r="E16" s="24"/>
      <c r="F16" s="24"/>
      <c r="G16" s="39">
        <v>20</v>
      </c>
      <c r="H16" s="51">
        <f ca="1">1/16*(AVERAGE(J16:L16)*9+Table57[[#This Row],[Current Quality]]*4+Tools!B14*3)</f>
        <v>150.2477967067108</v>
      </c>
      <c r="I16" s="2" t="s">
        <v>961</v>
      </c>
      <c r="J16">
        <f>MAX(Input!B30:B31)</f>
        <v>130</v>
      </c>
      <c r="K16">
        <f>Input!B122</f>
        <v>243</v>
      </c>
      <c r="L16">
        <f ca="1">GEOMEAN(Tools!B4,Input!B32)</f>
        <v>231.65491576912413</v>
      </c>
    </row>
    <row r="17" spans="1:12" ht="15" thickBot="1" x14ac:dyDescent="0.4">
      <c r="A17" t="s">
        <v>75</v>
      </c>
      <c r="B17" s="39">
        <v>10</v>
      </c>
      <c r="C17" s="39">
        <f>G17*SQRT(SQRT(B17*Input!$C$3/10))</f>
        <v>129.22297699616553</v>
      </c>
      <c r="D17" s="40">
        <v>20</v>
      </c>
      <c r="E17" s="33" t="s">
        <v>942</v>
      </c>
      <c r="F17" s="40">
        <v>1</v>
      </c>
      <c r="G17" s="40">
        <v>45</v>
      </c>
      <c r="H17" s="52"/>
    </row>
    <row r="18" spans="1:12" ht="15" thickBot="1" x14ac:dyDescent="0.4">
      <c r="A18" t="s">
        <v>89</v>
      </c>
      <c r="B18" s="39">
        <v>10</v>
      </c>
      <c r="C18" s="39">
        <f>G18*SQRT(SQRT(B18*Input!$C$3/10))</f>
        <v>143.58108555129502</v>
      </c>
      <c r="D18" s="39">
        <v>20</v>
      </c>
      <c r="E18" s="24" t="s">
        <v>942</v>
      </c>
      <c r="F18" s="39">
        <v>1</v>
      </c>
      <c r="G18" s="39">
        <v>50</v>
      </c>
      <c r="H18" s="51"/>
    </row>
    <row r="19" spans="1:12" ht="15" thickBot="1" x14ac:dyDescent="0.4">
      <c r="A19" t="s">
        <v>688</v>
      </c>
      <c r="B19" s="39">
        <v>10</v>
      </c>
      <c r="C19" s="39">
        <f>G19*SQRT(SQRT(B19*Input!$C$3/10))</f>
        <v>186.65541121668355</v>
      </c>
      <c r="D19" s="40">
        <v>30</v>
      </c>
      <c r="E19" s="33" t="s">
        <v>939</v>
      </c>
      <c r="F19" s="40">
        <v>1.2</v>
      </c>
      <c r="G19" s="40">
        <v>65</v>
      </c>
      <c r="H19" s="52"/>
    </row>
    <row r="20" spans="1:12" ht="44" thickBot="1" x14ac:dyDescent="0.4">
      <c r="A20" t="s">
        <v>952</v>
      </c>
      <c r="B20" s="39">
        <v>10</v>
      </c>
      <c r="C20" s="39">
        <f>G20*SQRT(SQRT(B20^2)/10)</f>
        <v>60</v>
      </c>
      <c r="D20" s="39">
        <v>5</v>
      </c>
      <c r="E20" s="24" t="s">
        <v>939</v>
      </c>
      <c r="F20" s="24"/>
      <c r="G20" s="39">
        <v>60</v>
      </c>
      <c r="H20" s="51"/>
      <c r="I20" s="2" t="s">
        <v>963</v>
      </c>
      <c r="J20">
        <f>Input!B213</f>
        <v>0</v>
      </c>
      <c r="K20" s="15">
        <f ca="1">Products!B66</f>
        <v>160.04246841342155</v>
      </c>
      <c r="L20" s="15">
        <f>Products!B35</f>
        <v>128</v>
      </c>
    </row>
    <row r="21" spans="1:12" ht="44" thickBot="1" x14ac:dyDescent="0.4">
      <c r="A21" t="s">
        <v>84</v>
      </c>
      <c r="B21" s="39">
        <v>10</v>
      </c>
      <c r="C21" s="39">
        <f>15*SQRT(B21/10)</f>
        <v>15</v>
      </c>
      <c r="D21" s="40">
        <v>20</v>
      </c>
      <c r="E21" s="33" t="s">
        <v>942</v>
      </c>
      <c r="F21" s="33"/>
      <c r="G21" s="40">
        <v>15</v>
      </c>
      <c r="H21" s="52"/>
      <c r="I21" s="2" t="s">
        <v>958</v>
      </c>
      <c r="J21">
        <f>Input!B122</f>
        <v>243</v>
      </c>
    </row>
    <row r="22" spans="1:12" ht="44" thickBot="1" x14ac:dyDescent="0.4">
      <c r="A22" t="s">
        <v>473</v>
      </c>
      <c r="B22" s="39">
        <f ca="1">H22</f>
        <v>213.21830525637472</v>
      </c>
      <c r="C22" s="39">
        <f ca="1">G22*SQRT(B22/10)</f>
        <v>46.175567701585948</v>
      </c>
      <c r="D22" s="40">
        <v>10</v>
      </c>
      <c r="E22" s="33"/>
      <c r="F22" s="33"/>
      <c r="G22" s="40">
        <v>10</v>
      </c>
      <c r="H22" s="52">
        <f ca="1">AVERAGE(J22:L22)</f>
        <v>213.21830525637472</v>
      </c>
      <c r="I22" s="2" t="s">
        <v>959</v>
      </c>
      <c r="J22">
        <f>Input!B22</f>
        <v>165</v>
      </c>
      <c r="K22">
        <f>Input!B122</f>
        <v>243</v>
      </c>
      <c r="L22">
        <f ca="1">GEOMEAN(Tools!B4,Input!B32)</f>
        <v>231.65491576912413</v>
      </c>
    </row>
    <row r="23" spans="1:12" ht="15" thickBot="1" x14ac:dyDescent="0.4">
      <c r="A23" t="s">
        <v>74</v>
      </c>
      <c r="B23" s="39">
        <v>218</v>
      </c>
      <c r="C23" s="39">
        <f>G23*SQRT(SQRT(B23*Input!$C$3/10))</f>
        <v>186.14981386614235</v>
      </c>
      <c r="D23" s="39">
        <v>10</v>
      </c>
      <c r="E23" s="24" t="s">
        <v>942</v>
      </c>
      <c r="F23" s="39">
        <v>1</v>
      </c>
      <c r="G23" s="39">
        <v>30</v>
      </c>
      <c r="H23" s="51"/>
    </row>
    <row r="24" spans="1:12" ht="15" thickBot="1" x14ac:dyDescent="0.4">
      <c r="A24" t="s">
        <v>754</v>
      </c>
      <c r="B24" s="39">
        <v>10</v>
      </c>
      <c r="C24" s="39">
        <f>G24*SQRT(SQRT(B24*Input!$C$3/10))</f>
        <v>114.86486844103602</v>
      </c>
      <c r="D24" s="40">
        <v>10</v>
      </c>
      <c r="E24" s="33" t="s">
        <v>942</v>
      </c>
      <c r="F24" s="40">
        <v>1</v>
      </c>
      <c r="G24" s="40">
        <v>40</v>
      </c>
      <c r="H24" s="52"/>
    </row>
    <row r="25" spans="1:12" ht="15" thickBot="1" x14ac:dyDescent="0.4">
      <c r="A25" t="s">
        <v>953</v>
      </c>
      <c r="B25" s="39">
        <v>10</v>
      </c>
      <c r="C25" s="39">
        <f>G25*SQRT(SQRT(B25*Input!$C$3/10))</f>
        <v>157.93919410642454</v>
      </c>
      <c r="D25" s="45">
        <v>20</v>
      </c>
      <c r="E25" s="46" t="s">
        <v>942</v>
      </c>
      <c r="F25" s="45">
        <v>1.2</v>
      </c>
      <c r="G25" s="45">
        <v>55</v>
      </c>
      <c r="H25" s="5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148B3-0758-4879-9269-91BAC745D579}">
  <dimension ref="A1:T38"/>
  <sheetViews>
    <sheetView workbookViewId="0">
      <selection activeCell="A2" sqref="A2"/>
    </sheetView>
  </sheetViews>
  <sheetFormatPr defaultRowHeight="14.5" x14ac:dyDescent="0.35"/>
  <cols>
    <col min="1" max="1" width="23.1796875" bestFit="1" customWidth="1"/>
    <col min="2" max="3" width="23.1796875" customWidth="1"/>
    <col min="6" max="6" width="10.54296875" customWidth="1"/>
    <col min="9" max="10" width="11.54296875" customWidth="1"/>
    <col min="11" max="11" width="20" customWidth="1"/>
    <col min="12" max="14" width="6.54296875" style="65" bestFit="1" customWidth="1"/>
    <col min="15" max="16" width="6.54296875" style="65" customWidth="1"/>
    <col min="17" max="18" width="12.1796875" bestFit="1" customWidth="1"/>
    <col min="19" max="19" width="13" bestFit="1" customWidth="1"/>
    <col min="20" max="20" width="9.54296875" bestFit="1" customWidth="1"/>
  </cols>
  <sheetData>
    <row r="1" spans="1:20" s="2" customFormat="1" ht="29.5" thickBot="1" x14ac:dyDescent="0.4">
      <c r="A1" s="41" t="s">
        <v>1240</v>
      </c>
      <c r="B1" s="47" t="s">
        <v>67</v>
      </c>
      <c r="C1" s="71" t="s">
        <v>1322</v>
      </c>
      <c r="D1" t="s">
        <v>1334</v>
      </c>
      <c r="E1" t="s">
        <v>1241</v>
      </c>
      <c r="F1" t="s">
        <v>1242</v>
      </c>
      <c r="G1" t="s">
        <v>138</v>
      </c>
      <c r="H1" t="s">
        <v>1243</v>
      </c>
      <c r="I1" s="2" t="s">
        <v>123</v>
      </c>
      <c r="J1" s="2" t="s">
        <v>1342</v>
      </c>
      <c r="K1" s="2" t="s">
        <v>72</v>
      </c>
      <c r="L1" s="66" t="s">
        <v>955</v>
      </c>
      <c r="M1" s="66" t="s">
        <v>956</v>
      </c>
      <c r="N1" s="66" t="s">
        <v>957</v>
      </c>
      <c r="O1" s="66" t="s">
        <v>1333</v>
      </c>
      <c r="P1" s="66" t="s">
        <v>1341</v>
      </c>
      <c r="Q1" t="s">
        <v>1292</v>
      </c>
      <c r="R1" t="s">
        <v>1293</v>
      </c>
      <c r="S1" t="s">
        <v>1294</v>
      </c>
      <c r="T1" t="s">
        <v>1295</v>
      </c>
    </row>
    <row r="2" spans="1:20" ht="44" thickBot="1" x14ac:dyDescent="0.4">
      <c r="A2" s="42" t="s">
        <v>1244</v>
      </c>
      <c r="B2" s="48"/>
      <c r="C2" s="48" t="s">
        <v>1323</v>
      </c>
      <c r="D2" s="39">
        <v>400</v>
      </c>
      <c r="E2" s="24">
        <v>5</v>
      </c>
      <c r="F2" s="24">
        <v>3</v>
      </c>
      <c r="G2" s="24">
        <v>1</v>
      </c>
      <c r="H2" s="35" t="s">
        <v>1245</v>
      </c>
      <c r="I2" s="51"/>
      <c r="J2" s="51"/>
      <c r="K2" s="2" t="s">
        <v>1289</v>
      </c>
      <c r="L2" s="65">
        <f>Input!I5</f>
        <v>102.57142857142857</v>
      </c>
      <c r="Q2" s="39">
        <v>400</v>
      </c>
      <c r="R2" s="24">
        <v>5</v>
      </c>
      <c r="S2" s="24">
        <v>3</v>
      </c>
      <c r="T2" s="24">
        <v>1</v>
      </c>
    </row>
    <row r="3" spans="1:20" ht="29.5" thickBot="1" x14ac:dyDescent="0.4">
      <c r="A3" s="43" t="s">
        <v>1246</v>
      </c>
      <c r="B3" s="49"/>
      <c r="C3" s="49" t="s">
        <v>1324</v>
      </c>
      <c r="D3" s="40">
        <f>B3*10</f>
        <v>0</v>
      </c>
      <c r="E3" s="33">
        <f>2*(B3/10)^0.5</f>
        <v>0</v>
      </c>
      <c r="F3" s="33">
        <v>1</v>
      </c>
      <c r="G3" s="33"/>
      <c r="H3" s="36" t="s">
        <v>1247</v>
      </c>
      <c r="I3" s="52"/>
      <c r="J3" s="52"/>
      <c r="K3" s="2" t="s">
        <v>1290</v>
      </c>
      <c r="L3" s="65" cm="1">
        <f t="array" aca="1" ref="L3" ca="1">MAX(IF(Input!A2:A493="Badger",Input!B2:B493))</f>
        <v>71</v>
      </c>
      <c r="M3" s="65" cm="1">
        <f t="array" aca="1" ref="M3" ca="1">MAX(IF(Input!A2:A493="Flax",Input!B2:B493))</f>
        <v>243</v>
      </c>
      <c r="Q3" s="40">
        <v>100</v>
      </c>
      <c r="R3" s="33">
        <v>2</v>
      </c>
      <c r="S3" s="33">
        <v>1</v>
      </c>
      <c r="T3" s="33"/>
    </row>
    <row r="4" spans="1:20" ht="44" thickBot="1" x14ac:dyDescent="0.4">
      <c r="A4" s="42" t="s">
        <v>1248</v>
      </c>
      <c r="B4" s="48"/>
      <c r="C4" s="48" t="s">
        <v>1324</v>
      </c>
      <c r="D4" s="39">
        <v>138</v>
      </c>
      <c r="E4" s="24">
        <v>3</v>
      </c>
      <c r="F4" s="24">
        <v>3</v>
      </c>
      <c r="G4" s="24"/>
      <c r="H4" s="35" t="s">
        <v>1249</v>
      </c>
      <c r="I4" s="51">
        <f ca="1">AVERAGE(L4:N4)</f>
        <v>114.33333333333333</v>
      </c>
      <c r="J4" s="51"/>
      <c r="K4" s="2" t="s">
        <v>1291</v>
      </c>
      <c r="L4" s="65" cm="1">
        <f t="array" aca="1" ref="L4" ca="1">MAX(IF(Input!A2:A493="Bat",Input!B2:B493))</f>
        <v>50</v>
      </c>
      <c r="M4" s="65" cm="1">
        <f t="array" aca="1" ref="M4" ca="1">MAX(IF(Input!A2:A493="Bat",Input!B2:B493))</f>
        <v>50</v>
      </c>
      <c r="N4" s="65" cm="1">
        <f t="array" aca="1" ref="N4" ca="1">MAX(IF(Input!A2:A493="Flax",Input!B2:B493))</f>
        <v>243</v>
      </c>
      <c r="Q4" s="39">
        <v>138</v>
      </c>
      <c r="R4" s="24">
        <v>3</v>
      </c>
      <c r="S4" s="24">
        <v>3</v>
      </c>
      <c r="T4" s="24"/>
    </row>
    <row r="5" spans="1:20" ht="58.5" thickBot="1" x14ac:dyDescent="0.4">
      <c r="A5" s="43" t="s">
        <v>1250</v>
      </c>
      <c r="B5" s="49"/>
      <c r="C5" s="49" t="s">
        <v>1323</v>
      </c>
      <c r="D5" s="40">
        <v>15</v>
      </c>
      <c r="E5" s="33">
        <v>1</v>
      </c>
      <c r="F5" s="33">
        <v>2</v>
      </c>
      <c r="G5" s="33">
        <v>1</v>
      </c>
      <c r="H5" s="36" t="s">
        <v>946</v>
      </c>
      <c r="I5" s="52" t="e">
        <f>1/16*(7*L5+9*AVERAGE(M5:N5))</f>
        <v>#DIV/0!</v>
      </c>
      <c r="J5" s="52"/>
      <c r="K5" s="2" t="s">
        <v>1296</v>
      </c>
      <c r="M5" s="72"/>
      <c r="O5" s="65" cm="1">
        <f t="array" aca="1" ref="O5" ca="1">MAX(IF(Input!A2:A493="Flax",Input!B2:B493))</f>
        <v>243</v>
      </c>
      <c r="Q5" s="40">
        <v>15</v>
      </c>
      <c r="R5" s="33">
        <v>1</v>
      </c>
      <c r="S5" s="33">
        <v>2</v>
      </c>
      <c r="T5" s="33">
        <v>1</v>
      </c>
    </row>
    <row r="6" spans="1:20" ht="44.5" thickBot="1" x14ac:dyDescent="0.45">
      <c r="A6" s="42" t="s">
        <v>1251</v>
      </c>
      <c r="B6" s="48"/>
      <c r="C6" s="48"/>
      <c r="D6" s="39">
        <v>50</v>
      </c>
      <c r="E6" s="24">
        <v>1</v>
      </c>
      <c r="F6" s="24">
        <v>7</v>
      </c>
      <c r="G6" s="24"/>
      <c r="H6" s="35" t="s">
        <v>1252</v>
      </c>
      <c r="I6" s="51"/>
      <c r="J6" s="51"/>
      <c r="K6" s="2" t="s">
        <v>1297</v>
      </c>
      <c r="L6" s="73"/>
      <c r="N6" s="65" cm="1">
        <f t="array" aca="1" ref="N6" ca="1">MAX(IF(Input!A2:A493="Flax",Input!B2:B493))</f>
        <v>243</v>
      </c>
      <c r="Q6" s="39">
        <v>50</v>
      </c>
      <c r="R6" s="24">
        <v>1</v>
      </c>
      <c r="S6" s="24">
        <v>7</v>
      </c>
      <c r="T6" s="24"/>
    </row>
    <row r="7" spans="1:20" ht="73" thickBot="1" x14ac:dyDescent="0.4">
      <c r="A7" s="43" t="s">
        <v>1253</v>
      </c>
      <c r="B7" s="49"/>
      <c r="C7" s="49"/>
      <c r="D7" s="40">
        <v>75</v>
      </c>
      <c r="E7" s="33">
        <v>4</v>
      </c>
      <c r="F7" s="33">
        <v>5</v>
      </c>
      <c r="G7" s="33">
        <v>-3</v>
      </c>
      <c r="H7" s="36" t="s">
        <v>1254</v>
      </c>
      <c r="I7" s="52"/>
      <c r="J7" s="52"/>
      <c r="K7" s="2" t="s">
        <v>1298</v>
      </c>
      <c r="O7" s="65" cm="1">
        <f t="array" aca="1" ref="O7" ca="1">MAX(IF(Products!A1:A500="Bone Glue",Products!B1:B500))</f>
        <v>130</v>
      </c>
      <c r="Q7" s="40">
        <v>75</v>
      </c>
      <c r="R7" s="33">
        <v>4</v>
      </c>
      <c r="S7" s="33">
        <v>5</v>
      </c>
      <c r="T7" s="33">
        <v>-3</v>
      </c>
    </row>
    <row r="8" spans="1:20" ht="29.5" thickBot="1" x14ac:dyDescent="0.4">
      <c r="A8" s="42" t="s">
        <v>1255</v>
      </c>
      <c r="B8" s="48"/>
      <c r="C8" s="48"/>
      <c r="D8" s="39">
        <v>60</v>
      </c>
      <c r="E8" s="24">
        <v>2</v>
      </c>
      <c r="F8" s="24">
        <v>1</v>
      </c>
      <c r="G8" s="24"/>
      <c r="H8" s="35" t="s">
        <v>1256</v>
      </c>
      <c r="I8" s="51"/>
      <c r="J8" s="51" t="s">
        <v>1343</v>
      </c>
      <c r="K8" s="2" t="s">
        <v>1299</v>
      </c>
      <c r="M8" s="65" cm="1">
        <f t="array" aca="1" ref="M8" ca="1">MAX(IF(Input!A2:A493="Flax",Input!B2:B493))</f>
        <v>243</v>
      </c>
      <c r="Q8" s="39">
        <v>60</v>
      </c>
      <c r="R8" s="24">
        <v>2</v>
      </c>
      <c r="S8" s="24">
        <v>1</v>
      </c>
      <c r="T8" s="24"/>
    </row>
    <row r="9" spans="1:20" ht="44" thickBot="1" x14ac:dyDescent="0.4">
      <c r="A9" s="43" t="s">
        <v>1257</v>
      </c>
      <c r="B9" s="49"/>
      <c r="C9" s="49"/>
      <c r="D9" s="40">
        <v>40</v>
      </c>
      <c r="E9" s="33">
        <v>8</v>
      </c>
      <c r="F9" s="33">
        <v>5</v>
      </c>
      <c r="G9" s="33">
        <v>-2</v>
      </c>
      <c r="H9" s="36" t="s">
        <v>1252</v>
      </c>
      <c r="I9" s="52"/>
      <c r="J9" s="52"/>
      <c r="K9" s="2" t="s">
        <v>1300</v>
      </c>
      <c r="L9" s="65">
        <f>Input!I5</f>
        <v>102.57142857142857</v>
      </c>
      <c r="Q9" s="40">
        <v>40</v>
      </c>
      <c r="R9" s="33">
        <v>8</v>
      </c>
      <c r="S9" s="33">
        <v>5</v>
      </c>
      <c r="T9" s="33">
        <v>-2</v>
      </c>
    </row>
    <row r="10" spans="1:20" ht="44" thickBot="1" x14ac:dyDescent="0.4">
      <c r="A10" s="42" t="s">
        <v>1258</v>
      </c>
      <c r="B10" s="48"/>
      <c r="C10" s="48"/>
      <c r="D10" s="39">
        <v>450</v>
      </c>
      <c r="E10" s="24">
        <v>20</v>
      </c>
      <c r="F10" s="24">
        <v>15</v>
      </c>
      <c r="G10" s="24">
        <v>-7</v>
      </c>
      <c r="H10" s="35" t="s">
        <v>1259</v>
      </c>
      <c r="I10" s="51"/>
      <c r="J10" s="51"/>
      <c r="K10" s="2" t="s">
        <v>1301</v>
      </c>
      <c r="L10" s="65">
        <f>Input!I5</f>
        <v>102.57142857142857</v>
      </c>
      <c r="Q10" s="39">
        <v>450</v>
      </c>
      <c r="R10" s="24">
        <v>20</v>
      </c>
      <c r="S10" s="24">
        <v>15</v>
      </c>
      <c r="T10" s="24">
        <v>-7</v>
      </c>
    </row>
    <row r="11" spans="1:20" ht="29.5" thickBot="1" x14ac:dyDescent="0.4">
      <c r="A11" s="43" t="s">
        <v>1260</v>
      </c>
      <c r="B11" s="49"/>
      <c r="C11" s="49"/>
      <c r="D11" s="40">
        <v>500</v>
      </c>
      <c r="E11" s="33">
        <v>15</v>
      </c>
      <c r="F11" s="33">
        <v>15</v>
      </c>
      <c r="G11" s="33">
        <v>-5</v>
      </c>
      <c r="H11" s="36" t="s">
        <v>1259</v>
      </c>
      <c r="I11" s="52"/>
      <c r="J11" s="52"/>
      <c r="K11" s="2" t="s">
        <v>1302</v>
      </c>
      <c r="L11" s="65">
        <f>Input!I5</f>
        <v>102.57142857142857</v>
      </c>
      <c r="Q11" s="40">
        <v>500</v>
      </c>
      <c r="R11" s="33">
        <v>15</v>
      </c>
      <c r="S11" s="33">
        <v>15</v>
      </c>
      <c r="T11" s="33">
        <v>-5</v>
      </c>
    </row>
    <row r="12" spans="1:20" ht="44" thickBot="1" x14ac:dyDescent="0.4">
      <c r="A12" s="42" t="s">
        <v>1261</v>
      </c>
      <c r="B12" s="48"/>
      <c r="C12" s="48"/>
      <c r="D12" s="39">
        <v>50</v>
      </c>
      <c r="E12" s="24">
        <v>0</v>
      </c>
      <c r="F12" s="24">
        <v>2</v>
      </c>
      <c r="G12" s="24">
        <v>-1</v>
      </c>
      <c r="H12" s="35" t="s">
        <v>1252</v>
      </c>
      <c r="I12" s="51"/>
      <c r="J12" s="51"/>
      <c r="K12" s="2" t="s">
        <v>1303</v>
      </c>
      <c r="N12" s="65" cm="1">
        <f t="array" aca="1" ref="N12" ca="1">MAX(IF(Input!A2:A493="Flax",Input!B2:B493))</f>
        <v>243</v>
      </c>
      <c r="Q12" s="39">
        <v>50</v>
      </c>
      <c r="R12" s="24">
        <v>0</v>
      </c>
      <c r="S12" s="24">
        <v>2</v>
      </c>
      <c r="T12" s="24">
        <v>-1</v>
      </c>
    </row>
    <row r="13" spans="1:20" ht="29.5" thickBot="1" x14ac:dyDescent="0.4">
      <c r="A13" s="43" t="s">
        <v>1262</v>
      </c>
      <c r="B13" s="49"/>
      <c r="C13" s="49"/>
      <c r="D13" s="40">
        <v>400</v>
      </c>
      <c r="E13" s="33">
        <v>15</v>
      </c>
      <c r="F13" s="33">
        <v>15</v>
      </c>
      <c r="G13" s="33">
        <v>2</v>
      </c>
      <c r="H13" s="36" t="s">
        <v>1259</v>
      </c>
      <c r="I13" s="52"/>
      <c r="J13" s="52"/>
      <c r="K13" s="2" t="s">
        <v>1304</v>
      </c>
      <c r="M13" s="65" cm="1">
        <f t="array" aca="1" ref="M13" ca="1">MAX(IF(Input!A2:A493="Flax",Input!B2:B493))</f>
        <v>243</v>
      </c>
      <c r="Q13" s="40">
        <v>400</v>
      </c>
      <c r="R13" s="33">
        <v>15</v>
      </c>
      <c r="S13" s="33">
        <v>15</v>
      </c>
      <c r="T13" s="33">
        <v>2</v>
      </c>
    </row>
    <row r="14" spans="1:20" ht="73" thickBot="1" x14ac:dyDescent="0.4">
      <c r="A14" s="42" t="s">
        <v>1263</v>
      </c>
      <c r="B14" s="48"/>
      <c r="C14" s="48"/>
      <c r="D14" s="39">
        <v>200</v>
      </c>
      <c r="E14" s="24">
        <v>9</v>
      </c>
      <c r="F14" s="24">
        <v>9</v>
      </c>
      <c r="G14" s="24">
        <v>-1</v>
      </c>
      <c r="H14" s="35" t="s">
        <v>1252</v>
      </c>
      <c r="I14" s="51"/>
      <c r="J14" s="51"/>
      <c r="K14" s="2" t="s">
        <v>1305</v>
      </c>
      <c r="L14" s="65">
        <f>Input!I5</f>
        <v>102.57142857142857</v>
      </c>
      <c r="Q14" s="39">
        <v>200</v>
      </c>
      <c r="R14" s="24">
        <v>9</v>
      </c>
      <c r="S14" s="24">
        <v>9</v>
      </c>
      <c r="T14" s="24">
        <v>-1</v>
      </c>
    </row>
    <row r="15" spans="1:20" ht="44" thickBot="1" x14ac:dyDescent="0.4">
      <c r="A15" s="43" t="s">
        <v>1264</v>
      </c>
      <c r="B15" s="49"/>
      <c r="C15" s="49"/>
      <c r="D15" s="40">
        <v>45</v>
      </c>
      <c r="E15" s="33">
        <v>8</v>
      </c>
      <c r="F15" s="33">
        <v>4</v>
      </c>
      <c r="G15" s="33">
        <v>-1</v>
      </c>
      <c r="H15" s="36" t="s">
        <v>1252</v>
      </c>
      <c r="I15" s="52"/>
      <c r="J15" s="52"/>
      <c r="K15" s="2" t="s">
        <v>1306</v>
      </c>
      <c r="L15" s="65">
        <f>Input!I5</f>
        <v>102.57142857142857</v>
      </c>
      <c r="Q15" s="40">
        <v>45</v>
      </c>
      <c r="R15" s="33">
        <v>8</v>
      </c>
      <c r="S15" s="33">
        <v>4</v>
      </c>
      <c r="T15" s="33">
        <v>-1</v>
      </c>
    </row>
    <row r="16" spans="1:20" ht="44" thickBot="1" x14ac:dyDescent="0.4">
      <c r="A16" s="42" t="s">
        <v>1265</v>
      </c>
      <c r="B16" s="48"/>
      <c r="C16" s="48"/>
      <c r="D16" s="39">
        <v>250</v>
      </c>
      <c r="E16" s="24">
        <v>6</v>
      </c>
      <c r="F16" s="24">
        <v>10</v>
      </c>
      <c r="G16" s="24">
        <v>-1</v>
      </c>
      <c r="H16" s="35" t="s">
        <v>1252</v>
      </c>
      <c r="I16" s="51">
        <f>1/16*(AVERAGE(L16:N16)*9+Table57[[#This Row],[Current Quality]]*4+Tools!B14*3)</f>
        <v>94.571428571428569</v>
      </c>
      <c r="J16" s="51"/>
      <c r="K16" s="2" t="s">
        <v>1307</v>
      </c>
      <c r="L16" s="65">
        <f>Input!I5</f>
        <v>102.57142857142857</v>
      </c>
      <c r="Q16" s="39">
        <v>250</v>
      </c>
      <c r="R16" s="24">
        <v>6</v>
      </c>
      <c r="S16" s="24">
        <v>10</v>
      </c>
      <c r="T16" s="24">
        <v>-1</v>
      </c>
    </row>
    <row r="17" spans="1:20" ht="44" thickBot="1" x14ac:dyDescent="0.4">
      <c r="A17" s="43" t="s">
        <v>1266</v>
      </c>
      <c r="B17" s="49"/>
      <c r="C17" s="49"/>
      <c r="D17" s="40">
        <v>45</v>
      </c>
      <c r="E17" s="33">
        <v>6</v>
      </c>
      <c r="F17" s="33">
        <v>4</v>
      </c>
      <c r="G17" s="33">
        <v>-2</v>
      </c>
      <c r="H17" s="36" t="s">
        <v>1252</v>
      </c>
      <c r="I17" s="52"/>
      <c r="J17" s="52"/>
      <c r="K17" s="2" t="s">
        <v>1308</v>
      </c>
      <c r="L17" s="65">
        <f>Input!I5</f>
        <v>102.57142857142857</v>
      </c>
      <c r="Q17" s="40">
        <v>45</v>
      </c>
      <c r="R17" s="33">
        <v>6</v>
      </c>
      <c r="S17" s="33">
        <v>4</v>
      </c>
      <c r="T17" s="33">
        <v>-2</v>
      </c>
    </row>
    <row r="18" spans="1:20" ht="73" thickBot="1" x14ac:dyDescent="0.4">
      <c r="A18" s="42" t="s">
        <v>1267</v>
      </c>
      <c r="B18" s="48"/>
      <c r="C18" s="48"/>
      <c r="D18" s="39">
        <v>150</v>
      </c>
      <c r="E18" s="24">
        <v>4</v>
      </c>
      <c r="F18" s="24">
        <v>5</v>
      </c>
      <c r="G18" s="24">
        <v>5</v>
      </c>
      <c r="H18" s="35" t="s">
        <v>1252</v>
      </c>
      <c r="I18" s="51"/>
      <c r="J18" s="51"/>
      <c r="K18" s="2" t="s">
        <v>1309</v>
      </c>
      <c r="N18" s="65" cm="1">
        <f t="array" aca="1" ref="N18" ca="1">MAX(IF(Products!A1:A500="Bone Glue",Products!B1:B500))</f>
        <v>130</v>
      </c>
      <c r="Q18" s="39">
        <v>150</v>
      </c>
      <c r="R18" s="24">
        <v>4</v>
      </c>
      <c r="S18" s="24">
        <v>5</v>
      </c>
      <c r="T18" s="24">
        <v>5</v>
      </c>
    </row>
    <row r="19" spans="1:20" ht="29.5" thickBot="1" x14ac:dyDescent="0.4">
      <c r="A19" s="43" t="s">
        <v>1268</v>
      </c>
      <c r="B19" s="49"/>
      <c r="C19" s="49"/>
      <c r="D19" s="40">
        <v>100</v>
      </c>
      <c r="E19" s="33">
        <v>4</v>
      </c>
      <c r="F19" s="33">
        <v>5</v>
      </c>
      <c r="G19" s="33">
        <v>-1</v>
      </c>
      <c r="H19" s="36" t="s">
        <v>1259</v>
      </c>
      <c r="I19" s="52"/>
      <c r="J19" s="52"/>
      <c r="K19" s="2" t="s">
        <v>1310</v>
      </c>
      <c r="M19" s="65" cm="1">
        <f t="array" aca="1" ref="M19" ca="1">MAX(IF(Input!A2:A493="Flax",Input!B2:B493))</f>
        <v>243</v>
      </c>
      <c r="Q19" s="40">
        <v>100</v>
      </c>
      <c r="R19" s="33">
        <v>4</v>
      </c>
      <c r="S19" s="33">
        <v>5</v>
      </c>
      <c r="T19" s="33">
        <v>-1</v>
      </c>
    </row>
    <row r="20" spans="1:20" ht="29.5" thickBot="1" x14ac:dyDescent="0.4">
      <c r="A20" s="42" t="s">
        <v>1269</v>
      </c>
      <c r="B20" s="48"/>
      <c r="C20" s="48"/>
      <c r="D20" s="39">
        <v>15</v>
      </c>
      <c r="E20" s="24">
        <v>1</v>
      </c>
      <c r="F20" s="24">
        <v>3</v>
      </c>
      <c r="G20" s="24"/>
      <c r="H20" s="35" t="s">
        <v>1245</v>
      </c>
      <c r="I20" s="51"/>
      <c r="J20" s="51"/>
      <c r="K20" s="2" t="s">
        <v>1311</v>
      </c>
      <c r="M20" s="72" cm="1">
        <f t="array" aca="1" ref="M20" ca="1">MAX(IF(Input!A2:A493="Flax",Input!B2:B493))</f>
        <v>243</v>
      </c>
      <c r="N20" s="72"/>
      <c r="O20" s="72"/>
      <c r="P20" s="72"/>
      <c r="Q20" s="39">
        <v>15</v>
      </c>
      <c r="R20" s="24">
        <v>1</v>
      </c>
      <c r="S20" s="24">
        <v>3</v>
      </c>
      <c r="T20" s="24"/>
    </row>
    <row r="21" spans="1:20" ht="29.5" thickBot="1" x14ac:dyDescent="0.4">
      <c r="A21" s="43" t="s">
        <v>1270</v>
      </c>
      <c r="B21" s="49"/>
      <c r="C21" s="49"/>
      <c r="D21" s="40">
        <v>75</v>
      </c>
      <c r="E21" s="33">
        <v>3</v>
      </c>
      <c r="F21" s="33">
        <v>4</v>
      </c>
      <c r="G21" s="33">
        <v>-2</v>
      </c>
      <c r="H21" s="36" t="s">
        <v>1254</v>
      </c>
      <c r="I21" s="52"/>
      <c r="J21" s="52"/>
      <c r="K21" s="2" t="s">
        <v>1312</v>
      </c>
      <c r="M21" s="65" cm="1">
        <f t="array" aca="1" ref="M21" ca="1">MAX(IF(Input!A2:A493="Flax",Input!B2:B493))</f>
        <v>243</v>
      </c>
      <c r="Q21" s="40">
        <v>75</v>
      </c>
      <c r="R21" s="33">
        <v>3</v>
      </c>
      <c r="S21" s="33">
        <v>4</v>
      </c>
      <c r="T21" s="33">
        <v>-2</v>
      </c>
    </row>
    <row r="22" spans="1:20" ht="44" thickBot="1" x14ac:dyDescent="0.4">
      <c r="A22" s="42" t="s">
        <v>1271</v>
      </c>
      <c r="B22" s="48"/>
      <c r="C22" s="48"/>
      <c r="D22" s="39">
        <v>600</v>
      </c>
      <c r="E22" s="24">
        <v>15</v>
      </c>
      <c r="F22" s="24">
        <v>20</v>
      </c>
      <c r="G22" s="24">
        <v>-5</v>
      </c>
      <c r="H22" s="35" t="s">
        <v>1259</v>
      </c>
      <c r="I22" s="52" t="e">
        <f>AVERAGE(L22:N22)</f>
        <v>#DIV/0!</v>
      </c>
      <c r="J22" s="52"/>
      <c r="K22" s="2" t="s">
        <v>1313</v>
      </c>
      <c r="Q22" s="39">
        <v>600</v>
      </c>
      <c r="R22" s="24">
        <v>15</v>
      </c>
      <c r="S22" s="24">
        <v>20</v>
      </c>
      <c r="T22" s="24">
        <v>-5</v>
      </c>
    </row>
    <row r="23" spans="1:20" ht="44" thickBot="1" x14ac:dyDescent="0.4">
      <c r="A23" s="43" t="s">
        <v>1272</v>
      </c>
      <c r="B23" s="49"/>
      <c r="C23" s="49"/>
      <c r="D23" s="40">
        <v>85</v>
      </c>
      <c r="E23" s="33">
        <v>2</v>
      </c>
      <c r="F23" s="33">
        <v>4</v>
      </c>
      <c r="G23" s="33"/>
      <c r="H23" s="36" t="s">
        <v>1252</v>
      </c>
      <c r="I23" s="51"/>
      <c r="J23" s="51"/>
      <c r="K23" s="2" t="s">
        <v>1314</v>
      </c>
      <c r="L23" s="65">
        <f>Input!I5</f>
        <v>102.57142857142857</v>
      </c>
      <c r="Q23" s="40">
        <v>85</v>
      </c>
      <c r="R23" s="33">
        <v>2</v>
      </c>
      <c r="S23" s="33">
        <v>4</v>
      </c>
      <c r="T23" s="33"/>
    </row>
    <row r="24" spans="1:20" ht="44" thickBot="1" x14ac:dyDescent="0.4">
      <c r="A24" s="42" t="s">
        <v>1273</v>
      </c>
      <c r="B24" s="48"/>
      <c r="C24" s="48"/>
      <c r="D24" s="39">
        <v>100</v>
      </c>
      <c r="E24" s="24">
        <v>25</v>
      </c>
      <c r="F24" s="24">
        <v>15</v>
      </c>
      <c r="G24" s="24">
        <v>-10</v>
      </c>
      <c r="H24" s="35" t="s">
        <v>1259</v>
      </c>
      <c r="I24" s="52"/>
      <c r="J24" s="52"/>
      <c r="K24" s="2" t="s">
        <v>1315</v>
      </c>
      <c r="L24" s="65">
        <f>Input!I5</f>
        <v>102.57142857142857</v>
      </c>
      <c r="Q24" s="39">
        <v>100</v>
      </c>
      <c r="R24" s="24">
        <v>25</v>
      </c>
      <c r="S24" s="24">
        <v>15</v>
      </c>
      <c r="T24" s="24">
        <v>-10</v>
      </c>
    </row>
    <row r="25" spans="1:20" ht="44" thickBot="1" x14ac:dyDescent="0.4">
      <c r="A25" s="43" t="s">
        <v>1274</v>
      </c>
      <c r="B25" s="49"/>
      <c r="C25" s="49"/>
      <c r="D25" s="40">
        <v>450</v>
      </c>
      <c r="E25" s="33">
        <v>7</v>
      </c>
      <c r="F25" s="33">
        <v>5</v>
      </c>
      <c r="G25" s="33">
        <v>-2</v>
      </c>
      <c r="H25" s="36" t="s">
        <v>1245</v>
      </c>
      <c r="I25" s="51"/>
      <c r="J25" s="51"/>
      <c r="K25" s="2" t="s">
        <v>1316</v>
      </c>
      <c r="L25" s="65">
        <f>Input!I5</f>
        <v>102.57142857142857</v>
      </c>
      <c r="Q25" s="40">
        <v>450</v>
      </c>
      <c r="R25" s="33">
        <v>7</v>
      </c>
      <c r="S25" s="33">
        <v>5</v>
      </c>
      <c r="T25" s="33">
        <v>-2</v>
      </c>
    </row>
    <row r="26" spans="1:20" ht="44" thickBot="1" x14ac:dyDescent="0.4">
      <c r="A26" s="42" t="s">
        <v>1275</v>
      </c>
      <c r="B26" s="48"/>
      <c r="C26" s="48"/>
      <c r="D26" s="39">
        <v>30</v>
      </c>
      <c r="E26" s="24">
        <v>2</v>
      </c>
      <c r="F26" s="24">
        <v>4</v>
      </c>
      <c r="G26" s="24">
        <v>-1</v>
      </c>
      <c r="H26" s="35" t="s">
        <v>946</v>
      </c>
      <c r="K26" s="2" t="s">
        <v>1317</v>
      </c>
      <c r="L26" s="65">
        <f>Input!I5</f>
        <v>102.57142857142857</v>
      </c>
      <c r="Q26" s="39">
        <v>30</v>
      </c>
      <c r="R26" s="24">
        <v>2</v>
      </c>
      <c r="S26" s="24">
        <v>4</v>
      </c>
      <c r="T26" s="24">
        <v>-1</v>
      </c>
    </row>
    <row r="27" spans="1:20" ht="44" thickBot="1" x14ac:dyDescent="0.4">
      <c r="A27" s="43" t="s">
        <v>1276</v>
      </c>
      <c r="B27" s="49"/>
      <c r="C27" s="49"/>
      <c r="D27" s="40">
        <v>100</v>
      </c>
      <c r="E27" s="33">
        <v>18</v>
      </c>
      <c r="F27" s="33">
        <v>8</v>
      </c>
      <c r="G27" s="33">
        <v>-10</v>
      </c>
      <c r="H27" s="36" t="s">
        <v>1254</v>
      </c>
      <c r="K27" s="2" t="s">
        <v>1318</v>
      </c>
      <c r="L27" s="65">
        <f>Input!I5</f>
        <v>102.57142857142857</v>
      </c>
      <c r="Q27" s="40">
        <v>100</v>
      </c>
      <c r="R27" s="33">
        <v>18</v>
      </c>
      <c r="S27" s="33">
        <v>8</v>
      </c>
      <c r="T27" s="33">
        <v>-10</v>
      </c>
    </row>
    <row r="28" spans="1:20" ht="29.5" thickBot="1" x14ac:dyDescent="0.4">
      <c r="A28" s="42" t="s">
        <v>1277</v>
      </c>
      <c r="B28" s="48"/>
      <c r="C28" s="48"/>
      <c r="D28" s="39">
        <v>60</v>
      </c>
      <c r="E28" s="24">
        <v>9</v>
      </c>
      <c r="F28" s="24">
        <v>6</v>
      </c>
      <c r="G28" s="24">
        <v>-2</v>
      </c>
      <c r="H28" s="35" t="s">
        <v>1252</v>
      </c>
      <c r="K28" s="2" t="s">
        <v>1319</v>
      </c>
      <c r="L28" s="65">
        <f>Input!I5</f>
        <v>102.57142857142857</v>
      </c>
      <c r="Q28" s="39">
        <v>60</v>
      </c>
      <c r="R28" s="24">
        <v>9</v>
      </c>
      <c r="S28" s="24">
        <v>6</v>
      </c>
      <c r="T28" s="24">
        <v>-2</v>
      </c>
    </row>
    <row r="29" spans="1:20" ht="29.5" thickBot="1" x14ac:dyDescent="0.4">
      <c r="A29" s="43" t="s">
        <v>1278</v>
      </c>
      <c r="B29" s="49"/>
      <c r="C29" s="49"/>
      <c r="D29" s="40">
        <v>70</v>
      </c>
      <c r="E29" s="33">
        <v>6</v>
      </c>
      <c r="F29" s="33">
        <v>4</v>
      </c>
      <c r="G29" s="33"/>
      <c r="H29" s="36" t="s">
        <v>1252</v>
      </c>
      <c r="K29" s="2" t="s">
        <v>1320</v>
      </c>
      <c r="Q29" s="40">
        <v>70</v>
      </c>
      <c r="R29" s="33">
        <v>6</v>
      </c>
      <c r="S29" s="33">
        <v>4</v>
      </c>
      <c r="T29" s="33"/>
    </row>
    <row r="30" spans="1:20" ht="44" thickBot="1" x14ac:dyDescent="0.4">
      <c r="A30" s="42" t="s">
        <v>1279</v>
      </c>
      <c r="B30" s="48"/>
      <c r="C30" s="48" t="s">
        <v>1324</v>
      </c>
      <c r="D30" s="39">
        <v>58</v>
      </c>
      <c r="E30" s="24">
        <v>3</v>
      </c>
      <c r="F30" s="24">
        <v>3</v>
      </c>
      <c r="G30" s="24"/>
      <c r="H30" s="35" t="s">
        <v>1245</v>
      </c>
      <c r="K30" s="2" t="s">
        <v>1321</v>
      </c>
      <c r="Q30" s="39">
        <v>58</v>
      </c>
      <c r="R30" s="24">
        <v>3</v>
      </c>
      <c r="S30" s="24">
        <v>3</v>
      </c>
      <c r="T30" s="24"/>
    </row>
    <row r="31" spans="1:20" ht="44" thickBot="1" x14ac:dyDescent="0.4">
      <c r="A31" s="43" t="s">
        <v>1280</v>
      </c>
      <c r="B31" s="49"/>
      <c r="C31" s="49" t="s">
        <v>1323</v>
      </c>
      <c r="D31" s="40">
        <v>90</v>
      </c>
      <c r="E31" s="33">
        <v>8</v>
      </c>
      <c r="F31" s="33">
        <v>8</v>
      </c>
      <c r="G31" s="33">
        <v>-1</v>
      </c>
      <c r="H31" s="36" t="s">
        <v>1252</v>
      </c>
      <c r="K31" s="2" t="s">
        <v>1325</v>
      </c>
      <c r="L31" s="65">
        <f>Input!I5</f>
        <v>102.57142857142857</v>
      </c>
      <c r="Q31" s="40">
        <v>90</v>
      </c>
      <c r="R31" s="33">
        <v>8</v>
      </c>
      <c r="S31" s="33">
        <v>8</v>
      </c>
      <c r="T31" s="33">
        <v>-1</v>
      </c>
    </row>
    <row r="32" spans="1:20" ht="44" thickBot="1" x14ac:dyDescent="0.4">
      <c r="A32" s="42" t="s">
        <v>1281</v>
      </c>
      <c r="B32" s="48"/>
      <c r="C32" s="48"/>
      <c r="D32" s="39">
        <v>100</v>
      </c>
      <c r="E32" s="24">
        <v>2</v>
      </c>
      <c r="F32" s="24">
        <v>3</v>
      </c>
      <c r="G32" s="24">
        <v>-1</v>
      </c>
      <c r="H32" s="35" t="s">
        <v>1252</v>
      </c>
      <c r="K32" s="2" t="s">
        <v>1326</v>
      </c>
      <c r="M32" s="65" cm="1">
        <f t="array" aca="1" ref="M32" ca="1">MAX(IF(Input!A2:A493="Flax",Input!B2:B493))</f>
        <v>243</v>
      </c>
      <c r="N32" s="65" cm="1">
        <f t="array" aca="1" ref="N32" ca="1">MAX(IF(Input!A2:A493="Sand",Input!B2:B493))</f>
        <v>35</v>
      </c>
      <c r="Q32" s="39">
        <v>100</v>
      </c>
      <c r="R32" s="24">
        <v>2</v>
      </c>
      <c r="S32" s="24">
        <v>3</v>
      </c>
      <c r="T32" s="24">
        <v>-1</v>
      </c>
    </row>
    <row r="33" spans="1:20" ht="44" thickBot="1" x14ac:dyDescent="0.4">
      <c r="A33" s="43" t="s">
        <v>1282</v>
      </c>
      <c r="B33" s="49"/>
      <c r="C33" s="49"/>
      <c r="D33" s="40">
        <v>100</v>
      </c>
      <c r="E33" s="33">
        <v>3</v>
      </c>
      <c r="F33" s="33">
        <v>4</v>
      </c>
      <c r="G33" s="33"/>
      <c r="H33" s="36" t="s">
        <v>1283</v>
      </c>
      <c r="K33" s="2" t="s">
        <v>1327</v>
      </c>
      <c r="M33" s="65" cm="1">
        <f t="array" aca="1" ref="M33" ca="1">MAX(IF((Input!A2:A493="Sheep")+(Input!A2:A493="Goat"),Input!B2:B493))</f>
        <v>70</v>
      </c>
      <c r="N33" s="65" cm="1">
        <f t="array" aca="1" ref="N33" ca="1">MAX(IF(Input!A2:A493="Flax",Input!B2:B493))</f>
        <v>243</v>
      </c>
      <c r="Q33" s="40">
        <v>100</v>
      </c>
      <c r="R33" s="33">
        <v>3</v>
      </c>
      <c r="S33" s="33">
        <v>4</v>
      </c>
      <c r="T33" s="33"/>
    </row>
    <row r="34" spans="1:20" ht="44" thickBot="1" x14ac:dyDescent="0.4">
      <c r="A34" s="42" t="s">
        <v>1284</v>
      </c>
      <c r="B34" s="48"/>
      <c r="C34" s="48"/>
      <c r="D34" s="39">
        <v>750</v>
      </c>
      <c r="E34" s="24">
        <v>7</v>
      </c>
      <c r="F34" s="24">
        <v>5</v>
      </c>
      <c r="G34" s="24">
        <v>1</v>
      </c>
      <c r="H34" s="35" t="s">
        <v>1247</v>
      </c>
      <c r="K34" s="2" t="s">
        <v>1328</v>
      </c>
      <c r="M34" s="65">
        <v>120</v>
      </c>
      <c r="N34" s="65">
        <v>120</v>
      </c>
      <c r="Q34" s="39">
        <v>750</v>
      </c>
      <c r="R34" s="24">
        <v>7</v>
      </c>
      <c r="S34" s="24">
        <v>5</v>
      </c>
      <c r="T34" s="24">
        <v>1</v>
      </c>
    </row>
    <row r="35" spans="1:20" ht="58.5" thickBot="1" x14ac:dyDescent="0.4">
      <c r="A35" s="43" t="s">
        <v>1285</v>
      </c>
      <c r="B35" s="49"/>
      <c r="C35" s="49"/>
      <c r="D35" s="40">
        <v>250</v>
      </c>
      <c r="E35" s="33">
        <v>10</v>
      </c>
      <c r="F35" s="33">
        <v>6</v>
      </c>
      <c r="G35" s="33">
        <v>1</v>
      </c>
      <c r="H35" s="36" t="s">
        <v>1252</v>
      </c>
      <c r="K35" s="2" t="s">
        <v>1329</v>
      </c>
      <c r="L35" s="65">
        <f>Input!I5</f>
        <v>102.57142857142857</v>
      </c>
      <c r="Q35" s="40">
        <v>250</v>
      </c>
      <c r="R35" s="33">
        <v>10</v>
      </c>
      <c r="S35" s="33">
        <v>6</v>
      </c>
      <c r="T35" s="33">
        <v>1</v>
      </c>
    </row>
    <row r="36" spans="1:20" ht="29.5" thickBot="1" x14ac:dyDescent="0.4">
      <c r="A36" s="42" t="s">
        <v>1286</v>
      </c>
      <c r="B36" s="48"/>
      <c r="C36" s="48"/>
      <c r="D36" s="39">
        <v>75</v>
      </c>
      <c r="E36" s="24">
        <v>3</v>
      </c>
      <c r="F36" s="24">
        <v>1</v>
      </c>
      <c r="G36" s="24"/>
      <c r="H36" s="35" t="s">
        <v>942</v>
      </c>
      <c r="K36" s="2" t="s">
        <v>1330</v>
      </c>
      <c r="Q36" s="39">
        <v>75</v>
      </c>
      <c r="R36" s="24">
        <v>3</v>
      </c>
      <c r="S36" s="24">
        <v>1</v>
      </c>
      <c r="T36" s="24"/>
    </row>
    <row r="37" spans="1:20" ht="44" thickBot="1" x14ac:dyDescent="0.4">
      <c r="A37" s="43" t="s">
        <v>1287</v>
      </c>
      <c r="B37" s="49"/>
      <c r="C37" s="49"/>
      <c r="D37" s="40">
        <v>140</v>
      </c>
      <c r="E37" s="33">
        <v>2</v>
      </c>
      <c r="F37" s="33">
        <v>3</v>
      </c>
      <c r="G37" s="33">
        <v>-1</v>
      </c>
      <c r="H37" s="36" t="s">
        <v>1259</v>
      </c>
      <c r="K37" s="2" t="s">
        <v>1331</v>
      </c>
      <c r="M37" s="65" cm="1">
        <f t="array" aca="1" ref="M37" ca="1">MAX(IF(Input!A2:A493="Flax",Input!B2:B493))</f>
        <v>243</v>
      </c>
      <c r="N37" s="65" cm="1">
        <f t="array" aca="1" ref="N37" ca="1">MAX(IF(Products!A1:A500="Bone Glue",Products!B1:B500))</f>
        <v>130</v>
      </c>
      <c r="Q37" s="40">
        <v>140</v>
      </c>
      <c r="R37" s="33">
        <v>2</v>
      </c>
      <c r="S37" s="33">
        <v>3</v>
      </c>
      <c r="T37" s="33">
        <v>-1</v>
      </c>
    </row>
    <row r="38" spans="1:20" ht="44" thickBot="1" x14ac:dyDescent="0.4">
      <c r="A38" s="44" t="s">
        <v>1288</v>
      </c>
      <c r="B38" s="50"/>
      <c r="C38" s="50"/>
      <c r="D38" s="45">
        <v>140</v>
      </c>
      <c r="E38" s="46">
        <v>2</v>
      </c>
      <c r="F38" s="46">
        <v>2</v>
      </c>
      <c r="G38" s="46">
        <v>-1</v>
      </c>
      <c r="H38" s="70" t="s">
        <v>1254</v>
      </c>
      <c r="K38" s="2" t="s">
        <v>1332</v>
      </c>
      <c r="M38" s="65" cm="1">
        <f t="array" aca="1" ref="M38" ca="1">MAX(IF(Input!A2:A493="Flax",Input!B2:B493))</f>
        <v>243</v>
      </c>
      <c r="N38" s="65" cm="1">
        <f t="array" aca="1" ref="N38" ca="1">MAX(IF(Products!A1:A500="Bone Glue",Products!B1:B500))</f>
        <v>130</v>
      </c>
      <c r="Q38" s="45">
        <v>140</v>
      </c>
      <c r="R38" s="46">
        <v>2</v>
      </c>
      <c r="S38" s="46">
        <v>2</v>
      </c>
      <c r="T38" s="46">
        <v>-1</v>
      </c>
    </row>
  </sheetData>
  <phoneticPr fontId="6" type="noConversion"/>
  <hyperlinks>
    <hyperlink ref="A2" r:id="rId1" tooltip="Armored Striders" display="https://ringofbrodgar.com/wiki/Armored_Striders" xr:uid="{77E42461-BFEA-4077-A8BE-F21858EB3EED}"/>
    <hyperlink ref="A3" r:id="rId2" tooltip="Badger Hide Vest" display="https://ringofbrodgar.com/wiki/Badger_Hide_Vest" xr:uid="{C8B3333C-309C-406B-9B35-2552A7C0C501}"/>
    <hyperlink ref="A4" r:id="rId3" tooltip="Bat Wing" display="https://ringofbrodgar.com/wiki/Bat_Wing" xr:uid="{5D8F4FF5-EEC5-4079-A70D-2EE292971D04}"/>
    <hyperlink ref="A5" r:id="rId4" tooltip="Beaver Wrist Guards" display="https://ringofbrodgar.com/wiki/Beaver_Wrist_Guards" xr:uid="{17F4A22D-F408-4765-A20D-8F1D9573F338}"/>
    <hyperlink ref="A6" r:id="rId5" tooltip="Boar Tusk Helmet" display="https://ringofbrodgar.com/wiki/Boar_Tusk_Helmet" xr:uid="{DAE8BEAD-8724-4BF5-B171-5A39A8345B44}"/>
    <hyperlink ref="A7" r:id="rId6" tooltip="Bone Greaves" display="https://ringofbrodgar.com/wiki/Bone_Greaves" xr:uid="{B8F593AD-E9B7-4AAA-ABA3-C602AA2BAE6B}"/>
    <hyperlink ref="A8" r:id="rId7" tooltip="Boreworm Mask" display="https://ringofbrodgar.com/wiki/Boreworm_Mask" xr:uid="{206496B0-DFD7-4909-8914-D37B2CB57199}"/>
    <hyperlink ref="A9" r:id="rId8" tooltip="Bronze Helm" display="https://ringofbrodgar.com/wiki/Bronze_Helm" xr:uid="{9DF4E992-AE24-4CF7-928F-A5E7E205C53C}"/>
    <hyperlink ref="A10" r:id="rId9" tooltip="Bronze Plate" display="https://ringofbrodgar.com/wiki/Bronze_Plate" xr:uid="{13DDF68D-0C1F-469B-81C7-E52C236C023F}"/>
    <hyperlink ref="A11" r:id="rId10" tooltip="Chainmail Shirt" display="https://ringofbrodgar.com/wiki/Chainmail_Shirt" xr:uid="{068A28BB-4C6B-4A4A-A4B5-5E191D36DA70}"/>
    <hyperlink ref="A12" r:id="rId11" tooltip="Chitin Helmet" display="https://ringofbrodgar.com/wiki/Chitin_Helmet" xr:uid="{AF532B30-3A04-4D04-A8DE-0D94C9C0B7E8}"/>
    <hyperlink ref="A13" r:id="rId12" tooltip="Cutthroat Cuirass" display="https://ringofbrodgar.com/wiki/Cutthroat_Cuirass" xr:uid="{97BAFCA1-0962-42F9-BB2E-731E054A38E0}"/>
    <hyperlink ref="A14" r:id="rId13" tooltip="Dragon Helm" display="https://ringofbrodgar.com/wiki/Dragon_Helm" xr:uid="{89AA320F-55B5-4C1E-B132-5F265F8C38EC}"/>
    <hyperlink ref="A15" r:id="rId14" tooltip="Druid's Helm" display="https://ringofbrodgar.com/wiki/Druid%27s_Helm" xr:uid="{49AD6C0A-8263-458C-B47E-86460ED8584D}"/>
    <hyperlink ref="A16" r:id="rId15" tooltip="Grand Troll Helm" display="https://ringofbrodgar.com/wiki/Grand_Troll_Helm" xr:uid="{35748F43-336C-490F-9B96-490ADF60C574}"/>
    <hyperlink ref="A17" r:id="rId16" tooltip="Hirdsman's Helmet" display="https://ringofbrodgar.com/wiki/Hirdsman%27s_Helmet" xr:uid="{3EF7D4A1-98AD-4D52-AF00-1530708A8DDE}"/>
    <hyperlink ref="A18" r:id="rId17" tooltip="Horse Nomad's Helm" display="https://ringofbrodgar.com/wiki/Horse_Nomad%27s_Helm" xr:uid="{D7FEE602-6E24-46EB-8A38-55E49DB0C99A}"/>
    <hyperlink ref="A19" r:id="rId18" tooltip="Leather Armor" display="https://ringofbrodgar.com/wiki/Leather_Armor" xr:uid="{C91DA0E6-F82F-4D17-AA9F-2D459779D6EB}"/>
    <hyperlink ref="A20" r:id="rId19" tooltip="Leather Boots" display="https://ringofbrodgar.com/wiki/Leather_Boots" xr:uid="{19D7CC7E-5060-4D44-9C7B-0178D969F5FD}"/>
    <hyperlink ref="A21" r:id="rId20" tooltip="Leather Pants" display="https://ringofbrodgar.com/wiki/Leather_Pants" xr:uid="{3BE6F22D-1006-47E7-A01B-41B296F21702}"/>
    <hyperlink ref="A22" r:id="rId21" tooltip="Mammoth Guard" display="https://ringofbrodgar.com/wiki/Mammoth_Guard" xr:uid="{24915970-7063-4FE5-9BC6-0ABDE8251CAB}"/>
    <hyperlink ref="A23" r:id="rId22" tooltip="Miner's Helm" display="https://ringofbrodgar.com/wiki/Miner%27s_Helm" xr:uid="{905782AF-5112-4DEA-BB08-1528F31B0B37}"/>
    <hyperlink ref="A24" r:id="rId23" tooltip="Plate Armor" display="https://ringofbrodgar.com/wiki/Plate_Armor" xr:uid="{732DF218-18CA-4544-86BB-62C976971F81}"/>
    <hyperlink ref="A25" r:id="rId24" tooltip="Plate Boots" display="https://ringofbrodgar.com/wiki/Plate_Boots" xr:uid="{AA40CE71-B4D2-46CA-821E-5A584D962F1C}"/>
    <hyperlink ref="A26" r:id="rId25" tooltip="Plate Gauntlets" display="https://ringofbrodgar.com/wiki/Plate_Gauntlets" xr:uid="{57ECC832-555A-407E-8068-FDD4A69BF9CD}"/>
    <hyperlink ref="A27" r:id="rId26" tooltip="Plate Greaves" display="https://ringofbrodgar.com/wiki/Plate_Greaves" xr:uid="{F2FA3BE7-E4C3-4BF4-8EB3-BEE51A055F31}"/>
    <hyperlink ref="A28" r:id="rId27" tooltip="Plate Helmet" display="https://ringofbrodgar.com/wiki/Plate_Helmet" xr:uid="{876B81A5-15C8-4DD6-B88D-F149FE9B2610}"/>
    <hyperlink ref="A29" r:id="rId28" tooltip="Raider's Cap" display="https://ringofbrodgar.com/wiki/Raider%27s_Cap" xr:uid="{0ECE2A3A-2835-4893-A3F3-D8A46A4E6D92}"/>
    <hyperlink ref="A30" r:id="rId29" tooltip="Ranger's Boots" display="https://ringofbrodgar.com/wiki/Ranger%27s_Boots" xr:uid="{C0103A48-296F-4935-861E-64E334EE6A20}"/>
    <hyperlink ref="A31" r:id="rId30" tooltip="Thane's Helm" display="https://ringofbrodgar.com/wiki/Thane%27s_Helm" xr:uid="{CE72D53E-0D3A-4F46-9D0C-7988138CD6AA}"/>
    <hyperlink ref="A32" r:id="rId31" tooltip="Turtleshell Helmet" display="https://ringofbrodgar.com/wiki/Turtleshell_Helmet" xr:uid="{335CA923-4359-4B72-A6C2-51259765C9AE}"/>
    <hyperlink ref="A33" r:id="rId32" tooltip="Vapntreyiu" display="https://ringofbrodgar.com/wiki/Vapntreyiu" xr:uid="{43676E88-671F-4128-B4F2-42786D4A6345}"/>
    <hyperlink ref="A34" r:id="rId33" tooltip="Whaler's Jacket" display="https://ringofbrodgar.com/wiki/Whaler%27s_Jacket" xr:uid="{E4E9DE8B-09E5-4CA5-9096-B969153ACFC5}"/>
    <hyperlink ref="A35" r:id="rId34" tooltip="Winged Helmet" display="https://ringofbrodgar.com/wiki/Winged_Helmet" xr:uid="{CA0003A9-52B4-4ACB-BCDD-E69A12F45BA2}"/>
    <hyperlink ref="A36" r:id="rId35" tooltip="Wooden Roundshield" display="https://ringofbrodgar.com/wiki/Wooden_Roundshield" xr:uid="{728D2509-851D-4B49-904A-EBD159543CB4}"/>
    <hyperlink ref="A37" r:id="rId36" tooltip="Woodland Cuirass" display="https://ringofbrodgar.com/wiki/Woodland_Cuirass" xr:uid="{295FA142-DE53-486C-9E14-DCC2DCCD137C}"/>
    <hyperlink ref="A38" r:id="rId37" tooltip="Woodland Greaves" display="https://ringofbrodgar.com/wiki/Woodland_Greaves" xr:uid="{449329D8-2CCE-41E1-B4E6-D49977322922}"/>
  </hyperlinks>
  <pageMargins left="0.7" right="0.7" top="0.75" bottom="0.75" header="0.3" footer="0.3"/>
  <pageSetup orientation="portrait" r:id="rId3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AFFA-FF83-AD4E-A58D-99FA4BFE3CAD}">
  <dimension ref="A1:L52"/>
  <sheetViews>
    <sheetView topLeftCell="A6" zoomScaleNormal="100" zoomScaleSheetLayoutView="100" workbookViewId="0">
      <selection activeCell="E13" sqref="E13"/>
    </sheetView>
  </sheetViews>
  <sheetFormatPr defaultRowHeight="14.5" x14ac:dyDescent="0.35"/>
  <cols>
    <col min="1" max="1" width="21.1796875" bestFit="1" customWidth="1"/>
    <col min="5" max="5" width="34.453125" bestFit="1" customWidth="1"/>
  </cols>
  <sheetData>
    <row r="1" spans="1:12" x14ac:dyDescent="0.35">
      <c r="A1" t="s">
        <v>0</v>
      </c>
    </row>
    <row r="2" spans="1:12" x14ac:dyDescent="0.35">
      <c r="A2" t="s">
        <v>1</v>
      </c>
      <c r="B2" t="s">
        <v>2</v>
      </c>
      <c r="D2" t="s">
        <v>3</v>
      </c>
      <c r="E2" t="s">
        <v>4</v>
      </c>
      <c r="F2" t="s">
        <v>6</v>
      </c>
      <c r="G2" t="s">
        <v>7</v>
      </c>
      <c r="H2" t="s">
        <v>8</v>
      </c>
      <c r="I2" t="s">
        <v>9</v>
      </c>
      <c r="J2" t="s">
        <v>10</v>
      </c>
      <c r="K2" t="s">
        <v>11</v>
      </c>
      <c r="L2" t="s">
        <v>12</v>
      </c>
    </row>
    <row r="3" spans="1:12" ht="29" x14ac:dyDescent="0.35">
      <c r="A3" s="2" t="s">
        <v>17</v>
      </c>
      <c r="B3" s="2" t="s">
        <v>5</v>
      </c>
      <c r="C3" s="2">
        <v>1.5</v>
      </c>
      <c r="D3" s="2">
        <v>2.5</v>
      </c>
      <c r="E3" s="2" t="s">
        <v>1373</v>
      </c>
    </row>
    <row r="4" spans="1:12" x14ac:dyDescent="0.35">
      <c r="A4" s="2" t="s">
        <v>18</v>
      </c>
      <c r="B4" s="2" t="s">
        <v>5</v>
      </c>
      <c r="C4" s="2">
        <v>0.2</v>
      </c>
      <c r="D4" s="2">
        <v>2</v>
      </c>
      <c r="E4" s="2" t="s">
        <v>1366</v>
      </c>
    </row>
    <row r="5" spans="1:12" ht="29" x14ac:dyDescent="0.35">
      <c r="A5" s="2" t="s">
        <v>19</v>
      </c>
      <c r="B5" s="2" t="s">
        <v>5</v>
      </c>
      <c r="C5" s="2">
        <v>2</v>
      </c>
      <c r="D5" s="2">
        <v>4</v>
      </c>
      <c r="E5" s="2" t="s">
        <v>1374</v>
      </c>
    </row>
    <row r="6" spans="1:12" ht="29" x14ac:dyDescent="0.35">
      <c r="A6" s="2" t="s">
        <v>20</v>
      </c>
      <c r="B6" s="2" t="s">
        <v>5</v>
      </c>
      <c r="C6" s="2">
        <v>2</v>
      </c>
      <c r="D6" s="2">
        <v>10</v>
      </c>
      <c r="E6" s="2" t="s">
        <v>1375</v>
      </c>
    </row>
    <row r="7" spans="1:12" ht="29" x14ac:dyDescent="0.35">
      <c r="A7" s="2" t="s">
        <v>21</v>
      </c>
      <c r="B7" s="2" t="s">
        <v>5</v>
      </c>
      <c r="C7" s="2">
        <v>0.5</v>
      </c>
      <c r="D7" s="2">
        <v>3</v>
      </c>
      <c r="E7" s="2" t="s">
        <v>1376</v>
      </c>
    </row>
    <row r="8" spans="1:12" ht="29" x14ac:dyDescent="0.35">
      <c r="A8" s="2" t="s">
        <v>22</v>
      </c>
      <c r="B8" s="2" t="s">
        <v>5</v>
      </c>
      <c r="C8" s="2">
        <v>1</v>
      </c>
      <c r="D8" s="2">
        <v>15</v>
      </c>
      <c r="E8" s="2" t="s">
        <v>1394</v>
      </c>
    </row>
    <row r="9" spans="1:12" x14ac:dyDescent="0.35">
      <c r="A9" s="2" t="s">
        <v>23</v>
      </c>
      <c r="B9" s="2" t="s">
        <v>5</v>
      </c>
      <c r="C9" s="2">
        <v>2</v>
      </c>
      <c r="D9" s="2">
        <v>6</v>
      </c>
      <c r="E9" s="2" t="s">
        <v>1390</v>
      </c>
    </row>
    <row r="10" spans="1:12" x14ac:dyDescent="0.35">
      <c r="A10" s="2" t="s">
        <v>24</v>
      </c>
      <c r="B10" s="2" t="s">
        <v>5</v>
      </c>
      <c r="C10" s="2">
        <v>1</v>
      </c>
      <c r="D10" s="2">
        <v>8</v>
      </c>
      <c r="E10" s="2" t="s">
        <v>1377</v>
      </c>
    </row>
    <row r="11" spans="1:12" x14ac:dyDescent="0.35">
      <c r="A11" s="2" t="s">
        <v>25</v>
      </c>
      <c r="B11" s="2" t="s">
        <v>5</v>
      </c>
      <c r="C11" s="2">
        <v>1</v>
      </c>
      <c r="D11" s="2">
        <v>10</v>
      </c>
      <c r="E11" s="2" t="s">
        <v>1361</v>
      </c>
    </row>
    <row r="12" spans="1:12" x14ac:dyDescent="0.35">
      <c r="A12" s="2" t="s">
        <v>26</v>
      </c>
      <c r="B12" s="2" t="s">
        <v>5</v>
      </c>
      <c r="C12" s="2">
        <v>1.5</v>
      </c>
      <c r="D12" s="2">
        <v>10</v>
      </c>
      <c r="E12" s="2" t="s">
        <v>1391</v>
      </c>
    </row>
    <row r="13" spans="1:12" ht="29" x14ac:dyDescent="0.35">
      <c r="A13" s="2" t="s">
        <v>27</v>
      </c>
      <c r="B13" s="2" t="s">
        <v>5</v>
      </c>
      <c r="C13" s="2">
        <v>0.7</v>
      </c>
      <c r="D13" s="2">
        <v>5</v>
      </c>
      <c r="E13" s="2" t="s">
        <v>1395</v>
      </c>
    </row>
    <row r="14" spans="1:12" ht="29" x14ac:dyDescent="0.35">
      <c r="A14" s="2" t="s">
        <v>28</v>
      </c>
      <c r="B14" s="2" t="s">
        <v>5</v>
      </c>
      <c r="C14" s="2">
        <v>1.5</v>
      </c>
      <c r="D14" s="2">
        <v>12.5</v>
      </c>
      <c r="E14" s="2" t="s">
        <v>1396</v>
      </c>
    </row>
    <row r="15" spans="1:12" ht="29" x14ac:dyDescent="0.35">
      <c r="A15" s="2" t="s">
        <v>29</v>
      </c>
      <c r="B15" s="2" t="s">
        <v>5</v>
      </c>
      <c r="C15" s="2">
        <v>3.5</v>
      </c>
      <c r="D15" s="2">
        <v>35</v>
      </c>
      <c r="E15" s="2" t="s">
        <v>1397</v>
      </c>
    </row>
    <row r="16" spans="1:12" ht="29" x14ac:dyDescent="0.35">
      <c r="A16" s="2" t="s">
        <v>30</v>
      </c>
      <c r="B16" s="2" t="s">
        <v>5</v>
      </c>
      <c r="C16" s="2">
        <v>2.5</v>
      </c>
      <c r="D16" s="2">
        <v>25</v>
      </c>
      <c r="E16" s="2" t="s">
        <v>1398</v>
      </c>
    </row>
    <row r="17" spans="1:5" x14ac:dyDescent="0.35">
      <c r="A17" s="2" t="s">
        <v>31</v>
      </c>
      <c r="B17" s="2" t="s">
        <v>5</v>
      </c>
      <c r="C17" s="2">
        <v>1</v>
      </c>
      <c r="D17" s="2">
        <v>6</v>
      </c>
      <c r="E17" s="2" t="s">
        <v>1378</v>
      </c>
    </row>
    <row r="18" spans="1:5" x14ac:dyDescent="0.35">
      <c r="A18" s="2" t="s">
        <v>32</v>
      </c>
      <c r="B18" s="2" t="s">
        <v>5</v>
      </c>
      <c r="C18" s="2">
        <v>0</v>
      </c>
      <c r="D18" s="2">
        <v>10</v>
      </c>
      <c r="E18" s="2" t="s">
        <v>1367</v>
      </c>
    </row>
    <row r="19" spans="1:5" x14ac:dyDescent="0.35">
      <c r="A19" s="2" t="s">
        <v>33</v>
      </c>
      <c r="B19" s="2" t="s">
        <v>5</v>
      </c>
      <c r="C19" s="2">
        <v>1</v>
      </c>
      <c r="D19" s="2">
        <v>8</v>
      </c>
      <c r="E19" s="2" t="s">
        <v>1392</v>
      </c>
    </row>
    <row r="20" spans="1:5" x14ac:dyDescent="0.35">
      <c r="A20" s="2" t="s">
        <v>34</v>
      </c>
      <c r="B20" s="2" t="s">
        <v>5</v>
      </c>
      <c r="C20" s="2">
        <v>0</v>
      </c>
      <c r="D20" s="2">
        <v>1</v>
      </c>
      <c r="E20" s="2" t="s">
        <v>1368</v>
      </c>
    </row>
    <row r="21" spans="1:5" x14ac:dyDescent="0.35">
      <c r="A21" s="2" t="s">
        <v>35</v>
      </c>
      <c r="B21" s="2" t="s">
        <v>5</v>
      </c>
      <c r="C21" s="2">
        <v>1</v>
      </c>
      <c r="D21" s="2">
        <v>10</v>
      </c>
      <c r="E21" s="2" t="s">
        <v>1369</v>
      </c>
    </row>
    <row r="22" spans="1:5" x14ac:dyDescent="0.35">
      <c r="A22" s="2" t="s">
        <v>36</v>
      </c>
      <c r="B22" s="2" t="s">
        <v>5</v>
      </c>
      <c r="C22" s="2">
        <v>1</v>
      </c>
      <c r="D22" s="2">
        <v>3</v>
      </c>
      <c r="E22" s="2" t="s">
        <v>1359</v>
      </c>
    </row>
    <row r="23" spans="1:5" x14ac:dyDescent="0.35">
      <c r="A23" s="2" t="s">
        <v>37</v>
      </c>
      <c r="B23" s="2" t="s">
        <v>5</v>
      </c>
      <c r="C23" s="2">
        <v>0</v>
      </c>
      <c r="D23" s="2">
        <v>15</v>
      </c>
      <c r="E23" s="2" t="s">
        <v>1359</v>
      </c>
    </row>
    <row r="24" spans="1:5" x14ac:dyDescent="0.35">
      <c r="A24" s="2" t="s">
        <v>38</v>
      </c>
      <c r="B24" s="2" t="s">
        <v>5</v>
      </c>
      <c r="C24" s="2">
        <v>0</v>
      </c>
      <c r="D24" s="2">
        <v>4.5</v>
      </c>
      <c r="E24" s="2" t="s">
        <v>1360</v>
      </c>
    </row>
    <row r="25" spans="1:5" x14ac:dyDescent="0.35">
      <c r="A25" s="2" t="s">
        <v>39</v>
      </c>
      <c r="B25" s="2" t="s">
        <v>5</v>
      </c>
      <c r="C25" s="2">
        <v>1</v>
      </c>
      <c r="D25" s="2">
        <v>7</v>
      </c>
      <c r="E25" s="2" t="s">
        <v>1360</v>
      </c>
    </row>
    <row r="26" spans="1:5" x14ac:dyDescent="0.35">
      <c r="A26" s="2" t="s">
        <v>40</v>
      </c>
      <c r="B26" s="2" t="s">
        <v>5</v>
      </c>
      <c r="C26" s="2">
        <v>2</v>
      </c>
      <c r="D26" s="2">
        <v>16</v>
      </c>
      <c r="E26" s="2" t="s">
        <v>1379</v>
      </c>
    </row>
    <row r="27" spans="1:5" x14ac:dyDescent="0.35">
      <c r="A27" s="2" t="s">
        <v>41</v>
      </c>
      <c r="B27" s="2" t="s">
        <v>5</v>
      </c>
      <c r="C27" s="2">
        <v>0</v>
      </c>
      <c r="D27" s="2">
        <v>2</v>
      </c>
      <c r="E27" s="2" t="s">
        <v>1361</v>
      </c>
    </row>
    <row r="28" spans="1:5" x14ac:dyDescent="0.35">
      <c r="A28" s="2" t="s">
        <v>42</v>
      </c>
      <c r="B28" s="2" t="s">
        <v>5</v>
      </c>
      <c r="C28" s="2">
        <v>2</v>
      </c>
      <c r="D28" s="2">
        <v>7</v>
      </c>
      <c r="E28" s="2" t="s">
        <v>1380</v>
      </c>
    </row>
    <row r="29" spans="1:5" x14ac:dyDescent="0.35">
      <c r="A29" s="2" t="s">
        <v>43</v>
      </c>
      <c r="B29" s="2" t="s">
        <v>5</v>
      </c>
      <c r="C29" s="2">
        <v>1</v>
      </c>
      <c r="D29" s="2">
        <v>10</v>
      </c>
      <c r="E29" s="2" t="s">
        <v>1381</v>
      </c>
    </row>
    <row r="30" spans="1:5" x14ac:dyDescent="0.35">
      <c r="A30" s="2" t="s">
        <v>44</v>
      </c>
      <c r="B30" s="2" t="s">
        <v>5</v>
      </c>
      <c r="C30" s="2">
        <v>1</v>
      </c>
      <c r="D30" s="2">
        <v>9</v>
      </c>
      <c r="E30" s="2" t="s">
        <v>1393</v>
      </c>
    </row>
    <row r="31" spans="1:5" x14ac:dyDescent="0.35">
      <c r="A31" s="2" t="s">
        <v>45</v>
      </c>
      <c r="B31" s="2" t="s">
        <v>5</v>
      </c>
      <c r="C31" s="2">
        <v>2</v>
      </c>
      <c r="D31" s="2">
        <v>20</v>
      </c>
      <c r="E31" s="2" t="s">
        <v>1362</v>
      </c>
    </row>
    <row r="32" spans="1:5" x14ac:dyDescent="0.35">
      <c r="A32" s="2" t="s">
        <v>46</v>
      </c>
      <c r="B32" s="2" t="s">
        <v>5</v>
      </c>
      <c r="C32" s="2">
        <v>3</v>
      </c>
      <c r="D32" s="2">
        <v>5</v>
      </c>
      <c r="E32" s="2" t="s">
        <v>1363</v>
      </c>
    </row>
    <row r="33" spans="1:5" x14ac:dyDescent="0.35">
      <c r="A33" s="2" t="s">
        <v>47</v>
      </c>
      <c r="B33" s="2" t="s">
        <v>5</v>
      </c>
      <c r="C33" s="2">
        <v>2</v>
      </c>
      <c r="D33" s="2">
        <v>25</v>
      </c>
      <c r="E33" s="2" t="s">
        <v>1363</v>
      </c>
    </row>
    <row r="34" spans="1:5" x14ac:dyDescent="0.35">
      <c r="A34" s="2" t="s">
        <v>48</v>
      </c>
      <c r="B34" s="2" t="s">
        <v>5</v>
      </c>
      <c r="C34" s="2">
        <v>1.5</v>
      </c>
      <c r="D34" s="2">
        <v>10</v>
      </c>
      <c r="E34" s="2" t="s">
        <v>1382</v>
      </c>
    </row>
    <row r="35" spans="1:5" x14ac:dyDescent="0.35">
      <c r="A35" s="2" t="s">
        <v>49</v>
      </c>
      <c r="B35" s="2" t="s">
        <v>5</v>
      </c>
      <c r="C35" s="2">
        <v>2</v>
      </c>
      <c r="D35" s="2">
        <v>30</v>
      </c>
      <c r="E35" s="2" t="s">
        <v>1383</v>
      </c>
    </row>
    <row r="36" spans="1:5" x14ac:dyDescent="0.35">
      <c r="A36" s="2" t="s">
        <v>50</v>
      </c>
      <c r="B36" s="2" t="s">
        <v>5</v>
      </c>
      <c r="C36" s="2">
        <v>2.5</v>
      </c>
      <c r="D36" s="2">
        <v>25</v>
      </c>
      <c r="E36" s="2" t="s">
        <v>1383</v>
      </c>
    </row>
    <row r="37" spans="1:5" x14ac:dyDescent="0.35">
      <c r="A37" s="2" t="s">
        <v>51</v>
      </c>
      <c r="B37" s="2" t="s">
        <v>5</v>
      </c>
      <c r="C37" s="2">
        <v>2</v>
      </c>
      <c r="D37" s="2">
        <v>10</v>
      </c>
      <c r="E37" s="2" t="s">
        <v>1384</v>
      </c>
    </row>
    <row r="38" spans="1:5" x14ac:dyDescent="0.35">
      <c r="A38" s="2" t="s">
        <v>52</v>
      </c>
      <c r="B38" s="2" t="s">
        <v>5</v>
      </c>
      <c r="C38" s="2">
        <v>0</v>
      </c>
      <c r="D38" s="2">
        <v>10</v>
      </c>
      <c r="E38" s="2" t="s">
        <v>1378</v>
      </c>
    </row>
    <row r="39" spans="1:5" x14ac:dyDescent="0.35">
      <c r="A39" s="2" t="s">
        <v>53</v>
      </c>
      <c r="B39" s="2" t="s">
        <v>5</v>
      </c>
      <c r="C39" s="2">
        <v>0</v>
      </c>
      <c r="D39" s="2">
        <v>5</v>
      </c>
      <c r="E39" s="2" t="s">
        <v>1385</v>
      </c>
    </row>
    <row r="40" spans="1:5" x14ac:dyDescent="0.35">
      <c r="A40" s="2" t="s">
        <v>54</v>
      </c>
      <c r="B40" s="2" t="s">
        <v>5</v>
      </c>
      <c r="C40" s="2">
        <v>1.2</v>
      </c>
      <c r="D40" s="2">
        <v>8</v>
      </c>
      <c r="E40" s="2" t="s">
        <v>1361</v>
      </c>
    </row>
    <row r="41" spans="1:5" x14ac:dyDescent="0.35">
      <c r="A41" s="2" t="s">
        <v>55</v>
      </c>
      <c r="B41" s="2" t="s">
        <v>5</v>
      </c>
      <c r="C41" s="2">
        <v>0.5</v>
      </c>
      <c r="D41" s="2">
        <v>7</v>
      </c>
      <c r="E41" s="2" t="s">
        <v>1386</v>
      </c>
    </row>
    <row r="42" spans="1:5" x14ac:dyDescent="0.35">
      <c r="A42" s="2" t="s">
        <v>56</v>
      </c>
      <c r="B42" s="2" t="s">
        <v>5</v>
      </c>
      <c r="C42" s="2">
        <v>1</v>
      </c>
      <c r="D42" s="2">
        <v>10</v>
      </c>
      <c r="E42" s="2" t="s">
        <v>1379</v>
      </c>
    </row>
    <row r="43" spans="1:5" x14ac:dyDescent="0.35">
      <c r="A43" s="2" t="s">
        <v>57</v>
      </c>
      <c r="B43" s="2" t="s">
        <v>5</v>
      </c>
      <c r="C43" s="2">
        <v>1</v>
      </c>
      <c r="D43" s="2">
        <v>3</v>
      </c>
      <c r="E43" s="2" t="s">
        <v>1387</v>
      </c>
    </row>
    <row r="44" spans="1:5" x14ac:dyDescent="0.35">
      <c r="A44" s="2" t="s">
        <v>58</v>
      </c>
      <c r="B44" s="2" t="s">
        <v>5</v>
      </c>
      <c r="C44" s="2">
        <v>0.5</v>
      </c>
      <c r="D44" s="2">
        <v>7</v>
      </c>
      <c r="E44" s="2" t="s">
        <v>1388</v>
      </c>
    </row>
    <row r="45" spans="1:5" x14ac:dyDescent="0.35">
      <c r="A45" s="2" t="s">
        <v>59</v>
      </c>
      <c r="B45" s="2" t="s">
        <v>5</v>
      </c>
      <c r="C45" s="2">
        <v>0.5</v>
      </c>
      <c r="D45" s="2">
        <v>4</v>
      </c>
      <c r="E45" s="2" t="s">
        <v>1364</v>
      </c>
    </row>
    <row r="46" spans="1:5" x14ac:dyDescent="0.35">
      <c r="A46" s="2" t="s">
        <v>60</v>
      </c>
      <c r="B46" s="2" t="s">
        <v>5</v>
      </c>
      <c r="C46" s="2">
        <v>1</v>
      </c>
      <c r="D46" s="2">
        <v>2</v>
      </c>
      <c r="E46" s="2" t="s">
        <v>1370</v>
      </c>
    </row>
    <row r="47" spans="1:5" x14ac:dyDescent="0.35">
      <c r="A47" s="2" t="s">
        <v>61</v>
      </c>
      <c r="B47" s="2" t="s">
        <v>5</v>
      </c>
      <c r="C47" s="2">
        <v>1.5</v>
      </c>
      <c r="D47" s="2">
        <v>5</v>
      </c>
      <c r="E47" s="2" t="s">
        <v>1371</v>
      </c>
    </row>
    <row r="48" spans="1:5" x14ac:dyDescent="0.35">
      <c r="A48" s="2" t="s">
        <v>62</v>
      </c>
      <c r="B48" s="2" t="s">
        <v>5</v>
      </c>
      <c r="C48" s="2">
        <v>1</v>
      </c>
      <c r="D48" s="2">
        <v>10</v>
      </c>
      <c r="E48" s="2" t="s">
        <v>1371</v>
      </c>
    </row>
    <row r="49" spans="1:5" x14ac:dyDescent="0.35">
      <c r="A49" s="2" t="s">
        <v>63</v>
      </c>
      <c r="B49" s="2" t="s">
        <v>5</v>
      </c>
      <c r="C49" s="2">
        <v>0</v>
      </c>
      <c r="D49" s="2">
        <v>3</v>
      </c>
      <c r="E49" s="2" t="s">
        <v>1365</v>
      </c>
    </row>
    <row r="50" spans="1:5" x14ac:dyDescent="0.35">
      <c r="A50" s="2" t="s">
        <v>64</v>
      </c>
      <c r="B50" s="2" t="s">
        <v>5</v>
      </c>
      <c r="C50" s="2">
        <v>0</v>
      </c>
      <c r="D50" s="2">
        <v>5</v>
      </c>
      <c r="E50" s="2" t="s">
        <v>1389</v>
      </c>
    </row>
    <row r="51" spans="1:5" x14ac:dyDescent="0.35">
      <c r="A51" s="2" t="s">
        <v>65</v>
      </c>
      <c r="B51" s="2" t="s">
        <v>5</v>
      </c>
      <c r="C51" s="2">
        <v>0</v>
      </c>
      <c r="D51" s="2">
        <v>10</v>
      </c>
      <c r="E51" s="2" t="s">
        <v>1365</v>
      </c>
    </row>
    <row r="52" spans="1:5" x14ac:dyDescent="0.35">
      <c r="A52" s="2" t="s">
        <v>66</v>
      </c>
      <c r="B52" s="2" t="s">
        <v>5</v>
      </c>
      <c r="C52" s="2">
        <v>0</v>
      </c>
      <c r="D52" s="2">
        <v>20</v>
      </c>
      <c r="E52" s="2" t="s">
        <v>1372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91E47-EC54-46D9-B941-3F553EB473B3}">
  <dimension ref="A1:F38"/>
  <sheetViews>
    <sheetView tabSelected="1" workbookViewId="0">
      <selection activeCell="B2" sqref="B2"/>
    </sheetView>
  </sheetViews>
  <sheetFormatPr defaultRowHeight="14.5" x14ac:dyDescent="0.35"/>
  <sheetData>
    <row r="1" spans="1:6" ht="29.5" thickBot="1" x14ac:dyDescent="0.4">
      <c r="A1" s="41" t="s">
        <v>1240</v>
      </c>
      <c r="B1" s="75" t="s">
        <v>1399</v>
      </c>
      <c r="C1" s="75" t="s">
        <v>1241</v>
      </c>
      <c r="D1" s="75" t="s">
        <v>1242</v>
      </c>
      <c r="E1" s="75" t="s">
        <v>138</v>
      </c>
      <c r="F1" s="76" t="s">
        <v>1243</v>
      </c>
    </row>
    <row r="2" spans="1:6" ht="29.5" thickBot="1" x14ac:dyDescent="0.4">
      <c r="A2" s="42" t="s">
        <v>1244</v>
      </c>
      <c r="B2" s="39">
        <v>400</v>
      </c>
      <c r="C2" s="24">
        <v>5</v>
      </c>
      <c r="D2" s="24">
        <v>3</v>
      </c>
      <c r="E2" s="24">
        <v>1</v>
      </c>
      <c r="F2" s="35" t="s">
        <v>1245</v>
      </c>
    </row>
    <row r="3" spans="1:6" ht="29.5" thickBot="1" x14ac:dyDescent="0.4">
      <c r="A3" s="43" t="s">
        <v>1246</v>
      </c>
      <c r="B3" s="40">
        <v>100</v>
      </c>
      <c r="C3" s="33">
        <v>2</v>
      </c>
      <c r="D3" s="33">
        <v>1</v>
      </c>
      <c r="E3" s="33"/>
      <c r="F3" s="36" t="s">
        <v>1247</v>
      </c>
    </row>
    <row r="4" spans="1:6" ht="15" thickBot="1" x14ac:dyDescent="0.4">
      <c r="A4" s="42" t="s">
        <v>1248</v>
      </c>
      <c r="B4" s="39">
        <v>138</v>
      </c>
      <c r="C4" s="24">
        <v>3</v>
      </c>
      <c r="D4" s="24">
        <v>3</v>
      </c>
      <c r="E4" s="24"/>
      <c r="F4" s="35" t="s">
        <v>1249</v>
      </c>
    </row>
    <row r="5" spans="1:6" ht="44" thickBot="1" x14ac:dyDescent="0.4">
      <c r="A5" s="43" t="s">
        <v>1250</v>
      </c>
      <c r="B5" s="40">
        <v>15</v>
      </c>
      <c r="C5" s="33">
        <v>1</v>
      </c>
      <c r="D5" s="33">
        <v>2</v>
      </c>
      <c r="E5" s="33">
        <v>1</v>
      </c>
      <c r="F5" s="36" t="s">
        <v>946</v>
      </c>
    </row>
    <row r="6" spans="1:6" ht="29.5" thickBot="1" x14ac:dyDescent="0.4">
      <c r="A6" s="42" t="s">
        <v>1251</v>
      </c>
      <c r="B6" s="39">
        <v>50</v>
      </c>
      <c r="C6" s="24">
        <v>1</v>
      </c>
      <c r="D6" s="24">
        <v>7</v>
      </c>
      <c r="E6" s="24"/>
      <c r="F6" s="35" t="s">
        <v>1252</v>
      </c>
    </row>
    <row r="7" spans="1:6" ht="29.5" thickBot="1" x14ac:dyDescent="0.4">
      <c r="A7" s="43" t="s">
        <v>1253</v>
      </c>
      <c r="B7" s="40">
        <v>75</v>
      </c>
      <c r="C7" s="33">
        <v>4</v>
      </c>
      <c r="D7" s="33">
        <v>5</v>
      </c>
      <c r="E7" s="33">
        <v>-3</v>
      </c>
      <c r="F7" s="36" t="s">
        <v>1254</v>
      </c>
    </row>
    <row r="8" spans="1:6" ht="29.5" thickBot="1" x14ac:dyDescent="0.4">
      <c r="A8" s="42" t="s">
        <v>1255</v>
      </c>
      <c r="B8" s="39">
        <v>60</v>
      </c>
      <c r="C8" s="24">
        <v>2</v>
      </c>
      <c r="D8" s="24">
        <v>1</v>
      </c>
      <c r="E8" s="24"/>
      <c r="F8" s="35" t="s">
        <v>1256</v>
      </c>
    </row>
    <row r="9" spans="1:6" ht="29.5" thickBot="1" x14ac:dyDescent="0.4">
      <c r="A9" s="43" t="s">
        <v>1257</v>
      </c>
      <c r="B9" s="40">
        <v>40</v>
      </c>
      <c r="C9" s="33">
        <v>8</v>
      </c>
      <c r="D9" s="33">
        <v>5</v>
      </c>
      <c r="E9" s="33">
        <v>-2</v>
      </c>
      <c r="F9" s="36" t="s">
        <v>1252</v>
      </c>
    </row>
    <row r="10" spans="1:6" ht="29.5" thickBot="1" x14ac:dyDescent="0.4">
      <c r="A10" s="42" t="s">
        <v>1258</v>
      </c>
      <c r="B10" s="39">
        <v>450</v>
      </c>
      <c r="C10" s="24">
        <v>20</v>
      </c>
      <c r="D10" s="24">
        <v>15</v>
      </c>
      <c r="E10" s="24">
        <v>-7</v>
      </c>
      <c r="F10" s="35" t="s">
        <v>1259</v>
      </c>
    </row>
    <row r="11" spans="1:6" ht="29.5" thickBot="1" x14ac:dyDescent="0.4">
      <c r="A11" s="43" t="s">
        <v>1260</v>
      </c>
      <c r="B11" s="40">
        <v>500</v>
      </c>
      <c r="C11" s="33">
        <v>15</v>
      </c>
      <c r="D11" s="33">
        <v>15</v>
      </c>
      <c r="E11" s="33">
        <v>-5</v>
      </c>
      <c r="F11" s="36" t="s">
        <v>1259</v>
      </c>
    </row>
    <row r="12" spans="1:6" ht="29.5" thickBot="1" x14ac:dyDescent="0.4">
      <c r="A12" s="42" t="s">
        <v>1261</v>
      </c>
      <c r="B12" s="39">
        <v>50</v>
      </c>
      <c r="C12" s="24">
        <v>0</v>
      </c>
      <c r="D12" s="24">
        <v>2</v>
      </c>
      <c r="E12" s="24">
        <v>-1</v>
      </c>
      <c r="F12" s="35" t="s">
        <v>1252</v>
      </c>
    </row>
    <row r="13" spans="1:6" ht="29.5" thickBot="1" x14ac:dyDescent="0.4">
      <c r="A13" s="43" t="s">
        <v>1262</v>
      </c>
      <c r="B13" s="40">
        <v>400</v>
      </c>
      <c r="C13" s="33">
        <v>15</v>
      </c>
      <c r="D13" s="33">
        <v>15</v>
      </c>
      <c r="E13" s="33">
        <v>2</v>
      </c>
      <c r="F13" s="36" t="s">
        <v>1259</v>
      </c>
    </row>
    <row r="14" spans="1:6" ht="29.5" thickBot="1" x14ac:dyDescent="0.4">
      <c r="A14" s="42" t="s">
        <v>1263</v>
      </c>
      <c r="B14" s="39">
        <v>200</v>
      </c>
      <c r="C14" s="24">
        <v>9</v>
      </c>
      <c r="D14" s="24">
        <v>9</v>
      </c>
      <c r="E14" s="24">
        <v>-1</v>
      </c>
      <c r="F14" s="35" t="s">
        <v>1252</v>
      </c>
    </row>
    <row r="15" spans="1:6" ht="29.5" thickBot="1" x14ac:dyDescent="0.4">
      <c r="A15" s="43" t="s">
        <v>1264</v>
      </c>
      <c r="B15" s="40">
        <v>45</v>
      </c>
      <c r="C15" s="33">
        <v>8</v>
      </c>
      <c r="D15" s="33">
        <v>4</v>
      </c>
      <c r="E15" s="33">
        <v>-1</v>
      </c>
      <c r="F15" s="36" t="s">
        <v>1252</v>
      </c>
    </row>
    <row r="16" spans="1:6" ht="44" thickBot="1" x14ac:dyDescent="0.4">
      <c r="A16" s="42" t="s">
        <v>1265</v>
      </c>
      <c r="B16" s="39">
        <v>250</v>
      </c>
      <c r="C16" s="24">
        <v>6</v>
      </c>
      <c r="D16" s="24">
        <v>10</v>
      </c>
      <c r="E16" s="24">
        <v>-1</v>
      </c>
      <c r="F16" s="35" t="s">
        <v>1252</v>
      </c>
    </row>
    <row r="17" spans="1:6" ht="29.5" thickBot="1" x14ac:dyDescent="0.4">
      <c r="A17" s="43" t="s">
        <v>1266</v>
      </c>
      <c r="B17" s="40">
        <v>45</v>
      </c>
      <c r="C17" s="33">
        <v>6</v>
      </c>
      <c r="D17" s="33">
        <v>4</v>
      </c>
      <c r="E17" s="33">
        <v>-2</v>
      </c>
      <c r="F17" s="36" t="s">
        <v>1252</v>
      </c>
    </row>
    <row r="18" spans="1:6" ht="44" thickBot="1" x14ac:dyDescent="0.4">
      <c r="A18" s="42" t="s">
        <v>1267</v>
      </c>
      <c r="B18" s="39">
        <v>150</v>
      </c>
      <c r="C18" s="24">
        <v>4</v>
      </c>
      <c r="D18" s="24">
        <v>5</v>
      </c>
      <c r="E18" s="24">
        <v>5</v>
      </c>
      <c r="F18" s="35" t="s">
        <v>1252</v>
      </c>
    </row>
    <row r="19" spans="1:6" ht="29.5" thickBot="1" x14ac:dyDescent="0.4">
      <c r="A19" s="43" t="s">
        <v>1268</v>
      </c>
      <c r="B19" s="40">
        <v>100</v>
      </c>
      <c r="C19" s="33">
        <v>4</v>
      </c>
      <c r="D19" s="33">
        <v>5</v>
      </c>
      <c r="E19" s="33">
        <v>-1</v>
      </c>
      <c r="F19" s="36" t="s">
        <v>1259</v>
      </c>
    </row>
    <row r="20" spans="1:6" ht="29.5" thickBot="1" x14ac:dyDescent="0.4">
      <c r="A20" s="42" t="s">
        <v>1269</v>
      </c>
      <c r="B20" s="39">
        <v>15</v>
      </c>
      <c r="C20" s="24">
        <v>1</v>
      </c>
      <c r="D20" s="24">
        <v>3</v>
      </c>
      <c r="E20" s="24"/>
      <c r="F20" s="35" t="s">
        <v>1245</v>
      </c>
    </row>
    <row r="21" spans="1:6" ht="29.5" thickBot="1" x14ac:dyDescent="0.4">
      <c r="A21" s="43" t="s">
        <v>1270</v>
      </c>
      <c r="B21" s="40">
        <v>75</v>
      </c>
      <c r="C21" s="33">
        <v>3</v>
      </c>
      <c r="D21" s="33">
        <v>4</v>
      </c>
      <c r="E21" s="33">
        <v>-2</v>
      </c>
      <c r="F21" s="36" t="s">
        <v>1254</v>
      </c>
    </row>
    <row r="22" spans="1:6" ht="29.5" thickBot="1" x14ac:dyDescent="0.4">
      <c r="A22" s="42" t="s">
        <v>1271</v>
      </c>
      <c r="B22" s="39">
        <v>600</v>
      </c>
      <c r="C22" s="24">
        <v>15</v>
      </c>
      <c r="D22" s="24">
        <v>20</v>
      </c>
      <c r="E22" s="24">
        <v>-5</v>
      </c>
      <c r="F22" s="35" t="s">
        <v>1259</v>
      </c>
    </row>
    <row r="23" spans="1:6" ht="29.5" thickBot="1" x14ac:dyDescent="0.4">
      <c r="A23" s="43" t="s">
        <v>1272</v>
      </c>
      <c r="B23" s="40">
        <v>85</v>
      </c>
      <c r="C23" s="33">
        <v>2</v>
      </c>
      <c r="D23" s="33">
        <v>4</v>
      </c>
      <c r="E23" s="33"/>
      <c r="F23" s="36" t="s">
        <v>1252</v>
      </c>
    </row>
    <row r="24" spans="1:6" ht="29.5" thickBot="1" x14ac:dyDescent="0.4">
      <c r="A24" s="42" t="s">
        <v>1273</v>
      </c>
      <c r="B24" s="39">
        <v>100</v>
      </c>
      <c r="C24" s="24">
        <v>25</v>
      </c>
      <c r="D24" s="24">
        <v>15</v>
      </c>
      <c r="E24" s="24">
        <v>-10</v>
      </c>
      <c r="F24" s="35" t="s">
        <v>1259</v>
      </c>
    </row>
    <row r="25" spans="1:6" ht="29.5" thickBot="1" x14ac:dyDescent="0.4">
      <c r="A25" s="43" t="s">
        <v>1274</v>
      </c>
      <c r="B25" s="40">
        <v>450</v>
      </c>
      <c r="C25" s="33">
        <v>7</v>
      </c>
      <c r="D25" s="33">
        <v>5</v>
      </c>
      <c r="E25" s="33">
        <v>-2</v>
      </c>
      <c r="F25" s="36" t="s">
        <v>1245</v>
      </c>
    </row>
    <row r="26" spans="1:6" ht="29.5" thickBot="1" x14ac:dyDescent="0.4">
      <c r="A26" s="42" t="s">
        <v>1275</v>
      </c>
      <c r="B26" s="39">
        <v>30</v>
      </c>
      <c r="C26" s="24">
        <v>2</v>
      </c>
      <c r="D26" s="24">
        <v>4</v>
      </c>
      <c r="E26" s="24">
        <v>-1</v>
      </c>
      <c r="F26" s="35" t="s">
        <v>946</v>
      </c>
    </row>
    <row r="27" spans="1:6" ht="29.5" thickBot="1" x14ac:dyDescent="0.4">
      <c r="A27" s="43" t="s">
        <v>1276</v>
      </c>
      <c r="B27" s="40">
        <v>100</v>
      </c>
      <c r="C27" s="33">
        <v>18</v>
      </c>
      <c r="D27" s="33">
        <v>8</v>
      </c>
      <c r="E27" s="33">
        <v>-10</v>
      </c>
      <c r="F27" s="36" t="s">
        <v>1254</v>
      </c>
    </row>
    <row r="28" spans="1:6" ht="29.5" thickBot="1" x14ac:dyDescent="0.4">
      <c r="A28" s="42" t="s">
        <v>1277</v>
      </c>
      <c r="B28" s="39">
        <v>60</v>
      </c>
      <c r="C28" s="24">
        <v>9</v>
      </c>
      <c r="D28" s="24">
        <v>6</v>
      </c>
      <c r="E28" s="24">
        <v>-2</v>
      </c>
      <c r="F28" s="35" t="s">
        <v>1252</v>
      </c>
    </row>
    <row r="29" spans="1:6" ht="29.5" thickBot="1" x14ac:dyDescent="0.4">
      <c r="A29" s="43" t="s">
        <v>1278</v>
      </c>
      <c r="B29" s="40">
        <v>70</v>
      </c>
      <c r="C29" s="33">
        <v>6</v>
      </c>
      <c r="D29" s="33">
        <v>4</v>
      </c>
      <c r="E29" s="33"/>
      <c r="F29" s="36" t="s">
        <v>1252</v>
      </c>
    </row>
    <row r="30" spans="1:6" ht="29.5" thickBot="1" x14ac:dyDescent="0.4">
      <c r="A30" s="42" t="s">
        <v>1279</v>
      </c>
      <c r="B30" s="39">
        <v>58</v>
      </c>
      <c r="C30" s="24">
        <v>3</v>
      </c>
      <c r="D30" s="24">
        <v>3</v>
      </c>
      <c r="E30" s="24"/>
      <c r="F30" s="35" t="s">
        <v>1245</v>
      </c>
    </row>
    <row r="31" spans="1:6" ht="29.5" thickBot="1" x14ac:dyDescent="0.4">
      <c r="A31" s="43" t="s">
        <v>1280</v>
      </c>
      <c r="B31" s="40">
        <v>90</v>
      </c>
      <c r="C31" s="33">
        <v>8</v>
      </c>
      <c r="D31" s="33">
        <v>8</v>
      </c>
      <c r="E31" s="33">
        <v>-1</v>
      </c>
      <c r="F31" s="36" t="s">
        <v>1252</v>
      </c>
    </row>
    <row r="32" spans="1:6" ht="29.5" thickBot="1" x14ac:dyDescent="0.4">
      <c r="A32" s="42" t="s">
        <v>1281</v>
      </c>
      <c r="B32" s="39">
        <v>100</v>
      </c>
      <c r="C32" s="24">
        <v>2</v>
      </c>
      <c r="D32" s="24">
        <v>3</v>
      </c>
      <c r="E32" s="24">
        <v>-1</v>
      </c>
      <c r="F32" s="35" t="s">
        <v>1252</v>
      </c>
    </row>
    <row r="33" spans="1:6" ht="29.5" thickBot="1" x14ac:dyDescent="0.4">
      <c r="A33" s="43" t="s">
        <v>1282</v>
      </c>
      <c r="B33" s="40">
        <v>100</v>
      </c>
      <c r="C33" s="33">
        <v>3</v>
      </c>
      <c r="D33" s="33">
        <v>4</v>
      </c>
      <c r="E33" s="33"/>
      <c r="F33" s="36" t="s">
        <v>1283</v>
      </c>
    </row>
    <row r="34" spans="1:6" ht="29.5" thickBot="1" x14ac:dyDescent="0.4">
      <c r="A34" s="42" t="s">
        <v>1284</v>
      </c>
      <c r="B34" s="39">
        <v>750</v>
      </c>
      <c r="C34" s="24">
        <v>7</v>
      </c>
      <c r="D34" s="24">
        <v>5</v>
      </c>
      <c r="E34" s="24">
        <v>1</v>
      </c>
      <c r="F34" s="35" t="s">
        <v>1247</v>
      </c>
    </row>
    <row r="35" spans="1:6" ht="29.5" thickBot="1" x14ac:dyDescent="0.4">
      <c r="A35" s="43" t="s">
        <v>1285</v>
      </c>
      <c r="B35" s="40">
        <v>250</v>
      </c>
      <c r="C35" s="33">
        <v>10</v>
      </c>
      <c r="D35" s="33">
        <v>6</v>
      </c>
      <c r="E35" s="33">
        <v>1</v>
      </c>
      <c r="F35" s="36" t="s">
        <v>1252</v>
      </c>
    </row>
    <row r="36" spans="1:6" ht="44" thickBot="1" x14ac:dyDescent="0.4">
      <c r="A36" s="42" t="s">
        <v>1286</v>
      </c>
      <c r="B36" s="39">
        <v>75</v>
      </c>
      <c r="C36" s="24">
        <v>3</v>
      </c>
      <c r="D36" s="24">
        <v>1</v>
      </c>
      <c r="E36" s="24"/>
      <c r="F36" s="35" t="s">
        <v>942</v>
      </c>
    </row>
    <row r="37" spans="1:6" ht="29.5" thickBot="1" x14ac:dyDescent="0.4">
      <c r="A37" s="43" t="s">
        <v>1287</v>
      </c>
      <c r="B37" s="40">
        <v>140</v>
      </c>
      <c r="C37" s="33">
        <v>2</v>
      </c>
      <c r="D37" s="33">
        <v>3</v>
      </c>
      <c r="E37" s="33">
        <v>-1</v>
      </c>
      <c r="F37" s="36" t="s">
        <v>1259</v>
      </c>
    </row>
    <row r="38" spans="1:6" ht="44" thickBot="1" x14ac:dyDescent="0.4">
      <c r="A38" s="44" t="s">
        <v>1288</v>
      </c>
      <c r="B38" s="45">
        <v>140</v>
      </c>
      <c r="C38" s="46">
        <v>2</v>
      </c>
      <c r="D38" s="46">
        <v>2</v>
      </c>
      <c r="E38" s="46">
        <v>-1</v>
      </c>
      <c r="F38" s="70" t="s">
        <v>1254</v>
      </c>
    </row>
  </sheetData>
  <hyperlinks>
    <hyperlink ref="B1" r:id="rId1" tooltip="Property:Armorhp" display="https://ringofbrodgar.com/wiki/Property:Armorhp" xr:uid="{C00D8FF2-E13B-42A5-B485-0966248BC26F}"/>
    <hyperlink ref="C1" r:id="rId2" tooltip="Property:AbsorbX" display="https://ringofbrodgar.com/wiki/Property:AbsorbX" xr:uid="{4DFA56DA-4BB1-449D-9C52-058F4A058024}"/>
    <hyperlink ref="D1" r:id="rId3" tooltip="Property:AbsorbY" display="https://ringofbrodgar.com/wiki/Property:AbsorbY" xr:uid="{B47144BF-54C3-4097-A2F6-2ADE0E767F08}"/>
    <hyperlink ref="E1" r:id="rId4" tooltip="Property:StatAGI" display="https://ringofbrodgar.com/wiki/Property:StatAGI" xr:uid="{404B7B07-509A-4BC2-AA1D-D773F03A6FB8}"/>
    <hyperlink ref="F1" r:id="rId5" tooltip="Property:Slot" display="https://ringofbrodgar.com/wiki/Property:Slot" xr:uid="{82B81DF0-E0BB-48B1-BB12-9853F536D63B}"/>
    <hyperlink ref="A2" r:id="rId6" tooltip="Armored Striders" display="https://ringofbrodgar.com/wiki/Armored_Striders" xr:uid="{BF56ED46-D981-49E7-8D4F-7A50A3207962}"/>
    <hyperlink ref="A3" r:id="rId7" tooltip="Badger Hide Vest" display="https://ringofbrodgar.com/wiki/Badger_Hide_Vest" xr:uid="{EC4B8FF2-8ABD-4907-A767-DB10E439BAA2}"/>
    <hyperlink ref="A4" r:id="rId8" tooltip="Bat Wing" display="https://ringofbrodgar.com/wiki/Bat_Wing" xr:uid="{86C19167-11BC-4F20-8E83-965245C80137}"/>
    <hyperlink ref="A5" r:id="rId9" tooltip="Beaver Wrist Guards" display="https://ringofbrodgar.com/wiki/Beaver_Wrist_Guards" xr:uid="{8B51327A-D3AA-469B-884F-FB517192EE16}"/>
    <hyperlink ref="A6" r:id="rId10" tooltip="Boar Tusk Helmet" display="https://ringofbrodgar.com/wiki/Boar_Tusk_Helmet" xr:uid="{B9B2975F-3E02-4BC4-B601-1D6E0DF9C6DD}"/>
    <hyperlink ref="A7" r:id="rId11" tooltip="Bone Greaves" display="https://ringofbrodgar.com/wiki/Bone_Greaves" xr:uid="{DBE097F1-71FF-4D69-A28E-D63DDE069169}"/>
    <hyperlink ref="A8" r:id="rId12" tooltip="Boreworm Mask" display="https://ringofbrodgar.com/wiki/Boreworm_Mask" xr:uid="{412F3AFA-F7B9-4B02-8499-1982BDF559A0}"/>
    <hyperlink ref="A9" r:id="rId13" tooltip="Bronze Helm" display="https://ringofbrodgar.com/wiki/Bronze_Helm" xr:uid="{2FEE3F56-2D25-44C8-B2D0-51D946092ADD}"/>
    <hyperlink ref="A10" r:id="rId14" tooltip="Bronze Plate" display="https://ringofbrodgar.com/wiki/Bronze_Plate" xr:uid="{CCC6A507-3B86-4A19-90FB-C387288BC787}"/>
    <hyperlink ref="A11" r:id="rId15" tooltip="Chainmail Shirt" display="https://ringofbrodgar.com/wiki/Chainmail_Shirt" xr:uid="{A55F624F-60DE-4A76-9788-0810665F76B5}"/>
    <hyperlink ref="A12" r:id="rId16" tooltip="Chitin Helmet" display="https://ringofbrodgar.com/wiki/Chitin_Helmet" xr:uid="{48CE21B8-FB3A-4887-8C49-872A0854CB46}"/>
    <hyperlink ref="A13" r:id="rId17" tooltip="Cutthroat Cuirass" display="https://ringofbrodgar.com/wiki/Cutthroat_Cuirass" xr:uid="{23094F49-FA54-41D1-80C1-26C70E294A68}"/>
    <hyperlink ref="A14" r:id="rId18" tooltip="Dragon Helm" display="https://ringofbrodgar.com/wiki/Dragon_Helm" xr:uid="{CF3ED1EA-F9CE-4BBD-8FBE-383A39281611}"/>
    <hyperlink ref="A15" r:id="rId19" tooltip="Druid's Helm" display="https://ringofbrodgar.com/wiki/Druid%27s_Helm" xr:uid="{DCF1D24C-C0B3-4493-98F2-1ED5DFBB77B5}"/>
    <hyperlink ref="A16" r:id="rId20" tooltip="Grand Troll Helm" display="https://ringofbrodgar.com/wiki/Grand_Troll_Helm" xr:uid="{D98F0932-CC99-48EA-A3AD-A0936B0F1116}"/>
    <hyperlink ref="A17" r:id="rId21" tooltip="Hirdsman's Helmet" display="https://ringofbrodgar.com/wiki/Hirdsman%27s_Helmet" xr:uid="{FE1902B4-71A9-4345-8078-4C4E59284FD8}"/>
    <hyperlink ref="A18" r:id="rId22" tooltip="Horse Nomad's Helm" display="https://ringofbrodgar.com/wiki/Horse_Nomad%27s_Helm" xr:uid="{5212D632-A324-449A-B513-AC91D1783407}"/>
    <hyperlink ref="A19" r:id="rId23" tooltip="Leather Armor" display="https://ringofbrodgar.com/wiki/Leather_Armor" xr:uid="{F5C5A706-4BFD-40B5-99D6-FE4EDA474ADA}"/>
    <hyperlink ref="A20" r:id="rId24" tooltip="Leather Boots" display="https://ringofbrodgar.com/wiki/Leather_Boots" xr:uid="{1E37358A-72F6-416F-8BA1-D0B71829577E}"/>
    <hyperlink ref="A21" r:id="rId25" tooltip="Leather Pants" display="https://ringofbrodgar.com/wiki/Leather_Pants" xr:uid="{640F036D-E8E3-4DD1-AB16-A94BEB579250}"/>
    <hyperlink ref="A22" r:id="rId26" tooltip="Mammoth Guard" display="https://ringofbrodgar.com/wiki/Mammoth_Guard" xr:uid="{8D58B2EB-BBA3-4604-AB23-57261A53CA3E}"/>
    <hyperlink ref="A23" r:id="rId27" tooltip="Miner's Helm" display="https://ringofbrodgar.com/wiki/Miner%27s_Helm" xr:uid="{E1289D57-94C4-4C11-B935-42C7894A366B}"/>
    <hyperlink ref="A24" r:id="rId28" tooltip="Plate Armor" display="https://ringofbrodgar.com/wiki/Plate_Armor" xr:uid="{1EABB63E-9D9F-417B-9AD8-1A0E07234F58}"/>
    <hyperlink ref="A25" r:id="rId29" tooltip="Plate Boots" display="https://ringofbrodgar.com/wiki/Plate_Boots" xr:uid="{0B3052DC-10C3-4A48-AA18-9ABCCFD9AFFC}"/>
    <hyperlink ref="A26" r:id="rId30" tooltip="Plate Gauntlets" display="https://ringofbrodgar.com/wiki/Plate_Gauntlets" xr:uid="{7A0F70DD-E798-410F-BD44-9AD969EFDDC2}"/>
    <hyperlink ref="A27" r:id="rId31" tooltip="Plate Greaves" display="https://ringofbrodgar.com/wiki/Plate_Greaves" xr:uid="{C5FB7310-4C10-439B-8220-FE77B822B87C}"/>
    <hyperlink ref="A28" r:id="rId32" tooltip="Plate Helmet" display="https://ringofbrodgar.com/wiki/Plate_Helmet" xr:uid="{4E9EE1AC-347B-44EE-BB34-C71731D73FEE}"/>
    <hyperlink ref="A29" r:id="rId33" tooltip="Raider's Cap" display="https://ringofbrodgar.com/wiki/Raider%27s_Cap" xr:uid="{C712611E-83CC-489C-8569-201DBC7DA7F7}"/>
    <hyperlink ref="A30" r:id="rId34" tooltip="Ranger's Boots" display="https://ringofbrodgar.com/wiki/Ranger%27s_Boots" xr:uid="{8D93EBB7-EC15-49F9-8D53-A5C39A4138B2}"/>
    <hyperlink ref="A31" r:id="rId35" tooltip="Thane's Helm" display="https://ringofbrodgar.com/wiki/Thane%27s_Helm" xr:uid="{5BAB7CA7-D125-44C9-B0AF-B25C4451EE41}"/>
    <hyperlink ref="A32" r:id="rId36" tooltip="Turtleshell Helmet" display="https://ringofbrodgar.com/wiki/Turtleshell_Helmet" xr:uid="{F24A1E58-E4E6-4A4C-8003-6C3FE3C6DC33}"/>
    <hyperlink ref="A33" r:id="rId37" tooltip="Vapntreyiu" display="https://ringofbrodgar.com/wiki/Vapntreyiu" xr:uid="{AC009BB5-D7B7-4F89-A77D-6DEEB6BD38D7}"/>
    <hyperlink ref="A34" r:id="rId38" tooltip="Whaler's Jacket" display="https://ringofbrodgar.com/wiki/Whaler%27s_Jacket" xr:uid="{0B9C5949-2E81-4494-9235-7A9E5E9E03F8}"/>
    <hyperlink ref="A35" r:id="rId39" tooltip="Winged Helmet" display="https://ringofbrodgar.com/wiki/Winged_Helmet" xr:uid="{86130AB2-6AFC-4C25-B8AD-183D0103CBB5}"/>
    <hyperlink ref="A36" r:id="rId40" tooltip="Wooden Roundshield" display="https://ringofbrodgar.com/wiki/Wooden_Roundshield" xr:uid="{1F59AE39-E6B7-41F8-ABBC-8A8F6C4C7746}"/>
    <hyperlink ref="A37" r:id="rId41" tooltip="Woodland Cuirass" display="https://ringofbrodgar.com/wiki/Woodland_Cuirass" xr:uid="{7A779E7C-CAA7-4FCA-9477-232B6B7CE4EB}"/>
    <hyperlink ref="A38" r:id="rId42" tooltip="Woodland Greaves" display="https://ringofbrodgar.com/wiki/Woodland_Greaves" xr:uid="{5B5E0869-28A5-4A00-9C1D-874B745ED8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vt:lpstr>
      <vt:lpstr>Tools</vt:lpstr>
      <vt:lpstr>Workstations</vt:lpstr>
      <vt:lpstr>Products</vt:lpstr>
      <vt:lpstr>Curios</vt:lpstr>
      <vt:lpstr>Gildings</vt:lpstr>
      <vt:lpstr>Weaponry</vt:lpstr>
      <vt:lpstr>Armory</vt:lpstr>
      <vt:lpstr>Food</vt:lpstr>
      <vt:lpstr>pull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John Hoeltermann</dc:creator>
  <cp:lastModifiedBy>Wataru John Hoeltermann</cp:lastModifiedBy>
  <dcterms:created xsi:type="dcterms:W3CDTF">2025-05-27T15:37:46Z</dcterms:created>
  <dcterms:modified xsi:type="dcterms:W3CDTF">2025-06-25T11:25:24Z</dcterms:modified>
</cp:coreProperties>
</file>