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wnloads\"/>
    </mc:Choice>
  </mc:AlternateContent>
  <xr:revisionPtr revIDLastSave="0" documentId="13_ncr:1_{614CBA5E-EBA4-4C27-923F-67C949AF1381}" xr6:coauthVersionLast="45" xr6:coauthVersionMax="47" xr10:uidLastSave="{00000000-0000-0000-0000-000000000000}"/>
  <bookViews>
    <workbookView xWindow="-120" yWindow="-120" windowWidth="20730" windowHeight="11160" firstSheet="7" activeTab="9" xr2:uid="{4B5D17C0-FD89-4B02-A671-2A549D3DFC08}"/>
  </bookViews>
  <sheets>
    <sheet name="PORTADA" sheetId="2" r:id="rId1"/>
    <sheet name="PRESUPUESTO DE INVERSIÓN" sheetId="1" r:id="rId2"/>
    <sheet name="MEMORIAS DE CÁLCULO" sheetId="3" r:id="rId3"/>
    <sheet name="TABLA DE AMORTIZACIÓN" sheetId="4" r:id="rId4"/>
    <sheet name="COSTOS TOTALES" sheetId="5" r:id="rId5"/>
    <sheet name="INGRESOS" sheetId="6" r:id="rId6"/>
    <sheet name="ESTADO DE RESULTADOS" sheetId="7" r:id="rId7"/>
    <sheet name="FLUJO DE EFECTIVO" sheetId="8" r:id="rId8"/>
    <sheet name="PUNTO DE EQUILIBRIO" sheetId="9" r:id="rId9"/>
    <sheet name="INDICADORES FINANCIERO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0" l="1"/>
  <c r="E12" i="6"/>
  <c r="F14" i="8"/>
  <c r="F13" i="8"/>
  <c r="F12" i="8"/>
  <c r="F9" i="8"/>
  <c r="F44" i="1"/>
  <c r="F43" i="1"/>
  <c r="E38" i="8"/>
  <c r="E40" i="8" s="1"/>
  <c r="D38" i="8"/>
  <c r="F9" i="10" s="1"/>
  <c r="C38" i="8"/>
  <c r="E9" i="10" s="1"/>
  <c r="F11" i="7"/>
  <c r="E11" i="7"/>
  <c r="D11" i="7"/>
  <c r="F11" i="6"/>
  <c r="G11" i="6" s="1"/>
  <c r="H11" i="6" s="1"/>
  <c r="F10" i="6"/>
  <c r="G10" i="6" s="1"/>
  <c r="H10" i="6" s="1"/>
  <c r="E11" i="6"/>
  <c r="E10" i="6"/>
  <c r="C11" i="5"/>
  <c r="D11" i="5" s="1"/>
  <c r="E11" i="5" s="1"/>
  <c r="B11" i="5"/>
  <c r="C26" i="3"/>
  <c r="D48" i="3"/>
  <c r="D46" i="3"/>
  <c r="D45" i="3"/>
  <c r="D44" i="3"/>
  <c r="D43" i="3"/>
  <c r="E16" i="10" l="1"/>
  <c r="B26" i="3"/>
  <c r="B13" i="5"/>
  <c r="D8" i="9"/>
  <c r="F33" i="7"/>
  <c r="D27" i="7"/>
  <c r="D28" i="7"/>
  <c r="D29" i="7"/>
  <c r="D30" i="7"/>
  <c r="D31" i="7"/>
  <c r="D32" i="7"/>
  <c r="D33" i="7"/>
  <c r="C33" i="7"/>
  <c r="C28" i="7"/>
  <c r="C29" i="7"/>
  <c r="C30" i="7"/>
  <c r="C31" i="7"/>
  <c r="C32" i="7"/>
  <c r="C27" i="7"/>
  <c r="E9" i="6"/>
  <c r="F9" i="6" s="1"/>
  <c r="G9" i="6" s="1"/>
  <c r="H9" i="6" s="1"/>
  <c r="B28" i="3"/>
  <c r="A28" i="3"/>
  <c r="F19" i="1"/>
  <c r="B24" i="3"/>
  <c r="B23" i="3"/>
  <c r="C23" i="3" s="1"/>
  <c r="A25" i="3"/>
  <c r="A24" i="3"/>
  <c r="A23" i="3"/>
  <c r="F18" i="1"/>
  <c r="F8" i="1"/>
  <c r="C15" i="8" l="1"/>
  <c r="C11" i="8"/>
  <c r="C23" i="7" l="1"/>
  <c r="C24" i="7"/>
  <c r="C25" i="7"/>
  <c r="C26" i="7"/>
  <c r="C22" i="7"/>
  <c r="E8" i="6"/>
  <c r="F8" i="6" s="1"/>
  <c r="F12" i="6" s="1"/>
  <c r="B9" i="5"/>
  <c r="B10" i="5"/>
  <c r="B12" i="5"/>
  <c r="B8" i="5"/>
  <c r="C27" i="3"/>
  <c r="C13" i="5" s="1"/>
  <c r="D13" i="5" s="1"/>
  <c r="E13" i="5" s="1"/>
  <c r="C24" i="3"/>
  <c r="C8" i="5"/>
  <c r="D8" i="5" s="1"/>
  <c r="D10" i="4"/>
  <c r="C14" i="4"/>
  <c r="C11" i="4"/>
  <c r="F17" i="4" s="1"/>
  <c r="C9" i="5" l="1"/>
  <c r="D9" i="5" s="1"/>
  <c r="E9" i="5" s="1"/>
  <c r="D14" i="4"/>
  <c r="F70" i="4"/>
  <c r="F62" i="4"/>
  <c r="F54" i="4"/>
  <c r="F46" i="4"/>
  <c r="F38" i="4"/>
  <c r="F26" i="4"/>
  <c r="F18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4" i="4"/>
  <c r="F66" i="4"/>
  <c r="F58" i="4"/>
  <c r="F50" i="4"/>
  <c r="F42" i="4"/>
  <c r="F34" i="4"/>
  <c r="F30" i="4"/>
  <c r="F22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G8" i="6"/>
  <c r="G12" i="6" s="1"/>
  <c r="D8" i="7"/>
  <c r="D9" i="8" s="1"/>
  <c r="D11" i="8" s="1"/>
  <c r="E8" i="5"/>
  <c r="D37" i="3"/>
  <c r="D36" i="3"/>
  <c r="D35" i="3"/>
  <c r="F11" i="1"/>
  <c r="D25" i="7" s="1"/>
  <c r="E14" i="4" l="1"/>
  <c r="G14" i="4" s="1"/>
  <c r="C15" i="4" s="1"/>
  <c r="H8" i="6"/>
  <c r="H12" i="6" s="1"/>
  <c r="E8" i="7"/>
  <c r="E9" i="8" s="1"/>
  <c r="E11" i="8" s="1"/>
  <c r="D2" i="9"/>
  <c r="D2" i="8"/>
  <c r="F25" i="7"/>
  <c r="F27" i="7"/>
  <c r="F28" i="7"/>
  <c r="F29" i="7"/>
  <c r="F30" i="7"/>
  <c r="F31" i="7"/>
  <c r="F32" i="7"/>
  <c r="C2" i="7"/>
  <c r="D2" i="6"/>
  <c r="E2" i="5"/>
  <c r="D15" i="4" l="1"/>
  <c r="E15" i="4" s="1"/>
  <c r="G15" i="4"/>
  <c r="C16" i="4" s="1"/>
  <c r="D16" i="4" s="1"/>
  <c r="E16" i="4" s="1"/>
  <c r="G16" i="4" s="1"/>
  <c r="C17" i="4" s="1"/>
  <c r="D17" i="4" s="1"/>
  <c r="E17" i="4" s="1"/>
  <c r="G17" i="4" s="1"/>
  <c r="C18" i="4" s="1"/>
  <c r="D18" i="4" s="1"/>
  <c r="E18" i="4" s="1"/>
  <c r="G18" i="4" s="1"/>
  <c r="C19" i="4" s="1"/>
  <c r="D19" i="4" s="1"/>
  <c r="E19" i="4" s="1"/>
  <c r="G19" i="4" s="1"/>
  <c r="C20" i="4" s="1"/>
  <c r="F8" i="7"/>
  <c r="D2" i="4"/>
  <c r="D38" i="3"/>
  <c r="E35" i="1" s="1"/>
  <c r="F35" i="1" s="1"/>
  <c r="B1" i="3"/>
  <c r="B16" i="3"/>
  <c r="F33" i="1"/>
  <c r="F34" i="1"/>
  <c r="F36" i="1"/>
  <c r="F37" i="1"/>
  <c r="F38" i="1"/>
  <c r="F39" i="1"/>
  <c r="F32" i="1"/>
  <c r="F26" i="1"/>
  <c r="F27" i="1"/>
  <c r="F28" i="1"/>
  <c r="F29" i="1"/>
  <c r="F25" i="1"/>
  <c r="F9" i="1"/>
  <c r="F10" i="1"/>
  <c r="D24" i="7" s="1"/>
  <c r="F24" i="7" s="1"/>
  <c r="F12" i="1"/>
  <c r="D26" i="7" s="1"/>
  <c r="F26" i="7" s="1"/>
  <c r="F13" i="1"/>
  <c r="F14" i="1"/>
  <c r="F15" i="1"/>
  <c r="F16" i="1"/>
  <c r="F17" i="1"/>
  <c r="D22" i="7"/>
  <c r="C2" i="1"/>
  <c r="D10" i="9" l="1"/>
  <c r="D11" i="9" s="1"/>
  <c r="B17" i="3"/>
  <c r="C28" i="3"/>
  <c r="B25" i="3"/>
  <c r="D23" i="7"/>
  <c r="F23" i="7" s="1"/>
  <c r="F23" i="1"/>
  <c r="C16" i="8" s="1"/>
  <c r="C12" i="5"/>
  <c r="D12" i="5" s="1"/>
  <c r="B18" i="3"/>
  <c r="C17" i="5" s="1"/>
  <c r="F22" i="7"/>
  <c r="F11" i="8"/>
  <c r="D20" i="4"/>
  <c r="E20" i="4" s="1"/>
  <c r="G20" i="4" s="1"/>
  <c r="C21" i="4" s="1"/>
  <c r="F40" i="1"/>
  <c r="C18" i="8" s="1"/>
  <c r="F30" i="1"/>
  <c r="C17" i="8" s="1"/>
  <c r="B29" i="3" l="1"/>
  <c r="C25" i="3"/>
  <c r="D35" i="7"/>
  <c r="F35" i="7"/>
  <c r="E14" i="7" s="1"/>
  <c r="D17" i="5"/>
  <c r="E17" i="5" s="1"/>
  <c r="C19" i="5"/>
  <c r="D10" i="7" s="1"/>
  <c r="D13" i="8" s="1"/>
  <c r="C19" i="8"/>
  <c r="D9" i="10" s="1"/>
  <c r="E12" i="5"/>
  <c r="D21" i="4"/>
  <c r="E21" i="4" s="1"/>
  <c r="G21" i="4" s="1"/>
  <c r="C22" i="4" s="1"/>
  <c r="F41" i="1"/>
  <c r="C10" i="5" l="1"/>
  <c r="C29" i="3"/>
  <c r="D19" i="5"/>
  <c r="E10" i="7" s="1"/>
  <c r="E13" i="8" s="1"/>
  <c r="D14" i="7"/>
  <c r="F14" i="7"/>
  <c r="E19" i="5"/>
  <c r="F10" i="7" s="1"/>
  <c r="D22" i="4"/>
  <c r="E22" i="4" s="1"/>
  <c r="G22" i="4" s="1"/>
  <c r="C23" i="4" s="1"/>
  <c r="D10" i="5" l="1"/>
  <c r="D14" i="5" s="1"/>
  <c r="C14" i="5"/>
  <c r="D23" i="4"/>
  <c r="E23" i="4" s="1"/>
  <c r="G23" i="4" s="1"/>
  <c r="C24" i="4" s="1"/>
  <c r="D9" i="7" l="1"/>
  <c r="D12" i="8" s="1"/>
  <c r="D9" i="9" s="1"/>
  <c r="D12" i="9" s="1"/>
  <c r="D13" i="9" s="1"/>
  <c r="C21" i="5"/>
  <c r="E10" i="5"/>
  <c r="E14" i="5" s="1"/>
  <c r="D24" i="4"/>
  <c r="E24" i="4" s="1"/>
  <c r="G24" i="4" s="1"/>
  <c r="C25" i="4" s="1"/>
  <c r="E9" i="7" l="1"/>
  <c r="E12" i="8" s="1"/>
  <c r="D21" i="5"/>
  <c r="D25" i="4"/>
  <c r="F9" i="7" l="1"/>
  <c r="E21" i="5"/>
  <c r="E25" i="4"/>
  <c r="G25" i="4" s="1"/>
  <c r="C26" i="4" s="1"/>
  <c r="D26" i="4" s="1"/>
  <c r="H25" i="4"/>
  <c r="D12" i="7" l="1"/>
  <c r="D13" i="7" s="1"/>
  <c r="D15" i="7" s="1"/>
  <c r="D16" i="7" s="1"/>
  <c r="D17" i="7" s="1"/>
  <c r="D14" i="8"/>
  <c r="D15" i="8" s="1"/>
  <c r="D19" i="8" s="1"/>
  <c r="E26" i="4"/>
  <c r="G26" i="4" s="1"/>
  <c r="C27" i="4" s="1"/>
  <c r="D27" i="4" s="1"/>
  <c r="E27" i="4" s="1"/>
  <c r="G27" i="4" s="1"/>
  <c r="C28" i="4" s="1"/>
  <c r="D28" i="4" l="1"/>
  <c r="E28" i="4" l="1"/>
  <c r="G28" i="4" s="1"/>
  <c r="C29" i="4" s="1"/>
  <c r="D29" i="4" s="1"/>
  <c r="E29" i="4" s="1"/>
  <c r="G29" i="4" s="1"/>
  <c r="C30" i="4" s="1"/>
  <c r="D30" i="4" l="1"/>
  <c r="E30" i="4" s="1"/>
  <c r="G30" i="4" s="1"/>
  <c r="C31" i="4" s="1"/>
  <c r="D31" i="4" l="1"/>
  <c r="E31" i="4" s="1"/>
  <c r="G31" i="4" s="1"/>
  <c r="C32" i="4" s="1"/>
  <c r="D32" i="4" l="1"/>
  <c r="E32" i="4" s="1"/>
  <c r="G32" i="4" s="1"/>
  <c r="C33" i="4" s="1"/>
  <c r="D33" i="4" l="1"/>
  <c r="E33" i="4" s="1"/>
  <c r="G33" i="4" s="1"/>
  <c r="C34" i="4" s="1"/>
  <c r="D34" i="4" l="1"/>
  <c r="E34" i="4" s="1"/>
  <c r="G34" i="4" s="1"/>
  <c r="C35" i="4" s="1"/>
  <c r="D35" i="4" l="1"/>
  <c r="E35" i="4" s="1"/>
  <c r="G35" i="4" s="1"/>
  <c r="C36" i="4" s="1"/>
  <c r="D36" i="4" l="1"/>
  <c r="E36" i="4" s="1"/>
  <c r="G36" i="4" s="1"/>
  <c r="C37" i="4" s="1"/>
  <c r="D37" i="4" l="1"/>
  <c r="E37" i="4" l="1"/>
  <c r="G37" i="4" s="1"/>
  <c r="C38" i="4" s="1"/>
  <c r="D38" i="4" s="1"/>
  <c r="H37" i="4"/>
  <c r="E14" i="8" l="1"/>
  <c r="E15" i="8" s="1"/>
  <c r="E19" i="8" s="1"/>
  <c r="E12" i="7"/>
  <c r="E13" i="7" s="1"/>
  <c r="E15" i="7" s="1"/>
  <c r="E16" i="7" s="1"/>
  <c r="E17" i="7" s="1"/>
  <c r="E38" i="4"/>
  <c r="G38" i="4" s="1"/>
  <c r="C39" i="4" s="1"/>
  <c r="D39" i="4" s="1"/>
  <c r="E39" i="4" l="1"/>
  <c r="G39" i="4" s="1"/>
  <c r="C40" i="4" s="1"/>
  <c r="D40" i="4"/>
  <c r="E40" i="4" s="1"/>
  <c r="G40" i="4" s="1"/>
  <c r="C41" i="4" s="1"/>
  <c r="D41" i="4" l="1"/>
  <c r="E41" i="4" s="1"/>
  <c r="G41" i="4" s="1"/>
  <c r="C42" i="4" s="1"/>
  <c r="D42" i="4" l="1"/>
  <c r="E42" i="4" s="1"/>
  <c r="G42" i="4" s="1"/>
  <c r="C43" i="4" s="1"/>
  <c r="D43" i="4" l="1"/>
  <c r="E43" i="4" s="1"/>
  <c r="G43" i="4" s="1"/>
  <c r="C44" i="4" s="1"/>
  <c r="D44" i="4" l="1"/>
  <c r="E44" i="4" s="1"/>
  <c r="G44" i="4" s="1"/>
  <c r="C45" i="4" s="1"/>
  <c r="D45" i="4" l="1"/>
  <c r="E45" i="4" s="1"/>
  <c r="G45" i="4" s="1"/>
  <c r="C46" i="4" s="1"/>
  <c r="D46" i="4" l="1"/>
  <c r="E46" i="4" s="1"/>
  <c r="G46" i="4" s="1"/>
  <c r="C47" i="4" s="1"/>
  <c r="D47" i="4" l="1"/>
  <c r="E47" i="4" s="1"/>
  <c r="G47" i="4" s="1"/>
  <c r="C48" i="4" s="1"/>
  <c r="D48" i="4" l="1"/>
  <c r="E48" i="4" s="1"/>
  <c r="G48" i="4" s="1"/>
  <c r="C49" i="4" s="1"/>
  <c r="D49" i="4" l="1"/>
  <c r="E49" i="4" l="1"/>
  <c r="G49" i="4" s="1"/>
  <c r="C50" i="4" s="1"/>
  <c r="H49" i="4"/>
  <c r="D50" i="4"/>
  <c r="E50" i="4" l="1"/>
  <c r="G50" i="4" s="1"/>
  <c r="C51" i="4" s="1"/>
  <c r="F12" i="7"/>
  <c r="F13" i="7" s="1"/>
  <c r="F15" i="7" s="1"/>
  <c r="F16" i="7" s="1"/>
  <c r="F17" i="7" s="1"/>
  <c r="D51" i="4"/>
  <c r="E51" i="4" s="1"/>
  <c r="G51" i="4" s="1"/>
  <c r="C52" i="4" s="1"/>
  <c r="D52" i="4" l="1"/>
  <c r="E52" i="4" l="1"/>
  <c r="G52" i="4" s="1"/>
  <c r="C53" i="4" s="1"/>
  <c r="D53" i="4"/>
  <c r="E53" i="4" s="1"/>
  <c r="G53" i="4" s="1"/>
  <c r="C54" i="4" s="1"/>
  <c r="D54" i="4" l="1"/>
  <c r="E54" i="4" s="1"/>
  <c r="G54" i="4" s="1"/>
  <c r="C55" i="4" s="1"/>
  <c r="D55" i="4" l="1"/>
  <c r="E55" i="4" s="1"/>
  <c r="G55" i="4" s="1"/>
  <c r="C56" i="4" s="1"/>
  <c r="D56" i="4" l="1"/>
  <c r="E56" i="4" s="1"/>
  <c r="G56" i="4" s="1"/>
  <c r="C57" i="4" s="1"/>
  <c r="D57" i="4" l="1"/>
  <c r="E57" i="4" s="1"/>
  <c r="G57" i="4" s="1"/>
  <c r="C58" i="4" s="1"/>
  <c r="D58" i="4" l="1"/>
  <c r="E58" i="4" s="1"/>
  <c r="G58" i="4" s="1"/>
  <c r="C59" i="4" s="1"/>
  <c r="D59" i="4" l="1"/>
  <c r="E59" i="4" s="1"/>
  <c r="G59" i="4" s="1"/>
  <c r="C60" i="4" s="1"/>
  <c r="D60" i="4" l="1"/>
  <c r="E60" i="4" s="1"/>
  <c r="G60" i="4" s="1"/>
  <c r="C61" i="4" s="1"/>
  <c r="D61" i="4" l="1"/>
  <c r="E61" i="4" l="1"/>
  <c r="G61" i="4" s="1"/>
  <c r="C62" i="4" s="1"/>
  <c r="D62" i="4" s="1"/>
  <c r="H61" i="4"/>
  <c r="E62" i="4" l="1"/>
  <c r="G62" i="4" s="1"/>
  <c r="C63" i="4" s="1"/>
  <c r="D63" i="4"/>
  <c r="E63" i="4" s="1"/>
  <c r="G63" i="4" s="1"/>
  <c r="C64" i="4" s="1"/>
  <c r="D64" i="4" l="1"/>
  <c r="E64" i="4" l="1"/>
  <c r="G64" i="4" s="1"/>
  <c r="C65" i="4" s="1"/>
  <c r="D65" i="4" s="1"/>
  <c r="E65" i="4" s="1"/>
  <c r="G65" i="4" s="1"/>
  <c r="C66" i="4" s="1"/>
  <c r="D66" i="4" l="1"/>
  <c r="E66" i="4" l="1"/>
  <c r="G66" i="4" s="1"/>
  <c r="C67" i="4" s="1"/>
  <c r="D67" i="4" s="1"/>
  <c r="E67" i="4" l="1"/>
  <c r="G67" i="4" s="1"/>
  <c r="C68" i="4" s="1"/>
  <c r="D68" i="4"/>
  <c r="E68" i="4" s="1"/>
  <c r="G68" i="4" s="1"/>
  <c r="C69" i="4" s="1"/>
  <c r="D69" i="4" l="1"/>
  <c r="E69" i="4" s="1"/>
  <c r="G69" i="4" s="1"/>
  <c r="C70" i="4" s="1"/>
  <c r="D70" i="4" l="1"/>
  <c r="E70" i="4" s="1"/>
  <c r="G70" i="4" s="1"/>
  <c r="C71" i="4" s="1"/>
  <c r="D71" i="4" l="1"/>
  <c r="E71" i="4" s="1"/>
  <c r="G71" i="4" s="1"/>
  <c r="C72" i="4" s="1"/>
  <c r="D72" i="4" l="1"/>
  <c r="E72" i="4" s="1"/>
  <c r="G72" i="4" s="1"/>
  <c r="C73" i="4" s="1"/>
  <c r="D73" i="4" l="1"/>
  <c r="E73" i="4" l="1"/>
  <c r="G73" i="4" s="1"/>
  <c r="H73" i="4"/>
  <c r="F15" i="8" l="1"/>
  <c r="F19" i="8" s="1"/>
  <c r="D16" i="10" l="1"/>
  <c r="D12" i="10"/>
  <c r="D14" i="10"/>
</calcChain>
</file>

<file path=xl/sharedStrings.xml><?xml version="1.0" encoding="utf-8"?>
<sst xmlns="http://schemas.openxmlformats.org/spreadsheetml/2006/main" count="197" uniqueCount="165">
  <si>
    <t>CONCEPTO</t>
  </si>
  <si>
    <t>UNIDAD</t>
  </si>
  <si>
    <t>CANTIDAD</t>
  </si>
  <si>
    <t>PRECIO UNITARIO</t>
  </si>
  <si>
    <t>MONTO TOTAL</t>
  </si>
  <si>
    <t>ACTIVOS FIJOS</t>
  </si>
  <si>
    <t>Nombre del proyecto:</t>
  </si>
  <si>
    <t>Carrera:</t>
  </si>
  <si>
    <t>Integrantes del equipo:</t>
  </si>
  <si>
    <t>Evaluación de Proyecto de Inversión</t>
  </si>
  <si>
    <t>PRESUPUESTO DE INVERSIÓN EN ACTIVOS</t>
  </si>
  <si>
    <t>TOTAL ACTIVOS FIJOS</t>
  </si>
  <si>
    <t>ACTIVOS DIFERIDOS</t>
  </si>
  <si>
    <t>TOTAL ACTIVOS DIFERIDOS</t>
  </si>
  <si>
    <t>CAPITAL DE TRABAJO</t>
  </si>
  <si>
    <t>TOTAL CAPITAL DE TRABAJO</t>
  </si>
  <si>
    <t>INVERSIÓN TOTAL REQUERIDA</t>
  </si>
  <si>
    <t>2.- Determinación del costo unitario de producción</t>
  </si>
  <si>
    <t>Materia Prima</t>
  </si>
  <si>
    <t>Mano de Obra</t>
  </si>
  <si>
    <t>Gastos Indirectos</t>
  </si>
  <si>
    <t>Incluir todo el material necesario para fabricar una pieza o unidad de venta</t>
  </si>
  <si>
    <t>El salario semanal o mensual de los trabajadores se divide entre la producción semanal o mensual.</t>
  </si>
  <si>
    <t>Incluir empaques, etiquetas, gas, y en general suministros que no son materia prima directa para una pieza o unidad de venta</t>
  </si>
  <si>
    <t>así como la capacidad de producción de acuerdo a su diseño de planta )</t>
  </si>
  <si>
    <t>Costo Unitario de producción</t>
  </si>
  <si>
    <t>IMPORTE MENSUAL</t>
  </si>
  <si>
    <t>DEPARTAMENTO</t>
  </si>
  <si>
    <t># de personas</t>
  </si>
  <si>
    <t>Salario Quincenal</t>
  </si>
  <si>
    <t>Salario Mensual</t>
  </si>
  <si>
    <t xml:space="preserve">Total Nómina </t>
  </si>
  <si>
    <t>Esta cantidad se incluye en los gastos de operación</t>
  </si>
  <si>
    <t>Tabla de amortización del financiamiento para el proyecto</t>
  </si>
  <si>
    <t>Institución Bancaria:</t>
  </si>
  <si>
    <t>Importe del préstamo:</t>
  </si>
  <si>
    <t>Plazo:</t>
  </si>
  <si>
    <t>Tipo de pago:</t>
  </si>
  <si>
    <t>Tasa de Interés anual:</t>
  </si>
  <si>
    <t>Importe del pago mensual:</t>
  </si>
  <si>
    <t>Meses (años)</t>
  </si>
  <si>
    <t>Saldo inicial</t>
  </si>
  <si>
    <t>Intereses</t>
  </si>
  <si>
    <t>Abono a capital</t>
  </si>
  <si>
    <t>Pago</t>
  </si>
  <si>
    <t>Saldo Final</t>
  </si>
  <si>
    <t>COSTOS TOTALES DEL PROYECTO</t>
  </si>
  <si>
    <t>COSTOS FIJOS</t>
  </si>
  <si>
    <t>Año 1</t>
  </si>
  <si>
    <t>Año 2</t>
  </si>
  <si>
    <t>Año 3</t>
  </si>
  <si>
    <t>Año 5</t>
  </si>
  <si>
    <t>TOTAL</t>
  </si>
  <si>
    <t>COSTOS VARIABLES</t>
  </si>
  <si>
    <t>PROYECCIÓN DE INGRESOS POR VENTAS</t>
  </si>
  <si>
    <t>Precio unitario de Venta</t>
  </si>
  <si>
    <t>Volumen por mes</t>
  </si>
  <si>
    <t>Ingreso mensual</t>
  </si>
  <si>
    <t>ESTADO DE RESULTADOS PROYECTADO</t>
  </si>
  <si>
    <t>AÑO 1</t>
  </si>
  <si>
    <t>AÑO 2</t>
  </si>
  <si>
    <t>AÑO 3</t>
  </si>
  <si>
    <t>( + ) VENTAS</t>
  </si>
  <si>
    <t>( = ) UTILIDAD BRUTA</t>
  </si>
  <si>
    <t>( - ) DEPRECIACION</t>
  </si>
  <si>
    <t>( = ) UTILIDAD ANTES DE IMPUESTOS</t>
  </si>
  <si>
    <t xml:space="preserve">( - ) IMPUESTOS </t>
  </si>
  <si>
    <t>( =  ) UTILIDAD DEL EJERCICIO</t>
  </si>
  <si>
    <t>GASTOS FINANCIEROS</t>
  </si>
  <si>
    <t>( =) COSTOS TOTALES</t>
  </si>
  <si>
    <t>DEPRECIACIÓN DE ACTIVOS FIJOS</t>
  </si>
  <si>
    <t>ACTIVO</t>
  </si>
  <si>
    <t>MOI</t>
  </si>
  <si>
    <t>TASA</t>
  </si>
  <si>
    <t>Dep´n Anual</t>
  </si>
  <si>
    <t>( + ) VALOR DE RESCATE</t>
  </si>
  <si>
    <t>( = ) INGRESOS TOTALES</t>
  </si>
  <si>
    <t>( = ) COSTOS TOTALES</t>
  </si>
  <si>
    <t>COMPRA ACTIVO FIJO</t>
  </si>
  <si>
    <t>COMPRA ACTIVO DIFERIDO</t>
  </si>
  <si>
    <t>COMPRA CAPITAL DE TRABAJO</t>
  </si>
  <si>
    <t>( = ) SALDO FINAL</t>
  </si>
  <si>
    <t xml:space="preserve">FLUJO DE EFECTIVO </t>
  </si>
  <si>
    <t>Año 0</t>
  </si>
  <si>
    <t>PUNTO DE EQUILIBRIO</t>
  </si>
  <si>
    <t>COSTOS FIJOS TOTALES</t>
  </si>
  <si>
    <t>COSTOS VARIABLES POR UNIDAD</t>
  </si>
  <si>
    <t>PRECIO DE VENTA POR UNIDAD</t>
  </si>
  <si>
    <t>MARGEN DE CONTRIBUCIÓN</t>
  </si>
  <si>
    <t>P.E. en unidades</t>
  </si>
  <si>
    <t>P.E. en ventas</t>
  </si>
  <si>
    <t>FÓRMULA</t>
  </si>
  <si>
    <t>P.E.=</t>
  </si>
  <si>
    <t>C.F.T.</t>
  </si>
  <si>
    <t>P.V. - C.V.</t>
  </si>
  <si>
    <t>ANÁLISIS DE INDICADORES FINANCIEROS</t>
  </si>
  <si>
    <t>Flujos de efectivo</t>
  </si>
  <si>
    <t>VPN</t>
  </si>
  <si>
    <t>TIR</t>
  </si>
  <si>
    <t>COSTO/BENEFICIO</t>
  </si>
  <si>
    <t>PERÍODO DE RECUPERACIÓN</t>
  </si>
  <si>
    <t>CONCLUSIÓN:</t>
  </si>
  <si>
    <t xml:space="preserve">Tomando en cuenta que la materia prima es fácil de conseguir y que ya está la línea de producción, se considera que si es </t>
  </si>
  <si>
    <t>posible producir esa cantidad para abastecer el mercado.</t>
  </si>
  <si>
    <t>mensual</t>
  </si>
  <si>
    <t>IMPORTE ANUAL</t>
  </si>
  <si>
    <t>Costo de producción anual</t>
  </si>
  <si>
    <t>Costos de Producción</t>
  </si>
  <si>
    <t>COSTOS TOTALES</t>
  </si>
  <si>
    <t>interes año 1</t>
  </si>
  <si>
    <t>interes año 2</t>
  </si>
  <si>
    <t>interes año 3</t>
  </si>
  <si>
    <t>interes año 4</t>
  </si>
  <si>
    <t>interes año 5</t>
  </si>
  <si>
    <r>
      <t xml:space="preserve">1.- Determinación de las ventas mensuales </t>
    </r>
    <r>
      <rPr>
        <sz val="12"/>
        <color theme="1"/>
        <rFont val="Batang"/>
        <family val="1"/>
      </rPr>
      <t>(</t>
    </r>
    <r>
      <rPr>
        <sz val="12"/>
        <color theme="4"/>
        <rFont val="Batang"/>
        <family val="1"/>
      </rPr>
      <t>Usar como base la demanda proyectada de acuerdo a su investigación de mercado,</t>
    </r>
  </si>
  <si>
    <r>
      <rPr>
        <b/>
        <sz val="12"/>
        <color theme="1"/>
        <rFont val="Batang"/>
        <family val="1"/>
      </rPr>
      <t>Costo de producción mensual</t>
    </r>
    <r>
      <rPr>
        <sz val="12"/>
        <color theme="1"/>
        <rFont val="Batang"/>
        <family val="1"/>
      </rPr>
      <t xml:space="preserve"> </t>
    </r>
    <r>
      <rPr>
        <sz val="12"/>
        <color theme="4"/>
        <rFont val="Batang"/>
        <family val="1"/>
      </rPr>
      <t>(multiplicar el costo unitario por el número de unidades producidas en el mes)</t>
    </r>
  </si>
  <si>
    <r>
      <t xml:space="preserve">3.- Determinación de Gastos de operación </t>
    </r>
    <r>
      <rPr>
        <sz val="12"/>
        <color theme="1"/>
        <rFont val="Batang"/>
        <family val="1"/>
      </rPr>
      <t>(</t>
    </r>
    <r>
      <rPr>
        <sz val="12"/>
        <color theme="4"/>
        <rFont val="Batang"/>
        <family val="1"/>
      </rPr>
      <t>Se incluyen los gastos fijos mensuales y la nómina )</t>
    </r>
  </si>
  <si>
    <r>
      <t xml:space="preserve">4.- Determinación de Nómina Mensual </t>
    </r>
    <r>
      <rPr>
        <sz val="12"/>
        <color theme="4"/>
        <rFont val="Batang"/>
        <family val="1"/>
      </rPr>
      <t>(solo de empleados administrativos, no obreros)</t>
    </r>
  </si>
  <si>
    <t>Equipo de Cómputo</t>
  </si>
  <si>
    <t>Impresora 3D</t>
  </si>
  <si>
    <t>Mesas  de trabajo antiestáticas</t>
  </si>
  <si>
    <t>ventilador</t>
  </si>
  <si>
    <t>sillas</t>
  </si>
  <si>
    <t>mesa normal</t>
  </si>
  <si>
    <t>cajas de herramientas</t>
  </si>
  <si>
    <t>taladro y brocas</t>
  </si>
  <si>
    <t>multimetro</t>
  </si>
  <si>
    <t>termometro industrial</t>
  </si>
  <si>
    <t>medidor de sonido digital</t>
  </si>
  <si>
    <t xml:space="preserve">Gastos de Instalación </t>
  </si>
  <si>
    <t>Licencia Solid Word</t>
  </si>
  <si>
    <t>Renta</t>
  </si>
  <si>
    <t>Energía eléctrica</t>
  </si>
  <si>
    <t>Internet</t>
  </si>
  <si>
    <t>Sueldos</t>
  </si>
  <si>
    <t>Gerente</t>
  </si>
  <si>
    <t>De acuerdo al estudio de mercado se determinó que la demanda proyectada de nuestro producto es de  unidades por mes</t>
  </si>
  <si>
    <t>Estación de soldadura</t>
  </si>
  <si>
    <t>Dispositivos de monitoreo</t>
  </si>
  <si>
    <t>2 años</t>
  </si>
  <si>
    <t>Almacenamiento de datos</t>
  </si>
  <si>
    <t>5.- Determinación de Nómina operativa</t>
  </si>
  <si>
    <t>Departamento</t>
  </si>
  <si>
    <t>Analista</t>
  </si>
  <si>
    <t>Prestaciones 35%</t>
  </si>
  <si>
    <t>Ensamble</t>
  </si>
  <si>
    <t>Salario semanal</t>
  </si>
  <si>
    <t>Salario mensual</t>
  </si>
  <si>
    <t>Producción mensual</t>
  </si>
  <si>
    <t>costo por unidad</t>
  </si>
  <si>
    <t>BANAMEX</t>
  </si>
  <si>
    <t>Servicio Básico de manejo de datos</t>
  </si>
  <si>
    <t>Servicio Intermedio de análisis de datos</t>
  </si>
  <si>
    <t>Servicio Premium de análisis e IOT</t>
  </si>
  <si>
    <t>UTILIDAD DEL EJERCICIO</t>
  </si>
  <si>
    <t>(+) DEPRECIACION</t>
  </si>
  <si>
    <t>(+) VALOR DE RESCATE</t>
  </si>
  <si>
    <t>DEL DISPOSITIVO</t>
  </si>
  <si>
    <t>MONITOREO2</t>
  </si>
  <si>
    <t>FLUJOS DE EFECTIVO A 3 AÑOS</t>
  </si>
  <si>
    <t>y el costo/beneficio es &gt;1</t>
  </si>
  <si>
    <t xml:space="preserve">El proyecto es viable porque el VPN es &gt;1, la TIR es mayor al 10% </t>
  </si>
  <si>
    <t>Bio Humi</t>
  </si>
  <si>
    <t>Informatica</t>
  </si>
  <si>
    <t>Joel Luna Rojas, Miguel Helguera Zermeño, Francisco Daniel Mancha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</si>
</sst>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tang"/>
      <family val="1"/>
    </font>
    <font>
      <sz val="12"/>
      <color theme="1"/>
      <name val="Batang"/>
      <family val="1"/>
    </font>
    <font>
      <sz val="14"/>
      <color theme="1"/>
      <name val="Batang"/>
      <family val="1"/>
    </font>
    <font>
      <b/>
      <sz val="16"/>
      <color theme="1"/>
      <name val="Batang"/>
      <family val="1"/>
    </font>
    <font>
      <sz val="20"/>
      <color theme="1"/>
      <name val="Batang"/>
      <family val="1"/>
    </font>
    <font>
      <sz val="12"/>
      <color theme="1"/>
      <name val="Arial"/>
      <family val="2"/>
    </font>
    <font>
      <b/>
      <sz val="12"/>
      <color theme="1"/>
      <name val="Batang"/>
      <family val="1"/>
    </font>
    <font>
      <b/>
      <sz val="14"/>
      <color theme="1"/>
      <name val="Batang"/>
      <family val="1"/>
    </font>
    <font>
      <sz val="12"/>
      <color theme="0"/>
      <name val="Batang"/>
      <family val="1"/>
    </font>
    <font>
      <sz val="12"/>
      <name val="Batang"/>
      <family val="1"/>
    </font>
    <font>
      <sz val="12"/>
      <color theme="4"/>
      <name val="Batang"/>
      <family val="1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4"/>
      <name val="Arial"/>
      <family val="2"/>
    </font>
    <font>
      <b/>
      <sz val="18"/>
      <color theme="1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2" borderId="0" xfId="0" applyFont="1" applyFill="1"/>
    <xf numFmtId="0" fontId="7" fillId="0" borderId="1" xfId="0" applyFont="1" applyBorder="1"/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4" fontId="7" fillId="0" borderId="1" xfId="1" applyFont="1" applyBorder="1"/>
    <xf numFmtId="0" fontId="7" fillId="2" borderId="2" xfId="0" applyFont="1" applyFill="1" applyBorder="1" applyAlignment="1">
      <alignment horizontal="center"/>
    </xf>
    <xf numFmtId="0" fontId="7" fillId="4" borderId="1" xfId="0" applyFont="1" applyFill="1" applyBorder="1"/>
    <xf numFmtId="44" fontId="7" fillId="4" borderId="1" xfId="1" applyFont="1" applyFill="1" applyBorder="1" applyAlignment="1">
      <alignment horizontal="right"/>
    </xf>
    <xf numFmtId="44" fontId="7" fillId="4" borderId="1" xfId="1" applyFont="1" applyFill="1" applyBorder="1"/>
    <xf numFmtId="0" fontId="7" fillId="5" borderId="0" xfId="0" applyFont="1" applyFill="1"/>
    <xf numFmtId="0" fontId="7" fillId="4" borderId="1" xfId="0" applyFont="1" applyFill="1" applyBorder="1" applyAlignment="1">
      <alignment horizontal="right"/>
    </xf>
    <xf numFmtId="44" fontId="7" fillId="4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44" fontId="7" fillId="6" borderId="1" xfId="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3" fillId="0" borderId="1" xfId="0" applyFont="1" applyBorder="1"/>
    <xf numFmtId="0" fontId="8" fillId="0" borderId="1" xfId="0" applyFont="1" applyBorder="1" applyAlignment="1">
      <alignment horizontal="right" wrapText="1"/>
    </xf>
    <xf numFmtId="44" fontId="3" fillId="0" borderId="1" xfId="1" applyFont="1" applyBorder="1"/>
    <xf numFmtId="44" fontId="3" fillId="0" borderId="1" xfId="0" applyNumberFormat="1" applyFont="1" applyBorder="1"/>
    <xf numFmtId="0" fontId="3" fillId="0" borderId="0" xfId="0" applyFont="1" applyBorder="1"/>
    <xf numFmtId="44" fontId="3" fillId="0" borderId="0" xfId="1" applyFont="1" applyBorder="1"/>
    <xf numFmtId="0" fontId="8" fillId="7" borderId="1" xfId="0" applyFont="1" applyFill="1" applyBorder="1"/>
    <xf numFmtId="0" fontId="4" fillId="0" borderId="1" xfId="0" applyFont="1" applyBorder="1"/>
    <xf numFmtId="0" fontId="9" fillId="7" borderId="1" xfId="0" applyFont="1" applyFill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center"/>
    </xf>
    <xf numFmtId="44" fontId="4" fillId="0" borderId="1" xfId="1" applyFont="1" applyBorder="1"/>
    <xf numFmtId="9" fontId="4" fillId="0" borderId="1" xfId="0" applyNumberFormat="1" applyFont="1" applyBorder="1"/>
    <xf numFmtId="0" fontId="0" fillId="0" borderId="1" xfId="0" applyBorder="1" applyAlignment="1">
      <alignment horizontal="left"/>
    </xf>
    <xf numFmtId="8" fontId="4" fillId="0" borderId="1" xfId="0" applyNumberFormat="1" applyFont="1" applyBorder="1"/>
    <xf numFmtId="8" fontId="3" fillId="0" borderId="1" xfId="0" applyNumberFormat="1" applyFont="1" applyBorder="1"/>
    <xf numFmtId="44" fontId="3" fillId="0" borderId="0" xfId="0" applyNumberFormat="1" applyFont="1"/>
    <xf numFmtId="0" fontId="9" fillId="9" borderId="1" xfId="0" applyFont="1" applyFill="1" applyBorder="1"/>
    <xf numFmtId="44" fontId="9" fillId="9" borderId="0" xfId="0" applyNumberFormat="1" applyFont="1" applyFill="1"/>
    <xf numFmtId="0" fontId="10" fillId="0" borderId="0" xfId="0" applyFont="1"/>
    <xf numFmtId="44" fontId="11" fillId="0" borderId="1" xfId="0" applyNumberFormat="1" applyFont="1" applyBorder="1"/>
    <xf numFmtId="0" fontId="11" fillId="0" borderId="1" xfId="0" applyFont="1" applyBorder="1"/>
    <xf numFmtId="0" fontId="12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Fill="1"/>
    <xf numFmtId="44" fontId="7" fillId="0" borderId="0" xfId="1" applyFont="1"/>
    <xf numFmtId="44" fontId="7" fillId="0" borderId="0" xfId="0" applyNumberFormat="1" applyFont="1"/>
    <xf numFmtId="0" fontId="13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44" fontId="7" fillId="11" borderId="1" xfId="0" applyNumberFormat="1" applyFont="1" applyFill="1" applyBorder="1"/>
    <xf numFmtId="44" fontId="14" fillId="0" borderId="1" xfId="0" applyNumberFormat="1" applyFont="1" applyBorder="1"/>
    <xf numFmtId="44" fontId="7" fillId="0" borderId="0" xfId="1" applyFont="1" applyFill="1"/>
    <xf numFmtId="44" fontId="7" fillId="0" borderId="0" xfId="0" applyNumberFormat="1" applyFont="1" applyFill="1"/>
    <xf numFmtId="8" fontId="14" fillId="2" borderId="1" xfId="0" applyNumberFormat="1" applyFont="1" applyFill="1" applyBorder="1"/>
    <xf numFmtId="8" fontId="7" fillId="0" borderId="0" xfId="0" applyNumberFormat="1" applyFont="1" applyFill="1"/>
    <xf numFmtId="0" fontId="14" fillId="0" borderId="0" xfId="0" applyFont="1"/>
    <xf numFmtId="0" fontId="7" fillId="0" borderId="0" xfId="0" applyFont="1" applyFill="1"/>
    <xf numFmtId="9" fontId="14" fillId="2" borderId="1" xfId="0" applyNumberFormat="1" applyFont="1" applyFill="1" applyBorder="1"/>
    <xf numFmtId="9" fontId="7" fillId="0" borderId="0" xfId="0" applyNumberFormat="1" applyFont="1" applyFill="1"/>
    <xf numFmtId="0" fontId="13" fillId="2" borderId="1" xfId="0" applyFont="1" applyFill="1" applyBorder="1" applyAlignment="1">
      <alignment horizontal="center"/>
    </xf>
    <xf numFmtId="44" fontId="7" fillId="2" borderId="1" xfId="0" applyNumberFormat="1" applyFont="1" applyFill="1" applyBorder="1"/>
    <xf numFmtId="8" fontId="14" fillId="0" borderId="0" xfId="0" applyNumberFormat="1" applyFont="1" applyFill="1"/>
    <xf numFmtId="8" fontId="7" fillId="0" borderId="0" xfId="0" applyNumberFormat="1" applyFont="1"/>
    <xf numFmtId="0" fontId="13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5" fillId="0" borderId="0" xfId="0" applyFont="1"/>
    <xf numFmtId="8" fontId="15" fillId="12" borderId="0" xfId="0" applyNumberFormat="1" applyFont="1" applyFill="1"/>
    <xf numFmtId="0" fontId="16" fillId="0" borderId="0" xfId="0" applyFont="1"/>
    <xf numFmtId="0" fontId="17" fillId="3" borderId="0" xfId="0" applyFont="1" applyFill="1" applyAlignment="1">
      <alignment horizontal="center"/>
    </xf>
    <xf numFmtId="0" fontId="7" fillId="0" borderId="1" xfId="0" applyFont="1" applyBorder="1" applyAlignment="1">
      <alignment wrapText="1"/>
    </xf>
    <xf numFmtId="44" fontId="16" fillId="0" borderId="1" xfId="1" applyFont="1" applyBorder="1"/>
    <xf numFmtId="44" fontId="16" fillId="0" borderId="1" xfId="0" applyNumberFormat="1" applyFont="1" applyBorder="1"/>
    <xf numFmtId="2" fontId="16" fillId="0" borderId="1" xfId="0" applyNumberFormat="1" applyFont="1" applyBorder="1"/>
    <xf numFmtId="0" fontId="7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18" fillId="3" borderId="0" xfId="0" applyFont="1" applyFill="1"/>
    <xf numFmtId="0" fontId="13" fillId="10" borderId="1" xfId="0" applyFont="1" applyFill="1" applyBorder="1" applyAlignment="1">
      <alignment horizontal="left" wrapText="1"/>
    </xf>
    <xf numFmtId="44" fontId="7" fillId="0" borderId="1" xfId="0" applyNumberFormat="1" applyFont="1" applyBorder="1"/>
    <xf numFmtId="44" fontId="7" fillId="0" borderId="1" xfId="0" applyNumberFormat="1" applyFont="1" applyFill="1" applyBorder="1"/>
    <xf numFmtId="44" fontId="14" fillId="0" borderId="1" xfId="0" applyNumberFormat="1" applyFont="1" applyFill="1" applyBorder="1"/>
    <xf numFmtId="0" fontId="14" fillId="0" borderId="1" xfId="0" applyFont="1" applyBorder="1"/>
    <xf numFmtId="44" fontId="14" fillId="0" borderId="1" xfId="1" applyFont="1" applyBorder="1"/>
    <xf numFmtId="9" fontId="14" fillId="0" borderId="1" xfId="2" applyFont="1" applyBorder="1"/>
    <xf numFmtId="0" fontId="13" fillId="2" borderId="1" xfId="0" applyFont="1" applyFill="1" applyBorder="1" applyAlignment="1">
      <alignment horizontal="right"/>
    </xf>
    <xf numFmtId="44" fontId="15" fillId="0" borderId="1" xfId="1" applyFont="1" applyBorder="1"/>
    <xf numFmtId="9" fontId="7" fillId="0" borderId="1" xfId="2" applyFont="1" applyBorder="1"/>
    <xf numFmtId="44" fontId="14" fillId="0" borderId="0" xfId="1" applyFont="1"/>
    <xf numFmtId="0" fontId="20" fillId="0" borderId="0" xfId="0" applyFont="1"/>
    <xf numFmtId="44" fontId="7" fillId="0" borderId="4" xfId="1" applyFont="1" applyBorder="1"/>
    <xf numFmtId="44" fontId="11" fillId="0" borderId="0" xfId="0" applyNumberFormat="1" applyFont="1" applyBorder="1"/>
    <xf numFmtId="0" fontId="8" fillId="0" borderId="0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3" fillId="9" borderId="1" xfId="0" applyFont="1" applyFill="1" applyBorder="1"/>
    <xf numFmtId="0" fontId="21" fillId="0" borderId="0" xfId="0" applyFont="1"/>
    <xf numFmtId="0" fontId="17" fillId="0" borderId="0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2" fillId="0" borderId="1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4</xdr:row>
      <xdr:rowOff>95250</xdr:rowOff>
    </xdr:from>
    <xdr:to>
      <xdr:col>2</xdr:col>
      <xdr:colOff>466724</xdr:colOff>
      <xdr:row>8</xdr:row>
      <xdr:rowOff>437363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7B724B-C1EA-4C09-94B4-99C7A65D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76250"/>
          <a:ext cx="1800225" cy="2380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2990850</xdr:colOff>
      <xdr:row>27</xdr:row>
      <xdr:rowOff>171450</xdr:rowOff>
    </xdr:from>
    <xdr:to>
      <xdr:col>5</xdr:col>
      <xdr:colOff>19050</xdr:colOff>
      <xdr:row>28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E6555F9-CFC8-4993-A9F5-BA3650129B05}"/>
            </a:ext>
          </a:extLst>
        </xdr:cNvPr>
        <xdr:cNvCxnSpPr/>
      </xdr:nvCxnSpPr>
      <xdr:spPr>
        <a:xfrm flipV="1">
          <a:off x="3495675" y="5886450"/>
          <a:ext cx="627697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3019425</xdr:colOff>
      <xdr:row>27</xdr:row>
      <xdr:rowOff>171450</xdr:rowOff>
    </xdr:from>
    <xdr:to>
      <xdr:col>2</xdr:col>
      <xdr:colOff>0</xdr:colOff>
      <xdr:row>33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1C889A6-FE1A-4237-8F5C-C6F9687FFC6D}"/>
            </a:ext>
          </a:extLst>
        </xdr:cNvPr>
        <xdr:cNvCxnSpPr/>
      </xdr:nvCxnSpPr>
      <xdr:spPr>
        <a:xfrm>
          <a:off x="3524250" y="5343525"/>
          <a:ext cx="9525" cy="933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114300</xdr:rowOff>
    </xdr:from>
    <xdr:to>
      <xdr:col>3</xdr:col>
      <xdr:colOff>9525</xdr:colOff>
      <xdr:row>28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ADC614B-A568-4615-A91F-753395F45C7C}"/>
            </a:ext>
          </a:extLst>
        </xdr:cNvPr>
        <xdr:cNvCxnSpPr/>
      </xdr:nvCxnSpPr>
      <xdr:spPr>
        <a:xfrm flipH="1" flipV="1">
          <a:off x="4581525" y="49244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23</xdr:row>
      <xdr:rowOff>114300</xdr:rowOff>
    </xdr:from>
    <xdr:to>
      <xdr:col>4</xdr:col>
      <xdr:colOff>9525</xdr:colOff>
      <xdr:row>28</xdr:row>
      <xdr:rowOff>19051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91335EC-1C07-424B-A7CC-C53D4F1A9A4A}"/>
            </a:ext>
          </a:extLst>
        </xdr:cNvPr>
        <xdr:cNvCxnSpPr/>
      </xdr:nvCxnSpPr>
      <xdr:spPr>
        <a:xfrm flipV="1">
          <a:off x="5629276" y="4924425"/>
          <a:ext cx="9524" cy="8096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23</xdr:row>
      <xdr:rowOff>104775</xdr:rowOff>
    </xdr:from>
    <xdr:to>
      <xdr:col>5</xdr:col>
      <xdr:colOff>19050</xdr:colOff>
      <xdr:row>28</xdr:row>
      <xdr:rowOff>9525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17F646D-C8D2-43A4-89C0-2E1A96628B00}"/>
            </a:ext>
          </a:extLst>
        </xdr:cNvPr>
        <xdr:cNvCxnSpPr/>
      </xdr:nvCxnSpPr>
      <xdr:spPr>
        <a:xfrm flipH="1" flipV="1">
          <a:off x="8782050" y="4914900"/>
          <a:ext cx="9525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424E-753F-4291-A240-AF12CEA461F6}">
  <dimension ref="D3:E9"/>
  <sheetViews>
    <sheetView showGridLines="0" zoomScaleNormal="100" workbookViewId="0">
      <selection activeCell="E8" sqref="E8"/>
    </sheetView>
  </sheetViews>
  <sheetFormatPr baseColWidth="10" defaultRowHeight="15" x14ac:dyDescent="0.25"/>
  <cols>
    <col min="4" max="4" width="41.28515625" customWidth="1"/>
    <col min="5" max="5" width="60.85546875" customWidth="1"/>
  </cols>
  <sheetData>
    <row r="3" spans="4:5" ht="31.5" x14ac:dyDescent="0.55000000000000004">
      <c r="D3" s="106" t="s">
        <v>9</v>
      </c>
      <c r="E3" s="106"/>
    </row>
    <row r="6" spans="4:5" ht="37.5" customHeight="1" x14ac:dyDescent="0.25">
      <c r="D6" s="2" t="s">
        <v>6</v>
      </c>
      <c r="E6" s="1" t="s">
        <v>162</v>
      </c>
    </row>
    <row r="7" spans="4:5" ht="37.5" customHeight="1" x14ac:dyDescent="0.25">
      <c r="D7" s="2" t="s">
        <v>7</v>
      </c>
      <c r="E7" s="1" t="s">
        <v>163</v>
      </c>
    </row>
    <row r="8" spans="4:5" ht="70.5" customHeight="1" x14ac:dyDescent="0.25">
      <c r="D8" s="2" t="s">
        <v>8</v>
      </c>
      <c r="E8" s="117" t="s">
        <v>164</v>
      </c>
    </row>
    <row r="9" spans="4:5" ht="37.5" customHeight="1" x14ac:dyDescent="0.25">
      <c r="D9" s="2"/>
      <c r="E9" s="41"/>
    </row>
  </sheetData>
  <mergeCells count="1">
    <mergeCell ref="D3:E3"/>
  </mergeCells>
  <pageMargins left="0.7" right="0.7" top="0.75" bottom="0.75" header="0.3" footer="0.3"/>
  <pageSetup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4AFF-9BC2-417B-BE68-03FF2C945D8C}">
  <dimension ref="C3:G22"/>
  <sheetViews>
    <sheetView showGridLines="0" tabSelected="1" topLeftCell="A4" zoomScaleNormal="100" workbookViewId="0">
      <selection activeCell="F6" sqref="F6"/>
    </sheetView>
  </sheetViews>
  <sheetFormatPr baseColWidth="10" defaultRowHeight="17.25" x14ac:dyDescent="0.3"/>
  <cols>
    <col min="1" max="2" width="11.42578125" style="4"/>
    <col min="3" max="3" width="25.140625" style="4" customWidth="1"/>
    <col min="4" max="7" width="20.28515625" style="4" customWidth="1"/>
    <col min="8" max="16384" width="11.42578125" style="4"/>
  </cols>
  <sheetData>
    <row r="3" spans="3:7" ht="20.25" x14ac:dyDescent="0.3">
      <c r="D3" s="114" t="s">
        <v>162</v>
      </c>
      <c r="E3" s="114"/>
      <c r="F3" s="114"/>
    </row>
    <row r="5" spans="3:7" ht="20.25" x14ac:dyDescent="0.3">
      <c r="C5" s="111" t="s">
        <v>95</v>
      </c>
      <c r="D5" s="111"/>
      <c r="E5" s="111"/>
      <c r="F5" s="111"/>
      <c r="G5" s="111"/>
    </row>
    <row r="8" spans="3:7" ht="23.25" customHeight="1" x14ac:dyDescent="0.3">
      <c r="C8" s="55"/>
      <c r="D8" s="56" t="s">
        <v>83</v>
      </c>
      <c r="E8" s="56" t="s">
        <v>48</v>
      </c>
      <c r="F8" s="56" t="s">
        <v>49</v>
      </c>
      <c r="G8" s="56" t="s">
        <v>50</v>
      </c>
    </row>
    <row r="9" spans="3:7" ht="21.75" customHeight="1" x14ac:dyDescent="0.3">
      <c r="C9" s="57" t="s">
        <v>96</v>
      </c>
      <c r="D9" s="58">
        <f>'FLUJO DE EFECTIVO'!C19</f>
        <v>-383100</v>
      </c>
      <c r="E9" s="59">
        <f>'FLUJO DE EFECTIVO'!C38</f>
        <v>292331.48432438273</v>
      </c>
      <c r="F9" s="59">
        <f>'FLUJO DE EFECTIVO'!D38</f>
        <v>323530.2266603274</v>
      </c>
      <c r="G9" s="59">
        <f>'FLUJO DE EFECTIVO'!E40</f>
        <v>382648.09551086172</v>
      </c>
    </row>
    <row r="10" spans="3:7" ht="27.75" customHeight="1" x14ac:dyDescent="0.3">
      <c r="C10" s="5"/>
      <c r="D10" s="60"/>
      <c r="E10" s="61"/>
      <c r="F10" s="61"/>
      <c r="G10" s="61"/>
    </row>
    <row r="11" spans="3:7" x14ac:dyDescent="0.3">
      <c r="C11" s="5"/>
      <c r="D11" s="5"/>
      <c r="E11" s="5"/>
      <c r="F11" s="5"/>
      <c r="G11" s="5"/>
    </row>
    <row r="12" spans="3:7" ht="22.5" customHeight="1" x14ac:dyDescent="0.3">
      <c r="C12" s="56" t="s">
        <v>97</v>
      </c>
      <c r="D12" s="62">
        <f>NPV(0.1,D9:G9)</f>
        <v>397750.38649663597</v>
      </c>
      <c r="E12" s="63"/>
      <c r="F12" s="5"/>
      <c r="G12" s="5"/>
    </row>
    <row r="13" spans="3:7" x14ac:dyDescent="0.3">
      <c r="C13" s="5"/>
      <c r="D13" s="64"/>
      <c r="E13" s="65"/>
      <c r="F13" s="5"/>
      <c r="G13" s="5"/>
    </row>
    <row r="14" spans="3:7" ht="22.5" customHeight="1" x14ac:dyDescent="0.3">
      <c r="C14" s="56" t="s">
        <v>98</v>
      </c>
      <c r="D14" s="66">
        <f>IRR(D9:G9)</f>
        <v>0.64531558689877566</v>
      </c>
      <c r="E14" s="67"/>
      <c r="F14" s="5"/>
      <c r="G14" s="5"/>
    </row>
    <row r="15" spans="3:7" x14ac:dyDescent="0.3">
      <c r="C15" s="5"/>
      <c r="D15" s="5"/>
      <c r="E15" s="65"/>
      <c r="F15" s="5"/>
      <c r="G15" s="5"/>
    </row>
    <row r="16" spans="3:7" ht="22.5" customHeight="1" x14ac:dyDescent="0.3">
      <c r="C16" s="68" t="s">
        <v>99</v>
      </c>
      <c r="D16" s="69">
        <f>E16/-D9</f>
        <v>2.142065844808926</v>
      </c>
      <c r="E16" s="75">
        <f>NPV(0.1,E9:G9)</f>
        <v>820625.42514629965</v>
      </c>
      <c r="F16" s="70"/>
      <c r="G16" s="71"/>
    </row>
    <row r="17" spans="3:7" x14ac:dyDescent="0.3">
      <c r="C17" s="5"/>
      <c r="D17" s="5"/>
      <c r="E17" s="5"/>
      <c r="F17" s="65"/>
      <c r="G17" s="5"/>
    </row>
    <row r="18" spans="3:7" ht="32.25" x14ac:dyDescent="0.3">
      <c r="C18" s="72" t="s">
        <v>100</v>
      </c>
      <c r="D18" s="73" t="s">
        <v>139</v>
      </c>
      <c r="E18" s="5"/>
      <c r="F18" s="65"/>
      <c r="G18" s="5"/>
    </row>
    <row r="19" spans="3:7" x14ac:dyDescent="0.3">
      <c r="C19" s="5"/>
      <c r="D19" s="5"/>
      <c r="E19" s="5"/>
      <c r="F19" s="5"/>
      <c r="G19" s="5"/>
    </row>
    <row r="20" spans="3:7" x14ac:dyDescent="0.3">
      <c r="C20" s="68" t="s">
        <v>101</v>
      </c>
      <c r="D20" s="64" t="s">
        <v>161</v>
      </c>
      <c r="E20" s="74"/>
      <c r="F20" s="74"/>
      <c r="G20" s="74"/>
    </row>
    <row r="21" spans="3:7" x14ac:dyDescent="0.3">
      <c r="D21" s="64" t="s">
        <v>160</v>
      </c>
      <c r="E21" s="47"/>
      <c r="F21" s="47"/>
      <c r="G21" s="47"/>
    </row>
    <row r="22" spans="3:7" x14ac:dyDescent="0.3">
      <c r="D22" s="47"/>
      <c r="E22" s="47"/>
      <c r="F22" s="47"/>
      <c r="G22" s="47"/>
    </row>
  </sheetData>
  <mergeCells count="2">
    <mergeCell ref="C5:G5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8B4F-5AD7-43C9-B0FE-23F2D09D2B5C}">
  <dimension ref="B2:F44"/>
  <sheetViews>
    <sheetView showGridLines="0" zoomScale="96" zoomScaleNormal="96" workbookViewId="0">
      <selection activeCell="C3" sqref="C3:E3"/>
    </sheetView>
  </sheetViews>
  <sheetFormatPr baseColWidth="10" defaultRowHeight="15" x14ac:dyDescent="0.2"/>
  <cols>
    <col min="1" max="1" width="5.5703125" style="5" customWidth="1"/>
    <col min="2" max="2" width="45" style="5" customWidth="1"/>
    <col min="3" max="3" width="22" style="5" customWidth="1"/>
    <col min="4" max="4" width="25.5703125" style="5" customWidth="1"/>
    <col min="5" max="5" width="27" style="5" customWidth="1"/>
    <col min="6" max="6" width="23.28515625" style="5" customWidth="1"/>
    <col min="7" max="16384" width="11.42578125" style="5"/>
  </cols>
  <sheetData>
    <row r="2" spans="2:6" x14ac:dyDescent="0.2">
      <c r="C2" s="107" t="str">
        <f>PORTADA!E6</f>
        <v>Bio Humi</v>
      </c>
      <c r="D2" s="107"/>
    </row>
    <row r="3" spans="2:6" x14ac:dyDescent="0.2">
      <c r="C3" s="108" t="s">
        <v>10</v>
      </c>
      <c r="D3" s="108"/>
      <c r="E3" s="108"/>
    </row>
    <row r="6" spans="2:6" x14ac:dyDescent="0.2"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</row>
    <row r="7" spans="2:6" x14ac:dyDescent="0.2">
      <c r="B7" s="9" t="s">
        <v>5</v>
      </c>
      <c r="C7" s="6"/>
      <c r="D7" s="6"/>
      <c r="E7" s="6"/>
      <c r="F7" s="6"/>
    </row>
    <row r="8" spans="2:6" x14ac:dyDescent="0.2">
      <c r="B8" s="7" t="s">
        <v>118</v>
      </c>
      <c r="C8" s="7"/>
      <c r="D8" s="7">
        <v>3</v>
      </c>
      <c r="E8" s="10">
        <v>15000</v>
      </c>
      <c r="F8" s="10">
        <f>D8*E8</f>
        <v>45000</v>
      </c>
    </row>
    <row r="9" spans="2:6" x14ac:dyDescent="0.2">
      <c r="B9" s="7" t="s">
        <v>119</v>
      </c>
      <c r="C9" s="7"/>
      <c r="D9" s="7">
        <v>3</v>
      </c>
      <c r="E9" s="10">
        <v>24000</v>
      </c>
      <c r="F9" s="10">
        <f t="shared" ref="F9:F19" si="0">D9*E9</f>
        <v>72000</v>
      </c>
    </row>
    <row r="10" spans="2:6" x14ac:dyDescent="0.2">
      <c r="B10" s="7" t="s">
        <v>120</v>
      </c>
      <c r="C10" s="7"/>
      <c r="D10" s="7">
        <v>2</v>
      </c>
      <c r="E10" s="10">
        <v>20000</v>
      </c>
      <c r="F10" s="10">
        <f t="shared" si="0"/>
        <v>40000</v>
      </c>
    </row>
    <row r="11" spans="2:6" x14ac:dyDescent="0.2">
      <c r="B11" s="7" t="s">
        <v>121</v>
      </c>
      <c r="C11" s="7"/>
      <c r="D11" s="7">
        <v>1</v>
      </c>
      <c r="E11" s="10">
        <v>800</v>
      </c>
      <c r="F11" s="10">
        <f t="shared" si="0"/>
        <v>800</v>
      </c>
    </row>
    <row r="12" spans="2:6" x14ac:dyDescent="0.2">
      <c r="B12" s="7" t="s">
        <v>122</v>
      </c>
      <c r="C12" s="7"/>
      <c r="D12" s="7">
        <v>5</v>
      </c>
      <c r="E12" s="10">
        <v>1500</v>
      </c>
      <c r="F12" s="10">
        <f t="shared" si="0"/>
        <v>7500</v>
      </c>
    </row>
    <row r="13" spans="2:6" x14ac:dyDescent="0.2">
      <c r="B13" s="7" t="s">
        <v>123</v>
      </c>
      <c r="C13" s="7"/>
      <c r="D13" s="7">
        <v>1</v>
      </c>
      <c r="E13" s="10">
        <v>5300</v>
      </c>
      <c r="F13" s="10">
        <f t="shared" si="0"/>
        <v>5300</v>
      </c>
    </row>
    <row r="14" spans="2:6" x14ac:dyDescent="0.2">
      <c r="B14" s="7" t="s">
        <v>124</v>
      </c>
      <c r="C14" s="7"/>
      <c r="D14" s="7">
        <v>2</v>
      </c>
      <c r="E14" s="10">
        <v>8000</v>
      </c>
      <c r="F14" s="10">
        <f t="shared" si="0"/>
        <v>16000</v>
      </c>
    </row>
    <row r="15" spans="2:6" x14ac:dyDescent="0.2">
      <c r="B15" s="7" t="s">
        <v>125</v>
      </c>
      <c r="C15" s="7"/>
      <c r="D15" s="7">
        <v>1</v>
      </c>
      <c r="E15" s="10">
        <v>15000</v>
      </c>
      <c r="F15" s="10">
        <f t="shared" si="0"/>
        <v>15000</v>
      </c>
    </row>
    <row r="16" spans="2:6" x14ac:dyDescent="0.2">
      <c r="B16" s="7" t="s">
        <v>126</v>
      </c>
      <c r="C16" s="7"/>
      <c r="D16" s="7">
        <v>2</v>
      </c>
      <c r="E16" s="10">
        <v>2500</v>
      </c>
      <c r="F16" s="10">
        <f t="shared" si="0"/>
        <v>5000</v>
      </c>
    </row>
    <row r="17" spans="2:6" x14ac:dyDescent="0.2">
      <c r="B17" s="7" t="s">
        <v>127</v>
      </c>
      <c r="C17" s="7"/>
      <c r="D17" s="7">
        <v>2</v>
      </c>
      <c r="E17" s="10">
        <v>1700</v>
      </c>
      <c r="F17" s="10">
        <f t="shared" si="0"/>
        <v>3400</v>
      </c>
    </row>
    <row r="18" spans="2:6" x14ac:dyDescent="0.2">
      <c r="B18" s="7" t="s">
        <v>128</v>
      </c>
      <c r="C18" s="7"/>
      <c r="D18" s="7">
        <v>2</v>
      </c>
      <c r="E18" s="10">
        <v>1800</v>
      </c>
      <c r="F18" s="10">
        <f t="shared" si="0"/>
        <v>3600</v>
      </c>
    </row>
    <row r="19" spans="2:6" x14ac:dyDescent="0.2">
      <c r="B19" s="7" t="s">
        <v>137</v>
      </c>
      <c r="C19" s="7"/>
      <c r="D19" s="7">
        <v>3</v>
      </c>
      <c r="E19" s="10">
        <v>2000</v>
      </c>
      <c r="F19" s="10">
        <f t="shared" si="0"/>
        <v>6000</v>
      </c>
    </row>
    <row r="20" spans="2:6" x14ac:dyDescent="0.2">
      <c r="B20" s="7"/>
      <c r="C20" s="7"/>
      <c r="D20" s="7"/>
      <c r="E20" s="10"/>
      <c r="F20" s="10"/>
    </row>
    <row r="21" spans="2:6" x14ac:dyDescent="0.2">
      <c r="B21" s="7"/>
      <c r="C21" s="7"/>
      <c r="D21" s="7"/>
      <c r="E21" s="10"/>
      <c r="F21" s="10"/>
    </row>
    <row r="22" spans="2:6" x14ac:dyDescent="0.2">
      <c r="B22" s="7"/>
      <c r="C22" s="7"/>
      <c r="D22" s="7"/>
      <c r="E22" s="10"/>
      <c r="F22" s="10"/>
    </row>
    <row r="23" spans="2:6" x14ac:dyDescent="0.2">
      <c r="B23" s="7"/>
      <c r="C23" s="7"/>
      <c r="D23" s="7"/>
      <c r="E23" s="14" t="s">
        <v>11</v>
      </c>
      <c r="F23" s="14">
        <f>SUM(F8:F22)</f>
        <v>219600</v>
      </c>
    </row>
    <row r="24" spans="2:6" x14ac:dyDescent="0.2">
      <c r="B24" s="11" t="s">
        <v>12</v>
      </c>
      <c r="C24" s="6"/>
      <c r="D24" s="6"/>
      <c r="E24" s="6"/>
      <c r="F24" s="6"/>
    </row>
    <row r="25" spans="2:6" x14ac:dyDescent="0.2">
      <c r="B25" s="7" t="s">
        <v>129</v>
      </c>
      <c r="C25" s="7"/>
      <c r="D25" s="7">
        <v>1</v>
      </c>
      <c r="E25" s="10">
        <v>6000</v>
      </c>
      <c r="F25" s="10">
        <f>D25*E25</f>
        <v>6000</v>
      </c>
    </row>
    <row r="26" spans="2:6" x14ac:dyDescent="0.2">
      <c r="B26" s="7" t="s">
        <v>130</v>
      </c>
      <c r="C26" s="7"/>
      <c r="D26" s="7">
        <v>1</v>
      </c>
      <c r="E26" s="10">
        <v>70000</v>
      </c>
      <c r="F26" s="10">
        <f t="shared" ref="F26:F29" si="1">D26*E26</f>
        <v>70000</v>
      </c>
    </row>
    <row r="27" spans="2:6" x14ac:dyDescent="0.2">
      <c r="B27" s="7"/>
      <c r="C27" s="7"/>
      <c r="D27" s="7">
        <v>0</v>
      </c>
      <c r="E27" s="10">
        <v>0</v>
      </c>
      <c r="F27" s="10">
        <f t="shared" si="1"/>
        <v>0</v>
      </c>
    </row>
    <row r="28" spans="2:6" x14ac:dyDescent="0.2">
      <c r="B28" s="7"/>
      <c r="C28" s="7"/>
      <c r="D28" s="7">
        <v>0</v>
      </c>
      <c r="E28" s="10">
        <v>0</v>
      </c>
      <c r="F28" s="10">
        <f t="shared" si="1"/>
        <v>0</v>
      </c>
    </row>
    <row r="29" spans="2:6" x14ac:dyDescent="0.2">
      <c r="B29" s="7"/>
      <c r="C29" s="7"/>
      <c r="D29" s="7">
        <v>0</v>
      </c>
      <c r="E29" s="10">
        <v>0</v>
      </c>
      <c r="F29" s="10">
        <f t="shared" si="1"/>
        <v>0</v>
      </c>
    </row>
    <row r="30" spans="2:6" x14ac:dyDescent="0.2">
      <c r="B30" s="7"/>
      <c r="C30" s="7"/>
      <c r="D30" s="12"/>
      <c r="E30" s="13" t="s">
        <v>13</v>
      </c>
      <c r="F30" s="14">
        <f>SUM(F25:F29)</f>
        <v>76000</v>
      </c>
    </row>
    <row r="31" spans="2:6" x14ac:dyDescent="0.2">
      <c r="B31" s="11" t="s">
        <v>14</v>
      </c>
      <c r="C31" s="15"/>
      <c r="D31" s="15"/>
      <c r="E31" s="15"/>
      <c r="F31" s="15"/>
    </row>
    <row r="32" spans="2:6" x14ac:dyDescent="0.2">
      <c r="B32" s="7" t="s">
        <v>131</v>
      </c>
      <c r="C32" s="7"/>
      <c r="D32" s="7">
        <v>3</v>
      </c>
      <c r="E32" s="10">
        <v>3000</v>
      </c>
      <c r="F32" s="10">
        <f>D32*E32</f>
        <v>9000</v>
      </c>
    </row>
    <row r="33" spans="2:6" x14ac:dyDescent="0.2">
      <c r="B33" s="7" t="s">
        <v>132</v>
      </c>
      <c r="C33" s="7"/>
      <c r="D33" s="7">
        <v>3</v>
      </c>
      <c r="E33" s="10">
        <v>3000</v>
      </c>
      <c r="F33" s="10">
        <f t="shared" ref="F33:F39" si="2">D33*E33</f>
        <v>9000</v>
      </c>
    </row>
    <row r="34" spans="2:6" x14ac:dyDescent="0.2">
      <c r="B34" s="7" t="s">
        <v>133</v>
      </c>
      <c r="C34" s="7"/>
      <c r="D34" s="7">
        <v>3</v>
      </c>
      <c r="E34" s="10">
        <v>500</v>
      </c>
      <c r="F34" s="10">
        <f t="shared" si="2"/>
        <v>1500</v>
      </c>
    </row>
    <row r="35" spans="2:6" x14ac:dyDescent="0.2">
      <c r="B35" s="7" t="s">
        <v>134</v>
      </c>
      <c r="C35" s="7"/>
      <c r="D35" s="7">
        <v>1</v>
      </c>
      <c r="E35" s="10">
        <f>'MEMORIAS DE CÁLCULO'!D38</f>
        <v>38000</v>
      </c>
      <c r="F35" s="10">
        <f t="shared" si="2"/>
        <v>38000</v>
      </c>
    </row>
    <row r="36" spans="2:6" x14ac:dyDescent="0.2">
      <c r="B36" s="7" t="s">
        <v>18</v>
      </c>
      <c r="C36" s="7"/>
      <c r="D36" s="7">
        <v>1</v>
      </c>
      <c r="E36" s="10">
        <v>30000</v>
      </c>
      <c r="F36" s="10">
        <f t="shared" si="2"/>
        <v>30000</v>
      </c>
    </row>
    <row r="37" spans="2:6" x14ac:dyDescent="0.2">
      <c r="B37" s="7"/>
      <c r="C37" s="7"/>
      <c r="D37" s="7">
        <v>0</v>
      </c>
      <c r="E37" s="10">
        <v>0</v>
      </c>
      <c r="F37" s="10">
        <f t="shared" si="2"/>
        <v>0</v>
      </c>
    </row>
    <row r="38" spans="2:6" x14ac:dyDescent="0.2">
      <c r="B38" s="7"/>
      <c r="C38" s="7"/>
      <c r="D38" s="7"/>
      <c r="E38" s="10"/>
      <c r="F38" s="10">
        <f t="shared" si="2"/>
        <v>0</v>
      </c>
    </row>
    <row r="39" spans="2:6" x14ac:dyDescent="0.2">
      <c r="B39" s="7"/>
      <c r="C39" s="7"/>
      <c r="D39" s="7"/>
      <c r="E39" s="10"/>
      <c r="F39" s="10">
        <f t="shared" si="2"/>
        <v>0</v>
      </c>
    </row>
    <row r="40" spans="2:6" x14ac:dyDescent="0.2">
      <c r="B40" s="7"/>
      <c r="C40" s="7"/>
      <c r="D40" s="12"/>
      <c r="E40" s="16" t="s">
        <v>15</v>
      </c>
      <c r="F40" s="17">
        <f>SUM(F32:F39)</f>
        <v>87500</v>
      </c>
    </row>
    <row r="41" spans="2:6" ht="30" x14ac:dyDescent="0.2">
      <c r="E41" s="18" t="s">
        <v>16</v>
      </c>
      <c r="F41" s="19">
        <f>F23+F30+F40</f>
        <v>383100</v>
      </c>
    </row>
    <row r="42" spans="2:6" x14ac:dyDescent="0.2">
      <c r="F42" s="53">
        <v>250000</v>
      </c>
    </row>
    <row r="43" spans="2:6" x14ac:dyDescent="0.2">
      <c r="F43" s="54">
        <f>F41-F42</f>
        <v>133100</v>
      </c>
    </row>
    <row r="44" spans="2:6" x14ac:dyDescent="0.2">
      <c r="F44" s="54">
        <f>F43/4</f>
        <v>33275</v>
      </c>
    </row>
  </sheetData>
  <mergeCells count="2">
    <mergeCell ref="C2:D2"/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AE3C-F51B-485E-8C91-29104FE67F75}">
  <dimension ref="A1:E48"/>
  <sheetViews>
    <sheetView showGridLines="0" topLeftCell="A37" zoomScale="93" zoomScaleNormal="93" workbookViewId="0">
      <selection activeCell="A29" sqref="A29"/>
    </sheetView>
  </sheetViews>
  <sheetFormatPr baseColWidth="10" defaultRowHeight="17.25" x14ac:dyDescent="0.3"/>
  <cols>
    <col min="1" max="1" width="30.42578125" style="4" customWidth="1"/>
    <col min="2" max="2" width="26.85546875" style="4" customWidth="1"/>
    <col min="3" max="3" width="25.42578125" style="4" customWidth="1"/>
    <col min="4" max="4" width="22" style="4" customWidth="1"/>
    <col min="5" max="16384" width="11.42578125" style="4"/>
  </cols>
  <sheetData>
    <row r="1" spans="1:3" x14ac:dyDescent="0.3">
      <c r="B1" s="4" t="str">
        <f>PORTADA!E6</f>
        <v>Bio Humi</v>
      </c>
    </row>
    <row r="4" spans="1:3" ht="18.75" customHeight="1" x14ac:dyDescent="0.3">
      <c r="A4" s="20" t="s">
        <v>114</v>
      </c>
    </row>
    <row r="5" spans="1:3" ht="18.75" customHeight="1" x14ac:dyDescent="0.3">
      <c r="A5" s="50" t="s">
        <v>24</v>
      </c>
      <c r="B5" s="50"/>
      <c r="C5" s="50"/>
    </row>
    <row r="6" spans="1:3" ht="18.75" customHeight="1" x14ac:dyDescent="0.3">
      <c r="A6" s="4" t="s">
        <v>136</v>
      </c>
    </row>
    <row r="7" spans="1:3" ht="18.75" customHeight="1" x14ac:dyDescent="0.3">
      <c r="A7" s="4" t="s">
        <v>102</v>
      </c>
    </row>
    <row r="8" spans="1:3" ht="18.75" customHeight="1" x14ac:dyDescent="0.3">
      <c r="A8" s="4" t="s">
        <v>103</v>
      </c>
    </row>
    <row r="9" spans="1:3" ht="18.75" customHeight="1" x14ac:dyDescent="0.3"/>
    <row r="10" spans="1:3" ht="18.75" customHeight="1" x14ac:dyDescent="0.3"/>
    <row r="11" spans="1:3" ht="18.75" customHeight="1" x14ac:dyDescent="0.3">
      <c r="A11" s="20" t="s">
        <v>17</v>
      </c>
    </row>
    <row r="12" spans="1:3" ht="18.75" customHeight="1" x14ac:dyDescent="0.3"/>
    <row r="13" spans="1:3" ht="18.75" customHeight="1" x14ac:dyDescent="0.3">
      <c r="A13" s="22" t="s">
        <v>18</v>
      </c>
      <c r="B13" s="25">
        <v>1104</v>
      </c>
      <c r="C13" s="50" t="s">
        <v>21</v>
      </c>
    </row>
    <row r="14" spans="1:3" ht="18.75" customHeight="1" x14ac:dyDescent="0.3">
      <c r="A14" s="22" t="s">
        <v>19</v>
      </c>
      <c r="B14" s="25">
        <v>180</v>
      </c>
      <c r="C14" s="50" t="s">
        <v>22</v>
      </c>
    </row>
    <row r="15" spans="1:3" ht="18.75" customHeight="1" x14ac:dyDescent="0.3">
      <c r="A15" s="22" t="s">
        <v>20</v>
      </c>
      <c r="B15" s="25">
        <v>0</v>
      </c>
      <c r="C15" s="50" t="s">
        <v>23</v>
      </c>
    </row>
    <row r="16" spans="1:3" ht="37.5" customHeight="1" x14ac:dyDescent="0.3">
      <c r="A16" s="24" t="s">
        <v>25</v>
      </c>
      <c r="B16" s="26">
        <f>B13+B14+B15</f>
        <v>1284</v>
      </c>
    </row>
    <row r="17" spans="1:3" ht="18.75" customHeight="1" x14ac:dyDescent="0.3">
      <c r="A17" s="21"/>
      <c r="B17" s="26">
        <f>B16*80</f>
        <v>102720</v>
      </c>
      <c r="C17" s="4" t="s">
        <v>115</v>
      </c>
    </row>
    <row r="18" spans="1:3" ht="18.75" customHeight="1" x14ac:dyDescent="0.3">
      <c r="B18" s="44">
        <f>B17*12</f>
        <v>1232640</v>
      </c>
      <c r="C18" s="4" t="s">
        <v>106</v>
      </c>
    </row>
    <row r="19" spans="1:3" ht="18.75" customHeight="1" x14ac:dyDescent="0.3"/>
    <row r="20" spans="1:3" ht="18.75" customHeight="1" x14ac:dyDescent="0.3">
      <c r="A20" s="20" t="s">
        <v>116</v>
      </c>
    </row>
    <row r="21" spans="1:3" ht="18.75" customHeight="1" x14ac:dyDescent="0.3"/>
    <row r="22" spans="1:3" ht="18.75" customHeight="1" x14ac:dyDescent="0.3">
      <c r="A22" s="29" t="s">
        <v>0</v>
      </c>
      <c r="B22" s="29" t="s">
        <v>26</v>
      </c>
      <c r="C22" s="29" t="s">
        <v>105</v>
      </c>
    </row>
    <row r="23" spans="1:3" ht="18.75" customHeight="1" x14ac:dyDescent="0.3">
      <c r="A23" s="23" t="str">
        <f>'PRESUPUESTO DE INVERSIÓN'!B33</f>
        <v>Energía eléctrica</v>
      </c>
      <c r="B23" s="25">
        <f>'PRESUPUESTO DE INVERSIÓN'!E33</f>
        <v>3000</v>
      </c>
      <c r="C23" s="26">
        <f>B23*12</f>
        <v>36000</v>
      </c>
    </row>
    <row r="24" spans="1:3" ht="18.75" customHeight="1" x14ac:dyDescent="0.3">
      <c r="A24" s="23" t="str">
        <f>'PRESUPUESTO DE INVERSIÓN'!B34</f>
        <v>Internet</v>
      </c>
      <c r="B24" s="25">
        <f>'PRESUPUESTO DE INVERSIÓN'!E34</f>
        <v>500</v>
      </c>
      <c r="C24" s="26">
        <f>B24*12</f>
        <v>6000</v>
      </c>
    </row>
    <row r="25" spans="1:3" ht="18.75" customHeight="1" x14ac:dyDescent="0.3">
      <c r="A25" s="23" t="str">
        <f>'PRESUPUESTO DE INVERSIÓN'!B35</f>
        <v>Sueldos</v>
      </c>
      <c r="B25" s="25">
        <f>D38</f>
        <v>38000</v>
      </c>
      <c r="C25" s="26">
        <f t="shared" ref="C25:C28" si="0">B25*12</f>
        <v>456000</v>
      </c>
    </row>
    <row r="26" spans="1:3" ht="18.75" customHeight="1" x14ac:dyDescent="0.3">
      <c r="A26" s="23" t="s">
        <v>144</v>
      </c>
      <c r="B26" s="25">
        <f>B25*0.35</f>
        <v>13300</v>
      </c>
      <c r="C26" s="26">
        <f>B26*12</f>
        <v>159600</v>
      </c>
    </row>
    <row r="27" spans="1:3" ht="18.75" customHeight="1" x14ac:dyDescent="0.3">
      <c r="A27" s="23" t="s">
        <v>140</v>
      </c>
      <c r="B27" s="25">
        <v>600</v>
      </c>
      <c r="C27" s="26">
        <f t="shared" si="0"/>
        <v>7200</v>
      </c>
    </row>
    <row r="28" spans="1:3" ht="18.75" customHeight="1" x14ac:dyDescent="0.3">
      <c r="A28" s="23" t="str">
        <f>'PRESUPUESTO DE INVERSIÓN'!B32</f>
        <v>Renta</v>
      </c>
      <c r="B28" s="25">
        <f>'PRESUPUESTO DE INVERSIÓN'!E32</f>
        <v>3000</v>
      </c>
      <c r="C28" s="26">
        <f t="shared" si="0"/>
        <v>36000</v>
      </c>
    </row>
    <row r="29" spans="1:3" ht="18.75" customHeight="1" x14ac:dyDescent="0.3">
      <c r="A29" s="27"/>
      <c r="B29" s="28">
        <f>SUM(B23:B28)</f>
        <v>58400</v>
      </c>
      <c r="C29" s="28">
        <f>SUM(C23:C28)</f>
        <v>700800</v>
      </c>
    </row>
    <row r="30" spans="1:3" ht="18.75" customHeight="1" x14ac:dyDescent="0.3">
      <c r="A30" s="27"/>
      <c r="B30" s="28"/>
    </row>
    <row r="32" spans="1:3" x14ac:dyDescent="0.3">
      <c r="A32" s="20" t="s">
        <v>117</v>
      </c>
    </row>
    <row r="34" spans="1:5" ht="14.25" x14ac:dyDescent="0.15">
      <c r="A34" s="29" t="s">
        <v>27</v>
      </c>
      <c r="B34" s="29" t="s">
        <v>28</v>
      </c>
      <c r="C34" s="29" t="s">
        <v>29</v>
      </c>
      <c r="D34" s="29" t="s">
        <v>30</v>
      </c>
    </row>
    <row r="35" spans="1:5" ht="18.75" customHeight="1" x14ac:dyDescent="0.15">
      <c r="A35" s="23" t="s">
        <v>135</v>
      </c>
      <c r="B35" s="23">
        <v>1</v>
      </c>
      <c r="C35" s="25">
        <v>8000</v>
      </c>
      <c r="D35" s="25">
        <f>C35*2</f>
        <v>16000</v>
      </c>
    </row>
    <row r="36" spans="1:5" ht="18.75" customHeight="1" x14ac:dyDescent="0.15">
      <c r="A36" s="23" t="s">
        <v>143</v>
      </c>
      <c r="B36" s="23">
        <v>1</v>
      </c>
      <c r="C36" s="25">
        <v>6000</v>
      </c>
      <c r="D36" s="25">
        <f>B36*C36*2</f>
        <v>12000</v>
      </c>
    </row>
    <row r="37" spans="1:5" ht="18.75" customHeight="1" x14ac:dyDescent="0.15">
      <c r="A37" s="23" t="s">
        <v>143</v>
      </c>
      <c r="B37" s="23">
        <v>1</v>
      </c>
      <c r="C37" s="25">
        <v>5000</v>
      </c>
      <c r="D37" s="25">
        <f>B37*C37*2</f>
        <v>10000</v>
      </c>
    </row>
    <row r="38" spans="1:5" ht="18.75" customHeight="1" x14ac:dyDescent="0.15">
      <c r="A38" s="23"/>
      <c r="B38" s="23"/>
      <c r="C38" s="25" t="s">
        <v>31</v>
      </c>
      <c r="D38" s="25">
        <f>SUM(D35:D37)</f>
        <v>38000</v>
      </c>
      <c r="E38" s="50" t="s">
        <v>32</v>
      </c>
    </row>
    <row r="40" spans="1:5" ht="14.25" x14ac:dyDescent="0.15">
      <c r="A40" s="20" t="s">
        <v>141</v>
      </c>
    </row>
    <row r="42" spans="1:5" ht="14.25" x14ac:dyDescent="0.15">
      <c r="A42" s="29" t="s">
        <v>142</v>
      </c>
      <c r="B42" s="29" t="s">
        <v>28</v>
      </c>
      <c r="C42" s="29" t="s">
        <v>146</v>
      </c>
      <c r="D42" s="29" t="s">
        <v>147</v>
      </c>
    </row>
    <row r="43" spans="1:5" ht="14.25" x14ac:dyDescent="0.15">
      <c r="A43" s="23" t="s">
        <v>145</v>
      </c>
      <c r="B43" s="23">
        <v>1</v>
      </c>
      <c r="C43" s="25">
        <v>1200</v>
      </c>
      <c r="D43" s="26">
        <f>C43*4</f>
        <v>4800</v>
      </c>
    </row>
    <row r="44" spans="1:5" ht="14.25" x14ac:dyDescent="0.15">
      <c r="A44" s="23" t="s">
        <v>145</v>
      </c>
      <c r="B44" s="23">
        <v>1</v>
      </c>
      <c r="C44" s="25">
        <v>1200</v>
      </c>
      <c r="D44" s="26">
        <f>C44*4</f>
        <v>4800</v>
      </c>
    </row>
    <row r="45" spans="1:5" ht="14.25" x14ac:dyDescent="0.15">
      <c r="A45" s="23" t="s">
        <v>145</v>
      </c>
      <c r="B45" s="23">
        <v>1</v>
      </c>
      <c r="C45" s="25">
        <v>1200</v>
      </c>
      <c r="D45" s="26">
        <f>C45*4</f>
        <v>4800</v>
      </c>
    </row>
    <row r="46" spans="1:5" ht="14.25" x14ac:dyDescent="0.15">
      <c r="D46" s="44">
        <f>SUM(D43:D45)</f>
        <v>14400</v>
      </c>
    </row>
    <row r="47" spans="1:5" ht="14.25" x14ac:dyDescent="0.15">
      <c r="D47" s="4">
        <v>80</v>
      </c>
      <c r="E47" s="4" t="s">
        <v>148</v>
      </c>
    </row>
    <row r="48" spans="1:5" ht="14.25" x14ac:dyDescent="0.15">
      <c r="D48" s="44">
        <f>D46/D47</f>
        <v>180</v>
      </c>
      <c r="E48" s="4" t="s">
        <v>149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5D8F-7DF0-4203-BBF0-237EBB114263}">
  <dimension ref="B2:I73"/>
  <sheetViews>
    <sheetView showGridLines="0" topLeftCell="A64" workbookViewId="0">
      <selection activeCell="C14" sqref="C14"/>
    </sheetView>
  </sheetViews>
  <sheetFormatPr baseColWidth="10" defaultRowHeight="17.25" x14ac:dyDescent="0.3"/>
  <cols>
    <col min="1" max="1" width="11.42578125" style="4"/>
    <col min="2" max="2" width="38.28515625" style="4" customWidth="1"/>
    <col min="3" max="3" width="32.140625" style="4" customWidth="1"/>
    <col min="4" max="4" width="15.7109375" style="4" customWidth="1"/>
    <col min="5" max="5" width="22.5703125" style="4" customWidth="1"/>
    <col min="6" max="6" width="16.5703125" style="4" customWidth="1"/>
    <col min="7" max="7" width="18.7109375" style="4" customWidth="1"/>
    <col min="8" max="8" width="15.5703125" style="4" bestFit="1" customWidth="1"/>
    <col min="9" max="16384" width="11.42578125" style="4"/>
  </cols>
  <sheetData>
    <row r="2" spans="2:7" x14ac:dyDescent="0.3">
      <c r="D2" s="4" t="str">
        <f>PORTADA!E6</f>
        <v>Bio Humi</v>
      </c>
    </row>
    <row r="4" spans="2:7" ht="26.25" x14ac:dyDescent="0.5">
      <c r="B4" s="109" t="s">
        <v>33</v>
      </c>
      <c r="C4" s="109"/>
      <c r="D4" s="109"/>
      <c r="E4" s="109"/>
    </row>
    <row r="6" spans="2:7" ht="20.25" x14ac:dyDescent="0.35">
      <c r="B6" s="30" t="s">
        <v>34</v>
      </c>
      <c r="C6" s="30" t="s">
        <v>150</v>
      </c>
    </row>
    <row r="7" spans="2:7" ht="20.25" x14ac:dyDescent="0.35">
      <c r="B7" s="30" t="s">
        <v>35</v>
      </c>
      <c r="C7" s="39">
        <v>250000</v>
      </c>
    </row>
    <row r="8" spans="2:7" ht="20.25" x14ac:dyDescent="0.35">
      <c r="B8" s="30" t="s">
        <v>36</v>
      </c>
      <c r="C8" s="30">
        <v>60</v>
      </c>
    </row>
    <row r="9" spans="2:7" ht="20.25" x14ac:dyDescent="0.35">
      <c r="B9" s="30" t="s">
        <v>37</v>
      </c>
      <c r="C9" s="30" t="s">
        <v>104</v>
      </c>
    </row>
    <row r="10" spans="2:7" ht="20.25" x14ac:dyDescent="0.35">
      <c r="B10" s="30" t="s">
        <v>38</v>
      </c>
      <c r="C10" s="40">
        <v>0.22</v>
      </c>
      <c r="D10" s="23">
        <f>C10/12</f>
        <v>1.8333333333333333E-2</v>
      </c>
    </row>
    <row r="11" spans="2:7" ht="20.25" x14ac:dyDescent="0.35">
      <c r="B11" s="30" t="s">
        <v>39</v>
      </c>
      <c r="C11" s="42">
        <f>PMT(C10/12,C8,C7)</f>
        <v>-6904.7280088399484</v>
      </c>
    </row>
    <row r="13" spans="2:7" ht="20.25" x14ac:dyDescent="0.35">
      <c r="B13" s="31" t="s">
        <v>40</v>
      </c>
      <c r="C13" s="31" t="s">
        <v>41</v>
      </c>
      <c r="D13" s="31" t="s">
        <v>42</v>
      </c>
      <c r="E13" s="31" t="s">
        <v>43</v>
      </c>
      <c r="F13" s="31" t="s">
        <v>44</v>
      </c>
      <c r="G13" s="31" t="s">
        <v>45</v>
      </c>
    </row>
    <row r="14" spans="2:7" x14ac:dyDescent="0.3">
      <c r="B14" s="23">
        <v>1</v>
      </c>
      <c r="C14" s="26">
        <f>C7</f>
        <v>250000</v>
      </c>
      <c r="D14" s="26">
        <f>C14*$D$10</f>
        <v>4583.333333333333</v>
      </c>
      <c r="E14" s="43">
        <f>F14-D14</f>
        <v>2321.3946755066154</v>
      </c>
      <c r="F14" s="43">
        <f>-$C$11</f>
        <v>6904.7280088399484</v>
      </c>
      <c r="G14" s="26">
        <f>C14-E14</f>
        <v>247678.60532449337</v>
      </c>
    </row>
    <row r="15" spans="2:7" x14ac:dyDescent="0.3">
      <c r="B15" s="23">
        <v>2</v>
      </c>
      <c r="C15" s="26">
        <f>G14</f>
        <v>247678.60532449337</v>
      </c>
      <c r="D15" s="26">
        <f>C15*$D$10</f>
        <v>4540.7744309490454</v>
      </c>
      <c r="E15" s="43">
        <f t="shared" ref="E15:E73" si="0">F15-D15</f>
        <v>2363.953577890903</v>
      </c>
      <c r="F15" s="43">
        <f t="shared" ref="F15:F73" si="1">-$C$11</f>
        <v>6904.7280088399484</v>
      </c>
      <c r="G15" s="26">
        <f>C15-E15</f>
        <v>245314.65174660247</v>
      </c>
    </row>
    <row r="16" spans="2:7" x14ac:dyDescent="0.3">
      <c r="B16" s="23">
        <v>3</v>
      </c>
      <c r="C16" s="26">
        <f>G15</f>
        <v>245314.65174660247</v>
      </c>
      <c r="D16" s="26">
        <f t="shared" ref="D16:D73" si="2">C16*$D$10</f>
        <v>4497.4352820210452</v>
      </c>
      <c r="E16" s="43">
        <f t="shared" si="0"/>
        <v>2407.2927268189032</v>
      </c>
      <c r="F16" s="43">
        <f t="shared" si="1"/>
        <v>6904.7280088399484</v>
      </c>
      <c r="G16" s="26">
        <f t="shared" ref="G16:G73" si="3">C16-E16</f>
        <v>242907.35901978356</v>
      </c>
    </row>
    <row r="17" spans="2:9" x14ac:dyDescent="0.3">
      <c r="B17" s="23">
        <v>4</v>
      </c>
      <c r="C17" s="26">
        <f t="shared" ref="C17:C73" si="4">G16</f>
        <v>242907.35901978356</v>
      </c>
      <c r="D17" s="26">
        <f t="shared" si="2"/>
        <v>4453.3015820293649</v>
      </c>
      <c r="E17" s="43">
        <f t="shared" si="0"/>
        <v>2451.4264268105835</v>
      </c>
      <c r="F17" s="43">
        <f t="shared" si="1"/>
        <v>6904.7280088399484</v>
      </c>
      <c r="G17" s="26">
        <f t="shared" si="3"/>
        <v>240455.93259297297</v>
      </c>
    </row>
    <row r="18" spans="2:9" x14ac:dyDescent="0.3">
      <c r="B18" s="23">
        <v>5</v>
      </c>
      <c r="C18" s="26">
        <f t="shared" si="4"/>
        <v>240455.93259297297</v>
      </c>
      <c r="D18" s="26">
        <f t="shared" si="2"/>
        <v>4408.358764204504</v>
      </c>
      <c r="E18" s="43">
        <f t="shared" si="0"/>
        <v>2496.3692446354444</v>
      </c>
      <c r="F18" s="43">
        <f t="shared" si="1"/>
        <v>6904.7280088399484</v>
      </c>
      <c r="G18" s="26">
        <f t="shared" si="3"/>
        <v>237959.56334833751</v>
      </c>
    </row>
    <row r="19" spans="2:9" x14ac:dyDescent="0.3">
      <c r="B19" s="23">
        <v>6</v>
      </c>
      <c r="C19" s="26">
        <f t="shared" si="4"/>
        <v>237959.56334833751</v>
      </c>
      <c r="D19" s="26">
        <f t="shared" si="2"/>
        <v>4362.5919947195207</v>
      </c>
      <c r="E19" s="43">
        <f t="shared" si="0"/>
        <v>2542.1360141204277</v>
      </c>
      <c r="F19" s="43">
        <f t="shared" si="1"/>
        <v>6904.7280088399484</v>
      </c>
      <c r="G19" s="26">
        <f t="shared" si="3"/>
        <v>235417.42733421709</v>
      </c>
    </row>
    <row r="20" spans="2:9" x14ac:dyDescent="0.3">
      <c r="B20" s="23">
        <v>7</v>
      </c>
      <c r="C20" s="26">
        <f t="shared" si="4"/>
        <v>235417.42733421709</v>
      </c>
      <c r="D20" s="26">
        <f t="shared" si="2"/>
        <v>4315.9861677939798</v>
      </c>
      <c r="E20" s="43">
        <f t="shared" si="0"/>
        <v>2588.7418410459686</v>
      </c>
      <c r="F20" s="43">
        <f t="shared" si="1"/>
        <v>6904.7280088399484</v>
      </c>
      <c r="G20" s="26">
        <f t="shared" si="3"/>
        <v>232828.68549317113</v>
      </c>
    </row>
    <row r="21" spans="2:9" x14ac:dyDescent="0.3">
      <c r="B21" s="23">
        <v>8</v>
      </c>
      <c r="C21" s="26">
        <f t="shared" si="4"/>
        <v>232828.68549317113</v>
      </c>
      <c r="D21" s="26">
        <f t="shared" si="2"/>
        <v>4268.5259007081377</v>
      </c>
      <c r="E21" s="43">
        <f t="shared" si="0"/>
        <v>2636.2021081318107</v>
      </c>
      <c r="F21" s="43">
        <f t="shared" si="1"/>
        <v>6904.7280088399484</v>
      </c>
      <c r="G21" s="26">
        <f t="shared" si="3"/>
        <v>230192.48338503932</v>
      </c>
    </row>
    <row r="22" spans="2:9" x14ac:dyDescent="0.3">
      <c r="B22" s="23">
        <v>9</v>
      </c>
      <c r="C22" s="26">
        <f t="shared" si="4"/>
        <v>230192.48338503932</v>
      </c>
      <c r="D22" s="26">
        <f t="shared" si="2"/>
        <v>4220.1955287257206</v>
      </c>
      <c r="E22" s="43">
        <f t="shared" si="0"/>
        <v>2684.5324801142278</v>
      </c>
      <c r="F22" s="43">
        <f t="shared" si="1"/>
        <v>6904.7280088399484</v>
      </c>
      <c r="G22" s="26">
        <f t="shared" si="3"/>
        <v>227507.95090492509</v>
      </c>
    </row>
    <row r="23" spans="2:9" ht="14.25" x14ac:dyDescent="0.15">
      <c r="B23" s="23">
        <v>10</v>
      </c>
      <c r="C23" s="26">
        <f t="shared" si="4"/>
        <v>227507.95090492509</v>
      </c>
      <c r="D23" s="26">
        <f t="shared" si="2"/>
        <v>4170.9790999236266</v>
      </c>
      <c r="E23" s="43">
        <f t="shared" si="0"/>
        <v>2733.7489089163219</v>
      </c>
      <c r="F23" s="43">
        <f t="shared" si="1"/>
        <v>6904.7280088399484</v>
      </c>
      <c r="G23" s="26">
        <f t="shared" si="3"/>
        <v>224774.20199600878</v>
      </c>
    </row>
    <row r="24" spans="2:9" ht="14.25" x14ac:dyDescent="0.15">
      <c r="B24" s="23">
        <v>11</v>
      </c>
      <c r="C24" s="26">
        <f t="shared" si="4"/>
        <v>224774.20199600878</v>
      </c>
      <c r="D24" s="26">
        <f t="shared" si="2"/>
        <v>4120.8603699268278</v>
      </c>
      <c r="E24" s="43">
        <f t="shared" si="0"/>
        <v>2783.8676389131206</v>
      </c>
      <c r="F24" s="43">
        <f t="shared" si="1"/>
        <v>6904.7280088399484</v>
      </c>
      <c r="G24" s="26">
        <f t="shared" si="3"/>
        <v>221990.33435709565</v>
      </c>
    </row>
    <row r="25" spans="2:9" ht="14.25" x14ac:dyDescent="0.15">
      <c r="B25" s="23">
        <v>12</v>
      </c>
      <c r="C25" s="26">
        <f t="shared" si="4"/>
        <v>221990.33435709565</v>
      </c>
      <c r="D25" s="26">
        <f t="shared" si="2"/>
        <v>4069.8227965467536</v>
      </c>
      <c r="E25" s="43">
        <f t="shared" si="0"/>
        <v>2834.9052122931948</v>
      </c>
      <c r="F25" s="43">
        <f t="shared" si="1"/>
        <v>6904.7280088399484</v>
      </c>
      <c r="G25" s="26">
        <f t="shared" si="3"/>
        <v>219155.42914480245</v>
      </c>
      <c r="H25" s="44">
        <f>SUM(D14:D25)</f>
        <v>52012.165250881866</v>
      </c>
      <c r="I25" s="4" t="s">
        <v>109</v>
      </c>
    </row>
    <row r="26" spans="2:9" ht="14.25" x14ac:dyDescent="0.15">
      <c r="B26" s="23">
        <v>13</v>
      </c>
      <c r="C26" s="26">
        <f t="shared" si="4"/>
        <v>219155.42914480245</v>
      </c>
      <c r="D26" s="26">
        <f t="shared" si="2"/>
        <v>4017.8495343213781</v>
      </c>
      <c r="E26" s="43">
        <f t="shared" si="0"/>
        <v>2886.8784745185703</v>
      </c>
      <c r="F26" s="43">
        <f t="shared" si="1"/>
        <v>6904.7280088399484</v>
      </c>
      <c r="G26" s="26">
        <f t="shared" si="3"/>
        <v>216268.55067028388</v>
      </c>
    </row>
    <row r="27" spans="2:9" ht="14.25" x14ac:dyDescent="0.15">
      <c r="B27" s="23">
        <v>14</v>
      </c>
      <c r="C27" s="26">
        <f t="shared" si="4"/>
        <v>216268.55067028388</v>
      </c>
      <c r="D27" s="26">
        <f t="shared" si="2"/>
        <v>3964.9234289552046</v>
      </c>
      <c r="E27" s="43">
        <f t="shared" si="0"/>
        <v>2939.8045798847438</v>
      </c>
      <c r="F27" s="43">
        <f t="shared" si="1"/>
        <v>6904.7280088399484</v>
      </c>
      <c r="G27" s="26">
        <f t="shared" si="3"/>
        <v>213328.74609039913</v>
      </c>
    </row>
    <row r="28" spans="2:9" ht="14.25" x14ac:dyDescent="0.15">
      <c r="B28" s="23">
        <v>15</v>
      </c>
      <c r="C28" s="26">
        <f t="shared" si="4"/>
        <v>213328.74609039913</v>
      </c>
      <c r="D28" s="26">
        <f t="shared" si="2"/>
        <v>3911.0270116573174</v>
      </c>
      <c r="E28" s="43">
        <f t="shared" si="0"/>
        <v>2993.700997182631</v>
      </c>
      <c r="F28" s="43">
        <f t="shared" si="1"/>
        <v>6904.7280088399484</v>
      </c>
      <c r="G28" s="26">
        <f t="shared" si="3"/>
        <v>210335.0450932165</v>
      </c>
    </row>
    <row r="29" spans="2:9" ht="14.25" x14ac:dyDescent="0.15">
      <c r="B29" s="23">
        <v>16</v>
      </c>
      <c r="C29" s="26">
        <f t="shared" si="4"/>
        <v>210335.0450932165</v>
      </c>
      <c r="D29" s="26">
        <f t="shared" si="2"/>
        <v>3856.1424933756357</v>
      </c>
      <c r="E29" s="43">
        <f t="shared" si="0"/>
        <v>3048.5855154643127</v>
      </c>
      <c r="F29" s="43">
        <f t="shared" si="1"/>
        <v>6904.7280088399484</v>
      </c>
      <c r="G29" s="26">
        <f t="shared" si="3"/>
        <v>207286.45957775219</v>
      </c>
    </row>
    <row r="30" spans="2:9" ht="14.25" x14ac:dyDescent="0.15">
      <c r="B30" s="23">
        <v>17</v>
      </c>
      <c r="C30" s="26">
        <f t="shared" si="4"/>
        <v>207286.45957775219</v>
      </c>
      <c r="D30" s="26">
        <f t="shared" si="2"/>
        <v>3800.2517589254567</v>
      </c>
      <c r="E30" s="43">
        <f t="shared" si="0"/>
        <v>3104.4762499144917</v>
      </c>
      <c r="F30" s="43">
        <f t="shared" si="1"/>
        <v>6904.7280088399484</v>
      </c>
      <c r="G30" s="26">
        <f t="shared" si="3"/>
        <v>204181.98332783769</v>
      </c>
    </row>
    <row r="31" spans="2:9" ht="14.25" x14ac:dyDescent="0.15">
      <c r="B31" s="23">
        <v>18</v>
      </c>
      <c r="C31" s="26">
        <f t="shared" si="4"/>
        <v>204181.98332783769</v>
      </c>
      <c r="D31" s="26">
        <f t="shared" si="2"/>
        <v>3743.3363610103575</v>
      </c>
      <c r="E31" s="43">
        <f t="shared" si="0"/>
        <v>3161.391647829591</v>
      </c>
      <c r="F31" s="43">
        <f t="shared" si="1"/>
        <v>6904.7280088399484</v>
      </c>
      <c r="G31" s="26">
        <f t="shared" si="3"/>
        <v>201020.5916800081</v>
      </c>
    </row>
    <row r="32" spans="2:9" ht="14.25" x14ac:dyDescent="0.15">
      <c r="B32" s="23">
        <v>19</v>
      </c>
      <c r="C32" s="26">
        <f t="shared" si="4"/>
        <v>201020.5916800081</v>
      </c>
      <c r="D32" s="26">
        <f t="shared" si="2"/>
        <v>3685.3775141334818</v>
      </c>
      <c r="E32" s="43">
        <f t="shared" si="0"/>
        <v>3219.3504947064666</v>
      </c>
      <c r="F32" s="43">
        <f t="shared" si="1"/>
        <v>6904.7280088399484</v>
      </c>
      <c r="G32" s="26">
        <f t="shared" si="3"/>
        <v>197801.24118530162</v>
      </c>
    </row>
    <row r="33" spans="2:9" ht="14.25" x14ac:dyDescent="0.15">
      <c r="B33" s="23">
        <v>20</v>
      </c>
      <c r="C33" s="26">
        <f t="shared" si="4"/>
        <v>197801.24118530162</v>
      </c>
      <c r="D33" s="26">
        <f t="shared" si="2"/>
        <v>3626.3560883971963</v>
      </c>
      <c r="E33" s="43">
        <f t="shared" si="0"/>
        <v>3278.3719204427521</v>
      </c>
      <c r="F33" s="43">
        <f t="shared" si="1"/>
        <v>6904.7280088399484</v>
      </c>
      <c r="G33" s="26">
        <f t="shared" si="3"/>
        <v>194522.86926485886</v>
      </c>
    </row>
    <row r="34" spans="2:9" ht="14.25" x14ac:dyDescent="0.15">
      <c r="B34" s="23">
        <v>21</v>
      </c>
      <c r="C34" s="26">
        <f t="shared" si="4"/>
        <v>194522.86926485886</v>
      </c>
      <c r="D34" s="26">
        <f t="shared" si="2"/>
        <v>3566.2526031890793</v>
      </c>
      <c r="E34" s="43">
        <f t="shared" si="0"/>
        <v>3338.4754056508691</v>
      </c>
      <c r="F34" s="43">
        <f t="shared" si="1"/>
        <v>6904.7280088399484</v>
      </c>
      <c r="G34" s="26">
        <f t="shared" si="3"/>
        <v>191184.39385920798</v>
      </c>
    </row>
    <row r="35" spans="2:9" ht="14.25" x14ac:dyDescent="0.15">
      <c r="B35" s="23">
        <v>22</v>
      </c>
      <c r="C35" s="26">
        <f t="shared" si="4"/>
        <v>191184.39385920798</v>
      </c>
      <c r="D35" s="26">
        <f t="shared" si="2"/>
        <v>3505.0472207521461</v>
      </c>
      <c r="E35" s="43">
        <f t="shared" si="0"/>
        <v>3399.6807880878023</v>
      </c>
      <c r="F35" s="43">
        <f t="shared" si="1"/>
        <v>6904.7280088399484</v>
      </c>
      <c r="G35" s="26">
        <f t="shared" si="3"/>
        <v>187784.71307112018</v>
      </c>
    </row>
    <row r="36" spans="2:9" ht="14.25" x14ac:dyDescent="0.15">
      <c r="B36" s="23">
        <v>23</v>
      </c>
      <c r="C36" s="26">
        <f t="shared" si="4"/>
        <v>187784.71307112018</v>
      </c>
      <c r="D36" s="26">
        <f t="shared" si="2"/>
        <v>3442.719739637203</v>
      </c>
      <c r="E36" s="43">
        <f t="shared" si="0"/>
        <v>3462.0082692027454</v>
      </c>
      <c r="F36" s="43">
        <f t="shared" si="1"/>
        <v>6904.7280088399484</v>
      </c>
      <c r="G36" s="26">
        <f t="shared" si="3"/>
        <v>184322.70480191743</v>
      </c>
    </row>
    <row r="37" spans="2:9" ht="14.25" x14ac:dyDescent="0.15">
      <c r="B37" s="23">
        <v>24</v>
      </c>
      <c r="C37" s="26">
        <f t="shared" si="4"/>
        <v>184322.70480191743</v>
      </c>
      <c r="D37" s="26">
        <f t="shared" si="2"/>
        <v>3379.249588035153</v>
      </c>
      <c r="E37" s="43">
        <f t="shared" si="0"/>
        <v>3525.4784208047954</v>
      </c>
      <c r="F37" s="43">
        <f t="shared" si="1"/>
        <v>6904.7280088399484</v>
      </c>
      <c r="G37" s="26">
        <f t="shared" si="3"/>
        <v>180797.22638111262</v>
      </c>
      <c r="H37" s="44">
        <f>SUM(D26:D37)</f>
        <v>44498.533342389615</v>
      </c>
      <c r="I37" s="4" t="s">
        <v>110</v>
      </c>
    </row>
    <row r="38" spans="2:9" ht="14.25" x14ac:dyDescent="0.15">
      <c r="B38" s="23">
        <v>25</v>
      </c>
      <c r="C38" s="26">
        <f t="shared" si="4"/>
        <v>180797.22638111262</v>
      </c>
      <c r="D38" s="26">
        <f t="shared" si="2"/>
        <v>3314.6158169870646</v>
      </c>
      <c r="E38" s="43">
        <f t="shared" si="0"/>
        <v>3590.1121918528838</v>
      </c>
      <c r="F38" s="43">
        <f t="shared" si="1"/>
        <v>6904.7280088399484</v>
      </c>
      <c r="G38" s="26">
        <f t="shared" si="3"/>
        <v>177207.11418925974</v>
      </c>
    </row>
    <row r="39" spans="2:9" ht="14.25" x14ac:dyDescent="0.15">
      <c r="B39" s="23">
        <v>26</v>
      </c>
      <c r="C39" s="26">
        <f t="shared" si="4"/>
        <v>177207.11418925974</v>
      </c>
      <c r="D39" s="26">
        <f t="shared" si="2"/>
        <v>3248.7970934697619</v>
      </c>
      <c r="E39" s="43">
        <f t="shared" si="0"/>
        <v>3655.9309153701865</v>
      </c>
      <c r="F39" s="43">
        <f t="shared" si="1"/>
        <v>6904.7280088399484</v>
      </c>
      <c r="G39" s="26">
        <f t="shared" si="3"/>
        <v>173551.18327388956</v>
      </c>
    </row>
    <row r="40" spans="2:9" ht="14.25" x14ac:dyDescent="0.15">
      <c r="B40" s="23">
        <v>27</v>
      </c>
      <c r="C40" s="26">
        <f t="shared" si="4"/>
        <v>173551.18327388956</v>
      </c>
      <c r="D40" s="26">
        <f t="shared" si="2"/>
        <v>3181.7716933546421</v>
      </c>
      <c r="E40" s="43">
        <f t="shared" si="0"/>
        <v>3722.9563154853063</v>
      </c>
      <c r="F40" s="43">
        <f t="shared" si="1"/>
        <v>6904.7280088399484</v>
      </c>
      <c r="G40" s="26">
        <f t="shared" si="3"/>
        <v>169828.22695840427</v>
      </c>
    </row>
    <row r="41" spans="2:9" ht="14.25" x14ac:dyDescent="0.15">
      <c r="B41" s="23">
        <v>28</v>
      </c>
      <c r="C41" s="26">
        <f t="shared" si="4"/>
        <v>169828.22695840427</v>
      </c>
      <c r="D41" s="26">
        <f t="shared" si="2"/>
        <v>3113.5174942374115</v>
      </c>
      <c r="E41" s="43">
        <f t="shared" si="0"/>
        <v>3791.2105146025369</v>
      </c>
      <c r="F41" s="43">
        <f t="shared" si="1"/>
        <v>6904.7280088399484</v>
      </c>
      <c r="G41" s="26">
        <f t="shared" si="3"/>
        <v>166037.01644380172</v>
      </c>
    </row>
    <row r="42" spans="2:9" ht="14.25" x14ac:dyDescent="0.15">
      <c r="B42" s="23">
        <v>29</v>
      </c>
      <c r="C42" s="26">
        <f t="shared" si="4"/>
        <v>166037.01644380172</v>
      </c>
      <c r="D42" s="26">
        <f t="shared" si="2"/>
        <v>3044.0119681363649</v>
      </c>
      <c r="E42" s="43">
        <f t="shared" si="0"/>
        <v>3860.7160407035835</v>
      </c>
      <c r="F42" s="43">
        <f t="shared" si="1"/>
        <v>6904.7280088399484</v>
      </c>
      <c r="G42" s="26">
        <f t="shared" si="3"/>
        <v>162176.30040309814</v>
      </c>
    </row>
    <row r="43" spans="2:9" ht="14.25" x14ac:dyDescent="0.15">
      <c r="B43" s="23">
        <v>30</v>
      </c>
      <c r="C43" s="26">
        <f t="shared" si="4"/>
        <v>162176.30040309814</v>
      </c>
      <c r="D43" s="26">
        <f t="shared" si="2"/>
        <v>2973.2321740567991</v>
      </c>
      <c r="E43" s="43">
        <f t="shared" si="0"/>
        <v>3931.4958347831493</v>
      </c>
      <c r="F43" s="43">
        <f t="shared" si="1"/>
        <v>6904.7280088399484</v>
      </c>
      <c r="G43" s="26">
        <f t="shared" si="3"/>
        <v>158244.80456831498</v>
      </c>
    </row>
    <row r="44" spans="2:9" ht="14.25" x14ac:dyDescent="0.15">
      <c r="B44" s="23">
        <v>31</v>
      </c>
      <c r="C44" s="26">
        <f t="shared" si="4"/>
        <v>158244.80456831498</v>
      </c>
      <c r="D44" s="26">
        <f t="shared" si="2"/>
        <v>2901.154750419108</v>
      </c>
      <c r="E44" s="43">
        <f t="shared" si="0"/>
        <v>4003.5732584208404</v>
      </c>
      <c r="F44" s="43">
        <f t="shared" si="1"/>
        <v>6904.7280088399484</v>
      </c>
      <c r="G44" s="26">
        <f t="shared" si="3"/>
        <v>154241.23130989415</v>
      </c>
    </row>
    <row r="45" spans="2:9" ht="14.25" x14ac:dyDescent="0.15">
      <c r="B45" s="23">
        <v>32</v>
      </c>
      <c r="C45" s="26">
        <f t="shared" si="4"/>
        <v>154241.23130989415</v>
      </c>
      <c r="D45" s="26">
        <f t="shared" si="2"/>
        <v>2827.7559073480593</v>
      </c>
      <c r="E45" s="43">
        <f t="shared" si="0"/>
        <v>4076.9721014918891</v>
      </c>
      <c r="F45" s="43">
        <f t="shared" si="1"/>
        <v>6904.7280088399484</v>
      </c>
      <c r="G45" s="26">
        <f t="shared" si="3"/>
        <v>150164.25920840228</v>
      </c>
    </row>
    <row r="46" spans="2:9" ht="14.25" x14ac:dyDescent="0.15">
      <c r="B46" s="23">
        <v>33</v>
      </c>
      <c r="C46" s="26">
        <f t="shared" si="4"/>
        <v>150164.25920840228</v>
      </c>
      <c r="D46" s="26">
        <f t="shared" si="2"/>
        <v>2753.0114188207085</v>
      </c>
      <c r="E46" s="43">
        <f t="shared" si="0"/>
        <v>4151.7165900192394</v>
      </c>
      <c r="F46" s="43">
        <f t="shared" si="1"/>
        <v>6904.7280088399484</v>
      </c>
      <c r="G46" s="26">
        <f t="shared" si="3"/>
        <v>146012.54261838304</v>
      </c>
    </row>
    <row r="47" spans="2:9" ht="14.25" x14ac:dyDescent="0.15">
      <c r="B47" s="23">
        <v>34</v>
      </c>
      <c r="C47" s="26">
        <f t="shared" si="4"/>
        <v>146012.54261838304</v>
      </c>
      <c r="D47" s="26">
        <f t="shared" si="2"/>
        <v>2676.8966146703556</v>
      </c>
      <c r="E47" s="43">
        <f t="shared" si="0"/>
        <v>4227.8313941695924</v>
      </c>
      <c r="F47" s="43">
        <f t="shared" si="1"/>
        <v>6904.7280088399484</v>
      </c>
      <c r="G47" s="26">
        <f t="shared" si="3"/>
        <v>141784.71122421345</v>
      </c>
    </row>
    <row r="48" spans="2:9" ht="14.25" x14ac:dyDescent="0.15">
      <c r="B48" s="23">
        <v>35</v>
      </c>
      <c r="C48" s="26">
        <f t="shared" si="4"/>
        <v>141784.71122421345</v>
      </c>
      <c r="D48" s="26">
        <f t="shared" si="2"/>
        <v>2599.3863724439134</v>
      </c>
      <c r="E48" s="43">
        <f t="shared" si="0"/>
        <v>4305.341636396035</v>
      </c>
      <c r="F48" s="43">
        <f t="shared" si="1"/>
        <v>6904.7280088399484</v>
      </c>
      <c r="G48" s="26">
        <f t="shared" si="3"/>
        <v>137479.3695878174</v>
      </c>
    </row>
    <row r="49" spans="2:9" ht="14.25" x14ac:dyDescent="0.15">
      <c r="B49" s="23">
        <v>36</v>
      </c>
      <c r="C49" s="26">
        <f t="shared" si="4"/>
        <v>137479.3695878174</v>
      </c>
      <c r="D49" s="26">
        <f t="shared" si="2"/>
        <v>2520.4551091099856</v>
      </c>
      <c r="E49" s="43">
        <f t="shared" si="0"/>
        <v>4384.2728997299628</v>
      </c>
      <c r="F49" s="43">
        <f t="shared" si="1"/>
        <v>6904.7280088399484</v>
      </c>
      <c r="G49" s="26">
        <f t="shared" si="3"/>
        <v>133095.09668808745</v>
      </c>
      <c r="H49" s="44">
        <f>SUM(D38:D49)</f>
        <v>35154.606413054178</v>
      </c>
      <c r="I49" s="4" t="s">
        <v>111</v>
      </c>
    </row>
    <row r="50" spans="2:9" ht="14.25" x14ac:dyDescent="0.15">
      <c r="B50" s="23">
        <v>37</v>
      </c>
      <c r="C50" s="26">
        <f t="shared" si="4"/>
        <v>133095.09668808745</v>
      </c>
      <c r="D50" s="26">
        <f t="shared" si="2"/>
        <v>2440.0767726149365</v>
      </c>
      <c r="E50" s="43">
        <f t="shared" si="0"/>
        <v>4464.6512362250123</v>
      </c>
      <c r="F50" s="43">
        <f t="shared" si="1"/>
        <v>6904.7280088399484</v>
      </c>
      <c r="G50" s="26">
        <f t="shared" si="3"/>
        <v>128630.44545186244</v>
      </c>
    </row>
    <row r="51" spans="2:9" ht="14.25" x14ac:dyDescent="0.15">
      <c r="B51" s="23">
        <v>38</v>
      </c>
      <c r="C51" s="26">
        <f t="shared" si="4"/>
        <v>128630.44545186244</v>
      </c>
      <c r="D51" s="26">
        <f t="shared" si="2"/>
        <v>2358.2248332841446</v>
      </c>
      <c r="E51" s="43">
        <f t="shared" si="0"/>
        <v>4546.5031755558039</v>
      </c>
      <c r="F51" s="43">
        <f t="shared" si="1"/>
        <v>6904.7280088399484</v>
      </c>
      <c r="G51" s="26">
        <f t="shared" si="3"/>
        <v>124083.94227630664</v>
      </c>
    </row>
    <row r="52" spans="2:9" ht="14.25" x14ac:dyDescent="0.15">
      <c r="B52" s="23">
        <v>39</v>
      </c>
      <c r="C52" s="26">
        <f t="shared" si="4"/>
        <v>124083.94227630664</v>
      </c>
      <c r="D52" s="26">
        <f t="shared" si="2"/>
        <v>2274.8722750656216</v>
      </c>
      <c r="E52" s="43">
        <f t="shared" si="0"/>
        <v>4629.8557337743268</v>
      </c>
      <c r="F52" s="43">
        <f t="shared" si="1"/>
        <v>6904.7280088399484</v>
      </c>
      <c r="G52" s="26">
        <f t="shared" si="3"/>
        <v>119454.08654253231</v>
      </c>
    </row>
    <row r="53" spans="2:9" ht="14.25" x14ac:dyDescent="0.15">
      <c r="B53" s="23">
        <v>40</v>
      </c>
      <c r="C53" s="26">
        <f t="shared" si="4"/>
        <v>119454.08654253231</v>
      </c>
      <c r="D53" s="26">
        <f t="shared" si="2"/>
        <v>2189.9915866130923</v>
      </c>
      <c r="E53" s="43">
        <f t="shared" si="0"/>
        <v>4714.7364222268561</v>
      </c>
      <c r="F53" s="43">
        <f t="shared" si="1"/>
        <v>6904.7280088399484</v>
      </c>
      <c r="G53" s="26">
        <f t="shared" si="3"/>
        <v>114739.35012030546</v>
      </c>
    </row>
    <row r="54" spans="2:9" ht="14.25" x14ac:dyDescent="0.15">
      <c r="B54" s="23">
        <v>41</v>
      </c>
      <c r="C54" s="26">
        <f t="shared" si="4"/>
        <v>114739.35012030546</v>
      </c>
      <c r="D54" s="26">
        <f t="shared" si="2"/>
        <v>2103.5547522055999</v>
      </c>
      <c r="E54" s="43">
        <f t="shared" si="0"/>
        <v>4801.1732566343489</v>
      </c>
      <c r="F54" s="43">
        <f t="shared" si="1"/>
        <v>6904.7280088399484</v>
      </c>
      <c r="G54" s="26">
        <f t="shared" si="3"/>
        <v>109938.17686367111</v>
      </c>
    </row>
    <row r="55" spans="2:9" ht="14.25" x14ac:dyDescent="0.15">
      <c r="B55" s="23">
        <v>42</v>
      </c>
      <c r="C55" s="26">
        <f t="shared" si="4"/>
        <v>109938.17686367111</v>
      </c>
      <c r="D55" s="26">
        <f t="shared" si="2"/>
        <v>2015.533242500637</v>
      </c>
      <c r="E55" s="43">
        <f t="shared" si="0"/>
        <v>4889.1947663393112</v>
      </c>
      <c r="F55" s="43">
        <f t="shared" si="1"/>
        <v>6904.7280088399484</v>
      </c>
      <c r="G55" s="26">
        <f t="shared" si="3"/>
        <v>105048.9820973318</v>
      </c>
    </row>
    <row r="56" spans="2:9" ht="14.25" x14ac:dyDescent="0.15">
      <c r="B56" s="23">
        <v>43</v>
      </c>
      <c r="C56" s="26">
        <f t="shared" si="4"/>
        <v>105048.9820973318</v>
      </c>
      <c r="D56" s="26">
        <f t="shared" si="2"/>
        <v>1925.8980051177496</v>
      </c>
      <c r="E56" s="43">
        <f t="shared" si="0"/>
        <v>4978.8300037221989</v>
      </c>
      <c r="F56" s="43">
        <f t="shared" si="1"/>
        <v>6904.7280088399484</v>
      </c>
      <c r="G56" s="26">
        <f t="shared" si="3"/>
        <v>100070.15209360961</v>
      </c>
    </row>
    <row r="57" spans="2:9" ht="14.25" x14ac:dyDescent="0.15">
      <c r="B57" s="23">
        <v>44</v>
      </c>
      <c r="C57" s="26">
        <f t="shared" si="4"/>
        <v>100070.15209360961</v>
      </c>
      <c r="D57" s="26">
        <f t="shared" si="2"/>
        <v>1834.6194550495095</v>
      </c>
      <c r="E57" s="43">
        <f t="shared" si="0"/>
        <v>5070.1085537904391</v>
      </c>
      <c r="F57" s="43">
        <f t="shared" si="1"/>
        <v>6904.7280088399484</v>
      </c>
      <c r="G57" s="26">
        <f t="shared" si="3"/>
        <v>95000.043539819162</v>
      </c>
    </row>
    <row r="58" spans="2:9" ht="14.25" x14ac:dyDescent="0.15">
      <c r="B58" s="23">
        <v>45</v>
      </c>
      <c r="C58" s="26">
        <f t="shared" si="4"/>
        <v>95000.043539819162</v>
      </c>
      <c r="D58" s="26">
        <f t="shared" si="2"/>
        <v>1741.6674648966846</v>
      </c>
      <c r="E58" s="43">
        <f t="shared" si="0"/>
        <v>5163.0605439432638</v>
      </c>
      <c r="F58" s="43">
        <f t="shared" si="1"/>
        <v>6904.7280088399484</v>
      </c>
      <c r="G58" s="26">
        <f t="shared" si="3"/>
        <v>89836.982995875893</v>
      </c>
    </row>
    <row r="59" spans="2:9" ht="14.25" x14ac:dyDescent="0.15">
      <c r="B59" s="23">
        <v>46</v>
      </c>
      <c r="C59" s="26">
        <f t="shared" si="4"/>
        <v>89836.982995875893</v>
      </c>
      <c r="D59" s="26">
        <f t="shared" si="2"/>
        <v>1647.0113549243913</v>
      </c>
      <c r="E59" s="43">
        <f t="shared" si="0"/>
        <v>5257.7166539155569</v>
      </c>
      <c r="F59" s="43">
        <f t="shared" si="1"/>
        <v>6904.7280088399484</v>
      </c>
      <c r="G59" s="26">
        <f t="shared" si="3"/>
        <v>84579.266341960334</v>
      </c>
    </row>
    <row r="60" spans="2:9" ht="14.25" x14ac:dyDescent="0.15">
      <c r="B60" s="23">
        <v>47</v>
      </c>
      <c r="C60" s="26">
        <f t="shared" si="4"/>
        <v>84579.266341960334</v>
      </c>
      <c r="D60" s="26">
        <f t="shared" si="2"/>
        <v>1550.6198829359394</v>
      </c>
      <c r="E60" s="43">
        <f t="shared" si="0"/>
        <v>5354.1081259040093</v>
      </c>
      <c r="F60" s="43">
        <f t="shared" si="1"/>
        <v>6904.7280088399484</v>
      </c>
      <c r="G60" s="26">
        <f t="shared" si="3"/>
        <v>79225.158216056327</v>
      </c>
    </row>
    <row r="61" spans="2:9" ht="14.25" x14ac:dyDescent="0.15">
      <c r="B61" s="23">
        <v>48</v>
      </c>
      <c r="C61" s="26">
        <f t="shared" si="4"/>
        <v>79225.158216056327</v>
      </c>
      <c r="D61" s="26">
        <f t="shared" si="2"/>
        <v>1452.4612339610326</v>
      </c>
      <c r="E61" s="43">
        <f t="shared" si="0"/>
        <v>5452.2667748789154</v>
      </c>
      <c r="F61" s="43">
        <f t="shared" si="1"/>
        <v>6904.7280088399484</v>
      </c>
      <c r="G61" s="26">
        <f t="shared" si="3"/>
        <v>73772.891441177417</v>
      </c>
      <c r="H61" s="44">
        <f>SUM(D50:D61)</f>
        <v>23534.530859169336</v>
      </c>
      <c r="I61" s="4" t="s">
        <v>112</v>
      </c>
    </row>
    <row r="62" spans="2:9" ht="14.25" x14ac:dyDescent="0.15">
      <c r="B62" s="23">
        <v>49</v>
      </c>
      <c r="C62" s="26">
        <f t="shared" si="4"/>
        <v>73772.891441177417</v>
      </c>
      <c r="D62" s="26">
        <f t="shared" si="2"/>
        <v>1352.5030097549193</v>
      </c>
      <c r="E62" s="43">
        <f t="shared" si="0"/>
        <v>5552.2249990850287</v>
      </c>
      <c r="F62" s="43">
        <f t="shared" si="1"/>
        <v>6904.7280088399484</v>
      </c>
      <c r="G62" s="26">
        <f t="shared" si="3"/>
        <v>68220.666442092392</v>
      </c>
    </row>
    <row r="63" spans="2:9" ht="14.25" x14ac:dyDescent="0.15">
      <c r="B63" s="23">
        <v>50</v>
      </c>
      <c r="C63" s="26">
        <f t="shared" si="4"/>
        <v>68220.666442092392</v>
      </c>
      <c r="D63" s="26">
        <f t="shared" si="2"/>
        <v>1250.7122181050272</v>
      </c>
      <c r="E63" s="43">
        <f t="shared" si="0"/>
        <v>5654.0157907349212</v>
      </c>
      <c r="F63" s="43">
        <f t="shared" si="1"/>
        <v>6904.7280088399484</v>
      </c>
      <c r="G63" s="26">
        <f t="shared" si="3"/>
        <v>62566.650651357471</v>
      </c>
    </row>
    <row r="64" spans="2:9" ht="14.25" x14ac:dyDescent="0.15">
      <c r="B64" s="23">
        <v>51</v>
      </c>
      <c r="C64" s="26">
        <f t="shared" si="4"/>
        <v>62566.650651357471</v>
      </c>
      <c r="D64" s="26">
        <f t="shared" si="2"/>
        <v>1147.0552619415537</v>
      </c>
      <c r="E64" s="43">
        <f t="shared" si="0"/>
        <v>5757.6727468983945</v>
      </c>
      <c r="F64" s="43">
        <f t="shared" si="1"/>
        <v>6904.7280088399484</v>
      </c>
      <c r="G64" s="26">
        <f t="shared" si="3"/>
        <v>56808.977904459076</v>
      </c>
    </row>
    <row r="65" spans="2:9" ht="14.25" x14ac:dyDescent="0.15">
      <c r="B65" s="23">
        <v>52</v>
      </c>
      <c r="C65" s="26">
        <f t="shared" si="4"/>
        <v>56808.977904459076</v>
      </c>
      <c r="D65" s="26">
        <f t="shared" si="2"/>
        <v>1041.4979282484164</v>
      </c>
      <c r="E65" s="43">
        <f t="shared" si="0"/>
        <v>5863.230080591532</v>
      </c>
      <c r="F65" s="43">
        <f t="shared" si="1"/>
        <v>6904.7280088399484</v>
      </c>
      <c r="G65" s="26">
        <f t="shared" si="3"/>
        <v>50945.747823867547</v>
      </c>
    </row>
    <row r="66" spans="2:9" ht="14.25" x14ac:dyDescent="0.15">
      <c r="B66" s="23">
        <v>53</v>
      </c>
      <c r="C66" s="26">
        <f t="shared" si="4"/>
        <v>50945.747823867547</v>
      </c>
      <c r="D66" s="26">
        <f t="shared" si="2"/>
        <v>934.00537677090506</v>
      </c>
      <c r="E66" s="43">
        <f t="shared" si="0"/>
        <v>5970.7226320690434</v>
      </c>
      <c r="F66" s="43">
        <f t="shared" si="1"/>
        <v>6904.7280088399484</v>
      </c>
      <c r="G66" s="26">
        <f t="shared" si="3"/>
        <v>44975.025191798501</v>
      </c>
    </row>
    <row r="67" spans="2:9" ht="14.25" x14ac:dyDescent="0.15">
      <c r="B67" s="23">
        <v>54</v>
      </c>
      <c r="C67" s="26">
        <f t="shared" si="4"/>
        <v>44975.025191798501</v>
      </c>
      <c r="D67" s="26">
        <f t="shared" si="2"/>
        <v>824.54212851630587</v>
      </c>
      <c r="E67" s="43">
        <f t="shared" si="0"/>
        <v>6080.1858803236428</v>
      </c>
      <c r="F67" s="43">
        <f t="shared" si="1"/>
        <v>6904.7280088399484</v>
      </c>
      <c r="G67" s="26">
        <f t="shared" si="3"/>
        <v>38894.839311474861</v>
      </c>
    </row>
    <row r="68" spans="2:9" ht="14.25" x14ac:dyDescent="0.15">
      <c r="B68" s="23">
        <v>55</v>
      </c>
      <c r="C68" s="26">
        <f t="shared" si="4"/>
        <v>38894.839311474861</v>
      </c>
      <c r="D68" s="26">
        <f t="shared" si="2"/>
        <v>713.07205404370575</v>
      </c>
      <c r="E68" s="43">
        <f t="shared" si="0"/>
        <v>6191.6559547962424</v>
      </c>
      <c r="F68" s="43">
        <f t="shared" si="1"/>
        <v>6904.7280088399484</v>
      </c>
      <c r="G68" s="26">
        <f t="shared" si="3"/>
        <v>32703.183356678619</v>
      </c>
    </row>
    <row r="69" spans="2:9" ht="14.25" x14ac:dyDescent="0.15">
      <c r="B69" s="23">
        <v>56</v>
      </c>
      <c r="C69" s="26">
        <f t="shared" si="4"/>
        <v>32703.183356678619</v>
      </c>
      <c r="D69" s="26">
        <f t="shared" si="2"/>
        <v>599.55836153910798</v>
      </c>
      <c r="E69" s="43">
        <f t="shared" si="0"/>
        <v>6305.1696473008406</v>
      </c>
      <c r="F69" s="43">
        <f t="shared" si="1"/>
        <v>6904.7280088399484</v>
      </c>
      <c r="G69" s="26">
        <f t="shared" si="3"/>
        <v>26398.013709377778</v>
      </c>
    </row>
    <row r="70" spans="2:9" ht="14.25" x14ac:dyDescent="0.15">
      <c r="B70" s="23">
        <v>57</v>
      </c>
      <c r="C70" s="26">
        <f t="shared" si="4"/>
        <v>26398.013709377778</v>
      </c>
      <c r="D70" s="26">
        <f t="shared" si="2"/>
        <v>483.9635846719259</v>
      </c>
      <c r="E70" s="43">
        <f t="shared" si="0"/>
        <v>6420.7644241680227</v>
      </c>
      <c r="F70" s="43">
        <f t="shared" si="1"/>
        <v>6904.7280088399484</v>
      </c>
      <c r="G70" s="26">
        <f t="shared" si="3"/>
        <v>19977.249285209757</v>
      </c>
    </row>
    <row r="71" spans="2:9" ht="14.25" x14ac:dyDescent="0.15">
      <c r="B71" s="23">
        <v>58</v>
      </c>
      <c r="C71" s="26">
        <f t="shared" si="4"/>
        <v>19977.249285209757</v>
      </c>
      <c r="D71" s="26">
        <f t="shared" si="2"/>
        <v>366.24957022884553</v>
      </c>
      <c r="E71" s="43">
        <f t="shared" si="0"/>
        <v>6538.4784386111032</v>
      </c>
      <c r="F71" s="43">
        <f t="shared" si="1"/>
        <v>6904.7280088399484</v>
      </c>
      <c r="G71" s="26">
        <f t="shared" si="3"/>
        <v>13438.770846598654</v>
      </c>
    </row>
    <row r="72" spans="2:9" ht="14.25" x14ac:dyDescent="0.15">
      <c r="B72" s="23">
        <v>59</v>
      </c>
      <c r="C72" s="26">
        <f t="shared" si="4"/>
        <v>13438.770846598654</v>
      </c>
      <c r="D72" s="26">
        <f t="shared" si="2"/>
        <v>246.37746552097533</v>
      </c>
      <c r="E72" s="43">
        <f t="shared" si="0"/>
        <v>6658.350543318973</v>
      </c>
      <c r="F72" s="43">
        <f t="shared" si="1"/>
        <v>6904.7280088399484</v>
      </c>
      <c r="G72" s="26">
        <f t="shared" si="3"/>
        <v>6780.4203032796813</v>
      </c>
    </row>
    <row r="73" spans="2:9" ht="14.25" x14ac:dyDescent="0.15">
      <c r="B73" s="23">
        <v>60</v>
      </c>
      <c r="C73" s="26">
        <f t="shared" si="4"/>
        <v>6780.4203032796813</v>
      </c>
      <c r="D73" s="26">
        <f t="shared" si="2"/>
        <v>124.30770556012749</v>
      </c>
      <c r="E73" s="43">
        <f t="shared" si="0"/>
        <v>6780.4203032798214</v>
      </c>
      <c r="F73" s="43">
        <f t="shared" si="1"/>
        <v>6904.7280088399484</v>
      </c>
      <c r="G73" s="26">
        <f t="shared" si="3"/>
        <v>-1.4006218407303095E-10</v>
      </c>
      <c r="H73" s="44">
        <f>SUM(D62:D73)</f>
        <v>9083.8446649018151</v>
      </c>
      <c r="I73" s="4" t="s">
        <v>113</v>
      </c>
    </row>
  </sheetData>
  <mergeCells count="1"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4227-4804-4744-81C4-E1BEA015C0EF}">
  <dimension ref="B2:E21"/>
  <sheetViews>
    <sheetView topLeftCell="A16" workbookViewId="0">
      <selection activeCell="G24" sqref="G24"/>
    </sheetView>
  </sheetViews>
  <sheetFormatPr baseColWidth="10" defaultRowHeight="16.5" x14ac:dyDescent="0.3"/>
  <cols>
    <col min="1" max="1" width="11.42578125" style="3"/>
    <col min="2" max="2" width="27.7109375" style="3" customWidth="1"/>
    <col min="3" max="3" width="25.85546875" style="3" customWidth="1"/>
    <col min="4" max="5" width="26.85546875" style="3" customWidth="1"/>
    <col min="6" max="6" width="13.5703125" style="3" customWidth="1"/>
    <col min="7" max="16384" width="11.42578125" style="3"/>
  </cols>
  <sheetData>
    <row r="2" spans="2:5" x14ac:dyDescent="0.3">
      <c r="E2" s="3" t="str">
        <f>PORTADA!E6</f>
        <v>Bio Humi</v>
      </c>
    </row>
    <row r="4" spans="2:5" ht="26.25" x14ac:dyDescent="0.5">
      <c r="C4" s="110" t="s">
        <v>46</v>
      </c>
      <c r="D4" s="110"/>
      <c r="E4" s="110"/>
    </row>
    <row r="7" spans="2:5" ht="18.75" customHeight="1" x14ac:dyDescent="0.35">
      <c r="B7" s="35" t="s">
        <v>47</v>
      </c>
      <c r="C7" s="35" t="s">
        <v>48</v>
      </c>
      <c r="D7" s="35" t="s">
        <v>49</v>
      </c>
      <c r="E7" s="35" t="s">
        <v>50</v>
      </c>
    </row>
    <row r="8" spans="2:5" ht="18.75" customHeight="1" x14ac:dyDescent="0.3">
      <c r="B8" s="32" t="str">
        <f>'MEMORIAS DE CÁLCULO'!A23</f>
        <v>Energía eléctrica</v>
      </c>
      <c r="C8" s="33">
        <f>'MEMORIAS DE CÁLCULO'!C23</f>
        <v>36000</v>
      </c>
      <c r="D8" s="33">
        <f>C8*1.1</f>
        <v>39600</v>
      </c>
      <c r="E8" s="33">
        <f>D8*1.1</f>
        <v>43560</v>
      </c>
    </row>
    <row r="9" spans="2:5" ht="18.75" customHeight="1" x14ac:dyDescent="0.3">
      <c r="B9" s="32" t="str">
        <f>'MEMORIAS DE CÁLCULO'!A24</f>
        <v>Internet</v>
      </c>
      <c r="C9" s="33">
        <f>'MEMORIAS DE CÁLCULO'!C24</f>
        <v>6000</v>
      </c>
      <c r="D9" s="33">
        <f t="shared" ref="D9:E13" si="0">C9*1.1</f>
        <v>6600.0000000000009</v>
      </c>
      <c r="E9" s="33">
        <f t="shared" si="0"/>
        <v>7260.0000000000018</v>
      </c>
    </row>
    <row r="10" spans="2:5" ht="18.75" customHeight="1" x14ac:dyDescent="0.3">
      <c r="B10" s="32" t="str">
        <f>'MEMORIAS DE CÁLCULO'!A25</f>
        <v>Sueldos</v>
      </c>
      <c r="C10" s="33">
        <f>'MEMORIAS DE CÁLCULO'!C25</f>
        <v>456000</v>
      </c>
      <c r="D10" s="33">
        <f t="shared" si="0"/>
        <v>501600.00000000006</v>
      </c>
      <c r="E10" s="33">
        <f t="shared" si="0"/>
        <v>551760.00000000012</v>
      </c>
    </row>
    <row r="11" spans="2:5" ht="18.75" customHeight="1" x14ac:dyDescent="0.3">
      <c r="B11" s="32" t="str">
        <f>'MEMORIAS DE CÁLCULO'!A26</f>
        <v>Prestaciones 35%</v>
      </c>
      <c r="C11" s="33">
        <f>'MEMORIAS DE CÁLCULO'!C26</f>
        <v>159600</v>
      </c>
      <c r="D11" s="33">
        <f>C11*1.1</f>
        <v>175560</v>
      </c>
      <c r="E11" s="33">
        <f>D11*1.1</f>
        <v>193116.00000000003</v>
      </c>
    </row>
    <row r="12" spans="2:5" ht="18.75" customHeight="1" x14ac:dyDescent="0.3">
      <c r="B12" s="32" t="str">
        <f>'MEMORIAS DE CÁLCULO'!A28</f>
        <v>Renta</v>
      </c>
      <c r="C12" s="33">
        <f>'MEMORIAS DE CÁLCULO'!C28</f>
        <v>36000</v>
      </c>
      <c r="D12" s="33">
        <f t="shared" si="0"/>
        <v>39600</v>
      </c>
      <c r="E12" s="33">
        <f t="shared" si="0"/>
        <v>43560</v>
      </c>
    </row>
    <row r="13" spans="2:5" ht="18.75" customHeight="1" x14ac:dyDescent="0.3">
      <c r="B13" s="32" t="str">
        <f>'MEMORIAS DE CÁLCULO'!A27</f>
        <v>Almacenamiento de datos</v>
      </c>
      <c r="C13" s="33">
        <f>'MEMORIAS DE CÁLCULO'!C27</f>
        <v>7200</v>
      </c>
      <c r="D13" s="33">
        <f>C13*1.1</f>
        <v>7920.0000000000009</v>
      </c>
      <c r="E13" s="33">
        <f t="shared" si="0"/>
        <v>8712.0000000000018</v>
      </c>
    </row>
    <row r="14" spans="2:5" ht="18.75" customHeight="1" x14ac:dyDescent="0.35">
      <c r="B14" s="34" t="s">
        <v>52</v>
      </c>
      <c r="C14" s="33">
        <f>SUM(C8:C12)</f>
        <v>693600</v>
      </c>
      <c r="D14" s="33">
        <f>SUM(D8:D13)</f>
        <v>770880</v>
      </c>
      <c r="E14" s="33">
        <f>SUM(E8:E13)</f>
        <v>847968.00000000012</v>
      </c>
    </row>
    <row r="16" spans="2:5" ht="20.25" x14ac:dyDescent="0.35">
      <c r="B16" s="35" t="s">
        <v>53</v>
      </c>
      <c r="C16" s="35" t="s">
        <v>48</v>
      </c>
      <c r="D16" s="35" t="s">
        <v>49</v>
      </c>
      <c r="E16" s="35" t="s">
        <v>50</v>
      </c>
    </row>
    <row r="17" spans="2:5" ht="18.75" customHeight="1" x14ac:dyDescent="0.3">
      <c r="B17" s="32" t="s">
        <v>107</v>
      </c>
      <c r="C17" s="33">
        <f>'MEMORIAS DE CÁLCULO'!B18</f>
        <v>1232640</v>
      </c>
      <c r="D17" s="33">
        <f>C17*1.1</f>
        <v>1355904</v>
      </c>
      <c r="E17" s="33">
        <f t="shared" ref="E17" si="1">D17*1.1</f>
        <v>1491494.4000000001</v>
      </c>
    </row>
    <row r="18" spans="2:5" ht="18.75" customHeight="1" x14ac:dyDescent="0.3">
      <c r="B18" s="32"/>
      <c r="C18" s="33"/>
      <c r="D18" s="33"/>
      <c r="E18" s="33"/>
    </row>
    <row r="19" spans="2:5" ht="18.75" customHeight="1" x14ac:dyDescent="0.35">
      <c r="B19" s="34" t="s">
        <v>52</v>
      </c>
      <c r="C19" s="33">
        <f>SUM(C17:C18)</f>
        <v>1232640</v>
      </c>
      <c r="D19" s="33">
        <f t="shared" ref="D19:E19" si="2">SUM(D17:D18)</f>
        <v>1355904</v>
      </c>
      <c r="E19" s="33">
        <f t="shared" si="2"/>
        <v>1491494.4000000001</v>
      </c>
    </row>
    <row r="21" spans="2:5" ht="20.25" x14ac:dyDescent="0.35">
      <c r="B21" s="45" t="s">
        <v>108</v>
      </c>
      <c r="C21" s="46">
        <f>C14+C19</f>
        <v>1926240</v>
      </c>
      <c r="D21" s="46">
        <f t="shared" ref="D21:E21" si="3">D14+D19</f>
        <v>2126784</v>
      </c>
      <c r="E21" s="46">
        <f t="shared" si="3"/>
        <v>2339462.4000000004</v>
      </c>
    </row>
  </sheetData>
  <mergeCells count="1">
    <mergeCell ref="C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6B6C-D085-4EA8-AD7C-E5E3591EB2FC}">
  <dimension ref="A1:I15"/>
  <sheetViews>
    <sheetView showGridLines="0" topLeftCell="A7" workbookViewId="0">
      <selection activeCell="E13" sqref="E13"/>
    </sheetView>
  </sheetViews>
  <sheetFormatPr baseColWidth="10" defaultRowHeight="16.5" x14ac:dyDescent="0.3"/>
  <cols>
    <col min="1" max="1" width="7.85546875" style="3" customWidth="1"/>
    <col min="2" max="2" width="33.140625" style="3" customWidth="1"/>
    <col min="3" max="3" width="11.42578125" style="3"/>
    <col min="4" max="4" width="14.28515625" style="3" customWidth="1"/>
    <col min="5" max="5" width="17.5703125" style="3" customWidth="1"/>
    <col min="6" max="8" width="20.85546875" style="3" customWidth="1"/>
    <col min="9" max="16384" width="11.42578125" style="3"/>
  </cols>
  <sheetData>
    <row r="1" spans="1:9" x14ac:dyDescent="0.3">
      <c r="A1" s="76"/>
      <c r="B1" s="76"/>
      <c r="C1" s="76"/>
      <c r="D1" s="76"/>
      <c r="E1" s="76"/>
      <c r="F1" s="76"/>
      <c r="G1" s="76"/>
      <c r="H1" s="76"/>
      <c r="I1" s="76"/>
    </row>
    <row r="2" spans="1:9" ht="22.5" customHeight="1" x14ac:dyDescent="0.35">
      <c r="A2" s="76"/>
      <c r="B2" s="76"/>
      <c r="C2" s="76"/>
      <c r="D2" s="104" t="str">
        <f>PORTADA!E6</f>
        <v>Bio Humi</v>
      </c>
      <c r="E2" s="76"/>
      <c r="F2" s="76"/>
      <c r="G2" s="76"/>
      <c r="H2" s="76"/>
      <c r="I2" s="76"/>
    </row>
    <row r="3" spans="1:9" ht="22.5" customHeight="1" x14ac:dyDescent="0.3">
      <c r="A3" s="76"/>
      <c r="B3" s="76"/>
      <c r="C3" s="76"/>
      <c r="D3" s="76"/>
      <c r="E3" s="76"/>
      <c r="F3" s="76"/>
      <c r="G3" s="76"/>
      <c r="H3" s="76"/>
      <c r="I3" s="76"/>
    </row>
    <row r="4" spans="1:9" ht="20.25" x14ac:dyDescent="0.3">
      <c r="A4" s="76"/>
      <c r="B4" s="76"/>
      <c r="C4" s="111" t="s">
        <v>54</v>
      </c>
      <c r="D4" s="111"/>
      <c r="E4" s="111"/>
      <c r="F4" s="111"/>
      <c r="G4" s="111"/>
      <c r="H4" s="111"/>
      <c r="I4" s="76"/>
    </row>
    <row r="5" spans="1:9" x14ac:dyDescent="0.3">
      <c r="A5" s="76"/>
      <c r="B5" s="76"/>
      <c r="C5" s="76"/>
      <c r="D5" s="76"/>
      <c r="E5" s="76"/>
      <c r="F5" s="76"/>
      <c r="G5" s="76"/>
      <c r="H5" s="76"/>
      <c r="I5" s="76"/>
    </row>
    <row r="6" spans="1:9" x14ac:dyDescent="0.3">
      <c r="A6" s="76"/>
      <c r="B6" s="76"/>
      <c r="C6" s="76"/>
      <c r="D6" s="76"/>
      <c r="E6" s="76"/>
      <c r="F6" s="76"/>
      <c r="G6" s="76"/>
      <c r="H6" s="76"/>
      <c r="I6" s="76"/>
    </row>
    <row r="7" spans="1:9" ht="46.5" customHeight="1" x14ac:dyDescent="0.3">
      <c r="A7" s="76"/>
      <c r="B7" s="100" t="s">
        <v>0</v>
      </c>
      <c r="C7" s="101" t="s">
        <v>56</v>
      </c>
      <c r="D7" s="101" t="s">
        <v>55</v>
      </c>
      <c r="E7" s="101" t="s">
        <v>57</v>
      </c>
      <c r="F7" s="100" t="s">
        <v>48</v>
      </c>
      <c r="G7" s="100" t="s">
        <v>49</v>
      </c>
      <c r="H7" s="100" t="s">
        <v>50</v>
      </c>
      <c r="I7" s="76"/>
    </row>
    <row r="8" spans="1:9" ht="18.75" customHeight="1" x14ac:dyDescent="0.3">
      <c r="A8" s="76"/>
      <c r="B8" s="102" t="s">
        <v>138</v>
      </c>
      <c r="C8" s="102">
        <v>80</v>
      </c>
      <c r="D8" s="79">
        <v>2000</v>
      </c>
      <c r="E8" s="79">
        <f>C8*D8</f>
        <v>160000</v>
      </c>
      <c r="F8" s="79">
        <f>E8*12</f>
        <v>1920000</v>
      </c>
      <c r="G8" s="79">
        <f>F8*1.1</f>
        <v>2112000</v>
      </c>
      <c r="H8" s="79">
        <f t="shared" ref="H8" si="0">G8*1.1</f>
        <v>2323200</v>
      </c>
      <c r="I8" s="76"/>
    </row>
    <row r="9" spans="1:9" ht="18.75" customHeight="1" x14ac:dyDescent="0.3">
      <c r="A9" s="76"/>
      <c r="B9" s="102" t="s">
        <v>151</v>
      </c>
      <c r="C9" s="102">
        <v>10</v>
      </c>
      <c r="D9" s="79">
        <v>1000</v>
      </c>
      <c r="E9" s="79">
        <f>C9*D9</f>
        <v>10000</v>
      </c>
      <c r="F9" s="79">
        <f>E9*12</f>
        <v>120000</v>
      </c>
      <c r="G9" s="79">
        <f>F9*1.1</f>
        <v>132000</v>
      </c>
      <c r="H9" s="79">
        <f>G9*1.1</f>
        <v>145200</v>
      </c>
      <c r="I9" s="76"/>
    </row>
    <row r="10" spans="1:9" ht="18.75" customHeight="1" x14ac:dyDescent="0.3">
      <c r="A10" s="76"/>
      <c r="B10" s="102" t="s">
        <v>152</v>
      </c>
      <c r="C10" s="102">
        <v>8</v>
      </c>
      <c r="D10" s="79">
        <v>2500</v>
      </c>
      <c r="E10" s="79">
        <f>C10*D10</f>
        <v>20000</v>
      </c>
      <c r="F10" s="79">
        <f>E10*12</f>
        <v>240000</v>
      </c>
      <c r="G10" s="79">
        <f t="shared" ref="G10:H11" si="1">F10*1.1</f>
        <v>264000</v>
      </c>
      <c r="H10" s="79">
        <f t="shared" si="1"/>
        <v>290400</v>
      </c>
      <c r="I10" s="76"/>
    </row>
    <row r="11" spans="1:9" ht="18.75" customHeight="1" x14ac:dyDescent="0.3">
      <c r="A11" s="76"/>
      <c r="B11" s="102" t="s">
        <v>153</v>
      </c>
      <c r="C11" s="102">
        <v>2</v>
      </c>
      <c r="D11" s="79">
        <v>4000</v>
      </c>
      <c r="E11" s="79">
        <f>C11*D11</f>
        <v>8000</v>
      </c>
      <c r="F11" s="79">
        <f>E11*12</f>
        <v>96000</v>
      </c>
      <c r="G11" s="79">
        <f t="shared" si="1"/>
        <v>105600.00000000001</v>
      </c>
      <c r="H11" s="79">
        <f t="shared" si="1"/>
        <v>116160.00000000003</v>
      </c>
      <c r="I11" s="76"/>
    </row>
    <row r="12" spans="1:9" ht="18.75" customHeight="1" x14ac:dyDescent="0.3">
      <c r="A12" s="76"/>
      <c r="B12" s="103" t="s">
        <v>52</v>
      </c>
      <c r="C12" s="102"/>
      <c r="D12" s="79"/>
      <c r="E12" s="79">
        <f>SUM(E8:E11)</f>
        <v>198000</v>
      </c>
      <c r="F12" s="79">
        <f>SUM(F8:F11)</f>
        <v>2376000</v>
      </c>
      <c r="G12" s="79">
        <f t="shared" ref="G12:H12" si="2">SUM(G8:G11)</f>
        <v>2613600</v>
      </c>
      <c r="H12" s="79">
        <f t="shared" si="2"/>
        <v>2874960</v>
      </c>
      <c r="I12" s="76"/>
    </row>
    <row r="13" spans="1:9" x14ac:dyDescent="0.3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3">
      <c r="A14" s="76"/>
      <c r="B14" s="76"/>
      <c r="C14" s="76"/>
      <c r="D14" s="76"/>
      <c r="E14" s="76"/>
      <c r="F14" s="76"/>
      <c r="G14" s="76"/>
      <c r="H14" s="76"/>
      <c r="I14" s="76"/>
    </row>
    <row r="15" spans="1:9" x14ac:dyDescent="0.3">
      <c r="A15" s="76"/>
      <c r="B15" s="76"/>
      <c r="C15" s="76"/>
      <c r="D15" s="76"/>
      <c r="E15" s="76"/>
      <c r="F15" s="76"/>
      <c r="G15" s="76"/>
      <c r="H15" s="76"/>
      <c r="I15" s="76"/>
    </row>
  </sheetData>
  <mergeCells count="1">
    <mergeCell ref="C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2A5C-FE6D-429E-AEB8-5B7BACD3AFA2}">
  <dimension ref="C2:H35"/>
  <sheetViews>
    <sheetView showGridLines="0" topLeftCell="A28" zoomScale="112" zoomScaleNormal="112" workbookViewId="0">
      <selection activeCell="E12" sqref="E12"/>
    </sheetView>
  </sheetViews>
  <sheetFormatPr baseColWidth="10" defaultRowHeight="17.25" x14ac:dyDescent="0.3"/>
  <cols>
    <col min="1" max="1" width="6.7109375" style="4" customWidth="1"/>
    <col min="2" max="2" width="6" style="4" customWidth="1"/>
    <col min="3" max="3" width="37" style="4" customWidth="1"/>
    <col min="4" max="6" width="21.42578125" style="4" customWidth="1"/>
    <col min="7" max="16384" width="11.42578125" style="4"/>
  </cols>
  <sheetData>
    <row r="2" spans="3:8" ht="20.25" x14ac:dyDescent="0.3">
      <c r="C2" s="114" t="str">
        <f>PORTADA!E6</f>
        <v>Bio Humi</v>
      </c>
      <c r="D2" s="114"/>
      <c r="E2" s="114"/>
      <c r="F2" s="114"/>
      <c r="G2" s="5"/>
      <c r="H2" s="5"/>
    </row>
    <row r="3" spans="3:8" x14ac:dyDescent="0.3">
      <c r="C3" s="5"/>
      <c r="D3" s="5"/>
      <c r="E3" s="5"/>
      <c r="F3" s="5"/>
      <c r="G3" s="5"/>
      <c r="H3" s="5"/>
    </row>
    <row r="4" spans="3:8" ht="14.25" customHeight="1" x14ac:dyDescent="0.3">
      <c r="C4" s="113" t="s">
        <v>58</v>
      </c>
      <c r="D4" s="113"/>
      <c r="E4" s="113"/>
      <c r="F4" s="113"/>
      <c r="G4" s="105"/>
      <c r="H4" s="105"/>
    </row>
    <row r="5" spans="3:8" x14ac:dyDescent="0.3">
      <c r="C5" s="113"/>
      <c r="D5" s="113"/>
      <c r="E5" s="113"/>
      <c r="F5" s="113"/>
      <c r="G5" s="5"/>
      <c r="H5" s="5"/>
    </row>
    <row r="6" spans="3:8" x14ac:dyDescent="0.3">
      <c r="C6" s="5"/>
      <c r="D6" s="5"/>
      <c r="E6" s="5"/>
      <c r="F6" s="5"/>
      <c r="G6" s="5"/>
      <c r="H6" s="5"/>
    </row>
    <row r="7" spans="3:8" ht="24" customHeight="1" x14ac:dyDescent="0.3">
      <c r="C7" s="56" t="s">
        <v>0</v>
      </c>
      <c r="D7" s="56" t="s">
        <v>59</v>
      </c>
      <c r="E7" s="56" t="s">
        <v>60</v>
      </c>
      <c r="F7" s="56" t="s">
        <v>61</v>
      </c>
      <c r="G7" s="5"/>
      <c r="H7" s="5"/>
    </row>
    <row r="8" spans="3:8" ht="22.5" customHeight="1" x14ac:dyDescent="0.3">
      <c r="C8" s="85" t="s">
        <v>62</v>
      </c>
      <c r="D8" s="86">
        <f>INGRESOS!F12</f>
        <v>2376000</v>
      </c>
      <c r="E8" s="59">
        <f>INGRESOS!G12</f>
        <v>2613600</v>
      </c>
      <c r="F8" s="59">
        <f>INGRESOS!H12</f>
        <v>2874960</v>
      </c>
      <c r="G8" s="5"/>
      <c r="H8" s="5"/>
    </row>
    <row r="9" spans="3:8" ht="22.5" customHeight="1" x14ac:dyDescent="0.3">
      <c r="C9" s="85" t="s">
        <v>47</v>
      </c>
      <c r="D9" s="86">
        <f>'COSTOS TOTALES'!C14</f>
        <v>693600</v>
      </c>
      <c r="E9" s="59">
        <f>'COSTOS TOTALES'!D14</f>
        <v>770880</v>
      </c>
      <c r="F9" s="59">
        <f>'COSTOS TOTALES'!E14</f>
        <v>847968.00000000012</v>
      </c>
      <c r="G9" s="5"/>
      <c r="H9" s="5"/>
    </row>
    <row r="10" spans="3:8" ht="19.5" customHeight="1" x14ac:dyDescent="0.3">
      <c r="C10" s="85" t="s">
        <v>53</v>
      </c>
      <c r="D10" s="86">
        <f>'COSTOS TOTALES'!C19</f>
        <v>1232640</v>
      </c>
      <c r="E10" s="59">
        <f>'COSTOS TOTALES'!D19</f>
        <v>1355904</v>
      </c>
      <c r="F10" s="59">
        <f>'COSTOS TOTALES'!E19</f>
        <v>1491494.4000000001</v>
      </c>
      <c r="G10" s="5"/>
      <c r="H10" s="5"/>
    </row>
    <row r="11" spans="3:8" ht="19.5" customHeight="1" x14ac:dyDescent="0.3">
      <c r="C11" s="85" t="s">
        <v>68</v>
      </c>
      <c r="D11" s="86">
        <f>'TABLA DE AMORTIZACIÓN'!H25</f>
        <v>52012.165250881866</v>
      </c>
      <c r="E11" s="59">
        <f>'TABLA DE AMORTIZACIÓN'!H37</f>
        <v>44498.533342389615</v>
      </c>
      <c r="F11" s="59">
        <f>'TABLA DE AMORTIZACIÓN'!H49</f>
        <v>35154.606413054178</v>
      </c>
      <c r="G11" s="5"/>
      <c r="H11" s="5"/>
    </row>
    <row r="12" spans="3:8" ht="22.5" customHeight="1" x14ac:dyDescent="0.3">
      <c r="C12" s="85" t="s">
        <v>69</v>
      </c>
      <c r="D12" s="86">
        <f>D9+D10+D11</f>
        <v>1978252.1652508818</v>
      </c>
      <c r="E12" s="59">
        <f t="shared" ref="E12:F12" si="0">E9+E10+E11</f>
        <v>2171282.5333423894</v>
      </c>
      <c r="F12" s="59">
        <f t="shared" si="0"/>
        <v>2374617.0064130547</v>
      </c>
      <c r="G12" s="5"/>
      <c r="H12" s="5"/>
    </row>
    <row r="13" spans="3:8" ht="22.5" customHeight="1" x14ac:dyDescent="0.3">
      <c r="C13" s="85" t="s">
        <v>63</v>
      </c>
      <c r="D13" s="86">
        <f>D8-D12</f>
        <v>397747.83474911819</v>
      </c>
      <c r="E13" s="59">
        <f t="shared" ref="E13:F13" si="1">E8-E12</f>
        <v>442317.46665761061</v>
      </c>
      <c r="F13" s="59">
        <f t="shared" si="1"/>
        <v>500342.99358694535</v>
      </c>
      <c r="G13" s="5"/>
      <c r="H13" s="5"/>
    </row>
    <row r="14" spans="3:8" ht="23.25" customHeight="1" x14ac:dyDescent="0.3">
      <c r="C14" s="85" t="s">
        <v>64</v>
      </c>
      <c r="D14" s="86">
        <f>F35</f>
        <v>46360</v>
      </c>
      <c r="E14" s="59">
        <f>F35</f>
        <v>46360</v>
      </c>
      <c r="F14" s="59">
        <f>E14</f>
        <v>46360</v>
      </c>
      <c r="G14" s="5"/>
      <c r="H14" s="5"/>
    </row>
    <row r="15" spans="3:8" ht="30.75" customHeight="1" x14ac:dyDescent="0.3">
      <c r="C15" s="85" t="s">
        <v>65</v>
      </c>
      <c r="D15" s="86">
        <f>D13-D14</f>
        <v>351387.83474911819</v>
      </c>
      <c r="E15" s="59">
        <f t="shared" ref="E15:F15" si="2">E13-E14</f>
        <v>395957.46665761061</v>
      </c>
      <c r="F15" s="59">
        <f t="shared" si="2"/>
        <v>453982.99358694535</v>
      </c>
      <c r="G15" s="5"/>
      <c r="H15" s="5"/>
    </row>
    <row r="16" spans="3:8" ht="18.75" customHeight="1" x14ac:dyDescent="0.25">
      <c r="C16" s="85" t="s">
        <v>66</v>
      </c>
      <c r="D16" s="86">
        <f>D15*0.3</f>
        <v>105416.35042473546</v>
      </c>
      <c r="E16" s="59">
        <f t="shared" ref="E16:F16" si="3">E15*0.3</f>
        <v>118787.23999728318</v>
      </c>
      <c r="F16" s="59">
        <f t="shared" si="3"/>
        <v>136194.8980760836</v>
      </c>
      <c r="G16" s="5"/>
      <c r="H16" s="5"/>
    </row>
    <row r="17" spans="3:8" s="52" customFormat="1" ht="33.75" customHeight="1" x14ac:dyDescent="0.25">
      <c r="C17" s="85" t="s">
        <v>67</v>
      </c>
      <c r="D17" s="87">
        <f>D15-D16</f>
        <v>245971.48432438273</v>
      </c>
      <c r="E17" s="88">
        <f t="shared" ref="E17:F17" si="4">E15-E16</f>
        <v>277170.2266603274</v>
      </c>
      <c r="F17" s="88">
        <f t="shared" si="4"/>
        <v>317788.09551086172</v>
      </c>
      <c r="G17" s="65"/>
      <c r="H17" s="65"/>
    </row>
    <row r="18" spans="3:8" ht="18.75" customHeight="1" x14ac:dyDescent="0.15"/>
    <row r="19" spans="3:8" ht="18.75" customHeight="1" x14ac:dyDescent="0.15"/>
    <row r="20" spans="3:8" ht="15.75" x14ac:dyDescent="0.25">
      <c r="C20" s="112" t="s">
        <v>70</v>
      </c>
      <c r="D20" s="112"/>
      <c r="E20" s="112"/>
      <c r="F20" s="112"/>
    </row>
    <row r="21" spans="3:8" ht="15.75" x14ac:dyDescent="0.25">
      <c r="C21" s="68" t="s">
        <v>71</v>
      </c>
      <c r="D21" s="68" t="s">
        <v>72</v>
      </c>
      <c r="E21" s="68" t="s">
        <v>73</v>
      </c>
      <c r="F21" s="68" t="s">
        <v>74</v>
      </c>
    </row>
    <row r="22" spans="3:8" ht="25.5" customHeight="1" x14ac:dyDescent="0.2">
      <c r="C22" s="89" t="str">
        <f>'PRESUPUESTO DE INVERSIÓN'!B8</f>
        <v>Equipo de Cómputo</v>
      </c>
      <c r="D22" s="90">
        <f>'PRESUPUESTO DE INVERSIÓN'!F8</f>
        <v>45000</v>
      </c>
      <c r="E22" s="91">
        <v>0.3</v>
      </c>
      <c r="F22" s="59">
        <f>D22*E22</f>
        <v>13500</v>
      </c>
    </row>
    <row r="23" spans="3:8" ht="18.75" customHeight="1" x14ac:dyDescent="0.2">
      <c r="C23" s="89" t="str">
        <f>'PRESUPUESTO DE INVERSIÓN'!B9</f>
        <v>Impresora 3D</v>
      </c>
      <c r="D23" s="90">
        <f>'PRESUPUESTO DE INVERSIÓN'!F9</f>
        <v>72000</v>
      </c>
      <c r="E23" s="91">
        <v>0.3</v>
      </c>
      <c r="F23" s="59">
        <f t="shared" ref="F23:F33" si="5">D23*E23</f>
        <v>21600</v>
      </c>
    </row>
    <row r="24" spans="3:8" ht="18.75" customHeight="1" x14ac:dyDescent="0.2">
      <c r="C24" s="89" t="str">
        <f>'PRESUPUESTO DE INVERSIÓN'!B10</f>
        <v>Mesas  de trabajo antiestáticas</v>
      </c>
      <c r="D24" s="90">
        <f>'PRESUPUESTO DE INVERSIÓN'!F10</f>
        <v>40000</v>
      </c>
      <c r="E24" s="91">
        <v>0.1</v>
      </c>
      <c r="F24" s="59">
        <f t="shared" si="5"/>
        <v>4000</v>
      </c>
    </row>
    <row r="25" spans="3:8" ht="18.75" customHeight="1" x14ac:dyDescent="0.2">
      <c r="C25" s="89" t="str">
        <f>'PRESUPUESTO DE INVERSIÓN'!B11</f>
        <v>ventilador</v>
      </c>
      <c r="D25" s="90">
        <f>'PRESUPUESTO DE INVERSIÓN'!F11</f>
        <v>800</v>
      </c>
      <c r="E25" s="91">
        <v>0.1</v>
      </c>
      <c r="F25" s="59">
        <f t="shared" si="5"/>
        <v>80</v>
      </c>
    </row>
    <row r="26" spans="3:8" ht="18.75" customHeight="1" x14ac:dyDescent="0.2">
      <c r="C26" s="89" t="str">
        <f>'PRESUPUESTO DE INVERSIÓN'!B12</f>
        <v>sillas</v>
      </c>
      <c r="D26" s="90">
        <f>'PRESUPUESTO DE INVERSIÓN'!F12</f>
        <v>7500</v>
      </c>
      <c r="E26" s="91">
        <v>0.1</v>
      </c>
      <c r="F26" s="59">
        <f t="shared" si="5"/>
        <v>750</v>
      </c>
    </row>
    <row r="27" spans="3:8" ht="18.75" customHeight="1" x14ac:dyDescent="0.2">
      <c r="C27" s="89" t="str">
        <f>'PRESUPUESTO DE INVERSIÓN'!B13</f>
        <v>mesa normal</v>
      </c>
      <c r="D27" s="90">
        <f>'PRESUPUESTO DE INVERSIÓN'!F13</f>
        <v>5300</v>
      </c>
      <c r="E27" s="91">
        <v>0.1</v>
      </c>
      <c r="F27" s="59">
        <f t="shared" si="5"/>
        <v>530</v>
      </c>
    </row>
    <row r="28" spans="3:8" ht="18.75" customHeight="1" x14ac:dyDescent="0.2">
      <c r="C28" s="89" t="str">
        <f>'PRESUPUESTO DE INVERSIÓN'!B14</f>
        <v>cajas de herramientas</v>
      </c>
      <c r="D28" s="90">
        <f>'PRESUPUESTO DE INVERSIÓN'!F14</f>
        <v>16000</v>
      </c>
      <c r="E28" s="91">
        <v>0.2</v>
      </c>
      <c r="F28" s="59">
        <f t="shared" si="5"/>
        <v>3200</v>
      </c>
    </row>
    <row r="29" spans="3:8" ht="19.5" customHeight="1" x14ac:dyDescent="0.2">
      <c r="C29" s="89" t="str">
        <f>'PRESUPUESTO DE INVERSIÓN'!B15</f>
        <v>taladro y brocas</v>
      </c>
      <c r="D29" s="90">
        <f>'PRESUPUESTO DE INVERSIÓN'!F15</f>
        <v>15000</v>
      </c>
      <c r="E29" s="91">
        <v>0.1</v>
      </c>
      <c r="F29" s="59">
        <f t="shared" si="5"/>
        <v>1500</v>
      </c>
    </row>
    <row r="30" spans="3:8" ht="19.5" customHeight="1" x14ac:dyDescent="0.2">
      <c r="C30" s="89" t="str">
        <f>'PRESUPUESTO DE INVERSIÓN'!B16</f>
        <v>multimetro</v>
      </c>
      <c r="D30" s="90">
        <f>'PRESUPUESTO DE INVERSIÓN'!F16</f>
        <v>5000</v>
      </c>
      <c r="E30" s="91">
        <v>0.1</v>
      </c>
      <c r="F30" s="59">
        <f t="shared" si="5"/>
        <v>500</v>
      </c>
    </row>
    <row r="31" spans="3:8" ht="19.5" customHeight="1" x14ac:dyDescent="0.2">
      <c r="C31" s="89" t="str">
        <f>'PRESUPUESTO DE INVERSIÓN'!B17</f>
        <v>termometro industrial</v>
      </c>
      <c r="D31" s="90">
        <f>'PRESUPUESTO DE INVERSIÓN'!F17</f>
        <v>3400</v>
      </c>
      <c r="E31" s="91">
        <v>0.1</v>
      </c>
      <c r="F31" s="59">
        <f t="shared" si="5"/>
        <v>340</v>
      </c>
    </row>
    <row r="32" spans="3:8" ht="19.5" customHeight="1" x14ac:dyDescent="0.2">
      <c r="C32" s="89" t="str">
        <f>'PRESUPUESTO DE INVERSIÓN'!B18</f>
        <v>medidor de sonido digital</v>
      </c>
      <c r="D32" s="90">
        <f>'PRESUPUESTO DE INVERSIÓN'!F18</f>
        <v>3600</v>
      </c>
      <c r="E32" s="91">
        <v>0.1</v>
      </c>
      <c r="F32" s="59">
        <f t="shared" si="5"/>
        <v>360</v>
      </c>
    </row>
    <row r="33" spans="3:6" ht="19.5" customHeight="1" x14ac:dyDescent="0.2">
      <c r="C33" s="89" t="str">
        <f>'PRESUPUESTO DE INVERSIÓN'!B19</f>
        <v>Estación de soldadura</v>
      </c>
      <c r="D33" s="90">
        <f>'PRESUPUESTO DE INVERSIÓN'!F19</f>
        <v>6000</v>
      </c>
      <c r="E33" s="91">
        <v>0.2</v>
      </c>
      <c r="F33" s="59">
        <f t="shared" si="5"/>
        <v>1200</v>
      </c>
    </row>
    <row r="34" spans="3:6" ht="19.5" customHeight="1" x14ac:dyDescent="0.2">
      <c r="C34" s="89"/>
      <c r="D34" s="90"/>
      <c r="E34" s="91"/>
      <c r="F34" s="59"/>
    </row>
    <row r="35" spans="3:6" ht="19.5" customHeight="1" x14ac:dyDescent="0.25">
      <c r="C35" s="92" t="s">
        <v>52</v>
      </c>
      <c r="D35" s="93">
        <f>SUM(D22:D32)</f>
        <v>213600</v>
      </c>
      <c r="E35" s="94"/>
      <c r="F35" s="59">
        <f>SUM(F22:F32)</f>
        <v>46360</v>
      </c>
    </row>
  </sheetData>
  <mergeCells count="3">
    <mergeCell ref="C20:F20"/>
    <mergeCell ref="C4:F5"/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92ED-E728-4668-B9C4-162FF5C29552}">
  <dimension ref="B2:F40"/>
  <sheetViews>
    <sheetView showGridLines="0" topLeftCell="B22" workbookViewId="0">
      <selection activeCell="F12" sqref="F12"/>
    </sheetView>
  </sheetViews>
  <sheetFormatPr baseColWidth="10" defaultRowHeight="17.25" x14ac:dyDescent="0.3"/>
  <cols>
    <col min="1" max="1" width="7.5703125" style="4" customWidth="1"/>
    <col min="2" max="2" width="45.42578125" style="4" customWidth="1"/>
    <col min="3" max="3" width="19.42578125" style="4" customWidth="1"/>
    <col min="4" max="4" width="18.5703125" style="4" customWidth="1"/>
    <col min="5" max="5" width="19.140625" style="4" customWidth="1"/>
    <col min="6" max="6" width="21.85546875" style="4" customWidth="1"/>
    <col min="7" max="16384" width="11.42578125" style="4"/>
  </cols>
  <sheetData>
    <row r="2" spans="2:6" ht="19.5" customHeight="1" x14ac:dyDescent="0.3">
      <c r="D2" s="4" t="str">
        <f>PORTADA!E6</f>
        <v>Bio Humi</v>
      </c>
    </row>
    <row r="4" spans="2:6" ht="26.25" x14ac:dyDescent="0.5">
      <c r="C4" s="115" t="s">
        <v>82</v>
      </c>
      <c r="D4" s="115"/>
      <c r="E4" s="115"/>
    </row>
    <row r="8" spans="2:6" ht="18.75" customHeight="1" x14ac:dyDescent="0.3">
      <c r="B8" s="38" t="s">
        <v>0</v>
      </c>
      <c r="C8" s="36" t="s">
        <v>83</v>
      </c>
      <c r="D8" s="36" t="s">
        <v>48</v>
      </c>
      <c r="E8" s="36" t="s">
        <v>49</v>
      </c>
      <c r="F8" s="36" t="s">
        <v>51</v>
      </c>
    </row>
    <row r="9" spans="2:6" ht="18.75" customHeight="1" x14ac:dyDescent="0.3">
      <c r="B9" s="37" t="s">
        <v>62</v>
      </c>
      <c r="C9" s="49">
        <v>0</v>
      </c>
      <c r="D9" s="48">
        <f>'ESTADO DE RESULTADOS'!D8</f>
        <v>2376000</v>
      </c>
      <c r="E9" s="48">
        <f>'ESTADO DE RESULTADOS'!E8</f>
        <v>2613600</v>
      </c>
      <c r="F9" s="48">
        <f>'ESTADO DE RESULTADOS'!F8</f>
        <v>2874960</v>
      </c>
    </row>
    <row r="10" spans="2:6" ht="18.75" customHeight="1" x14ac:dyDescent="0.3">
      <c r="B10" s="37" t="s">
        <v>75</v>
      </c>
      <c r="C10" s="49">
        <v>0</v>
      </c>
      <c r="D10" s="49">
        <v>0</v>
      </c>
      <c r="E10" s="49">
        <v>0</v>
      </c>
      <c r="F10" s="49"/>
    </row>
    <row r="11" spans="2:6" ht="18.75" customHeight="1" x14ac:dyDescent="0.3">
      <c r="B11" s="37" t="s">
        <v>76</v>
      </c>
      <c r="C11" s="49">
        <f>C9+C10</f>
        <v>0</v>
      </c>
      <c r="D11" s="48">
        <f>D9+D10</f>
        <v>2376000</v>
      </c>
      <c r="E11" s="48">
        <f t="shared" ref="E11:F11" si="0">E9+E10</f>
        <v>2613600</v>
      </c>
      <c r="F11" s="48">
        <f t="shared" si="0"/>
        <v>2874960</v>
      </c>
    </row>
    <row r="12" spans="2:6" ht="18.75" customHeight="1" x14ac:dyDescent="0.3">
      <c r="B12" s="37" t="s">
        <v>47</v>
      </c>
      <c r="C12" s="49">
        <v>0</v>
      </c>
      <c r="D12" s="48">
        <f>'ESTADO DE RESULTADOS'!D9</f>
        <v>693600</v>
      </c>
      <c r="E12" s="48">
        <f>'ESTADO DE RESULTADOS'!E9</f>
        <v>770880</v>
      </c>
      <c r="F12" s="48">
        <f>'ESTADO DE RESULTADOS'!F9</f>
        <v>847968.00000000012</v>
      </c>
    </row>
    <row r="13" spans="2:6" ht="18.75" customHeight="1" x14ac:dyDescent="0.3">
      <c r="B13" s="37" t="s">
        <v>53</v>
      </c>
      <c r="C13" s="49">
        <v>0</v>
      </c>
      <c r="D13" s="48">
        <f>'ESTADO DE RESULTADOS'!D10</f>
        <v>1232640</v>
      </c>
      <c r="E13" s="48">
        <f>'ESTADO DE RESULTADOS'!E10</f>
        <v>1355904</v>
      </c>
      <c r="F13" s="48">
        <f>'ESTADO DE RESULTADOS'!F10</f>
        <v>1491494.4000000001</v>
      </c>
    </row>
    <row r="14" spans="2:6" ht="18.75" customHeight="1" x14ac:dyDescent="0.3">
      <c r="B14" s="37" t="s">
        <v>68</v>
      </c>
      <c r="C14" s="49">
        <v>0</v>
      </c>
      <c r="D14" s="48">
        <f>'ESTADO DE RESULTADOS'!D11</f>
        <v>52012.165250881866</v>
      </c>
      <c r="E14" s="48">
        <f>'ESTADO DE RESULTADOS'!E11</f>
        <v>44498.533342389615</v>
      </c>
      <c r="F14" s="48">
        <f>'ESTADO DE RESULTADOS'!F11</f>
        <v>35154.606413054178</v>
      </c>
    </row>
    <row r="15" spans="2:6" ht="18.75" customHeight="1" x14ac:dyDescent="0.3">
      <c r="B15" s="37" t="s">
        <v>77</v>
      </c>
      <c r="C15" s="49">
        <f>C12+C13+C14</f>
        <v>0</v>
      </c>
      <c r="D15" s="48">
        <f>SUM(D12:D14)</f>
        <v>1978252.1652508818</v>
      </c>
      <c r="E15" s="48">
        <f t="shared" ref="E15:F15" si="1">SUM(E12:E14)</f>
        <v>2171282.5333423894</v>
      </c>
      <c r="F15" s="48">
        <f t="shared" si="1"/>
        <v>2374617.0064130547</v>
      </c>
    </row>
    <row r="16" spans="2:6" ht="18.75" customHeight="1" x14ac:dyDescent="0.3">
      <c r="B16" s="37" t="s">
        <v>78</v>
      </c>
      <c r="C16" s="48">
        <f>'PRESUPUESTO DE INVERSIÓN'!F23</f>
        <v>219600</v>
      </c>
      <c r="D16" s="49">
        <v>0</v>
      </c>
      <c r="E16" s="49"/>
      <c r="F16" s="49"/>
    </row>
    <row r="17" spans="2:6" ht="18.75" customHeight="1" x14ac:dyDescent="0.3">
      <c r="B17" s="37" t="s">
        <v>79</v>
      </c>
      <c r="C17" s="48">
        <f>'PRESUPUESTO DE INVERSIÓN'!F30</f>
        <v>76000</v>
      </c>
      <c r="D17" s="49">
        <v>0</v>
      </c>
      <c r="E17" s="49"/>
      <c r="F17" s="49"/>
    </row>
    <row r="18" spans="2:6" ht="18.75" customHeight="1" x14ac:dyDescent="0.3">
      <c r="B18" s="37" t="s">
        <v>80</v>
      </c>
      <c r="C18" s="48">
        <f>'PRESUPUESTO DE INVERSIÓN'!F40</f>
        <v>87500</v>
      </c>
      <c r="D18" s="49">
        <v>0</v>
      </c>
      <c r="E18" s="49"/>
      <c r="F18" s="49"/>
    </row>
    <row r="19" spans="2:6" ht="18.75" customHeight="1" x14ac:dyDescent="0.3">
      <c r="B19" s="37" t="s">
        <v>81</v>
      </c>
      <c r="C19" s="48">
        <f>C11-C15-C16-C17-C18</f>
        <v>-383100</v>
      </c>
      <c r="D19" s="48">
        <f>D11-D15-D16-D17-D18</f>
        <v>397747.83474911819</v>
      </c>
      <c r="E19" s="48">
        <f t="shared" ref="E19:F19" si="2">E11-E15-E16-E17-E18</f>
        <v>442317.46665761061</v>
      </c>
      <c r="F19" s="48">
        <f t="shared" si="2"/>
        <v>500342.99358694535</v>
      </c>
    </row>
    <row r="20" spans="2:6" ht="18.75" customHeight="1" x14ac:dyDescent="0.3">
      <c r="B20" s="99"/>
      <c r="C20" s="98"/>
      <c r="D20" s="98"/>
      <c r="E20" s="98"/>
      <c r="F20" s="98"/>
    </row>
    <row r="21" spans="2:6" ht="20.25" x14ac:dyDescent="0.3">
      <c r="C21" s="114" t="s">
        <v>158</v>
      </c>
      <c r="D21" s="114"/>
    </row>
    <row r="22" spans="2:6" ht="18.75" x14ac:dyDescent="0.3">
      <c r="B22" s="116" t="s">
        <v>159</v>
      </c>
      <c r="C22" s="116"/>
      <c r="D22" s="116"/>
      <c r="E22" s="116"/>
      <c r="F22" s="116"/>
    </row>
    <row r="23" spans="2:6" x14ac:dyDescent="0.3">
      <c r="B23" s="5"/>
      <c r="C23" s="64"/>
      <c r="D23" s="64"/>
      <c r="E23" s="64"/>
      <c r="F23" s="5"/>
    </row>
    <row r="24" spans="2:6" x14ac:dyDescent="0.3">
      <c r="B24" s="5"/>
      <c r="C24" s="95">
        <v>292331.48</v>
      </c>
      <c r="D24" s="95">
        <v>323530.23</v>
      </c>
      <c r="E24" s="95">
        <v>382648.1</v>
      </c>
      <c r="F24" s="64"/>
    </row>
    <row r="25" spans="2:6" x14ac:dyDescent="0.3">
      <c r="B25" s="5"/>
      <c r="C25" s="5"/>
      <c r="D25" s="5"/>
      <c r="E25" s="5"/>
      <c r="F25" s="5"/>
    </row>
    <row r="26" spans="2:6" x14ac:dyDescent="0.3">
      <c r="B26" s="5"/>
      <c r="C26" s="5"/>
      <c r="D26" s="5"/>
      <c r="E26" s="5"/>
      <c r="F26" s="5"/>
    </row>
    <row r="27" spans="2:6" x14ac:dyDescent="0.3">
      <c r="B27" s="5"/>
      <c r="C27" s="5"/>
      <c r="D27" s="5"/>
      <c r="E27" s="5"/>
      <c r="F27" s="5"/>
    </row>
    <row r="28" spans="2:6" x14ac:dyDescent="0.3">
      <c r="B28" s="96">
        <v>0</v>
      </c>
      <c r="C28" s="5"/>
      <c r="D28" s="5"/>
      <c r="E28" s="5"/>
      <c r="F28" s="5"/>
    </row>
    <row r="29" spans="2:6" x14ac:dyDescent="0.3">
      <c r="B29" s="5"/>
      <c r="C29" s="96">
        <v>1</v>
      </c>
      <c r="D29" s="96">
        <v>2</v>
      </c>
      <c r="E29" s="96">
        <v>3</v>
      </c>
      <c r="F29" s="5"/>
    </row>
    <row r="30" spans="2:6" x14ac:dyDescent="0.3">
      <c r="B30" s="5"/>
      <c r="C30" s="5"/>
      <c r="D30" s="5"/>
      <c r="E30" s="5"/>
      <c r="F30" s="5"/>
    </row>
    <row r="31" spans="2:6" x14ac:dyDescent="0.3">
      <c r="B31" s="5"/>
      <c r="C31" s="5"/>
      <c r="D31" s="5"/>
      <c r="E31" s="5"/>
      <c r="F31" s="5"/>
    </row>
    <row r="32" spans="2:6" x14ac:dyDescent="0.3">
      <c r="B32" s="5"/>
      <c r="C32" s="5"/>
      <c r="D32" s="5"/>
      <c r="E32" s="5"/>
      <c r="F32" s="5"/>
    </row>
    <row r="33" spans="2:6" x14ac:dyDescent="0.3">
      <c r="B33" s="53"/>
      <c r="C33" s="53">
        <v>-383100</v>
      </c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 t="s">
        <v>154</v>
      </c>
      <c r="C36" s="53">
        <v>245971.48432438273</v>
      </c>
      <c r="D36" s="53">
        <v>277170.2266603274</v>
      </c>
      <c r="E36" s="53">
        <v>317788.09551086172</v>
      </c>
      <c r="F36" s="5"/>
    </row>
    <row r="37" spans="2:6" ht="18" thickBot="1" x14ac:dyDescent="0.35">
      <c r="B37" s="5" t="s">
        <v>155</v>
      </c>
      <c r="C37" s="97">
        <v>46360</v>
      </c>
      <c r="D37" s="97">
        <v>46360</v>
      </c>
      <c r="E37" s="97">
        <v>46360</v>
      </c>
      <c r="F37" s="5"/>
    </row>
    <row r="38" spans="2:6" x14ac:dyDescent="0.3">
      <c r="B38" s="5"/>
      <c r="C38" s="54">
        <f>C36+C37</f>
        <v>292331.48432438273</v>
      </c>
      <c r="D38" s="54">
        <f>D36+D37</f>
        <v>323530.2266603274</v>
      </c>
      <c r="E38" s="54">
        <f>E36+E37</f>
        <v>364148.09551086172</v>
      </c>
      <c r="F38" s="5"/>
    </row>
    <row r="39" spans="2:6" ht="18" thickBot="1" x14ac:dyDescent="0.35">
      <c r="B39" s="5" t="s">
        <v>156</v>
      </c>
      <c r="C39" s="5"/>
      <c r="D39" s="5"/>
      <c r="E39" s="97">
        <v>18500</v>
      </c>
      <c r="F39" s="5"/>
    </row>
    <row r="40" spans="2:6" x14ac:dyDescent="0.3">
      <c r="B40" s="5"/>
      <c r="C40" s="5"/>
      <c r="D40" s="5"/>
      <c r="E40" s="54">
        <f>E38+E39</f>
        <v>382648.09551086172</v>
      </c>
      <c r="F40" s="5"/>
    </row>
  </sheetData>
  <mergeCells count="3">
    <mergeCell ref="C4:E4"/>
    <mergeCell ref="B22:F22"/>
    <mergeCell ref="C21:D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0870-BF25-4B02-8463-227F20A15B29}">
  <dimension ref="C2:D18"/>
  <sheetViews>
    <sheetView showGridLines="0" topLeftCell="A10" workbookViewId="0">
      <selection activeCell="F11" sqref="F11"/>
    </sheetView>
  </sheetViews>
  <sheetFormatPr baseColWidth="10" defaultRowHeight="16.5" x14ac:dyDescent="0.3"/>
  <cols>
    <col min="1" max="2" width="11.42578125" style="3"/>
    <col min="3" max="3" width="24.7109375" style="3" customWidth="1"/>
    <col min="4" max="4" width="25.5703125" style="3" customWidth="1"/>
    <col min="5" max="16384" width="11.42578125" style="3"/>
  </cols>
  <sheetData>
    <row r="2" spans="3:4" x14ac:dyDescent="0.3">
      <c r="D2" s="3" t="str">
        <f>PORTADA!E6</f>
        <v>Bio Humi</v>
      </c>
    </row>
    <row r="4" spans="3:4" ht="20.25" x14ac:dyDescent="0.3">
      <c r="D4" s="77" t="s">
        <v>84</v>
      </c>
    </row>
    <row r="5" spans="3:4" ht="20.25" x14ac:dyDescent="0.3">
      <c r="C5" s="76"/>
      <c r="D5" s="84" t="s">
        <v>157</v>
      </c>
    </row>
    <row r="6" spans="3:4" x14ac:dyDescent="0.3">
      <c r="C6" s="76"/>
      <c r="D6" s="76"/>
    </row>
    <row r="7" spans="3:4" ht="21.75" customHeight="1" x14ac:dyDescent="0.3">
      <c r="C7" s="56" t="s">
        <v>0</v>
      </c>
      <c r="D7" s="56"/>
    </row>
    <row r="8" spans="3:4" ht="31.5" x14ac:dyDescent="0.3">
      <c r="C8" s="78" t="s">
        <v>87</v>
      </c>
      <c r="D8" s="79">
        <f>INGRESOS!D8</f>
        <v>2000</v>
      </c>
    </row>
    <row r="9" spans="3:4" ht="30.75" customHeight="1" x14ac:dyDescent="0.3">
      <c r="C9" s="78" t="s">
        <v>85</v>
      </c>
      <c r="D9" s="80">
        <f>'FLUJO DE EFECTIVO'!D12</f>
        <v>693600</v>
      </c>
    </row>
    <row r="10" spans="3:4" ht="31.5" x14ac:dyDescent="0.3">
      <c r="C10" s="78" t="s">
        <v>86</v>
      </c>
      <c r="D10" s="79">
        <f>'MEMORIAS DE CÁLCULO'!B16</f>
        <v>1284</v>
      </c>
    </row>
    <row r="11" spans="3:4" ht="30.75" customHeight="1" x14ac:dyDescent="0.3">
      <c r="C11" s="78" t="s">
        <v>88</v>
      </c>
      <c r="D11" s="80">
        <f>D8-D10</f>
        <v>716</v>
      </c>
    </row>
    <row r="12" spans="3:4" ht="26.25" customHeight="1" x14ac:dyDescent="0.3">
      <c r="C12" s="7" t="s">
        <v>89</v>
      </c>
      <c r="D12" s="81">
        <f>(D9/(D8-D10))</f>
        <v>968.71508379888269</v>
      </c>
    </row>
    <row r="13" spans="3:4" ht="27" customHeight="1" x14ac:dyDescent="0.3">
      <c r="C13" s="7" t="s">
        <v>90</v>
      </c>
      <c r="D13" s="80">
        <f>D12*D8</f>
        <v>1937430.1675977653</v>
      </c>
    </row>
    <row r="14" spans="3:4" ht="18.75" customHeight="1" x14ac:dyDescent="0.3">
      <c r="C14" s="76"/>
      <c r="D14" s="76"/>
    </row>
    <row r="15" spans="3:4" ht="24.75" customHeight="1" x14ac:dyDescent="0.3">
      <c r="C15" s="5" t="s">
        <v>91</v>
      </c>
      <c r="D15" s="5"/>
    </row>
    <row r="16" spans="3:4" ht="20.25" customHeight="1" x14ac:dyDescent="0.2">
      <c r="C16" s="5"/>
      <c r="D16" s="5"/>
    </row>
    <row r="17" spans="3:4" ht="18.75" customHeight="1" x14ac:dyDescent="0.2">
      <c r="C17" s="82" t="s">
        <v>92</v>
      </c>
      <c r="D17" s="83" t="s">
        <v>93</v>
      </c>
    </row>
    <row r="18" spans="3:4" ht="19.5" customHeight="1" x14ac:dyDescent="0.2">
      <c r="C18" s="5"/>
      <c r="D18" s="5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PORTADA</vt:lpstr>
      <vt:lpstr>PRESUPUESTO DE INVERSIÓN</vt:lpstr>
      <vt:lpstr>MEMORIAS DE CÁLCULO</vt:lpstr>
      <vt:lpstr>TABLA DE AMORTIZACIÓN</vt:lpstr>
      <vt:lpstr>COSTOS TOTALES</vt:lpstr>
      <vt:lpstr>INGRESOS</vt:lpstr>
      <vt:lpstr>ESTADO DE RESULTADOS</vt:lpstr>
      <vt:lpstr>FLUJO DE EFECTIVO</vt:lpstr>
      <vt:lpstr>PUNTO DE EQUILIBRIO</vt:lpstr>
      <vt:lpstr>INDICADORES FINANCIEROS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 Rocio Solis</dc:creator>
  <cp:lastModifiedBy>Dani</cp:lastModifiedBy>
  <dcterms:created xsi:type="dcterms:W3CDTF">2020-05-20T17:43:10Z</dcterms:created>
  <dcterms:modified xsi:type="dcterms:W3CDTF">2022-11-24T19:46:54Z</dcterms:modified>
</cp:coreProperties>
</file>