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Sales Tools\Savings Estimator\"/>
    </mc:Choice>
  </mc:AlternateContent>
  <xr:revisionPtr revIDLastSave="0" documentId="13_ncr:1_{0ED7F4E9-57F7-4706-9F8D-99ABE585C9E0}" xr6:coauthVersionLast="47" xr6:coauthVersionMax="47" xr10:uidLastSave="{00000000-0000-0000-0000-000000000000}"/>
  <bookViews>
    <workbookView xWindow="-108" yWindow="-108" windowWidth="23256" windowHeight="12576" tabRatio="556" xr2:uid="{00000000-000D-0000-FFFF-FFFF00000000}"/>
  </bookViews>
  <sheets>
    <sheet name="Home" sheetId="1" r:id="rId1"/>
    <sheet name="Energy" sheetId="5" r:id="rId2"/>
    <sheet name="Chiller" sheetId="2" r:id="rId3"/>
    <sheet name="Pump" sheetId="3" r:id="rId4"/>
    <sheet name="Financials" sheetId="4" r:id="rId5"/>
    <sheet name="InfoText" sheetId="7" state="veryHidden" r:id="rId6"/>
    <sheet name="Results" sheetId="14" r:id="rId7"/>
    <sheet name="ConEd Rebate" sheetId="27" state="veryHidden" r:id="rId8"/>
    <sheet name="ConEd Summary" sheetId="28" state="veryHidden" r:id="rId9"/>
    <sheet name="Localization" sheetId="15" state="veryHidden" r:id="rId10"/>
    <sheet name="Model_Home" sheetId="16" state="veryHidden" r:id="rId11"/>
    <sheet name="Model_Energy" sheetId="17" state="veryHidden" r:id="rId12"/>
    <sheet name="Model_Chiller" sheetId="18" state="veryHidden" r:id="rId13"/>
    <sheet name="Model_Pump" sheetId="19" state="veryHidden" r:id="rId14"/>
    <sheet name="Model_Financials" sheetId="20" state="veryHidden" r:id="rId15"/>
    <sheet name="ConEd_Data" sheetId="25" state="veryHidden" r:id="rId16"/>
  </sheets>
  <functionGroups builtInGroupCount="19"/>
  <definedNames>
    <definedName name="InfoElectricityCost">Home!$B$12</definedName>
    <definedName name="_xlnm.Print_Area" localSheetId="4">Financials!$A$4:$L$45,Financials!$A$47:$L$112</definedName>
    <definedName name="_xlnm.Print_Area" localSheetId="0">Home!$A$4:$N$59</definedName>
    <definedName name="_xlnm.Print_Area" localSheetId="6">Results!$A$4:$K$58</definedName>
    <definedName name="rDate">Model_Home!$AF$2</definedName>
    <definedName name="rUpdMode">Model_Home!$AF$3</definedName>
    <definedName name="rVersion">Model_Home!$AF$1</definedName>
    <definedName name="SelectedLanguage">Home!$F$6</definedName>
    <definedName name="SelectedUnitSystem">Home!$J$6</definedName>
    <definedName name="UtilityList">OFFSET(Localization!$H$2,0,0,COUNTA(Localization!$H$2:$H$12),1)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28" l="1"/>
  <c r="D15" i="28"/>
  <c r="D14" i="28"/>
  <c r="D11" i="28"/>
  <c r="D10" i="28"/>
  <c r="D9" i="28"/>
  <c r="A39" i="14"/>
  <c r="D79" i="27"/>
  <c r="D78" i="27"/>
  <c r="D77" i="27"/>
  <c r="D76" i="27"/>
  <c r="D75" i="27"/>
  <c r="D74" i="27"/>
  <c r="D68" i="27"/>
  <c r="D67" i="27"/>
  <c r="D66" i="27"/>
  <c r="D65" i="27"/>
  <c r="D63" i="27"/>
  <c r="D62" i="27"/>
  <c r="D61" i="27"/>
  <c r="D60" i="27"/>
  <c r="D38" i="27"/>
  <c r="D39" i="27" s="1"/>
  <c r="D27" i="28" s="1"/>
  <c r="D36" i="27"/>
  <c r="D25" i="28" s="1"/>
  <c r="D25" i="27"/>
  <c r="D71" i="27" s="1"/>
  <c r="D22" i="27"/>
  <c r="D18" i="27"/>
  <c r="D19" i="27" s="1"/>
  <c r="D20" i="27" s="1"/>
  <c r="D21" i="27" s="1"/>
  <c r="D31" i="27" s="1"/>
  <c r="D32" i="27" s="1"/>
  <c r="D46" i="27" s="1"/>
  <c r="V39" i="4"/>
  <c r="U39" i="4"/>
  <c r="T39" i="4"/>
  <c r="S39" i="4"/>
  <c r="R39" i="4"/>
  <c r="Q39" i="4"/>
  <c r="P39" i="4"/>
  <c r="O39" i="4"/>
  <c r="N39" i="4"/>
  <c r="M39" i="4"/>
  <c r="L39" i="4"/>
  <c r="K39" i="4"/>
  <c r="J39" i="4"/>
  <c r="I39" i="4"/>
  <c r="H39" i="4"/>
  <c r="G39" i="4"/>
  <c r="F39" i="4"/>
  <c r="E39" i="4"/>
  <c r="D39" i="4"/>
  <c r="C39" i="4"/>
  <c r="V14" i="4"/>
  <c r="U14" i="4"/>
  <c r="T14" i="4"/>
  <c r="S14" i="4"/>
  <c r="R14" i="4"/>
  <c r="Q14" i="4"/>
  <c r="P14" i="4"/>
  <c r="O14" i="4"/>
  <c r="N14" i="4"/>
  <c r="M14" i="4"/>
  <c r="L14" i="4"/>
  <c r="K14" i="4"/>
  <c r="J14" i="4"/>
  <c r="I14" i="4"/>
  <c r="H14" i="4"/>
  <c r="G14" i="4"/>
  <c r="F14" i="4"/>
  <c r="E14" i="4"/>
  <c r="D14" i="4"/>
  <c r="C14" i="4"/>
  <c r="G42" i="14"/>
  <c r="G41" i="14"/>
  <c r="G40" i="14"/>
  <c r="G39" i="14"/>
  <c r="A42" i="14"/>
  <c r="A41" i="14"/>
  <c r="A40" i="14"/>
  <c r="B46" i="20"/>
  <c r="B46" i="4" s="1"/>
  <c r="L21" i="20"/>
  <c r="L23" i="20" s="1"/>
  <c r="L23" i="4" s="1"/>
  <c r="K21" i="20"/>
  <c r="K23" i="20" s="1"/>
  <c r="K23" i="4" s="1"/>
  <c r="J21" i="20"/>
  <c r="J21" i="4" s="1"/>
  <c r="I21" i="20"/>
  <c r="H21" i="20"/>
  <c r="H23" i="20" s="1"/>
  <c r="H23" i="4" s="1"/>
  <c r="G21" i="20"/>
  <c r="G23" i="20" s="1"/>
  <c r="G23" i="4" s="1"/>
  <c r="F21" i="20"/>
  <c r="F23" i="20" s="1"/>
  <c r="F23" i="4" s="1"/>
  <c r="E21" i="20"/>
  <c r="E23" i="20" s="1"/>
  <c r="E23" i="4" s="1"/>
  <c r="D21" i="20"/>
  <c r="D21" i="4" s="1"/>
  <c r="C21" i="20"/>
  <c r="C23" i="20" s="1"/>
  <c r="C23" i="4" s="1"/>
  <c r="B18" i="20"/>
  <c r="B21" i="20" s="1"/>
  <c r="B23" i="20" s="1"/>
  <c r="B31" i="20" s="1"/>
  <c r="B31" i="4" s="1"/>
  <c r="B12" i="20"/>
  <c r="M18" i="20" s="1"/>
  <c r="M18" i="4" s="1"/>
  <c r="B9" i="20"/>
  <c r="B9" i="4" s="1"/>
  <c r="C56" i="19"/>
  <c r="C56" i="3" s="1"/>
  <c r="C55" i="19"/>
  <c r="C55" i="3" s="1"/>
  <c r="C54" i="19"/>
  <c r="C54" i="3" s="1"/>
  <c r="C49" i="19"/>
  <c r="C49" i="3" s="1"/>
  <c r="C48" i="19"/>
  <c r="C48" i="3" s="1"/>
  <c r="C47" i="19"/>
  <c r="C47" i="3" s="1"/>
  <c r="C42" i="19"/>
  <c r="C42" i="3" s="1"/>
  <c r="C41" i="19"/>
  <c r="C41" i="3" s="1"/>
  <c r="C40" i="19"/>
  <c r="C40" i="3" s="1"/>
  <c r="C35" i="19"/>
  <c r="C35" i="3" s="1"/>
  <c r="C34" i="19"/>
  <c r="C34" i="3" s="1"/>
  <c r="C33" i="19"/>
  <c r="C33" i="3" s="1"/>
  <c r="C28" i="19"/>
  <c r="C28" i="3" s="1"/>
  <c r="C27" i="19"/>
  <c r="C27" i="3" s="1"/>
  <c r="C26" i="19"/>
  <c r="C26" i="3" s="1"/>
  <c r="C21" i="19"/>
  <c r="C21" i="3" s="1"/>
  <c r="C20" i="19"/>
  <c r="C20" i="3" s="1"/>
  <c r="C19" i="19"/>
  <c r="C19" i="3" s="1"/>
  <c r="C10" i="19"/>
  <c r="C10" i="3" s="1"/>
  <c r="C9" i="19"/>
  <c r="C9" i="3" s="1"/>
  <c r="F8" i="19"/>
  <c r="E8" i="19"/>
  <c r="C8" i="19"/>
  <c r="C8" i="3" s="1"/>
  <c r="F6" i="19"/>
  <c r="I62" i="18"/>
  <c r="I61" i="18"/>
  <c r="C61" i="18"/>
  <c r="C61" i="2" s="1"/>
  <c r="I60" i="18"/>
  <c r="C60" i="18"/>
  <c r="C60" i="2" s="1"/>
  <c r="I59" i="18"/>
  <c r="C59" i="18"/>
  <c r="C59" i="2" s="1"/>
  <c r="G58" i="18"/>
  <c r="I54" i="18"/>
  <c r="I53" i="18"/>
  <c r="C53" i="18"/>
  <c r="C53" i="2" s="1"/>
  <c r="I52" i="18"/>
  <c r="C52" i="18"/>
  <c r="C52" i="2" s="1"/>
  <c r="I51" i="18"/>
  <c r="C51" i="18"/>
  <c r="C51" i="2" s="1"/>
  <c r="G50" i="18"/>
  <c r="I46" i="18"/>
  <c r="I45" i="18"/>
  <c r="C45" i="18"/>
  <c r="C45" i="2" s="1"/>
  <c r="I44" i="18"/>
  <c r="C44" i="18"/>
  <c r="C44" i="2" s="1"/>
  <c r="I43" i="18"/>
  <c r="C43" i="18"/>
  <c r="C43" i="2" s="1"/>
  <c r="G42" i="18"/>
  <c r="I38" i="18"/>
  <c r="I37" i="18"/>
  <c r="C37" i="18"/>
  <c r="C37" i="2" s="1"/>
  <c r="I36" i="18"/>
  <c r="C36" i="18"/>
  <c r="C36" i="2" s="1"/>
  <c r="I35" i="18"/>
  <c r="C35" i="18"/>
  <c r="C35" i="2" s="1"/>
  <c r="G34" i="18"/>
  <c r="I30" i="18"/>
  <c r="I29" i="18"/>
  <c r="C29" i="18"/>
  <c r="C29" i="2" s="1"/>
  <c r="I28" i="18"/>
  <c r="C28" i="18"/>
  <c r="C28" i="2" s="1"/>
  <c r="I27" i="18"/>
  <c r="C27" i="18"/>
  <c r="C27" i="2" s="1"/>
  <c r="G26" i="18"/>
  <c r="M21" i="18"/>
  <c r="C21" i="18"/>
  <c r="C21" i="2" s="1"/>
  <c r="M20" i="18"/>
  <c r="C20" i="18"/>
  <c r="C20" i="2" s="1"/>
  <c r="C19" i="18"/>
  <c r="C19" i="2" s="1"/>
  <c r="M16" i="18"/>
  <c r="B9" i="18"/>
  <c r="M19" i="18" s="1"/>
  <c r="B8" i="18"/>
  <c r="B7" i="18"/>
  <c r="M17" i="18" s="1"/>
  <c r="F6" i="18"/>
  <c r="F32" i="17"/>
  <c r="F32" i="5" s="1"/>
  <c r="E32" i="17"/>
  <c r="G21" i="17" s="1"/>
  <c r="G21" i="5" s="1"/>
  <c r="E13" i="17"/>
  <c r="D6" i="17"/>
  <c r="D6" i="5" s="1"/>
  <c r="D5" i="17"/>
  <c r="D5" i="5" s="1"/>
  <c r="B31" i="16"/>
  <c r="B31" i="1" s="1"/>
  <c r="B29" i="16"/>
  <c r="F45" i="19" s="1"/>
  <c r="B26" i="16"/>
  <c r="F24" i="19" s="1"/>
  <c r="B18" i="16"/>
  <c r="B18" i="1" s="1"/>
  <c r="I45" i="2"/>
  <c r="M18" i="2"/>
  <c r="H55" i="3"/>
  <c r="D38" i="14"/>
  <c r="A56" i="14"/>
  <c r="H49" i="3"/>
  <c r="H6" i="1"/>
  <c r="H10" i="3"/>
  <c r="I36" i="2"/>
  <c r="E20" i="28"/>
  <c r="A65" i="14"/>
  <c r="B4" i="28"/>
  <c r="B10" i="28"/>
  <c r="H20" i="3"/>
  <c r="B13" i="28"/>
  <c r="A50" i="14"/>
  <c r="B12" i="2"/>
  <c r="G38" i="14"/>
  <c r="B2" i="28"/>
  <c r="M16" i="2"/>
  <c r="I35" i="2"/>
  <c r="G58" i="2"/>
  <c r="I53" i="2"/>
  <c r="A76" i="14"/>
  <c r="A69" i="14"/>
  <c r="I62" i="2"/>
  <c r="I59" i="2"/>
  <c r="A74" i="14"/>
  <c r="I44" i="2"/>
  <c r="I38" i="14"/>
  <c r="I37" i="2"/>
  <c r="C38" i="14"/>
  <c r="G11" i="14"/>
  <c r="B24" i="28"/>
  <c r="I46" i="2"/>
  <c r="E15" i="14"/>
  <c r="A48" i="14"/>
  <c r="A8" i="14"/>
  <c r="A51" i="14"/>
  <c r="H56" i="3"/>
  <c r="A58" i="14"/>
  <c r="B11" i="28"/>
  <c r="A62" i="14"/>
  <c r="A47" i="14"/>
  <c r="B6" i="1"/>
  <c r="B13" i="2"/>
  <c r="I51" i="2"/>
  <c r="H28" i="3"/>
  <c r="L13" i="2"/>
  <c r="A41" i="4"/>
  <c r="B40" i="1"/>
  <c r="G42" i="2"/>
  <c r="A38" i="14"/>
  <c r="E22" i="28"/>
  <c r="B14" i="28"/>
  <c r="A68" i="14"/>
  <c r="A60" i="14"/>
  <c r="B26" i="28"/>
  <c r="I54" i="2"/>
  <c r="B20" i="28"/>
  <c r="A77" i="14"/>
  <c r="B25" i="28"/>
  <c r="H38" i="14"/>
  <c r="A40" i="4"/>
  <c r="A46" i="14"/>
  <c r="A44" i="14"/>
  <c r="B33" i="28"/>
  <c r="H9" i="3"/>
  <c r="G26" i="2"/>
  <c r="B9" i="28"/>
  <c r="M19" i="2"/>
  <c r="J38" i="14"/>
  <c r="B16" i="28"/>
  <c r="B32" i="28"/>
  <c r="I60" i="2"/>
  <c r="A66" i="14"/>
  <c r="B22" i="28"/>
  <c r="I43" i="2"/>
  <c r="H34" i="3"/>
  <c r="I52" i="2"/>
  <c r="M21" i="2"/>
  <c r="E16" i="14"/>
  <c r="A71" i="14"/>
  <c r="A67" i="14"/>
  <c r="G34" i="2"/>
  <c r="I38" i="2"/>
  <c r="I29" i="2"/>
  <c r="A75" i="14"/>
  <c r="A55" i="14"/>
  <c r="G50" i="2"/>
  <c r="B15" i="28"/>
  <c r="B27" i="28"/>
  <c r="L14" i="2"/>
  <c r="H35" i="3"/>
  <c r="H21" i="3"/>
  <c r="H27" i="3"/>
  <c r="E21" i="28"/>
  <c r="M17" i="2"/>
  <c r="A49" i="14"/>
  <c r="B29" i="28"/>
  <c r="K38" i="14"/>
  <c r="A73" i="14"/>
  <c r="H48" i="3"/>
  <c r="A43" i="4"/>
  <c r="H42" i="3"/>
  <c r="I27" i="2"/>
  <c r="E38" i="14"/>
  <c r="A33" i="4"/>
  <c r="B41" i="1"/>
  <c r="I30" i="2"/>
  <c r="A7" i="14"/>
  <c r="B21" i="28"/>
  <c r="A42" i="4"/>
  <c r="E19" i="28"/>
  <c r="M20" i="2"/>
  <c r="A45" i="4"/>
  <c r="B18" i="28"/>
  <c r="H10" i="1"/>
  <c r="I28" i="2"/>
  <c r="B19" i="28"/>
  <c r="B10" i="1"/>
  <c r="A44" i="4"/>
  <c r="B8" i="28"/>
  <c r="B38" i="14"/>
  <c r="A70" i="14"/>
  <c r="A11" i="14"/>
  <c r="H41" i="3"/>
  <c r="A53" i="14"/>
  <c r="I61" i="2"/>
  <c r="B84" i="14" l="1"/>
  <c r="B85" i="14" s="1"/>
  <c r="D19" i="28"/>
  <c r="D26" i="28"/>
  <c r="D21" i="28"/>
  <c r="D23" i="20"/>
  <c r="D23" i="4" s="1"/>
  <c r="B18" i="4"/>
  <c r="E21" i="4"/>
  <c r="G21" i="4"/>
  <c r="K21" i="4"/>
  <c r="J23" i="20"/>
  <c r="J23" i="4" s="1"/>
  <c r="B23" i="4"/>
  <c r="G32" i="17"/>
  <c r="G32" i="5" s="1"/>
  <c r="G22" i="17"/>
  <c r="G22" i="5" s="1"/>
  <c r="G28" i="17"/>
  <c r="G28" i="5" s="1"/>
  <c r="G29" i="17"/>
  <c r="G29" i="5" s="1"/>
  <c r="B8" i="2"/>
  <c r="M18" i="18"/>
  <c r="C22" i="18"/>
  <c r="C22" i="2" s="1"/>
  <c r="C38" i="18"/>
  <c r="C38" i="2" s="1"/>
  <c r="E13" i="5"/>
  <c r="I23" i="20"/>
  <c r="I23" i="4" s="1"/>
  <c r="I21" i="4"/>
  <c r="B9" i="2"/>
  <c r="B12" i="4"/>
  <c r="F21" i="4"/>
  <c r="H21" i="4"/>
  <c r="B7" i="2"/>
  <c r="L21" i="4"/>
  <c r="B21" i="4"/>
  <c r="C21" i="4"/>
  <c r="E26" i="19"/>
  <c r="F25" i="18"/>
  <c r="N18" i="20"/>
  <c r="N18" i="4" s="1"/>
  <c r="B35" i="20"/>
  <c r="B35" i="4" s="1"/>
  <c r="B36" i="20"/>
  <c r="B36" i="4" s="1"/>
  <c r="F49" i="18"/>
  <c r="E47" i="19"/>
  <c r="G23" i="17"/>
  <c r="G23" i="5" s="1"/>
  <c r="G24" i="17"/>
  <c r="G24" i="5" s="1"/>
  <c r="C30" i="18"/>
  <c r="C30" i="2" s="1"/>
  <c r="M20" i="20"/>
  <c r="D27" i="20"/>
  <c r="B33" i="20"/>
  <c r="B33" i="4" s="1"/>
  <c r="B27" i="16"/>
  <c r="G25" i="17"/>
  <c r="G25" i="5" s="1"/>
  <c r="C33" i="20"/>
  <c r="C33" i="4" s="1"/>
  <c r="G26" i="17"/>
  <c r="F13" i="19"/>
  <c r="C22" i="19"/>
  <c r="C22" i="3" s="1"/>
  <c r="M19" i="20"/>
  <c r="G27" i="17"/>
  <c r="G27" i="5" s="1"/>
  <c r="C29" i="19"/>
  <c r="C29" i="3" s="1"/>
  <c r="E33" i="20"/>
  <c r="E33" i="4" s="1"/>
  <c r="C62" i="18"/>
  <c r="C62" i="2" s="1"/>
  <c r="C36" i="19"/>
  <c r="C36" i="3" s="1"/>
  <c r="F33" i="20"/>
  <c r="F33" i="4" s="1"/>
  <c r="G8" i="19"/>
  <c r="C43" i="19"/>
  <c r="C43" i="3" s="1"/>
  <c r="G33" i="20"/>
  <c r="G33" i="4" s="1"/>
  <c r="G30" i="17"/>
  <c r="G30" i="5" s="1"/>
  <c r="C54" i="18"/>
  <c r="C54" i="2" s="1"/>
  <c r="C50" i="19"/>
  <c r="C50" i="3" s="1"/>
  <c r="H33" i="20"/>
  <c r="H33" i="4" s="1"/>
  <c r="G31" i="17"/>
  <c r="G31" i="5" s="1"/>
  <c r="C57" i="19"/>
  <c r="C57" i="3" s="1"/>
  <c r="C46" i="18"/>
  <c r="C46" i="2" s="1"/>
  <c r="C11" i="19"/>
  <c r="C11" i="3" s="1"/>
  <c r="K33" i="20"/>
  <c r="K33" i="4" s="1"/>
  <c r="B34" i="20"/>
  <c r="B34" i="4" s="1"/>
  <c r="L33" i="20"/>
  <c r="L33" i="4" s="1"/>
  <c r="D33" i="20" l="1"/>
  <c r="D33" i="4" s="1"/>
  <c r="J33" i="20"/>
  <c r="J33" i="4" s="1"/>
  <c r="I33" i="20"/>
  <c r="I33" i="4" s="1"/>
  <c r="F26" i="19"/>
  <c r="G26" i="19" s="1"/>
  <c r="F15" i="19"/>
  <c r="J8" i="19"/>
  <c r="E27" i="20"/>
  <c r="D27" i="4"/>
  <c r="N20" i="20"/>
  <c r="M20" i="4"/>
  <c r="N19" i="20"/>
  <c r="M19" i="4"/>
  <c r="G34" i="17"/>
  <c r="G26" i="5"/>
  <c r="F31" i="19"/>
  <c r="B28" i="16"/>
  <c r="B30" i="16" s="1"/>
  <c r="B25" i="16"/>
  <c r="E51" i="18"/>
  <c r="F47" i="19"/>
  <c r="B37" i="20"/>
  <c r="B37" i="4" s="1"/>
  <c r="O18" i="20"/>
  <c r="O18" i="4" s="1"/>
  <c r="E27" i="18"/>
  <c r="M21" i="20"/>
  <c r="F52" i="19" l="1"/>
  <c r="F17" i="19"/>
  <c r="E19" i="19" s="1"/>
  <c r="E15" i="19"/>
  <c r="E35" i="19" s="1"/>
  <c r="O20" i="20"/>
  <c r="N20" i="4"/>
  <c r="F38" i="19"/>
  <c r="F41" i="18" s="1"/>
  <c r="M23" i="20"/>
  <c r="M23" i="4" s="1"/>
  <c r="M21" i="4"/>
  <c r="F27" i="20"/>
  <c r="E27" i="4"/>
  <c r="O19" i="20"/>
  <c r="N19" i="4"/>
  <c r="N21" i="20"/>
  <c r="F7" i="18"/>
  <c r="J8" i="3"/>
  <c r="G47" i="19"/>
  <c r="D7" i="17"/>
  <c r="G34" i="5"/>
  <c r="F33" i="18"/>
  <c r="E33" i="19"/>
  <c r="P18" i="20"/>
  <c r="P18" i="4" s="1"/>
  <c r="G51" i="18"/>
  <c r="F51" i="18"/>
  <c r="G27" i="18"/>
  <c r="F27" i="18"/>
  <c r="I46" i="3"/>
  <c r="F18" i="3"/>
  <c r="H58" i="2"/>
  <c r="M12" i="2"/>
  <c r="B7" i="5"/>
  <c r="A19" i="14"/>
  <c r="C12" i="5"/>
  <c r="N39" i="1"/>
  <c r="B31" i="5"/>
  <c r="H11" i="3"/>
  <c r="Z5" i="1"/>
  <c r="B29" i="5"/>
  <c r="H43" i="3"/>
  <c r="C53" i="3"/>
  <c r="H50" i="3"/>
  <c r="F50" i="2"/>
  <c r="L9" i="1"/>
  <c r="B31" i="3"/>
  <c r="F32" i="3"/>
  <c r="C11" i="5"/>
  <c r="N14" i="2"/>
  <c r="E32" i="3"/>
  <c r="H18" i="2"/>
  <c r="H14" i="3"/>
  <c r="H19" i="3"/>
  <c r="B32" i="5"/>
  <c r="B12" i="1"/>
  <c r="B24" i="5"/>
  <c r="G32" i="3"/>
  <c r="E17" i="14"/>
  <c r="B28" i="5"/>
  <c r="G7" i="3"/>
  <c r="B58" i="2"/>
  <c r="N15" i="1"/>
  <c r="B14" i="3"/>
  <c r="B25" i="5"/>
  <c r="I19" i="2"/>
  <c r="F39" i="3"/>
  <c r="E5" i="5"/>
  <c r="C39" i="3"/>
  <c r="B39" i="4"/>
  <c r="G46" i="3"/>
  <c r="H39" i="1"/>
  <c r="C26" i="2"/>
  <c r="B44" i="1"/>
  <c r="B46" i="1"/>
  <c r="A20" i="4"/>
  <c r="B45" i="3"/>
  <c r="E53" i="3"/>
  <c r="B8" i="1"/>
  <c r="E7" i="5"/>
  <c r="N14" i="1"/>
  <c r="C46" i="3"/>
  <c r="A11" i="4"/>
  <c r="D13" i="3"/>
  <c r="A27" i="4"/>
  <c r="A23" i="4"/>
  <c r="G5" i="5"/>
  <c r="D34" i="2"/>
  <c r="F14" i="3"/>
  <c r="A19" i="4"/>
  <c r="D18" i="2"/>
  <c r="F18" i="2"/>
  <c r="H9" i="1"/>
  <c r="C10" i="5"/>
  <c r="C9" i="5"/>
  <c r="E26" i="2"/>
  <c r="H42" i="2"/>
  <c r="H54" i="3"/>
  <c r="B52" i="3"/>
  <c r="J4" i="3"/>
  <c r="B17" i="3"/>
  <c r="E14" i="14"/>
  <c r="H8" i="3"/>
  <c r="N34" i="1"/>
  <c r="B6" i="2"/>
  <c r="C14" i="3"/>
  <c r="B14" i="4"/>
  <c r="B37" i="1"/>
  <c r="H57" i="3"/>
  <c r="C38" i="4"/>
  <c r="B25" i="2"/>
  <c r="E6" i="5"/>
  <c r="N43" i="1"/>
  <c r="A12" i="4"/>
  <c r="D50" i="2"/>
  <c r="N45" i="1"/>
  <c r="A28" i="4"/>
  <c r="D39" i="3"/>
  <c r="B36" i="1"/>
  <c r="B49" i="2"/>
  <c r="A9" i="4"/>
  <c r="Z8" i="1"/>
  <c r="B6" i="5"/>
  <c r="F58" i="2"/>
  <c r="E50" i="2"/>
  <c r="B5" i="2"/>
  <c r="B38" i="3"/>
  <c r="L12" i="2"/>
  <c r="A14" i="14"/>
  <c r="B17" i="1"/>
  <c r="Z7" i="1"/>
  <c r="B17" i="2"/>
  <c r="B22" i="1"/>
  <c r="A31" i="4"/>
  <c r="C34" i="2"/>
  <c r="M11" i="2"/>
  <c r="B34" i="2"/>
  <c r="A34" i="4"/>
  <c r="L11" i="1"/>
  <c r="C18" i="3"/>
  <c r="B41" i="2"/>
  <c r="C18" i="2"/>
  <c r="H33" i="3"/>
  <c r="N24" i="1"/>
  <c r="F42" i="2"/>
  <c r="C58" i="2"/>
  <c r="G18" i="3"/>
  <c r="L11" i="2"/>
  <c r="C50" i="2"/>
  <c r="D18" i="3"/>
  <c r="C25" i="3"/>
  <c r="H40" i="3"/>
  <c r="F53" i="3"/>
  <c r="A22" i="4"/>
  <c r="G18" i="2"/>
  <c r="H22" i="3"/>
  <c r="D53" i="3"/>
  <c r="A20" i="14"/>
  <c r="B10" i="2"/>
  <c r="M22" i="2"/>
  <c r="D46" i="3"/>
  <c r="I7" i="2"/>
  <c r="E46" i="3"/>
  <c r="A26" i="4"/>
  <c r="A21" i="4"/>
  <c r="B45" i="1"/>
  <c r="E39" i="3"/>
  <c r="D7" i="3"/>
  <c r="F7" i="3"/>
  <c r="A10" i="4"/>
  <c r="B27" i="5"/>
  <c r="B53" i="3"/>
  <c r="B20" i="5"/>
  <c r="N46" i="1"/>
  <c r="D58" i="2"/>
  <c r="D26" i="2"/>
  <c r="B20" i="1"/>
  <c r="I32" i="3"/>
  <c r="E58" i="2"/>
  <c r="L34" i="1"/>
  <c r="D25" i="3"/>
  <c r="B50" i="2"/>
  <c r="J7" i="3"/>
  <c r="N16" i="1"/>
  <c r="B7" i="1"/>
  <c r="C7" i="3"/>
  <c r="B23" i="5"/>
  <c r="B22" i="5"/>
  <c r="J5" i="3"/>
  <c r="E42" i="2"/>
  <c r="B21" i="1"/>
  <c r="B35" i="1"/>
  <c r="A18" i="14"/>
  <c r="B5" i="3"/>
  <c r="B13" i="3"/>
  <c r="H36" i="3"/>
  <c r="E18" i="14"/>
  <c r="A15" i="14"/>
  <c r="A15" i="4"/>
  <c r="L24" i="1"/>
  <c r="F19" i="5"/>
  <c r="G5" i="2"/>
  <c r="H26" i="2"/>
  <c r="L43" i="1"/>
  <c r="B42" i="2"/>
  <c r="B39" i="1"/>
  <c r="A37" i="4"/>
  <c r="E18" i="3"/>
  <c r="H50" i="2"/>
  <c r="B26" i="5"/>
  <c r="L10" i="2"/>
  <c r="B39" i="3"/>
  <c r="I21" i="2"/>
  <c r="H24" i="1"/>
  <c r="C32" i="3"/>
  <c r="H34" i="2"/>
  <c r="A36" i="4"/>
  <c r="B32" i="3"/>
  <c r="B13" i="1"/>
  <c r="B48" i="1"/>
  <c r="H47" i="3"/>
  <c r="E7" i="3"/>
  <c r="B16" i="1"/>
  <c r="B24" i="3"/>
  <c r="A29" i="4"/>
  <c r="P14" i="2"/>
  <c r="Z6" i="1"/>
  <c r="A16" i="14"/>
  <c r="B25" i="3"/>
  <c r="A5" i="14"/>
  <c r="A21" i="14"/>
  <c r="I22" i="2"/>
  <c r="D32" i="3"/>
  <c r="D42" i="2"/>
  <c r="E18" i="2"/>
  <c r="F46" i="3"/>
  <c r="E9" i="5"/>
  <c r="G39" i="3"/>
  <c r="F25" i="3"/>
  <c r="B33" i="2"/>
  <c r="G6" i="5"/>
  <c r="D9" i="5"/>
  <c r="B5" i="5"/>
  <c r="I53" i="3"/>
  <c r="J24" i="1"/>
  <c r="O14" i="2"/>
  <c r="G25" i="3"/>
  <c r="D14" i="3"/>
  <c r="C42" i="2"/>
  <c r="B9" i="1"/>
  <c r="B9" i="5"/>
  <c r="I6" i="2"/>
  <c r="E25" i="3"/>
  <c r="I20" i="2"/>
  <c r="B15" i="2"/>
  <c r="M15" i="2"/>
  <c r="B19" i="1"/>
  <c r="L39" i="1"/>
  <c r="I25" i="3"/>
  <c r="N11" i="1"/>
  <c r="H29" i="3"/>
  <c r="B34" i="5"/>
  <c r="B21" i="5"/>
  <c r="B6" i="3"/>
  <c r="J39" i="1"/>
  <c r="B7" i="3"/>
  <c r="F26" i="2"/>
  <c r="A35" i="4"/>
  <c r="H26" i="3"/>
  <c r="B15" i="1"/>
  <c r="C13" i="5"/>
  <c r="G53" i="3"/>
  <c r="E34" i="2"/>
  <c r="G19" i="5"/>
  <c r="Q14" i="2"/>
  <c r="B46" i="3"/>
  <c r="M10" i="2"/>
  <c r="B18" i="3"/>
  <c r="B11" i="2"/>
  <c r="B26" i="2"/>
  <c r="E14" i="3"/>
  <c r="B18" i="2"/>
  <c r="B14" i="1"/>
  <c r="I39" i="3"/>
  <c r="G14" i="3"/>
  <c r="F9" i="5"/>
  <c r="F34" i="2"/>
  <c r="A18" i="4"/>
  <c r="A17" i="14"/>
  <c r="B30" i="5"/>
  <c r="B57" i="2"/>
  <c r="F27" i="2"/>
  <c r="F51" i="2"/>
  <c r="G8" i="3"/>
  <c r="E26" i="3"/>
  <c r="F13" i="3"/>
  <c r="F38" i="3"/>
  <c r="E47" i="3"/>
  <c r="F15" i="3"/>
  <c r="G47" i="3"/>
  <c r="E27" i="2"/>
  <c r="E8" i="3"/>
  <c r="F31" i="3"/>
  <c r="F8" i="3"/>
  <c r="B28" i="1"/>
  <c r="F47" i="3"/>
  <c r="F25" i="2"/>
  <c r="F6" i="2"/>
  <c r="E33" i="3"/>
  <c r="E19" i="3"/>
  <c r="F33" i="2"/>
  <c r="E15" i="3"/>
  <c r="F41" i="2"/>
  <c r="B27" i="1"/>
  <c r="B26" i="1"/>
  <c r="E51" i="2"/>
  <c r="E35" i="3"/>
  <c r="F17" i="3"/>
  <c r="G26" i="3"/>
  <c r="B29" i="1"/>
  <c r="B25" i="1"/>
  <c r="F52" i="3"/>
  <c r="F24" i="3"/>
  <c r="F45" i="3"/>
  <c r="F49" i="2"/>
  <c r="F26" i="3"/>
  <c r="F6" i="3"/>
  <c r="E32" i="5"/>
  <c r="B30" i="1"/>
  <c r="E39" i="14" l="1"/>
  <c r="D39" i="14"/>
  <c r="C39" i="14"/>
  <c r="B65" i="14"/>
  <c r="B15" i="14"/>
  <c r="E54" i="19"/>
  <c r="F57" i="18"/>
  <c r="F17" i="18"/>
  <c r="E34" i="19"/>
  <c r="E36" i="18" s="1"/>
  <c r="E36" i="19"/>
  <c r="F36" i="19" s="1"/>
  <c r="E20" i="19"/>
  <c r="E20" i="18" s="1"/>
  <c r="E21" i="19"/>
  <c r="F21" i="19" s="1"/>
  <c r="E41" i="19"/>
  <c r="E44" i="18" s="1"/>
  <c r="E22" i="19"/>
  <c r="F22" i="19" s="1"/>
  <c r="E43" i="19"/>
  <c r="E46" i="18" s="1"/>
  <c r="M33" i="20"/>
  <c r="M33" i="4" s="1"/>
  <c r="O21" i="20"/>
  <c r="O23" i="20" s="1"/>
  <c r="O23" i="4" s="1"/>
  <c r="E40" i="19"/>
  <c r="F40" i="19" s="1"/>
  <c r="E42" i="19"/>
  <c r="F42" i="19" s="1"/>
  <c r="P19" i="20"/>
  <c r="O19" i="4"/>
  <c r="G27" i="20"/>
  <c r="F27" i="4"/>
  <c r="D7" i="5"/>
  <c r="F13" i="17"/>
  <c r="F13" i="5" s="1"/>
  <c r="F11" i="17"/>
  <c r="F11" i="5" s="1"/>
  <c r="F12" i="17"/>
  <c r="F12" i="5" s="1"/>
  <c r="F10" i="17"/>
  <c r="G27" i="2"/>
  <c r="P20" i="20"/>
  <c r="O20" i="4"/>
  <c r="E55" i="19"/>
  <c r="E49" i="19"/>
  <c r="E48" i="19"/>
  <c r="E11" i="19"/>
  <c r="E29" i="19"/>
  <c r="E9" i="19"/>
  <c r="E10" i="19"/>
  <c r="E57" i="19"/>
  <c r="E56" i="19"/>
  <c r="E27" i="19"/>
  <c r="E50" i="19"/>
  <c r="G15" i="19"/>
  <c r="E28" i="19"/>
  <c r="F7" i="2"/>
  <c r="F12" i="18"/>
  <c r="N23" i="20"/>
  <c r="N21" i="4"/>
  <c r="G51" i="2"/>
  <c r="E35" i="18"/>
  <c r="F33" i="19"/>
  <c r="E37" i="18"/>
  <c r="F35" i="19"/>
  <c r="E19" i="18"/>
  <c r="F19" i="19"/>
  <c r="G19" i="19" s="1"/>
  <c r="Q18" i="20"/>
  <c r="Q18" i="4" s="1"/>
  <c r="E46" i="2"/>
  <c r="F21" i="3"/>
  <c r="E10" i="3"/>
  <c r="E29" i="3"/>
  <c r="E49" i="3"/>
  <c r="E50" i="3"/>
  <c r="E42" i="3"/>
  <c r="E34" i="3"/>
  <c r="C65" i="14"/>
  <c r="B64" i="14"/>
  <c r="E41" i="3"/>
  <c r="F17" i="2"/>
  <c r="E54" i="3"/>
  <c r="F42" i="3"/>
  <c r="E36" i="2"/>
  <c r="A9" i="14"/>
  <c r="F57" i="2"/>
  <c r="G15" i="3"/>
  <c r="A37" i="14"/>
  <c r="E44" i="2"/>
  <c r="E36" i="3"/>
  <c r="F19" i="3"/>
  <c r="E35" i="2"/>
  <c r="B14" i="14"/>
  <c r="F22" i="3"/>
  <c r="E57" i="3"/>
  <c r="E21" i="3"/>
  <c r="E11" i="3"/>
  <c r="E48" i="3"/>
  <c r="E20" i="3"/>
  <c r="E28" i="3"/>
  <c r="E22" i="3"/>
  <c r="E56" i="3"/>
  <c r="F36" i="3"/>
  <c r="F33" i="3"/>
  <c r="A23" i="14"/>
  <c r="E19" i="2"/>
  <c r="E40" i="3"/>
  <c r="E43" i="3"/>
  <c r="E27" i="3"/>
  <c r="B8" i="14"/>
  <c r="E55" i="3"/>
  <c r="G19" i="3"/>
  <c r="F40" i="3"/>
  <c r="E37" i="2"/>
  <c r="E9" i="3"/>
  <c r="E20" i="2"/>
  <c r="F35" i="3"/>
  <c r="H51" i="18" l="1"/>
  <c r="H51" i="2" s="1"/>
  <c r="H27" i="18"/>
  <c r="H27" i="2" s="1"/>
  <c r="C15" i="14"/>
  <c r="E22" i="18"/>
  <c r="F22" i="18" s="1"/>
  <c r="I39" i="14"/>
  <c r="F34" i="19"/>
  <c r="G34" i="19" s="1"/>
  <c r="F54" i="19"/>
  <c r="E59" i="18"/>
  <c r="F43" i="19"/>
  <c r="G43" i="19" s="1"/>
  <c r="F41" i="19"/>
  <c r="G41" i="19" s="1"/>
  <c r="E21" i="18"/>
  <c r="F21" i="18" s="1"/>
  <c r="F20" i="19"/>
  <c r="G20" i="19" s="1"/>
  <c r="E38" i="18"/>
  <c r="G38" i="18" s="1"/>
  <c r="H38" i="18" s="1"/>
  <c r="O21" i="4"/>
  <c r="E43" i="18"/>
  <c r="F43" i="18" s="1"/>
  <c r="P21" i="20"/>
  <c r="P23" i="20" s="1"/>
  <c r="P23" i="4" s="1"/>
  <c r="E45" i="18"/>
  <c r="F45" i="18" s="1"/>
  <c r="G7" i="18"/>
  <c r="G7" i="2" s="1"/>
  <c r="I41" i="14"/>
  <c r="C42" i="14"/>
  <c r="I42" i="14"/>
  <c r="C41" i="14"/>
  <c r="I40" i="14"/>
  <c r="C40" i="14"/>
  <c r="E61" i="18"/>
  <c r="F56" i="19"/>
  <c r="F9" i="19"/>
  <c r="O33" i="20"/>
  <c r="O33" i="4" s="1"/>
  <c r="E30" i="18"/>
  <c r="F29" i="19"/>
  <c r="N23" i="4"/>
  <c r="N33" i="20"/>
  <c r="N33" i="4" s="1"/>
  <c r="F11" i="19"/>
  <c r="E62" i="18"/>
  <c r="F57" i="19"/>
  <c r="F12" i="2"/>
  <c r="G12" i="18"/>
  <c r="G12" i="2" s="1"/>
  <c r="G9" i="18"/>
  <c r="G9" i="2" s="1"/>
  <c r="G11" i="18"/>
  <c r="G11" i="2" s="1"/>
  <c r="G8" i="18"/>
  <c r="G8" i="2" s="1"/>
  <c r="G10" i="18"/>
  <c r="G10" i="2" s="1"/>
  <c r="G6" i="18"/>
  <c r="G6" i="2" s="1"/>
  <c r="F48" i="19"/>
  <c r="G48" i="19" s="1"/>
  <c r="E52" i="18"/>
  <c r="F49" i="19"/>
  <c r="E53" i="18"/>
  <c r="H27" i="20"/>
  <c r="G27" i="4"/>
  <c r="E29" i="18"/>
  <c r="F28" i="19"/>
  <c r="E60" i="18"/>
  <c r="F55" i="19"/>
  <c r="G40" i="19"/>
  <c r="G22" i="19"/>
  <c r="H15" i="19"/>
  <c r="H15" i="3" s="1"/>
  <c r="Q19" i="20"/>
  <c r="P19" i="4"/>
  <c r="G35" i="19"/>
  <c r="F10" i="5"/>
  <c r="F14" i="17"/>
  <c r="F10" i="19"/>
  <c r="G36" i="19"/>
  <c r="G33" i="19"/>
  <c r="G21" i="19"/>
  <c r="G42" i="19"/>
  <c r="E54" i="18"/>
  <c r="F50" i="19"/>
  <c r="Q20" i="20"/>
  <c r="P20" i="4"/>
  <c r="E28" i="18"/>
  <c r="F27" i="19"/>
  <c r="G27" i="19" s="1"/>
  <c r="R18" i="20"/>
  <c r="R18" i="4" s="1"/>
  <c r="F46" i="18"/>
  <c r="G46" i="18"/>
  <c r="H46" i="18" s="1"/>
  <c r="G35" i="18"/>
  <c r="H35" i="18" s="1"/>
  <c r="F35" i="18"/>
  <c r="G44" i="18"/>
  <c r="H44" i="18" s="1"/>
  <c r="F44" i="18"/>
  <c r="G20" i="18"/>
  <c r="H20" i="18" s="1"/>
  <c r="F20" i="18"/>
  <c r="G36" i="18"/>
  <c r="H36" i="18" s="1"/>
  <c r="F36" i="18"/>
  <c r="G19" i="18"/>
  <c r="H19" i="18" s="1"/>
  <c r="F19" i="18"/>
  <c r="G37" i="18"/>
  <c r="H37" i="18" s="1"/>
  <c r="F37" i="18"/>
  <c r="E43" i="2"/>
  <c r="E30" i="2"/>
  <c r="A30" i="14"/>
  <c r="G20" i="3"/>
  <c r="E60" i="2"/>
  <c r="G33" i="3"/>
  <c r="F11" i="3"/>
  <c r="E28" i="2"/>
  <c r="F46" i="2"/>
  <c r="F35" i="2"/>
  <c r="F44" i="2"/>
  <c r="F27" i="3"/>
  <c r="F57" i="3"/>
  <c r="F49" i="3"/>
  <c r="F10" i="3"/>
  <c r="F29" i="3"/>
  <c r="E21" i="2"/>
  <c r="G37" i="14"/>
  <c r="F43" i="2"/>
  <c r="D8" i="14"/>
  <c r="F36" i="2"/>
  <c r="F22" i="2"/>
  <c r="G34" i="3"/>
  <c r="E22" i="2"/>
  <c r="G35" i="3"/>
  <c r="F34" i="3"/>
  <c r="E29" i="2"/>
  <c r="F28" i="3"/>
  <c r="F45" i="2"/>
  <c r="E53" i="2"/>
  <c r="G27" i="3"/>
  <c r="F48" i="3"/>
  <c r="G40" i="3"/>
  <c r="G21" i="3"/>
  <c r="G42" i="3"/>
  <c r="F41" i="3"/>
  <c r="F50" i="3"/>
  <c r="E54" i="2"/>
  <c r="G48" i="3"/>
  <c r="F37" i="2"/>
  <c r="F9" i="3"/>
  <c r="F55" i="3"/>
  <c r="G41" i="3"/>
  <c r="G43" i="3"/>
  <c r="G36" i="3"/>
  <c r="F21" i="2"/>
  <c r="F54" i="3"/>
  <c r="E45" i="2"/>
  <c r="G22" i="3"/>
  <c r="C14" i="14"/>
  <c r="F20" i="3"/>
  <c r="F19" i="2"/>
  <c r="E61" i="2"/>
  <c r="F20" i="2"/>
  <c r="E59" i="2"/>
  <c r="F56" i="3"/>
  <c r="E38" i="2"/>
  <c r="E62" i="2"/>
  <c r="F43" i="3"/>
  <c r="C64" i="14"/>
  <c r="E52" i="2"/>
  <c r="G22" i="18" l="1"/>
  <c r="G21" i="18"/>
  <c r="J39" i="14"/>
  <c r="G59" i="18"/>
  <c r="H59" i="18" s="1"/>
  <c r="F59" i="18"/>
  <c r="G54" i="19"/>
  <c r="G43" i="18"/>
  <c r="F38" i="18"/>
  <c r="G45" i="18"/>
  <c r="P21" i="4"/>
  <c r="Q21" i="20"/>
  <c r="Q21" i="4" s="1"/>
  <c r="P33" i="20"/>
  <c r="P33" i="4" s="1"/>
  <c r="E40" i="14"/>
  <c r="J42" i="14"/>
  <c r="J41" i="14"/>
  <c r="J40" i="14"/>
  <c r="D40" i="14"/>
  <c r="D42" i="14"/>
  <c r="D41" i="14"/>
  <c r="F29" i="18"/>
  <c r="G29" i="18"/>
  <c r="H29" i="18" s="1"/>
  <c r="H46" i="2"/>
  <c r="G46" i="2"/>
  <c r="G9" i="19"/>
  <c r="H36" i="2"/>
  <c r="G36" i="2"/>
  <c r="R20" i="20"/>
  <c r="Q20" i="4"/>
  <c r="R19" i="20"/>
  <c r="Q19" i="4"/>
  <c r="I27" i="20"/>
  <c r="H27" i="4"/>
  <c r="G50" i="19"/>
  <c r="G53" i="18"/>
  <c r="H53" i="18" s="1"/>
  <c r="F53" i="18"/>
  <c r="G49" i="19"/>
  <c r="G62" i="18"/>
  <c r="H62" i="18" s="1"/>
  <c r="F62" i="18"/>
  <c r="G56" i="19"/>
  <c r="G54" i="18"/>
  <c r="H54" i="18" s="1"/>
  <c r="F54" i="18"/>
  <c r="F52" i="18"/>
  <c r="G52" i="18"/>
  <c r="H52" i="18" s="1"/>
  <c r="G57" i="19"/>
  <c r="G61" i="18"/>
  <c r="H61" i="18" s="1"/>
  <c r="F61" i="18"/>
  <c r="H20" i="2"/>
  <c r="G20" i="2"/>
  <c r="H37" i="2"/>
  <c r="G37" i="2"/>
  <c r="G11" i="19"/>
  <c r="G44" i="2"/>
  <c r="G19" i="2"/>
  <c r="G10" i="19"/>
  <c r="G55" i="19"/>
  <c r="G35" i="2"/>
  <c r="F14" i="5"/>
  <c r="D20" i="18"/>
  <c r="D20" i="2" s="1"/>
  <c r="D50" i="19"/>
  <c r="D50" i="3" s="1"/>
  <c r="D29" i="18"/>
  <c r="D29" i="2" s="1"/>
  <c r="D47" i="19"/>
  <c r="D19" i="18"/>
  <c r="D19" i="2" s="1"/>
  <c r="D48" i="19"/>
  <c r="D48" i="3" s="1"/>
  <c r="D29" i="19"/>
  <c r="D29" i="3" s="1"/>
  <c r="B42" i="14" s="1"/>
  <c r="D60" i="18"/>
  <c r="D60" i="2" s="1"/>
  <c r="D51" i="18"/>
  <c r="D11" i="19"/>
  <c r="D11" i="3" s="1"/>
  <c r="D20" i="19"/>
  <c r="D20" i="3" s="1"/>
  <c r="D53" i="18"/>
  <c r="D53" i="2" s="1"/>
  <c r="D43" i="19"/>
  <c r="D43" i="3" s="1"/>
  <c r="D10" i="19"/>
  <c r="D10" i="3" s="1"/>
  <c r="D42" i="19"/>
  <c r="D42" i="3" s="1"/>
  <c r="D40" i="19"/>
  <c r="D62" i="18"/>
  <c r="D62" i="2" s="1"/>
  <c r="D8" i="19"/>
  <c r="D44" i="18"/>
  <c r="D44" i="2" s="1"/>
  <c r="D21" i="19"/>
  <c r="D21" i="3" s="1"/>
  <c r="D54" i="18"/>
  <c r="D54" i="2" s="1"/>
  <c r="D27" i="19"/>
  <c r="D27" i="3" s="1"/>
  <c r="B40" i="14" s="1"/>
  <c r="D45" i="18"/>
  <c r="D45" i="2" s="1"/>
  <c r="D19" i="19"/>
  <c r="D30" i="18"/>
  <c r="D30" i="2" s="1"/>
  <c r="D33" i="19"/>
  <c r="D36" i="18"/>
  <c r="D36" i="2" s="1"/>
  <c r="D35" i="19"/>
  <c r="D35" i="3" s="1"/>
  <c r="D22" i="19"/>
  <c r="D22" i="3" s="1"/>
  <c r="D21" i="18"/>
  <c r="D21" i="2" s="1"/>
  <c r="D27" i="18"/>
  <c r="D54" i="19"/>
  <c r="D59" i="18"/>
  <c r="D9" i="19"/>
  <c r="D9" i="3" s="1"/>
  <c r="D28" i="18"/>
  <c r="D28" i="2" s="1"/>
  <c r="D38" i="18"/>
  <c r="D38" i="2" s="1"/>
  <c r="D61" i="18"/>
  <c r="D61" i="2" s="1"/>
  <c r="D41" i="19"/>
  <c r="D41" i="3" s="1"/>
  <c r="D52" i="18"/>
  <c r="D57" i="19"/>
  <c r="D57" i="3" s="1"/>
  <c r="H42" i="14" s="1"/>
  <c r="D55" i="19"/>
  <c r="D55" i="3" s="1"/>
  <c r="H40" i="14" s="1"/>
  <c r="D35" i="18"/>
  <c r="D35" i="2" s="1"/>
  <c r="D46" i="18"/>
  <c r="D46" i="2" s="1"/>
  <c r="D36" i="19"/>
  <c r="D36" i="3" s="1"/>
  <c r="D37" i="18"/>
  <c r="D37" i="2" s="1"/>
  <c r="D28" i="19"/>
  <c r="D28" i="3" s="1"/>
  <c r="B41" i="14" s="1"/>
  <c r="D43" i="18"/>
  <c r="D43" i="2" s="1"/>
  <c r="D34" i="19"/>
  <c r="D34" i="3" s="1"/>
  <c r="D56" i="19"/>
  <c r="D56" i="3" s="1"/>
  <c r="H41" i="14" s="1"/>
  <c r="D49" i="19"/>
  <c r="D49" i="3" s="1"/>
  <c r="D26" i="19"/>
  <c r="D22" i="18"/>
  <c r="D22" i="2" s="1"/>
  <c r="G60" i="18"/>
  <c r="H60" i="18" s="1"/>
  <c r="F60" i="18"/>
  <c r="G29" i="19"/>
  <c r="H38" i="2"/>
  <c r="G38" i="2"/>
  <c r="F28" i="18"/>
  <c r="G28" i="18"/>
  <c r="H28" i="18" s="1"/>
  <c r="G28" i="19"/>
  <c r="F30" i="18"/>
  <c r="G30" i="18"/>
  <c r="H30" i="18" s="1"/>
  <c r="S18" i="20"/>
  <c r="S18" i="4" s="1"/>
  <c r="F29" i="2"/>
  <c r="G11" i="3"/>
  <c r="F52" i="2"/>
  <c r="G49" i="3"/>
  <c r="F54" i="2"/>
  <c r="F30" i="2"/>
  <c r="F61" i="2"/>
  <c r="F38" i="2"/>
  <c r="G28" i="3"/>
  <c r="F53" i="2"/>
  <c r="F62" i="2"/>
  <c r="G9" i="3"/>
  <c r="G54" i="3"/>
  <c r="G10" i="3"/>
  <c r="F59" i="2"/>
  <c r="G50" i="3"/>
  <c r="G56" i="3"/>
  <c r="F28" i="2"/>
  <c r="G57" i="3"/>
  <c r="F60" i="2"/>
  <c r="G29" i="3"/>
  <c r="G55" i="3"/>
  <c r="H45" i="18" l="1"/>
  <c r="H45" i="2" s="1"/>
  <c r="G43" i="2"/>
  <c r="H43" i="18"/>
  <c r="H43" i="2" s="1"/>
  <c r="G21" i="2"/>
  <c r="H21" i="18"/>
  <c r="H21" i="2" s="1"/>
  <c r="G22" i="2"/>
  <c r="H22" i="18"/>
  <c r="H22" i="2" s="1"/>
  <c r="K39" i="14"/>
  <c r="G59" i="2"/>
  <c r="H59" i="2"/>
  <c r="Q23" i="20"/>
  <c r="Q23" i="4" s="1"/>
  <c r="G45" i="2"/>
  <c r="R21" i="20"/>
  <c r="R23" i="20" s="1"/>
  <c r="R23" i="4" s="1"/>
  <c r="J20" i="18"/>
  <c r="F25" i="16" s="1"/>
  <c r="K42" i="14"/>
  <c r="E41" i="14"/>
  <c r="K40" i="14"/>
  <c r="K41" i="14"/>
  <c r="E42" i="14"/>
  <c r="H60" i="2"/>
  <c r="G60" i="2"/>
  <c r="H30" i="2"/>
  <c r="G30" i="2"/>
  <c r="D33" i="3"/>
  <c r="I34" i="19"/>
  <c r="I36" i="19"/>
  <c r="H44" i="2"/>
  <c r="D26" i="3"/>
  <c r="B39" i="14" s="1"/>
  <c r="I27" i="19"/>
  <c r="I29" i="19"/>
  <c r="H52" i="2"/>
  <c r="G52" i="2"/>
  <c r="J27" i="20"/>
  <c r="I27" i="4"/>
  <c r="J52" i="18"/>
  <c r="D52" i="2"/>
  <c r="J44" i="18"/>
  <c r="D19" i="3"/>
  <c r="I20" i="19"/>
  <c r="I22" i="19"/>
  <c r="S19" i="20"/>
  <c r="R19" i="4"/>
  <c r="J28" i="18"/>
  <c r="J38" i="18"/>
  <c r="H35" i="2"/>
  <c r="H54" i="2"/>
  <c r="G54" i="2"/>
  <c r="D59" i="2"/>
  <c r="J60" i="18"/>
  <c r="D51" i="2"/>
  <c r="S20" i="20"/>
  <c r="R20" i="4"/>
  <c r="H28" i="2"/>
  <c r="G28" i="2"/>
  <c r="J36" i="18"/>
  <c r="D54" i="3"/>
  <c r="H39" i="14" s="1"/>
  <c r="I55" i="19"/>
  <c r="I57" i="19"/>
  <c r="D27" i="2"/>
  <c r="H62" i="2"/>
  <c r="G62" i="2"/>
  <c r="D8" i="3"/>
  <c r="I11" i="19"/>
  <c r="I9" i="19"/>
  <c r="H19" i="2"/>
  <c r="D40" i="3"/>
  <c r="I41" i="19"/>
  <c r="I43" i="19"/>
  <c r="D47" i="3"/>
  <c r="I50" i="19"/>
  <c r="I48" i="19"/>
  <c r="H53" i="2"/>
  <c r="G53" i="2"/>
  <c r="H61" i="2"/>
  <c r="G61" i="2"/>
  <c r="H29" i="2"/>
  <c r="G29" i="2"/>
  <c r="T18" i="20"/>
  <c r="T18" i="4" s="1"/>
  <c r="I55" i="3"/>
  <c r="I34" i="3"/>
  <c r="I48" i="3"/>
  <c r="I41" i="3"/>
  <c r="I27" i="3"/>
  <c r="I9" i="3"/>
  <c r="F25" i="1"/>
  <c r="I20" i="3"/>
  <c r="J22" i="18" l="1"/>
  <c r="J22" i="2" s="1"/>
  <c r="J46" i="18"/>
  <c r="J45" i="18" s="1"/>
  <c r="J45" i="2" s="1"/>
  <c r="R21" i="4"/>
  <c r="Q33" i="20"/>
  <c r="Q33" i="4" s="1"/>
  <c r="R33" i="20"/>
  <c r="R33" i="4" s="1"/>
  <c r="J20" i="2"/>
  <c r="S21" i="20"/>
  <c r="S23" i="20" s="1"/>
  <c r="S23" i="4" s="1"/>
  <c r="J37" i="18"/>
  <c r="J37" i="2" s="1"/>
  <c r="J54" i="18"/>
  <c r="J54" i="2" s="1"/>
  <c r="J30" i="18"/>
  <c r="J30" i="2" s="1"/>
  <c r="J62" i="18"/>
  <c r="J62" i="2" s="1"/>
  <c r="I56" i="19"/>
  <c r="F29" i="16"/>
  <c r="J52" i="2"/>
  <c r="I33" i="19"/>
  <c r="I36" i="3"/>
  <c r="I35" i="19"/>
  <c r="I10" i="19"/>
  <c r="F27" i="16"/>
  <c r="J36" i="2"/>
  <c r="I8" i="19"/>
  <c r="I8" i="3" s="1"/>
  <c r="I11" i="3"/>
  <c r="J38" i="2"/>
  <c r="J35" i="18"/>
  <c r="F26" i="16"/>
  <c r="J28" i="2"/>
  <c r="K27" i="20"/>
  <c r="J27" i="4"/>
  <c r="I40" i="19"/>
  <c r="I43" i="3"/>
  <c r="I49" i="19"/>
  <c r="T20" i="20"/>
  <c r="S20" i="4"/>
  <c r="T19" i="20"/>
  <c r="S19" i="4"/>
  <c r="I47" i="19"/>
  <c r="I50" i="3"/>
  <c r="I19" i="19"/>
  <c r="I22" i="3"/>
  <c r="I26" i="19"/>
  <c r="I29" i="3"/>
  <c r="I21" i="19"/>
  <c r="I28" i="19"/>
  <c r="F30" i="16"/>
  <c r="J60" i="2"/>
  <c r="I42" i="19"/>
  <c r="F28" i="16"/>
  <c r="J44" i="2"/>
  <c r="I54" i="19"/>
  <c r="I57" i="3"/>
  <c r="U18" i="20"/>
  <c r="U18" i="4" s="1"/>
  <c r="I42" i="3"/>
  <c r="F27" i="1"/>
  <c r="F30" i="1"/>
  <c r="I28" i="3"/>
  <c r="I56" i="3"/>
  <c r="I35" i="3"/>
  <c r="I49" i="3"/>
  <c r="I10" i="3"/>
  <c r="F28" i="1"/>
  <c r="F26" i="1"/>
  <c r="F29" i="1"/>
  <c r="I21" i="3"/>
  <c r="B67" i="14" l="1"/>
  <c r="J43" i="18"/>
  <c r="J28" i="16" s="1"/>
  <c r="J46" i="2"/>
  <c r="J19" i="18"/>
  <c r="J25" i="16" s="1"/>
  <c r="J21" i="18"/>
  <c r="J21" i="2" s="1"/>
  <c r="S21" i="4"/>
  <c r="J29" i="18"/>
  <c r="J29" i="2" s="1"/>
  <c r="J27" i="18"/>
  <c r="J27" i="2" s="1"/>
  <c r="J51" i="18"/>
  <c r="J29" i="16" s="1"/>
  <c r="J53" i="18"/>
  <c r="J53" i="2" s="1"/>
  <c r="J61" i="18"/>
  <c r="J61" i="2" s="1"/>
  <c r="J59" i="18"/>
  <c r="J59" i="2" s="1"/>
  <c r="T21" i="20"/>
  <c r="T21" i="4" s="1"/>
  <c r="S33" i="20"/>
  <c r="S33" i="4" s="1"/>
  <c r="B17" i="14"/>
  <c r="D26" i="16"/>
  <c r="D27" i="16"/>
  <c r="U19" i="20"/>
  <c r="T19" i="4"/>
  <c r="H29" i="16"/>
  <c r="H29" i="1" s="1"/>
  <c r="I47" i="3"/>
  <c r="H30" i="16"/>
  <c r="I54" i="3"/>
  <c r="N22" i="18"/>
  <c r="N22" i="2" s="1"/>
  <c r="U20" i="20"/>
  <c r="T20" i="4"/>
  <c r="J27" i="16"/>
  <c r="J35" i="2"/>
  <c r="P22" i="18"/>
  <c r="P22" i="2" s="1"/>
  <c r="D25" i="16"/>
  <c r="H26" i="16"/>
  <c r="I26" i="3"/>
  <c r="H27" i="16"/>
  <c r="H27" i="1" s="1"/>
  <c r="I33" i="3"/>
  <c r="D29" i="16"/>
  <c r="D28" i="16"/>
  <c r="H25" i="16"/>
  <c r="H25" i="1" s="1"/>
  <c r="I19" i="3"/>
  <c r="H28" i="16"/>
  <c r="H28" i="1" s="1"/>
  <c r="I40" i="3"/>
  <c r="L27" i="20"/>
  <c r="K27" i="4"/>
  <c r="D30" i="16"/>
  <c r="V18" i="20"/>
  <c r="C67" i="14"/>
  <c r="D27" i="1"/>
  <c r="D26" i="1"/>
  <c r="D30" i="1"/>
  <c r="D29" i="1"/>
  <c r="D28" i="1"/>
  <c r="D25" i="1"/>
  <c r="C17" i="14" l="1"/>
  <c r="D27" i="27"/>
  <c r="D73" i="27" s="1"/>
  <c r="D26" i="27"/>
  <c r="D72" i="27" s="1"/>
  <c r="B66" i="14"/>
  <c r="J43" i="2"/>
  <c r="J19" i="2"/>
  <c r="J51" i="2"/>
  <c r="J26" i="16"/>
  <c r="J26" i="1" s="1"/>
  <c r="J30" i="16"/>
  <c r="J30" i="1" s="1"/>
  <c r="T23" i="20"/>
  <c r="T23" i="4" s="1"/>
  <c r="U21" i="20"/>
  <c r="U23" i="20" s="1"/>
  <c r="U23" i="4" s="1"/>
  <c r="B16" i="14"/>
  <c r="L25" i="16"/>
  <c r="J25" i="1"/>
  <c r="M27" i="20"/>
  <c r="L27" i="4"/>
  <c r="V19" i="20"/>
  <c r="V19" i="4" s="1"/>
  <c r="U19" i="4"/>
  <c r="L27" i="16"/>
  <c r="J27" i="1"/>
  <c r="L29" i="16"/>
  <c r="J29" i="1"/>
  <c r="V20" i="20"/>
  <c r="V20" i="4" s="1"/>
  <c r="U20" i="4"/>
  <c r="L28" i="16"/>
  <c r="J28" i="1"/>
  <c r="P15" i="18"/>
  <c r="H30" i="1"/>
  <c r="V18" i="4"/>
  <c r="H26" i="1"/>
  <c r="H32" i="16"/>
  <c r="D43" i="27" s="1"/>
  <c r="N15" i="18"/>
  <c r="A25" i="14"/>
  <c r="C66" i="14"/>
  <c r="C69" i="14"/>
  <c r="C68" i="14"/>
  <c r="C16" i="14" l="1"/>
  <c r="D28" i="27"/>
  <c r="D29" i="27"/>
  <c r="A27" i="14"/>
  <c r="B69" i="14"/>
  <c r="B68" i="14"/>
  <c r="L26" i="16"/>
  <c r="N26" i="16" s="1"/>
  <c r="J32" i="16"/>
  <c r="D45" i="27" s="1"/>
  <c r="L30" i="16"/>
  <c r="N30" i="16" s="1"/>
  <c r="N30" i="1" s="1"/>
  <c r="T33" i="20"/>
  <c r="T33" i="4" s="1"/>
  <c r="U21" i="4"/>
  <c r="U33" i="20"/>
  <c r="U33" i="4" s="1"/>
  <c r="V21" i="20"/>
  <c r="V21" i="4" s="1"/>
  <c r="N29" i="16"/>
  <c r="N29" i="1" s="1"/>
  <c r="L29" i="1"/>
  <c r="N27" i="16"/>
  <c r="N27" i="1" s="1"/>
  <c r="L27" i="1"/>
  <c r="H31" i="16"/>
  <c r="H31" i="1" s="1"/>
  <c r="H32" i="1"/>
  <c r="N15" i="2"/>
  <c r="N18" i="18"/>
  <c r="N16" i="18"/>
  <c r="N21" i="18"/>
  <c r="N20" i="18"/>
  <c r="N19" i="18"/>
  <c r="N17" i="18"/>
  <c r="B18" i="14"/>
  <c r="N27" i="20"/>
  <c r="M27" i="4"/>
  <c r="P15" i="2"/>
  <c r="P16" i="18"/>
  <c r="P18" i="18"/>
  <c r="P21" i="18"/>
  <c r="P20" i="18"/>
  <c r="P19" i="18"/>
  <c r="P17" i="18"/>
  <c r="N28" i="16"/>
  <c r="N28" i="1" s="1"/>
  <c r="L28" i="1"/>
  <c r="N25" i="16"/>
  <c r="N25" i="1" s="1"/>
  <c r="L25" i="1"/>
  <c r="B19" i="14"/>
  <c r="D30" i="27" l="1"/>
  <c r="D20" i="28" s="1"/>
  <c r="C19" i="14"/>
  <c r="F16" i="14" s="1"/>
  <c r="A34" i="14"/>
  <c r="C18" i="14"/>
  <c r="F15" i="14" s="1"/>
  <c r="F74" i="14"/>
  <c r="F75" i="14"/>
  <c r="L26" i="1"/>
  <c r="L32" i="16"/>
  <c r="L32" i="1" s="1"/>
  <c r="J31" i="16"/>
  <c r="J31" i="1" s="1"/>
  <c r="J32" i="1"/>
  <c r="D47" i="27"/>
  <c r="L30" i="1"/>
  <c r="V23" i="20"/>
  <c r="V23" i="4" s="1"/>
  <c r="P17" i="2"/>
  <c r="N32" i="16"/>
  <c r="N32" i="1" s="1"/>
  <c r="N26" i="1"/>
  <c r="P19" i="2"/>
  <c r="N17" i="2"/>
  <c r="P18" i="2"/>
  <c r="N20" i="2"/>
  <c r="P21" i="2"/>
  <c r="P16" i="2"/>
  <c r="P23" i="18"/>
  <c r="Q19" i="18" s="1"/>
  <c r="Q19" i="2" s="1"/>
  <c r="N21" i="2"/>
  <c r="N19" i="2"/>
  <c r="N16" i="2"/>
  <c r="N23" i="18"/>
  <c r="O19" i="18" s="1"/>
  <c r="O19" i="2" s="1"/>
  <c r="O27" i="20"/>
  <c r="N27" i="4"/>
  <c r="P20" i="2"/>
  <c r="N18" i="2"/>
  <c r="C70" i="14"/>
  <c r="C71" i="14"/>
  <c r="A32" i="14"/>
  <c r="D33" i="27" l="1"/>
  <c r="D22" i="28" s="1"/>
  <c r="D44" i="27"/>
  <c r="C21" i="14"/>
  <c r="B20" i="14"/>
  <c r="B70" i="14"/>
  <c r="B71" i="14"/>
  <c r="L31" i="16"/>
  <c r="L31" i="1" s="1"/>
  <c r="C26" i="20"/>
  <c r="C26" i="4" s="1"/>
  <c r="L44" i="16"/>
  <c r="L45" i="16" s="1"/>
  <c r="L45" i="1" s="1"/>
  <c r="L46" i="16"/>
  <c r="L46" i="1" s="1"/>
  <c r="V33" i="20"/>
  <c r="V33" i="4" s="1"/>
  <c r="O16" i="18"/>
  <c r="O16" i="2" s="1"/>
  <c r="O20" i="18"/>
  <c r="O20" i="2" s="1"/>
  <c r="Q21" i="18"/>
  <c r="Q21" i="2" s="1"/>
  <c r="Q17" i="18"/>
  <c r="Q17" i="2" s="1"/>
  <c r="Q18" i="18"/>
  <c r="Q18" i="2" s="1"/>
  <c r="Q16" i="18"/>
  <c r="Q16" i="2" s="1"/>
  <c r="B21" i="14"/>
  <c r="N23" i="2"/>
  <c r="O22" i="18"/>
  <c r="O22" i="2" s="1"/>
  <c r="Q15" i="18"/>
  <c r="Q15" i="2" s="1"/>
  <c r="O15" i="18"/>
  <c r="O15" i="2" s="1"/>
  <c r="O17" i="18"/>
  <c r="O17" i="2" s="1"/>
  <c r="O21" i="18"/>
  <c r="O21" i="2" s="1"/>
  <c r="O18" i="18"/>
  <c r="O18" i="2" s="1"/>
  <c r="P27" i="20"/>
  <c r="O27" i="4"/>
  <c r="Q20" i="18"/>
  <c r="Q20" i="2" s="1"/>
  <c r="Q22" i="18"/>
  <c r="Q22" i="2" s="1"/>
  <c r="P23" i="2"/>
  <c r="L44" i="1"/>
  <c r="D37" i="27" l="1"/>
  <c r="D40" i="27" s="1"/>
  <c r="B30" i="28" s="1"/>
  <c r="D48" i="27"/>
  <c r="F56" i="14"/>
  <c r="F49" i="14"/>
  <c r="C83" i="14"/>
  <c r="C20" i="14"/>
  <c r="F17" i="14" s="1"/>
  <c r="F55" i="14"/>
  <c r="F18" i="14"/>
  <c r="G12" i="14"/>
  <c r="F76" i="14"/>
  <c r="F77" i="14"/>
  <c r="D26" i="20"/>
  <c r="E26" i="20" s="1"/>
  <c r="C29" i="20"/>
  <c r="C31" i="20" s="1"/>
  <c r="Q27" i="20"/>
  <c r="P27" i="4"/>
  <c r="F51" i="14"/>
  <c r="F50" i="14"/>
  <c r="A12" i="14" l="1"/>
  <c r="D83" i="14"/>
  <c r="C84" i="14"/>
  <c r="B88" i="14" s="1"/>
  <c r="D29" i="20"/>
  <c r="D31" i="20" s="1"/>
  <c r="D26" i="4"/>
  <c r="C34" i="20"/>
  <c r="C34" i="4" s="1"/>
  <c r="C29" i="4"/>
  <c r="R27" i="20"/>
  <c r="Q27" i="4"/>
  <c r="E26" i="4"/>
  <c r="E29" i="20"/>
  <c r="F26" i="20"/>
  <c r="C31" i="4"/>
  <c r="B42" i="20"/>
  <c r="B42" i="4" s="1"/>
  <c r="C35" i="20"/>
  <c r="C36" i="20"/>
  <c r="B41" i="20"/>
  <c r="B41" i="4" s="1"/>
  <c r="C44" i="20"/>
  <c r="C44" i="4" s="1"/>
  <c r="C43" i="20"/>
  <c r="C43" i="4" s="1"/>
  <c r="F52" i="7" l="1"/>
  <c r="C52" i="7"/>
  <c r="D52" i="7"/>
  <c r="E52" i="7"/>
  <c r="F46" i="7"/>
  <c r="E46" i="7"/>
  <c r="D46" i="7"/>
  <c r="C46" i="7"/>
  <c r="F47" i="7"/>
  <c r="E47" i="7"/>
  <c r="D47" i="7"/>
  <c r="C47" i="7"/>
  <c r="C85" i="14"/>
  <c r="E83" i="14"/>
  <c r="D84" i="14"/>
  <c r="D85" i="14" s="1"/>
  <c r="D29" i="4"/>
  <c r="D34" i="20"/>
  <c r="D45" i="20" s="1"/>
  <c r="D45" i="4" s="1"/>
  <c r="C45" i="20"/>
  <c r="C45" i="4" s="1"/>
  <c r="D44" i="20"/>
  <c r="D44" i="4" s="1"/>
  <c r="F26" i="4"/>
  <c r="F29" i="20"/>
  <c r="G26" i="20"/>
  <c r="D35" i="20"/>
  <c r="C35" i="4"/>
  <c r="E29" i="4"/>
  <c r="E34" i="20"/>
  <c r="E34" i="4" s="1"/>
  <c r="E31" i="20"/>
  <c r="E44" i="20" s="1"/>
  <c r="E44" i="4" s="1"/>
  <c r="D36" i="20"/>
  <c r="D40" i="20" s="1"/>
  <c r="D40" i="4" s="1"/>
  <c r="D31" i="4"/>
  <c r="D43" i="20"/>
  <c r="D43" i="4" s="1"/>
  <c r="C36" i="4"/>
  <c r="F54" i="7" s="1"/>
  <c r="C40" i="20"/>
  <c r="C40" i="4" s="1"/>
  <c r="C37" i="20"/>
  <c r="S27" i="20"/>
  <c r="R27" i="4"/>
  <c r="F48" i="14"/>
  <c r="C54" i="7" l="1"/>
  <c r="D54" i="7"/>
  <c r="E54" i="7"/>
  <c r="F44" i="7"/>
  <c r="E44" i="7"/>
  <c r="D44" i="7"/>
  <c r="C44" i="7"/>
  <c r="F83" i="14"/>
  <c r="E84" i="14"/>
  <c r="E85" i="14" s="1"/>
  <c r="D34" i="4"/>
  <c r="E45" i="20"/>
  <c r="E45" i="4" s="1"/>
  <c r="D37" i="20"/>
  <c r="C37" i="4"/>
  <c r="D35" i="4"/>
  <c r="E35" i="20"/>
  <c r="G26" i="4"/>
  <c r="H26" i="20"/>
  <c r="G29" i="20"/>
  <c r="F29" i="4"/>
  <c r="F34" i="20"/>
  <c r="F34" i="4" s="1"/>
  <c r="F31" i="20"/>
  <c r="F43" i="20" s="1"/>
  <c r="F43" i="4" s="1"/>
  <c r="E31" i="4"/>
  <c r="E36" i="20"/>
  <c r="E36" i="4" s="1"/>
  <c r="E43" i="20"/>
  <c r="E43" i="4" s="1"/>
  <c r="D36" i="4"/>
  <c r="T27" i="20"/>
  <c r="S27" i="4"/>
  <c r="G83" i="14" l="1"/>
  <c r="F84" i="14"/>
  <c r="F85" i="14" s="1"/>
  <c r="F44" i="20"/>
  <c r="F44" i="4" s="1"/>
  <c r="F45" i="20"/>
  <c r="F45" i="4" s="1"/>
  <c r="G29" i="4"/>
  <c r="G34" i="20"/>
  <c r="G31" i="20"/>
  <c r="H26" i="4"/>
  <c r="H29" i="20"/>
  <c r="I26" i="20"/>
  <c r="U27" i="20"/>
  <c r="T27" i="4"/>
  <c r="E40" i="20"/>
  <c r="E40" i="4" s="1"/>
  <c r="F35" i="20"/>
  <c r="E35" i="4"/>
  <c r="F36" i="20"/>
  <c r="F36" i="4" s="1"/>
  <c r="F31" i="4"/>
  <c r="D37" i="4"/>
  <c r="E37" i="20"/>
  <c r="H83" i="14" l="1"/>
  <c r="G84" i="14"/>
  <c r="G85" i="14" s="1"/>
  <c r="F40" i="20"/>
  <c r="F40" i="4" s="1"/>
  <c r="F35" i="4"/>
  <c r="G35" i="20"/>
  <c r="V27" i="20"/>
  <c r="V27" i="4" s="1"/>
  <c r="U27" i="4"/>
  <c r="I26" i="4"/>
  <c r="I29" i="20"/>
  <c r="J26" i="20"/>
  <c r="E37" i="4"/>
  <c r="F37" i="20"/>
  <c r="H29" i="4"/>
  <c r="H31" i="20"/>
  <c r="H43" i="20" s="1"/>
  <c r="H43" i="4" s="1"/>
  <c r="H34" i="20"/>
  <c r="H34" i="4" s="1"/>
  <c r="G31" i="4"/>
  <c r="G36" i="20"/>
  <c r="G40" i="20" s="1"/>
  <c r="H41" i="16" s="1"/>
  <c r="G44" i="20"/>
  <c r="G44" i="4" s="1"/>
  <c r="G43" i="20"/>
  <c r="G43" i="4" s="1"/>
  <c r="G34" i="4"/>
  <c r="G45" i="20"/>
  <c r="H84" i="14" l="1"/>
  <c r="H85" i="14" s="1"/>
  <c r="I83" i="14"/>
  <c r="H45" i="20"/>
  <c r="H45" i="4" s="1"/>
  <c r="H31" i="4"/>
  <c r="H36" i="20"/>
  <c r="H40" i="20" s="1"/>
  <c r="H40" i="4" s="1"/>
  <c r="F37" i="4"/>
  <c r="G37" i="20"/>
  <c r="J26" i="4"/>
  <c r="J29" i="20"/>
  <c r="K26" i="20"/>
  <c r="I29" i="4"/>
  <c r="I34" i="20"/>
  <c r="I34" i="4" s="1"/>
  <c r="I31" i="20"/>
  <c r="U43" i="20" s="1"/>
  <c r="U43" i="4" s="1"/>
  <c r="H41" i="1"/>
  <c r="G40" i="4"/>
  <c r="G36" i="4"/>
  <c r="G35" i="4"/>
  <c r="H35" i="20"/>
  <c r="H44" i="20"/>
  <c r="H44" i="4" s="1"/>
  <c r="H40" i="16"/>
  <c r="H40" i="1" s="1"/>
  <c r="G45" i="4"/>
  <c r="F19" i="7" l="1"/>
  <c r="E19" i="7"/>
  <c r="D19" i="7"/>
  <c r="C19" i="7"/>
  <c r="I84" i="14"/>
  <c r="I85" i="14" s="1"/>
  <c r="J83" i="14"/>
  <c r="M44" i="20"/>
  <c r="M44" i="4" s="1"/>
  <c r="I43" i="20"/>
  <c r="I43" i="4" s="1"/>
  <c r="Q43" i="20"/>
  <c r="Q43" i="4" s="1"/>
  <c r="U44" i="20"/>
  <c r="U44" i="4" s="1"/>
  <c r="M43" i="20"/>
  <c r="M43" i="4" s="1"/>
  <c r="G37" i="4"/>
  <c r="H37" i="20"/>
  <c r="I45" i="20"/>
  <c r="I45" i="4" s="1"/>
  <c r="Q44" i="20"/>
  <c r="Q44" i="4" s="1"/>
  <c r="I31" i="4"/>
  <c r="I36" i="20"/>
  <c r="I36" i="4" s="1"/>
  <c r="I44" i="20"/>
  <c r="I44" i="4" s="1"/>
  <c r="I35" i="20"/>
  <c r="H35" i="4"/>
  <c r="H36" i="4"/>
  <c r="K26" i="4"/>
  <c r="K29" i="20"/>
  <c r="L26" i="20"/>
  <c r="J29" i="4"/>
  <c r="J34" i="20"/>
  <c r="J31" i="20"/>
  <c r="J43" i="20" s="1"/>
  <c r="J43" i="4" s="1"/>
  <c r="K83" i="14" l="1"/>
  <c r="J84" i="14"/>
  <c r="J85" i="14" s="1"/>
  <c r="N43" i="20"/>
  <c r="N43" i="4" s="1"/>
  <c r="V43" i="20"/>
  <c r="V43" i="4" s="1"/>
  <c r="R44" i="20"/>
  <c r="R44" i="4" s="1"/>
  <c r="L26" i="4"/>
  <c r="M26" i="20"/>
  <c r="L29" i="20"/>
  <c r="J44" i="20"/>
  <c r="J44" i="4" s="1"/>
  <c r="J45" i="20"/>
  <c r="J45" i="4" s="1"/>
  <c r="J34" i="4"/>
  <c r="H37" i="4"/>
  <c r="I37" i="20"/>
  <c r="J31" i="4"/>
  <c r="J36" i="20"/>
  <c r="J36" i="4" s="1"/>
  <c r="N44" i="20"/>
  <c r="N44" i="4" s="1"/>
  <c r="V44" i="20"/>
  <c r="V44" i="4" s="1"/>
  <c r="R43" i="20"/>
  <c r="R43" i="4" s="1"/>
  <c r="K29" i="4"/>
  <c r="K34" i="20"/>
  <c r="K31" i="20"/>
  <c r="O43" i="20" s="1"/>
  <c r="O43" i="4" s="1"/>
  <c r="I40" i="20"/>
  <c r="I40" i="4" s="1"/>
  <c r="I35" i="4"/>
  <c r="J35" i="20"/>
  <c r="L83" i="14" l="1"/>
  <c r="L84" i="14" s="1"/>
  <c r="L85" i="14" s="1"/>
  <c r="K84" i="14"/>
  <c r="K85" i="14" s="1"/>
  <c r="J40" i="20"/>
  <c r="J40" i="4" s="1"/>
  <c r="S44" i="20"/>
  <c r="S44" i="4" s="1"/>
  <c r="K45" i="20"/>
  <c r="K45" i="4" s="1"/>
  <c r="K34" i="4"/>
  <c r="J37" i="20"/>
  <c r="I37" i="4"/>
  <c r="S43" i="20"/>
  <c r="S43" i="4" s="1"/>
  <c r="K35" i="20"/>
  <c r="K35" i="4" s="1"/>
  <c r="J35" i="4"/>
  <c r="L29" i="4"/>
  <c r="L31" i="20"/>
  <c r="B43" i="20" s="1"/>
  <c r="B43" i="4" s="1"/>
  <c r="L34" i="20"/>
  <c r="L34" i="4" s="1"/>
  <c r="M26" i="4"/>
  <c r="N26" i="20"/>
  <c r="M29" i="20"/>
  <c r="K31" i="4"/>
  <c r="K36" i="20"/>
  <c r="O44" i="20"/>
  <c r="O44" i="4" s="1"/>
  <c r="K44" i="20"/>
  <c r="K44" i="4" s="1"/>
  <c r="K43" i="20"/>
  <c r="K43" i="4" s="1"/>
  <c r="F48" i="7" l="1"/>
  <c r="E48" i="7"/>
  <c r="D48" i="7"/>
  <c r="C48" i="7"/>
  <c r="B89" i="14"/>
  <c r="F47" i="14" s="1"/>
  <c r="B87" i="14"/>
  <c r="F46" i="14" s="1"/>
  <c r="T43" i="20"/>
  <c r="T43" i="4" s="1"/>
  <c r="B44" i="20"/>
  <c r="B44" i="4" s="1"/>
  <c r="L43" i="20"/>
  <c r="L43" i="4" s="1"/>
  <c r="P43" i="20"/>
  <c r="P43" i="4" s="1"/>
  <c r="L35" i="20"/>
  <c r="L31" i="4"/>
  <c r="L36" i="20"/>
  <c r="L36" i="4" s="1"/>
  <c r="B45" i="20"/>
  <c r="B45" i="4" s="1"/>
  <c r="K40" i="20"/>
  <c r="K40" i="4" s="1"/>
  <c r="K36" i="4"/>
  <c r="J37" i="4"/>
  <c r="K37" i="20"/>
  <c r="M29" i="4"/>
  <c r="M34" i="20"/>
  <c r="M31" i="20"/>
  <c r="L45" i="20"/>
  <c r="L44" i="20"/>
  <c r="L44" i="4" s="1"/>
  <c r="N26" i="4"/>
  <c r="N29" i="20"/>
  <c r="O26" i="20"/>
  <c r="T44" i="20"/>
  <c r="T44" i="4" s="1"/>
  <c r="P44" i="20"/>
  <c r="P44" i="4" s="1"/>
  <c r="F50" i="7" l="1"/>
  <c r="E50" i="7"/>
  <c r="D50" i="7"/>
  <c r="C50" i="7"/>
  <c r="F49" i="7"/>
  <c r="E49" i="7"/>
  <c r="D49" i="7"/>
  <c r="C49" i="7"/>
  <c r="L40" i="20"/>
  <c r="L40" i="4" s="1"/>
  <c r="B40" i="20"/>
  <c r="B40" i="4" s="1"/>
  <c r="K37" i="4"/>
  <c r="L37" i="20"/>
  <c r="O26" i="4"/>
  <c r="O29" i="20"/>
  <c r="P26" i="20"/>
  <c r="N29" i="4"/>
  <c r="N34" i="20"/>
  <c r="N31" i="20"/>
  <c r="J40" i="16"/>
  <c r="J40" i="1" s="1"/>
  <c r="L45" i="4"/>
  <c r="M36" i="20"/>
  <c r="M31" i="4"/>
  <c r="M45" i="20"/>
  <c r="M45" i="4" s="1"/>
  <c r="M34" i="4"/>
  <c r="L35" i="4"/>
  <c r="M35" i="20"/>
  <c r="F53" i="7" l="1"/>
  <c r="E53" i="7"/>
  <c r="D53" i="7"/>
  <c r="C53" i="7"/>
  <c r="F45" i="7"/>
  <c r="E45" i="7"/>
  <c r="D45" i="7"/>
  <c r="C45" i="7"/>
  <c r="J41" i="16"/>
  <c r="J41" i="1" s="1"/>
  <c r="N45" i="20"/>
  <c r="N45" i="4" s="1"/>
  <c r="N34" i="4"/>
  <c r="P26" i="4"/>
  <c r="Q26" i="20"/>
  <c r="P29" i="20"/>
  <c r="N35" i="20"/>
  <c r="M35" i="4"/>
  <c r="O29" i="4"/>
  <c r="O31" i="20"/>
  <c r="O34" i="20"/>
  <c r="N36" i="20"/>
  <c r="N31" i="4"/>
  <c r="M37" i="20"/>
  <c r="L37" i="4"/>
  <c r="M36" i="4"/>
  <c r="M40" i="20"/>
  <c r="M40" i="4" s="1"/>
  <c r="F55" i="7" l="1"/>
  <c r="E55" i="7"/>
  <c r="D55" i="7"/>
  <c r="C55" i="7"/>
  <c r="O36" i="20"/>
  <c r="O31" i="4"/>
  <c r="N35" i="4"/>
  <c r="O35" i="20"/>
  <c r="P29" i="4"/>
  <c r="P31" i="20"/>
  <c r="P34" i="20"/>
  <c r="N40" i="20"/>
  <c r="N40" i="4" s="1"/>
  <c r="N36" i="4"/>
  <c r="Q26" i="4"/>
  <c r="Q29" i="20"/>
  <c r="R26" i="20"/>
  <c r="O45" i="20"/>
  <c r="O45" i="4" s="1"/>
  <c r="O34" i="4"/>
  <c r="M37" i="4"/>
  <c r="N37" i="20"/>
  <c r="P45" i="20" l="1"/>
  <c r="P45" i="4" s="1"/>
  <c r="P34" i="4"/>
  <c r="P36" i="20"/>
  <c r="P31" i="4"/>
  <c r="R26" i="4"/>
  <c r="R29" i="20"/>
  <c r="S26" i="20"/>
  <c r="P35" i="20"/>
  <c r="O35" i="4"/>
  <c r="N37" i="4"/>
  <c r="O37" i="20"/>
  <c r="Q29" i="4"/>
  <c r="Q34" i="20"/>
  <c r="Q31" i="20"/>
  <c r="O40" i="20"/>
  <c r="O40" i="4" s="1"/>
  <c r="O36" i="4"/>
  <c r="O37" i="4" l="1"/>
  <c r="P37" i="20"/>
  <c r="P35" i="4"/>
  <c r="Q35" i="20"/>
  <c r="S26" i="4"/>
  <c r="T26" i="20"/>
  <c r="S29" i="20"/>
  <c r="R29" i="4"/>
  <c r="R34" i="20"/>
  <c r="R31" i="20"/>
  <c r="P40" i="20"/>
  <c r="P40" i="4" s="1"/>
  <c r="P36" i="4"/>
  <c r="Q36" i="20"/>
  <c r="Q31" i="4"/>
  <c r="Q45" i="20"/>
  <c r="Q34" i="4"/>
  <c r="S29" i="4" l="1"/>
  <c r="S34" i="20"/>
  <c r="S31" i="20"/>
  <c r="T26" i="4"/>
  <c r="U26" i="20"/>
  <c r="T29" i="20"/>
  <c r="R45" i="20"/>
  <c r="R45" i="4" s="1"/>
  <c r="R34" i="4"/>
  <c r="R36" i="20"/>
  <c r="R31" i="4"/>
  <c r="L40" i="16"/>
  <c r="L40" i="1" s="1"/>
  <c r="Q45" i="4"/>
  <c r="R35" i="20"/>
  <c r="Q35" i="4"/>
  <c r="P37" i="4"/>
  <c r="Q37" i="20"/>
  <c r="Q40" i="20"/>
  <c r="Q36" i="4"/>
  <c r="T29" i="4" l="1"/>
  <c r="T34" i="20"/>
  <c r="T31" i="20"/>
  <c r="U26" i="4"/>
  <c r="U29" i="20"/>
  <c r="V26" i="20"/>
  <c r="L41" i="16"/>
  <c r="L41" i="1" s="1"/>
  <c r="Q40" i="4"/>
  <c r="S36" i="20"/>
  <c r="S31" i="4"/>
  <c r="R40" i="20"/>
  <c r="R40" i="4" s="1"/>
  <c r="R36" i="4"/>
  <c r="S45" i="20"/>
  <c r="S45" i="4" s="1"/>
  <c r="S34" i="4"/>
  <c r="Q37" i="4"/>
  <c r="R37" i="20"/>
  <c r="R35" i="4"/>
  <c r="S35" i="20"/>
  <c r="S35" i="4" l="1"/>
  <c r="T35" i="20"/>
  <c r="V29" i="20"/>
  <c r="V26" i="4"/>
  <c r="U29" i="4"/>
  <c r="U31" i="20"/>
  <c r="U34" i="20"/>
  <c r="R37" i="4"/>
  <c r="S37" i="20"/>
  <c r="T36" i="20"/>
  <c r="T31" i="4"/>
  <c r="T45" i="20"/>
  <c r="T45" i="4" s="1"/>
  <c r="T34" i="4"/>
  <c r="S40" i="20"/>
  <c r="S40" i="4" s="1"/>
  <c r="S36" i="4"/>
  <c r="T40" i="20" l="1"/>
  <c r="T40" i="4" s="1"/>
  <c r="T36" i="4"/>
  <c r="U45" i="20"/>
  <c r="U45" i="4" s="1"/>
  <c r="U34" i="4"/>
  <c r="S37" i="4"/>
  <c r="T37" i="20"/>
  <c r="V29" i="4"/>
  <c r="V34" i="20"/>
  <c r="V31" i="20"/>
  <c r="U35" i="20"/>
  <c r="T35" i="4"/>
  <c r="U36" i="20"/>
  <c r="U31" i="4"/>
  <c r="U40" i="20" l="1"/>
  <c r="U40" i="4" s="1"/>
  <c r="U36" i="4"/>
  <c r="V36" i="20"/>
  <c r="V31" i="4"/>
  <c r="V45" i="20"/>
  <c r="V34" i="4"/>
  <c r="U37" i="20"/>
  <c r="T37" i="4"/>
  <c r="V35" i="20"/>
  <c r="V35" i="4" s="1"/>
  <c r="U35" i="4"/>
  <c r="V37" i="20" l="1"/>
  <c r="V37" i="4" s="1"/>
  <c r="U37" i="4"/>
  <c r="V40" i="20"/>
  <c r="V36" i="4"/>
  <c r="N40" i="16"/>
  <c r="N40" i="1" s="1"/>
  <c r="V45" i="4"/>
  <c r="N41" i="16" l="1"/>
  <c r="N41" i="1" s="1"/>
  <c r="V40" i="4"/>
</calcChain>
</file>

<file path=xl/sharedStrings.xml><?xml version="1.0" encoding="utf-8"?>
<sst xmlns="http://schemas.openxmlformats.org/spreadsheetml/2006/main" count="2838" uniqueCount="1735">
  <si>
    <t>$/kWh</t>
  </si>
  <si>
    <t>tons</t>
  </si>
  <si>
    <t>ft.</t>
  </si>
  <si>
    <t>%</t>
  </si>
  <si>
    <t>°F</t>
  </si>
  <si>
    <t>pcs.</t>
  </si>
  <si>
    <t>kW/ton</t>
  </si>
  <si>
    <t>Flow [GPM]</t>
  </si>
  <si>
    <t>Energy [kWh]</t>
  </si>
  <si>
    <t>Value</t>
  </si>
  <si>
    <t>Unit</t>
  </si>
  <si>
    <t>Time [h]</t>
  </si>
  <si>
    <t>Time [%]</t>
  </si>
  <si>
    <t>Load [%]</t>
  </si>
  <si>
    <t>Power [kW]</t>
  </si>
  <si>
    <t xml:space="preserve"> </t>
  </si>
  <si>
    <t>$</t>
  </si>
  <si>
    <t>Investment Horizon</t>
  </si>
  <si>
    <t>5 years</t>
  </si>
  <si>
    <t>10 years</t>
  </si>
  <si>
    <t>20 years</t>
  </si>
  <si>
    <t>Net Present Value (NPV)</t>
  </si>
  <si>
    <t>Power [HP]</t>
  </si>
  <si>
    <t>Head [ft]</t>
  </si>
  <si>
    <t>Pump costs</t>
  </si>
  <si>
    <t>Chilled Water Distribution Flow at Delta T [F]:</t>
  </si>
  <si>
    <t>Pumping Cost</t>
  </si>
  <si>
    <t>Annual Operating Hours</t>
  </si>
  <si>
    <t>Bin</t>
  </si>
  <si>
    <t>Design</t>
  </si>
  <si>
    <t>Peak</t>
  </si>
  <si>
    <t>Low</t>
  </si>
  <si>
    <t>Min</t>
  </si>
  <si>
    <t>A</t>
  </si>
  <si>
    <t>B</t>
  </si>
  <si>
    <t>C</t>
  </si>
  <si>
    <t>D</t>
  </si>
  <si>
    <t>Load</t>
  </si>
  <si>
    <t>Point</t>
  </si>
  <si>
    <t>Operating Hours</t>
  </si>
  <si>
    <t>pounds</t>
  </si>
  <si>
    <t>homes</t>
  </si>
  <si>
    <t>[kW/ton]</t>
  </si>
  <si>
    <t>Ratio</t>
  </si>
  <si>
    <t>Aggregation of Energy Consumption</t>
  </si>
  <si>
    <t>Chilled Water Plant Load (Design Cooling Load)</t>
  </si>
  <si>
    <t>Climate Region</t>
  </si>
  <si>
    <t>East North Central</t>
  </si>
  <si>
    <t>West North Central</t>
  </si>
  <si>
    <t>Mountain</t>
  </si>
  <si>
    <t>Cooling Degree Days</t>
  </si>
  <si>
    <t>Average US</t>
  </si>
  <si>
    <t>Project</t>
  </si>
  <si>
    <t>Humidity Adjustment</t>
  </si>
  <si>
    <t>15 years</t>
  </si>
  <si>
    <t>Multiplier</t>
  </si>
  <si>
    <t>North East</t>
  </si>
  <si>
    <t>South East</t>
  </si>
  <si>
    <t>South</t>
  </si>
  <si>
    <t>Central</t>
  </si>
  <si>
    <t>Delta-T [°F]</t>
  </si>
  <si>
    <t>Information Displayed</t>
  </si>
  <si>
    <t>check:
http://www.eia.gov/electricity</t>
  </si>
  <si>
    <t>Sheet</t>
  </si>
  <si>
    <t>Cell Address</t>
  </si>
  <si>
    <t>Home</t>
  </si>
  <si>
    <t xml:space="preserve">NOAA (National Oceanic and Atmospheric Administration) US Standard Regions </t>
  </si>
  <si>
    <t>for conventional pump control based on static pressure sensor(s) use lowest possible pump head at part load conditions. If pump(s) are controlled based on actual load, use the min. pump head value as well.</t>
  </si>
  <si>
    <t>Enter the incremental costs for Energy Valves over conventional control valves such as CCVs or Globe Valves. If there are new valves installed in the plant that will be replaced by Energy Valves, the whole replacement costs have to be considered.</t>
  </si>
  <si>
    <t>calculation according to EPA www.epa.gov</t>
  </si>
  <si>
    <t>based on annual consumption of 12,258 kWh per home according to EPA www.epa.gov</t>
  </si>
  <si>
    <t>$D$9</t>
  </si>
  <si>
    <t>Energy</t>
  </si>
  <si>
    <t>5-year average adjusted for population density at base temperature of 65 F
Source: National Climatic Data Center</t>
  </si>
  <si>
    <t>$E$9</t>
  </si>
  <si>
    <t>Chiller</t>
  </si>
  <si>
    <t>Pump</t>
  </si>
  <si>
    <t>$C$30</t>
  </si>
  <si>
    <t>$C$38</t>
  </si>
  <si>
    <t>$C$46</t>
  </si>
  <si>
    <t>$C$54</t>
  </si>
  <si>
    <t>$C$62</t>
  </si>
  <si>
    <t>hours</t>
  </si>
  <si>
    <t>days</t>
  </si>
  <si>
    <t>Label</t>
  </si>
  <si>
    <t>Operating Hours / Day</t>
  </si>
  <si>
    <t>Operating Days / Week</t>
  </si>
  <si>
    <t>Number Of Chillers</t>
  </si>
  <si>
    <t>Electricity Cost (Average)</t>
  </si>
  <si>
    <t>Actual Delta T (Prior Energy Valve Installation)</t>
  </si>
  <si>
    <t>Future Delta T (Energy Valve Delta T Manager Setting)</t>
  </si>
  <si>
    <t>North West</t>
  </si>
  <si>
    <t>Custom Region</t>
  </si>
  <si>
    <t>Editable Field</t>
  </si>
  <si>
    <t xml:space="preserve">Selected Value     </t>
  </si>
  <si>
    <t>Discount Rate:</t>
  </si>
  <si>
    <t>Finance Rate:</t>
  </si>
  <si>
    <t>Reinvestment Rate:</t>
  </si>
  <si>
    <t>Inflation Rate</t>
  </si>
  <si>
    <t>Today</t>
  </si>
  <si>
    <t>End of
Year 1</t>
  </si>
  <si>
    <t>End of
Year 2</t>
  </si>
  <si>
    <t>End of
Year 3</t>
  </si>
  <si>
    <t>End of
Year 4</t>
  </si>
  <si>
    <t>End of
Year 5</t>
  </si>
  <si>
    <t>End of
Year 6</t>
  </si>
  <si>
    <t>End of
Year 7</t>
  </si>
  <si>
    <t>End of
Year 8</t>
  </si>
  <si>
    <t>End of
Year 9</t>
  </si>
  <si>
    <t>End of
Year 10</t>
  </si>
  <si>
    <t>Date:</t>
  </si>
  <si>
    <t>Single Investment</t>
  </si>
  <si>
    <t>Phased Investment</t>
  </si>
  <si>
    <t>Financed Investment</t>
  </si>
  <si>
    <t>Subtotal</t>
  </si>
  <si>
    <t>Subtotal Outflows</t>
  </si>
  <si>
    <t>Subtotal Inflows</t>
  </si>
  <si>
    <t>Annual Cash Flow</t>
  </si>
  <si>
    <t>PV of Outflows (for SIR calculation)</t>
  </si>
  <si>
    <t>PV of Inflows (for SIR calculation)</t>
  </si>
  <si>
    <t>Cumulative Cash Flows</t>
  </si>
  <si>
    <t>Annual Present Value</t>
  </si>
  <si>
    <t>Cumulative Present Value</t>
  </si>
  <si>
    <t>10 Year</t>
  </si>
  <si>
    <t>1 Year</t>
  </si>
  <si>
    <t>2 Year</t>
  </si>
  <si>
    <t>3 Year</t>
  </si>
  <si>
    <t>4 Year</t>
  </si>
  <si>
    <t>5 Year</t>
  </si>
  <si>
    <t>6 Year</t>
  </si>
  <si>
    <t>7 Year</t>
  </si>
  <si>
    <t>8 Year</t>
  </si>
  <si>
    <t>9 Year</t>
  </si>
  <si>
    <t>*Note: Certain Returns Vary Depending on the Length of the Analysis Term*</t>
  </si>
  <si>
    <t>Design Delta T</t>
  </si>
  <si>
    <t>Design Chilled Water Distribution Flow</t>
  </si>
  <si>
    <t>KW1 Compressor</t>
  </si>
  <si>
    <t>End of
Year 11</t>
  </si>
  <si>
    <t>End of
Year 12</t>
  </si>
  <si>
    <t>End of
Year 13</t>
  </si>
  <si>
    <t>End of
Year 14</t>
  </si>
  <si>
    <t>End of
Year 15</t>
  </si>
  <si>
    <t>End of
Year 16</t>
  </si>
  <si>
    <t>End of
Year 17</t>
  </si>
  <si>
    <t>End of
Year 18</t>
  </si>
  <si>
    <t>End of
Year 19</t>
  </si>
  <si>
    <t>End of
Year 20</t>
  </si>
  <si>
    <t>11 Year</t>
  </si>
  <si>
    <t>12 Year</t>
  </si>
  <si>
    <t>13 Year</t>
  </si>
  <si>
    <t>14 Year</t>
  </si>
  <si>
    <t>15 Year</t>
  </si>
  <si>
    <t>16 Year</t>
  </si>
  <si>
    <t>17 Year</t>
  </si>
  <si>
    <t>18 Year</t>
  </si>
  <si>
    <t>19 Year</t>
  </si>
  <si>
    <t>20 Year</t>
  </si>
  <si>
    <t>http://www7.ncdc.noaa.gov/CDO/CDODivisionalSelect.jsp</t>
  </si>
  <si>
    <t>$E$20</t>
  </si>
  <si>
    <t>$F$20</t>
  </si>
  <si>
    <t>$C$70</t>
  </si>
  <si>
    <t>$F$22</t>
  </si>
  <si>
    <t>Financials</t>
  </si>
  <si>
    <t>$B$9</t>
  </si>
  <si>
    <t>$B$12</t>
  </si>
  <si>
    <t>Formula =Home!J36*-1</t>
  </si>
  <si>
    <t>Formula =Home!J33</t>
  </si>
  <si>
    <t>$B$18</t>
  </si>
  <si>
    <t>$C$26</t>
  </si>
  <si>
    <t>$F$41</t>
  </si>
  <si>
    <t xml:space="preserve">This depends on the finance instrument of the investment. If the project is financed by a mortgage with an interest rate of 4%, then enter 4. Alternatively, it could be financed by a bank loan or simply by cash that's on an organizations balance sheet. Some companies are using a so called internal Hurdle Rate. </t>
  </si>
  <si>
    <t>This is the inflation rate that is predicted for the cost of electricity. Some forecasts predict this to between 3 and 4% annually, over the next decade.</t>
  </si>
  <si>
    <t xml:space="preserve">    Chiller Cost</t>
  </si>
  <si>
    <t xml:space="preserve">     Total Cost</t>
  </si>
  <si>
    <t>$D$31</t>
  </si>
  <si>
    <t>Savings from auxiliary chiller energy consumption in % per degree of delta t improvement</t>
  </si>
  <si>
    <t>Static pressure control of pump(s) is considered for the calculation of the reduced pump head at part load conditions. A head reduction according to the affinity laws would assume a system with one valve only and without static pressure sensor. The min. head is limited depending on the chosen value.</t>
  </si>
  <si>
    <t>Annual Carbon Dioxide Avoided</t>
  </si>
  <si>
    <t>Equivalent to Number of Houses' Annual Electricity Use</t>
  </si>
  <si>
    <t>Internal Rate of Return (IRR)</t>
  </si>
  <si>
    <t>Modified Internal Rate of Return (MIRR)</t>
  </si>
  <si>
    <t>Return on Investment (ROI)</t>
  </si>
  <si>
    <t>Simple Payback Period (SPP)</t>
  </si>
  <si>
    <t>Savings-Investment Ratio (SIR)</t>
  </si>
  <si>
    <t>Discount Rate</t>
  </si>
  <si>
    <t>Incremental Investment for Energy Valves</t>
  </si>
  <si>
    <t>Energy Savings</t>
  </si>
  <si>
    <t>Annual Inflation Rate on Energy Costs</t>
  </si>
  <si>
    <t>This depends on the finance instrument of the investment. If the project is financed by a mortgage with an interest rate of 4%, then enter 4. Alternatively, it could be financed by a bank loan or simply by cash that's on an organizations balance sheet. Some companies are using a so called internal Hurdle Rate. 
Formula  =Home!J37/100</t>
  </si>
  <si>
    <t>This is the inflation rate that is predicted for the cost of electricity. Some forecasts predict this to between 3 and 4% annually, over the next decade.
Formula  =Home!J38/100</t>
  </si>
  <si>
    <t>The life-cycle savings of an energy improvement divided by the initial investment. (For every dollar invested in an energy improvement, how many dollars will be saved over the life of the improvement in today’s dollars)
=+Financials!G45</t>
  </si>
  <si>
    <t>Avg [GPM]</t>
  </si>
  <si>
    <t>Avg [Tons]</t>
  </si>
  <si>
    <t>Primary/Secondary</t>
  </si>
  <si>
    <t>Plant Design</t>
  </si>
  <si>
    <t>Annual Gal.</t>
  </si>
  <si>
    <t>Pump Design Factor</t>
  </si>
  <si>
    <t>Avg GPM</t>
  </si>
  <si>
    <t>Total Chiller Plant Energy Consumption</t>
  </si>
  <si>
    <t>Chiller Energy Usage at Delta T [F]:</t>
  </si>
  <si>
    <t>KW5 Chiller Controls</t>
  </si>
  <si>
    <t>KW6 Transmission Oil Pump and Heater</t>
  </si>
  <si>
    <t>Information</t>
  </si>
  <si>
    <t>Chiller Plant Piping</t>
  </si>
  <si>
    <t>Chiller Cooling</t>
  </si>
  <si>
    <t>Water Cooled</t>
  </si>
  <si>
    <t>Air Cooled</t>
  </si>
  <si>
    <t>Variable Primary</t>
  </si>
  <si>
    <t>Pump, VFD, Motor Efficiency (Average)</t>
  </si>
  <si>
    <t>Chiller costs</t>
  </si>
  <si>
    <t>$J$12</t>
  </si>
  <si>
    <t>$J$17</t>
  </si>
  <si>
    <t>$J$19</t>
  </si>
  <si>
    <t>Average delta T scenarios</t>
  </si>
  <si>
    <t>Average Flow based on the corresponding delta T.
Formula linked to Pump Tab Column "N".</t>
  </si>
  <si>
    <t>Formula =Pump!K24*Energy!$G$34</t>
  </si>
  <si>
    <t>Formula =Chiller!I52*Energy!$G$34</t>
  </si>
  <si>
    <t>Formula =J26+H26</t>
  </si>
  <si>
    <t>Formula =L26/$L$12</t>
  </si>
  <si>
    <t>$J$36</t>
  </si>
  <si>
    <t>$J$37</t>
  </si>
  <si>
    <t>$J$45</t>
  </si>
  <si>
    <t>$J$46</t>
  </si>
  <si>
    <t>tree seedlings</t>
  </si>
  <si>
    <t>$F$6</t>
  </si>
  <si>
    <t>Calculated pump's maximum flow based on Design Delta T.</t>
  </si>
  <si>
    <t>$C$7</t>
  </si>
  <si>
    <t>$H$14</t>
  </si>
  <si>
    <t>Number of Tree Seedlings Grown for 10 Years</t>
  </si>
  <si>
    <t>Tons</t>
  </si>
  <si>
    <t>Chiller Cycling Percent:</t>
  </si>
  <si>
    <t>Rebate Rec'd at Project Start</t>
  </si>
  <si>
    <t>Rebates Rec'd after Project Start</t>
  </si>
  <si>
    <t>Chillers On</t>
  </si>
  <si>
    <t>$E$7</t>
  </si>
  <si>
    <t>Minimum Pump head</t>
  </si>
  <si>
    <t xml:space="preserve"> [ft]</t>
  </si>
  <si>
    <t>$F$5</t>
  </si>
  <si>
    <t>$J$35</t>
  </si>
  <si>
    <t>$J$44</t>
  </si>
  <si>
    <t>$F$40</t>
  </si>
  <si>
    <t>$B$24</t>
  </si>
  <si>
    <t>$D$24</t>
  </si>
  <si>
    <t>$F$24</t>
  </si>
  <si>
    <t>$H$24</t>
  </si>
  <si>
    <t>$J$24</t>
  </si>
  <si>
    <t>$L$24</t>
  </si>
  <si>
    <t>$N$24</t>
  </si>
  <si>
    <t>$E$15</t>
  </si>
  <si>
    <t>$C$18</t>
  </si>
  <si>
    <t>Plant kW/ton</t>
  </si>
  <si>
    <t>Copyright by BELIMO Aircontrols (USA), Inc., Danbury, CT, 2014. This is an estimating tool. Results are dependent on the accuracy of input values and specific plant details. For more accurate results, additional plant data and complex modeling software is necessary. In order to better analyze an existing plant Belimo recommends installing 3 Energy Valves at strategic locations in order to obtain actual measured data.</t>
  </si>
  <si>
    <t>Actual Delta T Energy Usage</t>
  </si>
  <si>
    <t>Actual %</t>
  </si>
  <si>
    <t>Future Delta T Energy Usage</t>
  </si>
  <si>
    <t>Future %</t>
  </si>
  <si>
    <t>Chiller Design Integrated Part Load Value (IPLV)</t>
  </si>
  <si>
    <t>According to "The Centrifugal Pump Grundfos", Page 56</t>
  </si>
  <si>
    <t>Enter the Integrated Part Load Value (IPLV) for the chiller from design if known. Otherwise select a value from this list:
0.3 High Efficiency Variable speed chillers with advanced control optimization
0.4 High-Efficiency Variable Speed chillers
0.6 Typical Constant Speed chillers
0.7 Typical Constant Speed Old style chillers</t>
  </si>
  <si>
    <t>$E$13</t>
  </si>
  <si>
    <t>adjusted for population density at base temperature of 65 F
- Use 30% for very humid climate.
- Use 5% for for very dry climate.
Source: National Climatic Data Center</t>
  </si>
  <si>
    <t>Maintenance/Penalty Savings</t>
  </si>
  <si>
    <t>% of Operating Time</t>
  </si>
  <si>
    <t>These are building modeling values that are calculated based on building type, location, chiller plant type and number of chillers. These values can be calculated using plant modeling modeling by myPLV(TM) Calculator tool that can be downloaded from the Trane website. The tool uses PNNL (Pacific Northwest National Labs) and ASHRAE / IES 90.1 - 2010 building modeling criteria.</t>
  </si>
  <si>
    <t>UTSA</t>
  </si>
  <si>
    <t>4 chillers; installed 1600 tons</t>
  </si>
  <si>
    <t>Metric</t>
  </si>
  <si>
    <t>Results</t>
  </si>
  <si>
    <t>Key</t>
  </si>
  <si>
    <t>EN</t>
  </si>
  <si>
    <t>ES</t>
  </si>
  <si>
    <t>PT</t>
  </si>
  <si>
    <t>FR</t>
  </si>
  <si>
    <t>LANGUAGE</t>
  </si>
  <si>
    <t>Language</t>
  </si>
  <si>
    <t>Idioma</t>
  </si>
  <si>
    <t>Langue</t>
  </si>
  <si>
    <t>UNITS</t>
  </si>
  <si>
    <t>Units</t>
  </si>
  <si>
    <t>Unidades</t>
  </si>
  <si>
    <t>PROJECT</t>
  </si>
  <si>
    <t>Proyecto</t>
  </si>
  <si>
    <t>Projeto</t>
  </si>
  <si>
    <t>Projet</t>
  </si>
  <si>
    <t>INFORMATION</t>
  </si>
  <si>
    <t>Informations</t>
  </si>
  <si>
    <t>CLIMATE</t>
  </si>
  <si>
    <t>Climate region</t>
  </si>
  <si>
    <t>COOLING</t>
  </si>
  <si>
    <t>Chiller cooling</t>
  </si>
  <si>
    <t>Resfriamento do chiller</t>
  </si>
  <si>
    <t>Refroidissement du groupe froid</t>
  </si>
  <si>
    <t>PLANT_DESIGN</t>
  </si>
  <si>
    <t>Plant design</t>
  </si>
  <si>
    <t>ELECTRICITY</t>
  </si>
  <si>
    <t>Electricity cost (average)</t>
  </si>
  <si>
    <t>Costo de electricidad (promedio)</t>
  </si>
  <si>
    <t>LOAD</t>
  </si>
  <si>
    <t>Design cooling load</t>
  </si>
  <si>
    <t>Carga de resfriamento de projeto</t>
  </si>
  <si>
    <t>Puissance frigorifique nominale</t>
  </si>
  <si>
    <t>CHILLERS</t>
  </si>
  <si>
    <t>Number of chillers</t>
  </si>
  <si>
    <t>Nombre de groupes froids</t>
  </si>
  <si>
    <t>HOURS</t>
  </si>
  <si>
    <t>Operating hours per day</t>
  </si>
  <si>
    <t>Heures de fonctionnement par jour</t>
  </si>
  <si>
    <t>DAYS</t>
  </si>
  <si>
    <t>Operating days per week</t>
  </si>
  <si>
    <t>Jours de fonctionnement par semaine</t>
  </si>
  <si>
    <t>EFFICIENCY</t>
  </si>
  <si>
    <t>Chiller design efficiency</t>
  </si>
  <si>
    <t>Rendement nominal du groupe froid</t>
  </si>
  <si>
    <t>PUMP_EFF</t>
  </si>
  <si>
    <t>Pump, VFD and motor efficiency</t>
  </si>
  <si>
    <t>Eficiencia de bomba, VFD y motor</t>
  </si>
  <si>
    <t>Rendement pompe, variateur et moteur</t>
  </si>
  <si>
    <t>DESIGN_DT</t>
  </si>
  <si>
    <t>Design Delta-T</t>
  </si>
  <si>
    <t>Delta-T de projeto</t>
  </si>
  <si>
    <t>Delta-T nominal</t>
  </si>
  <si>
    <t>ACTUAL_DT</t>
  </si>
  <si>
    <t>Actual Delta-T before Energy Valve</t>
  </si>
  <si>
    <t>Delta-T actual antes de Energy Valve</t>
  </si>
  <si>
    <t>Delta-T atual antes da Energy Valve</t>
  </si>
  <si>
    <t>Delta-T actuel avant Energy Valve</t>
  </si>
  <si>
    <t>FUTURE_DT</t>
  </si>
  <si>
    <t>Future Energy Valve Delta-T setting</t>
  </si>
  <si>
    <t>Ajuste futuro de Delta-T de Energy Valve</t>
  </si>
  <si>
    <t>Ajuste futuro de Delta-T da Energy Valve</t>
  </si>
  <si>
    <t>Consigne Delta-T future Energy Valve</t>
  </si>
  <si>
    <t>INVESTMENT</t>
  </si>
  <si>
    <t>Incremental Energy Valve investment</t>
  </si>
  <si>
    <t>Investimento incremental em Energy Valve</t>
  </si>
  <si>
    <t>DISCOUNT</t>
  </si>
  <si>
    <t>Discount rate</t>
  </si>
  <si>
    <t>Tasa de descuento</t>
  </si>
  <si>
    <t>Taxa de desconto</t>
  </si>
  <si>
    <t>INFLATION</t>
  </si>
  <si>
    <t>Annual energy-cost inflation</t>
  </si>
  <si>
    <t>RESULTS</t>
  </si>
  <si>
    <t>Resultados</t>
  </si>
  <si>
    <t>METRIC_NAME</t>
  </si>
  <si>
    <t>Indicateur</t>
  </si>
  <si>
    <t>DELTA_T</t>
  </si>
  <si>
    <t>Delta-T</t>
  </si>
  <si>
    <t>FLOW</t>
  </si>
  <si>
    <t>Average flow</t>
  </si>
  <si>
    <t>Caudal promedio</t>
  </si>
  <si>
    <t>CAPACITY</t>
  </si>
  <si>
    <t>Average cooling load</t>
  </si>
  <si>
    <t>Puissance frigorifique moyenne</t>
  </si>
  <si>
    <t>PUMP_COST</t>
  </si>
  <si>
    <t>Pumping cost per year</t>
  </si>
  <si>
    <t>Costo anual de bombeo</t>
  </si>
  <si>
    <t>Custo anual de bombeamento</t>
  </si>
  <si>
    <t>CHILLER_COST</t>
  </si>
  <si>
    <t>Chiller cost per year</t>
  </si>
  <si>
    <t>Costo anual de enfriamiento</t>
  </si>
  <si>
    <t>Custo anual do chiller</t>
  </si>
  <si>
    <t>TOTAL_COST</t>
  </si>
  <si>
    <t>Total cost per year</t>
  </si>
  <si>
    <t>Costo total anual</t>
  </si>
  <si>
    <t>Custo total anual</t>
  </si>
  <si>
    <t>ENERGY</t>
  </si>
  <si>
    <t>Energy per year</t>
  </si>
  <si>
    <t>Energia anual</t>
  </si>
  <si>
    <t>SAVINGS</t>
  </si>
  <si>
    <t>Estimated annual savings</t>
  </si>
  <si>
    <t>Ahorro anual estimado</t>
  </si>
  <si>
    <t>Economia anual estimada</t>
  </si>
  <si>
    <t>PUMP_SAVINGS</t>
  </si>
  <si>
    <t>Pumping savings</t>
  </si>
  <si>
    <t>Ahorro de bombeo</t>
  </si>
  <si>
    <t>Economia de bombeamento</t>
  </si>
  <si>
    <t>CHILLER_SAVINGS</t>
  </si>
  <si>
    <t>Chiller savings</t>
  </si>
  <si>
    <t>Ahorro de enfriamiento</t>
  </si>
  <si>
    <t>Economia do chiller</t>
  </si>
  <si>
    <t>TOTAL_SAVINGS</t>
  </si>
  <si>
    <t>Total cost savings</t>
  </si>
  <si>
    <t>Ahorro total</t>
  </si>
  <si>
    <t>Economia total</t>
  </si>
  <si>
    <t>ENERGY_SAVINGS</t>
  </si>
  <si>
    <t>Energy savings</t>
  </si>
  <si>
    <t>Economia de energia</t>
  </si>
  <si>
    <t>CO2</t>
  </si>
  <si>
    <t>Annual carbon dioxide avoided</t>
  </si>
  <si>
    <t>TREES</t>
  </si>
  <si>
    <t>Tree seedlings grown for 10 years</t>
  </si>
  <si>
    <t>HOMES</t>
  </si>
  <si>
    <t>Equivalent annual home electricity use</t>
  </si>
  <si>
    <t>WATER</t>
  </si>
  <si>
    <t>Water cooled</t>
  </si>
  <si>
    <t>Refrigerada por agua</t>
  </si>
  <si>
    <t>Refroidi par eau</t>
  </si>
  <si>
    <t>AIR</t>
  </si>
  <si>
    <t>Air cooled</t>
  </si>
  <si>
    <t>Refrigerada por aire</t>
  </si>
  <si>
    <t>Resfriado a ar</t>
  </si>
  <si>
    <t>Refroidi par air</t>
  </si>
  <si>
    <t>PRIMARY</t>
  </si>
  <si>
    <t>Primario/Secundario</t>
  </si>
  <si>
    <t>Primaire/Secondaire</t>
  </si>
  <si>
    <t>VARIABLE</t>
  </si>
  <si>
    <t>Primario variable</t>
  </si>
  <si>
    <t>Primaire variable</t>
  </si>
  <si>
    <t>NORTHEAST</t>
  </si>
  <si>
    <t>Noreste</t>
  </si>
  <si>
    <t>Nordeste</t>
  </si>
  <si>
    <t>Nord-Est</t>
  </si>
  <si>
    <t>CENTRAL</t>
  </si>
  <si>
    <t>Centre</t>
  </si>
  <si>
    <t>ENC</t>
  </si>
  <si>
    <t>Centro-norte oriental</t>
  </si>
  <si>
    <t>Centro-Norte Oriental</t>
  </si>
  <si>
    <t>Centre-Nord-Est</t>
  </si>
  <si>
    <t>WNC</t>
  </si>
  <si>
    <t>Centro-norte occidental</t>
  </si>
  <si>
    <t>Centro-Norte Ocidental</t>
  </si>
  <si>
    <t>Centre-Nord-Ouest</t>
  </si>
  <si>
    <t>SOUTHEAST</t>
  </si>
  <si>
    <t>Sureste</t>
  </si>
  <si>
    <t>Sudeste</t>
  </si>
  <si>
    <t>Sud-Est</t>
  </si>
  <si>
    <t>SOUTH</t>
  </si>
  <si>
    <t>Sur</t>
  </si>
  <si>
    <t>Sul</t>
  </si>
  <si>
    <t>Sud</t>
  </si>
  <si>
    <t>SOUTHWEST</t>
  </si>
  <si>
    <t>South West</t>
  </si>
  <si>
    <t>Suroeste</t>
  </si>
  <si>
    <t>Sudoeste</t>
  </si>
  <si>
    <t>Sud-Ouest</t>
  </si>
  <si>
    <t>MOUNTAIN</t>
  </si>
  <si>
    <t>Montanhas</t>
  </si>
  <si>
    <t>Montagnes</t>
  </si>
  <si>
    <t>NORTHWEST</t>
  </si>
  <si>
    <t>Noroeste</t>
  </si>
  <si>
    <t>Nord-Ouest</t>
  </si>
  <si>
    <t>WEST</t>
  </si>
  <si>
    <t>West</t>
  </si>
  <si>
    <t>Oeste</t>
  </si>
  <si>
    <t>Ouest</t>
  </si>
  <si>
    <t>CUSTOM</t>
  </si>
  <si>
    <t>EDITABLE</t>
  </si>
  <si>
    <t>Editable field</t>
  </si>
  <si>
    <t>Campo editable</t>
  </si>
  <si>
    <t>Campo editável</t>
  </si>
  <si>
    <t>Champ modifiable</t>
  </si>
  <si>
    <t>LABEL</t>
  </si>
  <si>
    <t>Etiqueta</t>
  </si>
  <si>
    <t>Rótulo</t>
  </si>
  <si>
    <t>Libellé</t>
  </si>
  <si>
    <t>LOAD_PCT</t>
  </si>
  <si>
    <t>Carga [%]</t>
  </si>
  <si>
    <t>Charge [%]</t>
  </si>
  <si>
    <t>TIME_PCT</t>
  </si>
  <si>
    <t>Tiempo [%]</t>
  </si>
  <si>
    <t>Tempo [%]</t>
  </si>
  <si>
    <t>Temps [%]</t>
  </si>
  <si>
    <t>TIME_H</t>
  </si>
  <si>
    <t>Tiempo [h]</t>
  </si>
  <si>
    <t>Tempo [h]</t>
  </si>
  <si>
    <t>Temps [h]</t>
  </si>
  <si>
    <t>PUMP_COSTS</t>
  </si>
  <si>
    <t>Costos de bombeo</t>
  </si>
  <si>
    <t>Custos de bombeamento</t>
  </si>
  <si>
    <t>Coûts de pompage</t>
  </si>
  <si>
    <t>POWER</t>
  </si>
  <si>
    <t>Power</t>
  </si>
  <si>
    <t>Potencia</t>
  </si>
  <si>
    <t>Potência</t>
  </si>
  <si>
    <t>Puissance</t>
  </si>
  <si>
    <t>PUMP_FACTOR</t>
  </si>
  <si>
    <t>Pump design factor</t>
  </si>
  <si>
    <t>Factor de diseño de la bomba</t>
  </si>
  <si>
    <t>Fator de projeto da bomba</t>
  </si>
  <si>
    <t>Facteur de dimensionnement</t>
  </si>
  <si>
    <t>DESIGN_FLOW</t>
  </si>
  <si>
    <t>Design chilled-water distribution flow</t>
  </si>
  <si>
    <t>Caudal de diseño de agua helada</t>
  </si>
  <si>
    <t>Vazão de projeto de água gelada</t>
  </si>
  <si>
    <t>Débit nominal eau glacée</t>
  </si>
  <si>
    <t>MIN_HEAD</t>
  </si>
  <si>
    <t>Minimum pump head</t>
  </si>
  <si>
    <t>Altura mínima de bombeo</t>
  </si>
  <si>
    <t>Altura manométrica mínima</t>
  </si>
  <si>
    <t>Hauteur manométrique minimale</t>
  </si>
  <si>
    <t>AGG_ENERGY</t>
  </si>
  <si>
    <t>Aggregation of energy consumption</t>
  </si>
  <si>
    <t>Agregación del consumo de energía</t>
  </si>
  <si>
    <t>Agregação do consumo de energia</t>
  </si>
  <si>
    <t>Agrégation de la consommation</t>
  </si>
  <si>
    <t>ACTUAL_USAGE</t>
  </si>
  <si>
    <t>Actual Delta-T energy usage</t>
  </si>
  <si>
    <t>Consumo con Delta-T actual</t>
  </si>
  <si>
    <t>Consumo com Delta-T atual</t>
  </si>
  <si>
    <t>Consommation Delta-T actuel</t>
  </si>
  <si>
    <t>FUTURE_USAGE</t>
  </si>
  <si>
    <t>Future Delta-T energy usage</t>
  </si>
  <si>
    <t>Consumo con Delta-T futuro</t>
  </si>
  <si>
    <t>Consumo com Delta-T futuro</t>
  </si>
  <si>
    <t>Consommation Delta-T futur</t>
  </si>
  <si>
    <t>FINANCE_RATE</t>
  </si>
  <si>
    <t>Finance rate</t>
  </si>
  <si>
    <t>Tasa de financiamiento</t>
  </si>
  <si>
    <t>Taxa de financiamento</t>
  </si>
  <si>
    <t>Taux de financement</t>
  </si>
  <si>
    <t>REINVEST_RATE</t>
  </si>
  <si>
    <t>Reinvestment rate</t>
  </si>
  <si>
    <t>Tasa de reinversión</t>
  </si>
  <si>
    <t>Taxa de reinvestimento</t>
  </si>
  <si>
    <t>Taux de réinvestissement</t>
  </si>
  <si>
    <t>ANNUAL_CASH_FLOW</t>
  </si>
  <si>
    <t>Annual cash flow</t>
  </si>
  <si>
    <t>Flujo de caja anual</t>
  </si>
  <si>
    <t>Fluxo de caixa anual</t>
  </si>
  <si>
    <t>Flux de trésorerie annuel</t>
  </si>
  <si>
    <t>HEAD_LABEL</t>
  </si>
  <si>
    <t>Head</t>
  </si>
  <si>
    <t>Altura</t>
  </si>
  <si>
    <t>Hauteur</t>
  </si>
  <si>
    <t>CHILLER_ENERGY_DT</t>
  </si>
  <si>
    <t>Chiller energy usage at Delta-T</t>
  </si>
  <si>
    <t>Consumo de la enfriadora con Delta-T</t>
  </si>
  <si>
    <t>Consumo do chiller com Delta-T</t>
  </si>
  <si>
    <t>Consommation du groupe froid au Delta-T</t>
  </si>
  <si>
    <t>PUMP_FLOW_DT</t>
  </si>
  <si>
    <t>Chilled-water distribution flow at Delta-T</t>
  </si>
  <si>
    <t>Caudal de distribución con Delta-T</t>
  </si>
  <si>
    <t>Vazão de distribuição com Delta-T</t>
  </si>
  <si>
    <t>Débit de distribution au Delta-T</t>
  </si>
  <si>
    <t>Carga frigorífica promedio</t>
  </si>
  <si>
    <t>Carga média de resfriamento</t>
  </si>
  <si>
    <t>PASSWORD_PROMPT</t>
  </si>
  <si>
    <t>Please enter the password to continue.</t>
  </si>
  <si>
    <t>Ingrese la contraseña para continuar.</t>
  </si>
  <si>
    <t>Digite a senha para continuar.</t>
  </si>
  <si>
    <t>Saisissez le mot de passe pour continuer.</t>
  </si>
  <si>
    <t>EDIT_MODE</t>
  </si>
  <si>
    <t>Edit mode</t>
  </si>
  <si>
    <t>Modo de edición</t>
  </si>
  <si>
    <t>Modo de edição</t>
  </si>
  <si>
    <t>Mode édition</t>
  </si>
  <si>
    <t>OVERWRITE_MSG</t>
  </si>
  <si>
    <t>A PDF with the same name exists. Overwrite it?</t>
  </si>
  <si>
    <t>Ya existe un PDF con el mismo nombre. ¿Sobrescribirlo?</t>
  </si>
  <si>
    <t>Já existe um PDF com o mesmo nome. Substituir?</t>
  </si>
  <si>
    <t>Un PDF du même nom existe. Le remplacer ?</t>
  </si>
  <si>
    <t>OVERWRITE_TITLE</t>
  </si>
  <si>
    <t>Overwrite?</t>
  </si>
  <si>
    <t>¿Sobrescribir?</t>
  </si>
  <si>
    <t>Substituir?</t>
  </si>
  <si>
    <t>Remplacer ?</t>
  </si>
  <si>
    <t>PDF_ERROR</t>
  </si>
  <si>
    <t>There was an error generating the PDF. Make sure a file with the same name is not open.</t>
  </si>
  <si>
    <t>Error al generar el PDF. Compruebe que no esté abierto un archivo con el mismo nombre.</t>
  </si>
  <si>
    <t>Erro ao gerar o PDF. Verifique se um arquivo com o mesmo nome não está aberto.</t>
  </si>
  <si>
    <t>Erreur lors de la création du PDF. Vérifiez si un fichier du même nom est ouvert.</t>
  </si>
  <si>
    <t>RESULTS_UPDATED</t>
  </si>
  <si>
    <t>Results updated successfully.</t>
  </si>
  <si>
    <t>Resultados actualizados correctamente.</t>
  </si>
  <si>
    <t>Resultados atualizados com sucesso.</t>
  </si>
  <si>
    <t>Résultats mis à jour.</t>
  </si>
  <si>
    <t>Regiones estándar de EE. UU. definidas por NOAA.</t>
  </si>
  <si>
    <t>Regiões padrão dos EUA definidas pela NOAA.</t>
  </si>
  <si>
    <t>Régions standard des États-Unis définies par la NOAA.</t>
  </si>
  <si>
    <t>Las constantes representan un promedio ponderado de edificios, horarios y clima de EE. UU.; los datos ASHRAE se agrupan en intervalos.</t>
  </si>
  <si>
    <t>As constantes representam uma média ponderada de edifícios, horários e clima dos EUA; os dados ASHRAE são agrupados em faixas.</t>
  </si>
  <si>
    <t>Les constantes représentent une moyenne pondérée des bâtiments, horaires et climats américains ; les données ASHRAE sont regroupées par plages.</t>
  </si>
  <si>
    <t>Factor de ciclos cortos de la enfriadora a carga parcial. Use 0 % para ignorarlo.</t>
  </si>
  <si>
    <t>Fator de ciclos curtos do chiller em carga parcial. Use 0% para ignorá-lo.</t>
  </si>
  <si>
    <t>Facteur de cycles courts du groupe froid à charge partielle. Utilisez 0 % pour l’ignorer.</t>
  </si>
  <si>
    <t>Ahorro auxiliar de la enfriadora por cada grado de mejora de Delta-T.</t>
  </si>
  <si>
    <t>Economia auxiliar do chiller por grau de melhoria do Delta-T.</t>
  </si>
  <si>
    <t>Économies auxiliaires du groupe froid par degré d’amélioration du Delta-T.</t>
  </si>
  <si>
    <t>Nota técnica de este campo. El valor está vinculado a los supuestos y fórmulas del modelo.</t>
  </si>
  <si>
    <t>Nota técnica deste campo. O valor está vinculado às premissas e fórmulas do modelo.</t>
  </si>
  <si>
    <t>Note technique pour ce champ. La valeur dépend des hypothèses et formules du modèle.</t>
  </si>
  <si>
    <t>Promedio de cinco años, ajustado por densidad de población, con temperatura base de 65 °F. Fuente: NCDC.</t>
  </si>
  <si>
    <t>Média de cinco anos, ajustada pela densidade populacional, com temperatura base de 65 °F. Fonte: NCDC.</t>
  </si>
  <si>
    <t>Moyenne sur cinq ans, corrigée selon la densité de population, base 65 °F. Source : NCDC.</t>
  </si>
  <si>
    <t>Valores de modelado según tipo de edificio, ubicación, planta y número de enfriadoras, basados en criterios PNNL y ASHRAE/IES 90.1-2010.</t>
  </si>
  <si>
    <t>Valores de modelagem conforme tipo de edifício, local, central e número de chillers, baseados nos critérios PNNL e ASHRAE/IES 90.1-2010.</t>
  </si>
  <si>
    <t>Valeurs de modélisation selon le bâtiment, le site, la centrale et le nombre de groupes froids, basées sur les critères PNNL et ASHRAE/IES 90.1-2010.</t>
  </si>
  <si>
    <t>Ajuste de humedad: use 30 % para clima muy húmedo y 5 % para clima muy seco. Fuente: NCDC.</t>
  </si>
  <si>
    <t>Ajuste de umidade: use 30% para clima muito úmido e 5% para clima muito seco. Fonte: NCDC.</t>
  </si>
  <si>
    <t>Correction d’humidité : utilisez 30 % pour un climat très humide et 5 % pour un climat très sec. Source : NCDC.</t>
  </si>
  <si>
    <t>Tasa prevista de aumento anual del costo de electricidad.</t>
  </si>
  <si>
    <t>Taxa prevista de aumento anual do custo da eletricidade.</t>
  </si>
  <si>
    <t>Taux prévu d’augmentation annuelle du coût de l’électricité.</t>
  </si>
  <si>
    <t>Use la tasa del instrumento financiero, préstamo, efectivo o tasa mínima interna de la organización.</t>
  </si>
  <si>
    <t>Use a taxa do instrumento financeiro, empréstimo, caixa ou taxa mínima interna da organização.</t>
  </si>
  <si>
    <t>Utilisez le taux du financement, du prêt, de la trésorerie ou le taux de rendement minimal interne.</t>
  </si>
  <si>
    <t>Escenarios promedio de Delta-T utilizados para comparar la condición actual y la propuesta.</t>
  </si>
  <si>
    <t>Cenários médios de Delta-T usados para comparar a condição atual e a proposta.</t>
  </si>
  <si>
    <t>Scénarios moyens de Delta-T utilisés pour comparer la situation actuelle et la situation proposée.</t>
  </si>
  <si>
    <t>Caudal promedio calculado para el Delta-T correspondiente; vinculado a la hoja Pump.</t>
  </si>
  <si>
    <t>Vazão média calculada para o Delta-T correspondente; vinculada à planilha Pump.</t>
  </si>
  <si>
    <t>Débit moyen calculé pour le Delta-T correspondant ; lié à la feuille Pump.</t>
  </si>
  <si>
    <t>Carga frigorífica promedio calculada a partir del Delta-T y caudal correspondientes; vinculada a Chiller.</t>
  </si>
  <si>
    <t>Carga média de resfriamento calculada a partir do Delta-T e da vazão; vinculada à planilha Chiller.</t>
  </si>
  <si>
    <t>Puissance frigorifique moyenne calculée à partir du Delta-T et du débit ; liée à Chiller.</t>
  </si>
  <si>
    <t>SIR: ahorro durante la vida útil dividido por la inversión inicial, expresado en valor actual.</t>
  </si>
  <si>
    <t>SIR: economia ao longo da vida útil dividida pelo investimento inicial, em valor presente.</t>
  </si>
  <si>
    <t>SIR : économies sur la durée de vie divisées par l’investissement initial, en valeur actuelle.</t>
  </si>
  <si>
    <t>Ingrese el IPLV de diseño. Referencias típicas: 0,3 alta eficiencia avanzada; 0,4 velocidad variable; 0,6 velocidad constante típica; 0,7 equipo antiguo.</t>
  </si>
  <si>
    <t>Informe o IPLV de projeto. Referências típicas: 0,3 alta eficiência avançada; 0,4 velocidade variável; 0,6 velocidade constante típica; 0,7 equipamento antigo.</t>
  </si>
  <si>
    <t>Saisissez l’IPLV nominal. Repères : 0,3 haute efficacité avancée ; 0,4 vitesse variable ; 0,6 vitesse constante typique ; 0,7 ancien équipement.</t>
  </si>
  <si>
    <t>Para control por presión estática, use la menor altura de bomba posible en carga parcial.</t>
  </si>
  <si>
    <t>Para controle por pressão estática, use a menor altura manométrica possível em carga parcial.</t>
  </si>
  <si>
    <t>Pour une régulation par pression statique, utilisez la hauteur de pompe minimale possible à charge partielle.</t>
  </si>
  <si>
    <t>Ingrese el costo incremental de Energy Valves frente a válvulas convencionales; incluya el costo total cuando se sustituyan válvulas nuevas.</t>
  </si>
  <si>
    <t>Informe o custo incremental das Energy Valves em relação às válvulas convencionais; inclua o custo total ao substituir válvulas novas.</t>
  </si>
  <si>
    <t>Saisissez le surcoût des Energy Valves par rapport aux vannes conventionnelles ; incluez le coût total si des vannes neuves sont remplacées.</t>
  </si>
  <si>
    <t>Equivalencia calculada según factores publicados por la EPA.</t>
  </si>
  <si>
    <t>Equivalência calculada conforme fatores publicados pela EPA.</t>
  </si>
  <si>
    <t>Équivalence calculée selon les facteurs publiés par l’EPA.</t>
  </si>
  <si>
    <t>La relación entre caudal, altura y potencia de la bomba sigue las leyes de afinidad y los límites de presión estática del modelo.</t>
  </si>
  <si>
    <t>A relação entre vazão, altura e potência da bomba segue as leis de afinidade e os limites de pressão estática do modelo.</t>
  </si>
  <si>
    <t>La relation entre débit, hauteur et puissance de pompe suit les lois d’affinité et les limites de pression statique du modèle.</t>
  </si>
  <si>
    <t>CHART_ENERGY_COST</t>
  </si>
  <si>
    <t>Annual Energy Costs</t>
  </si>
  <si>
    <t>Costos anuales de energía</t>
  </si>
  <si>
    <t>Custos anuais de energia</t>
  </si>
  <si>
    <t>Coûts énergétiques annuels</t>
  </si>
  <si>
    <t>CHART_FINANCIAL</t>
  </si>
  <si>
    <t>Financial Analysis Results</t>
  </si>
  <si>
    <t>Resultados del análisis financiero</t>
  </si>
  <si>
    <t>Resultados da análise financeira</t>
  </si>
  <si>
    <t>Résultats financiers</t>
  </si>
  <si>
    <t>CHART_ACTUAL</t>
  </si>
  <si>
    <t>Actual Delta-T Energy Usage</t>
  </si>
  <si>
    <t>Consommation avec Delta-T actuel</t>
  </si>
  <si>
    <t>CHART_FUTURE</t>
  </si>
  <si>
    <t>Future Delta-T Energy Usage</t>
  </si>
  <si>
    <t>Consommation avec Delta-T futur</t>
  </si>
  <si>
    <t>Unités</t>
  </si>
  <si>
    <t>Información</t>
  </si>
  <si>
    <t>Informações</t>
  </si>
  <si>
    <t>Región climática</t>
  </si>
  <si>
    <t>Região climática</t>
  </si>
  <si>
    <t>Région climatique</t>
  </si>
  <si>
    <t>Refrigeración de la enfriadora</t>
  </si>
  <si>
    <t>Diseño de la planta</t>
  </si>
  <si>
    <t>Configuração da central</t>
  </si>
  <si>
    <t>Custo médio da eletricidade</t>
  </si>
  <si>
    <t>Coût moyen de l’électricité</t>
  </si>
  <si>
    <t>Carga frigorífica de diseño</t>
  </si>
  <si>
    <t>Número de enfriadoras</t>
  </si>
  <si>
    <t>Número de chillers</t>
  </si>
  <si>
    <t>Horas de operación por día</t>
  </si>
  <si>
    <t>Horas de operação por dia</t>
  </si>
  <si>
    <t>Días de operación por semana</t>
  </si>
  <si>
    <t>Dias de operação por semana</t>
  </si>
  <si>
    <t>Eficiencia de diseño de la enfriadora</t>
  </si>
  <si>
    <t>Eficiência de projeto do chiller</t>
  </si>
  <si>
    <t>Eficiência da bomba, inversor e motor</t>
  </si>
  <si>
    <t>Delta-T de diseño</t>
  </si>
  <si>
    <t>Inversión incremental en Energy Valve</t>
  </si>
  <si>
    <t>Investissement supplémentaire Energy Valve</t>
  </si>
  <si>
    <t>Inflación anual del costo energético</t>
  </si>
  <si>
    <t>Inflação anual do custo de energia</t>
  </si>
  <si>
    <t>Inflation annuelle du coût de l’énergie</t>
  </si>
  <si>
    <t>Résultats</t>
  </si>
  <si>
    <t>Métrica</t>
  </si>
  <si>
    <t>Vazão média</t>
  </si>
  <si>
    <t>Débit moyen</t>
  </si>
  <si>
    <t>Coût annuel de pompage</t>
  </si>
  <si>
    <t>Coût annuel du groupe froid</t>
  </si>
  <si>
    <t>Coût total annuel</t>
  </si>
  <si>
    <t>Energía anual</t>
  </si>
  <si>
    <t>Énergie annuelle</t>
  </si>
  <si>
    <t>Économies annuelles estimées</t>
  </si>
  <si>
    <t>Économies de pompage</t>
  </si>
  <si>
    <t>Économies du groupe froid</t>
  </si>
  <si>
    <t>Économies totales</t>
  </si>
  <si>
    <t>Ahorro de energía</t>
  </si>
  <si>
    <t>Économies d’énergie</t>
  </si>
  <si>
    <t>Dióxido de carbono evitado por año</t>
  </si>
  <si>
    <t>Dióxido de carbono evitado por ano</t>
  </si>
  <si>
    <t>Dioxyde de carbone évité par an</t>
  </si>
  <si>
    <t>Árboles cultivados durante 10 años</t>
  </si>
  <si>
    <t>Mudas de árvores cultivadas por 10 anos</t>
  </si>
  <si>
    <t>Plants d’arbres cultivés pendant 10 ans</t>
  </si>
  <si>
    <t>Uso eléctrico anual equivalente de hogares</t>
  </si>
  <si>
    <t>Consumo elétrico anual equivalente de residências</t>
  </si>
  <si>
    <t>Consommation électrique annuelle équivalente de logements</t>
  </si>
  <si>
    <t>Resfriado a água</t>
  </si>
  <si>
    <t>Primário/Secundário</t>
  </si>
  <si>
    <t>Primário variável</t>
  </si>
  <si>
    <t>Montaña</t>
  </si>
  <si>
    <t>Región personalizada</t>
  </si>
  <si>
    <t>Região personalizada</t>
  </si>
  <si>
    <t>Région personnalisée</t>
  </si>
  <si>
    <t>FLOW_LABEL</t>
  </si>
  <si>
    <t>Flow</t>
  </si>
  <si>
    <t>Caudal</t>
  </si>
  <si>
    <t>Vazão</t>
  </si>
  <si>
    <t>Débit</t>
  </si>
  <si>
    <t>Según "The Centrifugal Pump Grundfos", página 56.</t>
  </si>
  <si>
    <t>Conforme "The Centrifugal Pump Grundfos", página 56.</t>
  </si>
  <si>
    <t>Selon « The Centrifugal Pump Grundfos », page 56.</t>
  </si>
  <si>
    <t>Se considera el control por presión estática de la(s) bomba(s) para calcular la altura reducida en carga parcial. Una reducción según las leyes de afinidad supondría un sistema con una sola válvula y sin sensor de presión estática. La altura mínima se limita según el valor elegido.</t>
  </si>
  <si>
    <t>Considera-se o controle por pressão estática da(s) bomba(s) para calcular a altura manométrica reduzida em carga parcial. Uma redução conforme as leis de afinidade suporia um sistema com uma única válvula e sem sensor de pressão estática. A altura mínima é limitada conforme o valor escolhido.</t>
  </si>
  <si>
    <t>La régulation par pression statique de la (des) pompe(s) est prise en compte pour calculer la hauteur réduite en charge partielle. Une réduction selon les lois d'affinité supposerait un système à une seule vanne et sans capteur de pression statique. La hauteur minimale est limitée selon la valeur choisie.</t>
  </si>
  <si>
    <t>Este factor supone que la bomba puede generar más caudal que su selección de diseño. El valor predeterminado del 100 % significa que la bomba produce su capacidad de diseño. Puede usarse un valor mayor para bombas capaces de generar más caudal que su capacidad de diseño.</t>
  </si>
  <si>
    <t>Este fator considera que a bomba pode gerar mais vazão do que sua seleção de projeto. O valor padrão de 100% significa que a bomba produz sua capacidade de projeto. Um valor maior pode ser usado para bombas capazes de gerar mais vazão do que sua capacidade de projeto.</t>
  </si>
  <si>
    <t>Ce facteur suppose que la pompe peut générer un débit supérieur à sa sélection de dimensionnement. La valeur par défaut de 100 % signifie que la pompe produit sa capacité nominale. Une valeur plus élevée peut être utilisée pour les pompes capables de générer un débit supérieur à leur capacité nominale.</t>
  </si>
  <si>
    <t>Caudal máximo de la bomba calculado a partir del Delta-T de diseño.</t>
  </si>
  <si>
    <t>Vazão máxima da bomba calculada a partir do Delta-T de projeto.</t>
  </si>
  <si>
    <t>Débit maximal de la pompe calculé à partir du Delta-T nominal.</t>
  </si>
  <si>
    <t>HDR_CHILLED_WATER_PLANT</t>
  </si>
  <si>
    <t>INPUT DATA: CHILLED WATER PLANT</t>
  </si>
  <si>
    <t>DATOS DE ENTRADA: PLANTA DE AGUA HELADA</t>
  </si>
  <si>
    <t>DADOS DE ENTRADA: CENTRAL DE ÁGUA GELADA</t>
  </si>
  <si>
    <t>DONNÉES D'ENTRÉE : INSTALLATION D'EAU GLACÉE</t>
  </si>
  <si>
    <t>HDR_ANNUAL_ENERGY_COSTS</t>
  </si>
  <si>
    <t>ANNUAL ENERGY COSTS</t>
  </si>
  <si>
    <t>COSTOS ANUALES DE ENERGÍA</t>
  </si>
  <si>
    <t>CUSTOS ANUAIS DE ENERGIA</t>
  </si>
  <si>
    <t>COÛTS ÉNERGÉTIQUES ANNUELS</t>
  </si>
  <si>
    <t>HDR_INPUT_FINANCIALS</t>
  </si>
  <si>
    <t>INPUT FINANCIALS</t>
  </si>
  <si>
    <t>DATOS FINANCIEROS</t>
  </si>
  <si>
    <t>DADOS FINANCEIROS</t>
  </si>
  <si>
    <t>DONNÉES FINANCIÈRES</t>
  </si>
  <si>
    <t>HDR_FINANCIAL_RESULTS</t>
  </si>
  <si>
    <t>FINANCIAL ANALYSIS RESULTS</t>
  </si>
  <si>
    <t>RESULTADOS DEL ANÁLISIS FINANCIERO</t>
  </si>
  <si>
    <t>RESULTADOS DA ANÁLISE FINANCEIRA</t>
  </si>
  <si>
    <t>RÉSULTATS DE L'ANALYSE FINANCIÈRE</t>
  </si>
  <si>
    <t>HDR_GHG_EQUIVALENTS</t>
  </si>
  <si>
    <t>GREENHOUSE GAS EQUIVALENTS</t>
  </si>
  <si>
    <t>EQUIVALENTES DE GASES DE EFECTO INVERNADERO</t>
  </si>
  <si>
    <t>EQUIVALENTES DE GASES DE EFEITO ESTUFA</t>
  </si>
  <si>
    <t>ÉQUIVALENTS DE GAZ À EFFET DE SERRE</t>
  </si>
  <si>
    <t>HDR_DISCLAIMER_TITLE</t>
  </si>
  <si>
    <t>DISCLAIMER</t>
  </si>
  <si>
    <t>AVISO LEGAL</t>
  </si>
  <si>
    <t>AVERTISSEMENT</t>
  </si>
  <si>
    <t>HDR_FIN_ANALYSIS_TITLE</t>
  </si>
  <si>
    <t>FINANCIAL ANALYSIS OF EFFICIENCY IMPROVEMENTS
Simulating Streams of Cash Inflows and Outflows
*Sample Analysis*</t>
  </si>
  <si>
    <t>ANÁLISIS FINANCIERO DE LAS MEJORAS DE EFICIENCIA
Simulación de flujos de entrada y salida de caja
*Análisis de ejemplo*</t>
  </si>
  <si>
    <t>ANÁLISE FINANCEIRA DAS MELHORIAS DE EFICIÊNCIA
Simulação dos fluxos de entrada e saída de caixa
*Análise de exemplo*</t>
  </si>
  <si>
    <t>ANALYSE FINANCIÈRE DES AMÉLIORATIONS D'EFFICACITÉ
Simulation des flux de trésorerie entrants et sortants
*Analyse d'exemple*</t>
  </si>
  <si>
    <t>HDR_CUM_10YR_PV</t>
  </si>
  <si>
    <t>CUMULATIVE 10-YEAR PRESENT VALUE</t>
  </si>
  <si>
    <t>VALOR PRESENTE ACUMULADO A 10 AÑOS</t>
  </si>
  <si>
    <t>VALOR PRESENTE ACUMULADO EM 10 ANOS</t>
  </si>
  <si>
    <t>VALEUR ACTUELLE CUMULÉE SUR 10 ANS</t>
  </si>
  <si>
    <t>HDR_10YR_PV</t>
  </si>
  <si>
    <t>10-YEAR PRESENT VALUE</t>
  </si>
  <si>
    <t>VALOR PRESENTE A 10 AÑOS</t>
  </si>
  <si>
    <t>VALOR PRESENTE EM 10 ANOS</t>
  </si>
  <si>
    <t>VALEUR ACTUELLE SUR 10 ANS</t>
  </si>
  <si>
    <t>HDR_CUM_10YR_CF</t>
  </si>
  <si>
    <t>CUMULATIVE 10-YEAR CASH FLOW</t>
  </si>
  <si>
    <t>FLUJO DE CAJA ACUMULADO A 10 AÑOS</t>
  </si>
  <si>
    <t>FLUXO DE CAIXA ACUMULADO EM 10 ANOS</t>
  </si>
  <si>
    <t>FLUX DE TRÉSORERIE CUMULÉ SUR 10 ANS</t>
  </si>
  <si>
    <t>HDR_10YR_CF</t>
  </si>
  <si>
    <t>10-YEAR CASH FLOW</t>
  </si>
  <si>
    <t>FLUJO DE CAJA A 10 AÑOS</t>
  </si>
  <si>
    <t>FLUXO DE CAIXA EM 10 ANOS</t>
  </si>
  <si>
    <t>FLUX DE TRÉSORERIE SUR 10 ANS</t>
  </si>
  <si>
    <t>HDR_CASH_INFLOWS</t>
  </si>
  <si>
    <t>CASH INFLOWS</t>
  </si>
  <si>
    <t>ENTRADAS DE CAJA</t>
  </si>
  <si>
    <t>ENTRADAS DE CAIXA</t>
  </si>
  <si>
    <t>ENTRÉES DE TRÉSORERIE</t>
  </si>
  <si>
    <t>HDR_CASH_OUTFLOWS</t>
  </si>
  <si>
    <t>CASH OUTFLOWS</t>
  </si>
  <si>
    <t>SALIDAS DE CAJA</t>
  </si>
  <si>
    <t>SAÍDAS DE CAIXA</t>
  </si>
  <si>
    <t>SORTIES DE TRÉSORERIE</t>
  </si>
  <si>
    <t>PCS_UNIT</t>
  </si>
  <si>
    <t>uds.</t>
  </si>
  <si>
    <t>unid.</t>
  </si>
  <si>
    <t>unités</t>
  </si>
  <si>
    <t>HOURS_UNIT</t>
  </si>
  <si>
    <t>horas</t>
  </si>
  <si>
    <t>heures</t>
  </si>
  <si>
    <t>DAYS_UNIT</t>
  </si>
  <si>
    <t>días</t>
  </si>
  <si>
    <t>dias</t>
  </si>
  <si>
    <t>jours</t>
  </si>
  <si>
    <t>AVG_WORD</t>
  </si>
  <si>
    <t>Avg</t>
  </si>
  <si>
    <t>Prom.</t>
  </si>
  <si>
    <t>Méd.</t>
  </si>
  <si>
    <t>Moy.</t>
  </si>
  <si>
    <t>YEARS_WORD</t>
  </si>
  <si>
    <t>years</t>
  </si>
  <si>
    <t>años</t>
  </si>
  <si>
    <t>anos</t>
  </si>
  <si>
    <t>ans</t>
  </si>
  <si>
    <t>TREE_SEEDLINGS_UNIT</t>
  </si>
  <si>
    <t>árboles jóvenes</t>
  </si>
  <si>
    <t>mudas de árvores</t>
  </si>
  <si>
    <t>plants d'arbres</t>
  </si>
  <si>
    <t>HOMES_UNIT</t>
  </si>
  <si>
    <t>hogares</t>
  </si>
  <si>
    <t>residências</t>
  </si>
  <si>
    <t>logements</t>
  </si>
  <si>
    <t>PUMP_COST_HDR</t>
  </si>
  <si>
    <t>Costo de bombeo</t>
  </si>
  <si>
    <t>Custo de bombeamento</t>
  </si>
  <si>
    <t>Coût de pompage</t>
  </si>
  <si>
    <t>CHILLER_COST_HDR</t>
  </si>
  <si>
    <t>Chiller Cost</t>
  </si>
  <si>
    <t>Costo de enfriamiento</t>
  </si>
  <si>
    <t>Custo do chiller</t>
  </si>
  <si>
    <t>Coût du groupe froid</t>
  </si>
  <si>
    <t>TOTAL_COST_HDR</t>
  </si>
  <si>
    <t>Total Cost</t>
  </si>
  <si>
    <t>Costo total</t>
  </si>
  <si>
    <t>Custo total</t>
  </si>
  <si>
    <t>Coût total</t>
  </si>
  <si>
    <t>ENERGY_HDR</t>
  </si>
  <si>
    <t>Energía</t>
  </si>
  <si>
    <t>Energia</t>
  </si>
  <si>
    <t>Énergie</t>
  </si>
  <si>
    <t>VALUE_HDR</t>
  </si>
  <si>
    <t>Valor</t>
  </si>
  <si>
    <t>Valeur</t>
  </si>
  <si>
    <t>UNIT_HDR</t>
  </si>
  <si>
    <t>Unidad</t>
  </si>
  <si>
    <t>Unidade</t>
  </si>
  <si>
    <t>Unité</t>
  </si>
  <si>
    <t>INVESTMENT_HORIZON</t>
  </si>
  <si>
    <t>Horizonte de inversión</t>
  </si>
  <si>
    <t>Horizonte de investimento</t>
  </si>
  <si>
    <t>Horizon d'investissement</t>
  </si>
  <si>
    <t>NRG_OPHOURS_DAY</t>
  </si>
  <si>
    <t>Horas de operación / Día</t>
  </si>
  <si>
    <t>Horas de operação / Dia</t>
  </si>
  <si>
    <t>Heures de fonctionnement / Jour</t>
  </si>
  <si>
    <t>NRG_OPDAYS_WEEK</t>
  </si>
  <si>
    <t>Días de operación / Semana</t>
  </si>
  <si>
    <t>Dias de operação / Semana</t>
  </si>
  <si>
    <t>Jours de fonctionnement / Semaine</t>
  </si>
  <si>
    <t>NRG_ANNUAL_OPHOURS</t>
  </si>
  <si>
    <t>Horas de operación anuales</t>
  </si>
  <si>
    <t>Horas de operação anuais</t>
  </si>
  <si>
    <t>Heures de fonctionnement annuelles</t>
  </si>
  <si>
    <t>NRG_POINT</t>
  </si>
  <si>
    <t>Punto</t>
  </si>
  <si>
    <t>Ponto</t>
  </si>
  <si>
    <t>NRG_BIN</t>
  </si>
  <si>
    <t>Intervalo</t>
  </si>
  <si>
    <t>Faixa</t>
  </si>
  <si>
    <t>Plage</t>
  </si>
  <si>
    <t>NRG_OPHOURS</t>
  </si>
  <si>
    <t>Horas de operación</t>
  </si>
  <si>
    <t>Horas de operação</t>
  </si>
  <si>
    <t>Heures de fonctionnement</t>
  </si>
  <si>
    <t>DESIGN_WORD</t>
  </si>
  <si>
    <t>Diseño</t>
  </si>
  <si>
    <t>Nominal</t>
  </si>
  <si>
    <t>PEAK_WORD</t>
  </si>
  <si>
    <t>Pico</t>
  </si>
  <si>
    <t>Pointe</t>
  </si>
  <si>
    <t>LOW_WORD</t>
  </si>
  <si>
    <t>Bajo</t>
  </si>
  <si>
    <t>Baixo</t>
  </si>
  <si>
    <t>Faible</t>
  </si>
  <si>
    <t>MIN_WORD</t>
  </si>
  <si>
    <t>Mín</t>
  </si>
  <si>
    <t>COOLING_DEGREE_DAYS</t>
  </si>
  <si>
    <t>Grados-día de enfriamiento</t>
  </si>
  <si>
    <t>Graus-dia de resfriamento</t>
  </si>
  <si>
    <t>Degrés-jours de refroidissement</t>
  </si>
  <si>
    <t>HUMIDITY_ADJUSTMENT</t>
  </si>
  <si>
    <t>Ajuste de humedad</t>
  </si>
  <si>
    <t>Ajuste de umidade</t>
  </si>
  <si>
    <t>Correction d'humidité</t>
  </si>
  <si>
    <t>MULTIPLIER_WORD</t>
  </si>
  <si>
    <t>Multiplicador</t>
  </si>
  <si>
    <t>Multiplicateur</t>
  </si>
  <si>
    <t>AVERAGE_US</t>
  </si>
  <si>
    <t>Promedio de EE. UU.</t>
  </si>
  <si>
    <t>Média dos EUA</t>
  </si>
  <si>
    <t>Moyenne américaine</t>
  </si>
  <si>
    <t>SELECTED_VALUE</t>
  </si>
  <si>
    <t>Selected Value</t>
  </si>
  <si>
    <t>Valor seleccionado</t>
  </si>
  <si>
    <t>Valor selecionado</t>
  </si>
  <si>
    <t>Valeur sélectionnée</t>
  </si>
  <si>
    <t>RATIO_WORD</t>
  </si>
  <si>
    <t>Relación</t>
  </si>
  <si>
    <t>Relação</t>
  </si>
  <si>
    <t>KW1_COMPRESSOR</t>
  </si>
  <si>
    <t>KW1 Compresor</t>
  </si>
  <si>
    <t>KW1 Compresseur</t>
  </si>
  <si>
    <t>KW5_CHILLER_CONTROLS</t>
  </si>
  <si>
    <t>KW5 Controles de la enfriadora</t>
  </si>
  <si>
    <t>KW5 Controles do chiller</t>
  </si>
  <si>
    <t>KW5 Régulation du groupe froid</t>
  </si>
  <si>
    <t>KW6_TRANS_OIL_PUMP</t>
  </si>
  <si>
    <t>KW6 Bomba y calentador de aceite de transmisión</t>
  </si>
  <si>
    <t>KW6 Bomba e aquecedor de óleo de transmissão</t>
  </si>
  <si>
    <t>KW6 Pompe et réchauffeur d'huile de transmission</t>
  </si>
  <si>
    <t>CHILLER_PLANT_PIPING</t>
  </si>
  <si>
    <t>Tuberías de la planta de enfriadoras</t>
  </si>
  <si>
    <t>Tubulação da central de chillers</t>
  </si>
  <si>
    <t>Tuyauterie de l'installation frigorifique</t>
  </si>
  <si>
    <t>CHILLER_COSTS</t>
  </si>
  <si>
    <t>Costos de la enfriadora</t>
  </si>
  <si>
    <t>Custos do chiller</t>
  </si>
  <si>
    <t>Coûts du groupe froid</t>
  </si>
  <si>
    <t>AVG_TONAGE</t>
  </si>
  <si>
    <t>Carga promedio (tons)</t>
  </si>
  <si>
    <t>Carga média (tons)</t>
  </si>
  <si>
    <t>Puissance moyenne (tons)</t>
  </si>
  <si>
    <t>PLANT_KW_TON</t>
  </si>
  <si>
    <t>kW/ton de la planta</t>
  </si>
  <si>
    <t>kW/ton da central</t>
  </si>
  <si>
    <t>kW/ton de l'installation</t>
  </si>
  <si>
    <t>PUMP_WORD</t>
  </si>
  <si>
    <t>Bomba</t>
  </si>
  <si>
    <t>Pompe</t>
  </si>
  <si>
    <t>ACTUAL_PCT</t>
  </si>
  <si>
    <t>Atual %</t>
  </si>
  <si>
    <t>Actuel %</t>
  </si>
  <si>
    <t>FUTURE_PCT</t>
  </si>
  <si>
    <t>Futuro %</t>
  </si>
  <si>
    <t>Futur %</t>
  </si>
  <si>
    <t>CHILLER_CYCLING_PCT</t>
  </si>
  <si>
    <t>Porcentaje de ciclos cortos de la enfriadora:</t>
  </si>
  <si>
    <t>Percentual de ciclos curtos do chiller:</t>
  </si>
  <si>
    <t>Pourcentage de cycles courts du groupe froid :</t>
  </si>
  <si>
    <t>CHILLER_WORD</t>
  </si>
  <si>
    <t>Enfriadora</t>
  </si>
  <si>
    <t>Groupe froid</t>
  </si>
  <si>
    <t>CHILLERS_ON</t>
  </si>
  <si>
    <t>Enfriadoras encendidas</t>
  </si>
  <si>
    <t>Chillers ligados</t>
  </si>
  <si>
    <t>Groupes froids en marche</t>
  </si>
  <si>
    <t>ANNUAL_GAL</t>
  </si>
  <si>
    <t>Gal. anuales</t>
  </si>
  <si>
    <t>Gal. anuais</t>
  </si>
  <si>
    <t>Gal. annuels</t>
  </si>
  <si>
    <t>INFLATION_RATE_SHORT</t>
  </si>
  <si>
    <t>Tasa de inflación</t>
  </si>
  <si>
    <t>Taxa de inflação</t>
  </si>
  <si>
    <t>Taux d'inflation</t>
  </si>
  <si>
    <t>TODAY_WORD</t>
  </si>
  <si>
    <t>Hoy</t>
  </si>
  <si>
    <t>Hoje</t>
  </si>
  <si>
    <t>Aujourd'hui</t>
  </si>
  <si>
    <t>DATE_WORD</t>
  </si>
  <si>
    <t>Fecha:</t>
  </si>
  <si>
    <t>Data:</t>
  </si>
  <si>
    <t>Date :</t>
  </si>
  <si>
    <t>SINGLE_INVESTMENT</t>
  </si>
  <si>
    <t>Inversión única</t>
  </si>
  <si>
    <t>Investimento único</t>
  </si>
  <si>
    <t>Investissement unique</t>
  </si>
  <si>
    <t>PHASED_INVESTMENT</t>
  </si>
  <si>
    <t>Inversión escalonada</t>
  </si>
  <si>
    <t>Investimento em fases</t>
  </si>
  <si>
    <t>Investissement échelonné</t>
  </si>
  <si>
    <t>FINANCED_INVESTMENT</t>
  </si>
  <si>
    <t>Inversión financiada</t>
  </si>
  <si>
    <t>Investimento financiado</t>
  </si>
  <si>
    <t>Investissement financé</t>
  </si>
  <si>
    <t>SUBTOTAL_WORD</t>
  </si>
  <si>
    <t>Sous-total</t>
  </si>
  <si>
    <t>REBATE_AT_START</t>
  </si>
  <si>
    <t>Reembolso recibido al inicio del proyecto</t>
  </si>
  <si>
    <t>Reembolso recebido no início do projeto</t>
  </si>
  <si>
    <t>Remise reçue au démarrage du projet</t>
  </si>
  <si>
    <t>SUBTOTAL_OUTFLOWS</t>
  </si>
  <si>
    <t>Subtotal de salidas</t>
  </si>
  <si>
    <t>Subtotal de saídas</t>
  </si>
  <si>
    <t>Sous-total des sorties</t>
  </si>
  <si>
    <t>MAINT_PENALTY_SAVINGS</t>
  </si>
  <si>
    <t>Ahorro en mantenimiento/penalizaciones</t>
  </si>
  <si>
    <t>Economia em manutenção/penalidades</t>
  </si>
  <si>
    <t>Économies de maintenance/pénalités</t>
  </si>
  <si>
    <t>REBATE_AFTER_START</t>
  </si>
  <si>
    <t>Reembolsos recibidos después del inicio del proyecto</t>
  </si>
  <si>
    <t>Reembolsos recebidos após o início do projeto</t>
  </si>
  <si>
    <t>Remises reçues après le démarrage du projet</t>
  </si>
  <si>
    <t>SUBTOTAL_INFLOWS</t>
  </si>
  <si>
    <t>Subtotal de entradas</t>
  </si>
  <si>
    <t>Sous-total des entrées</t>
  </si>
  <si>
    <t>PV_OUTFLOWS_SIR</t>
  </si>
  <si>
    <t>PV_INFLOWS_SIR</t>
  </si>
  <si>
    <t>CUMULATIVE_CASH_FLOWS</t>
  </si>
  <si>
    <t>Flujos de caja acumulados</t>
  </si>
  <si>
    <t>Fluxos de caixa acumulados</t>
  </si>
  <si>
    <t>Flux de trésorerie cumulés</t>
  </si>
  <si>
    <t>ANNUAL_PV</t>
  </si>
  <si>
    <t>Valor presente anual</t>
  </si>
  <si>
    <t>Valeur actuelle annuelle</t>
  </si>
  <si>
    <t>CUMULATIVE_PV</t>
  </si>
  <si>
    <t>Valor presente acumulado</t>
  </si>
  <si>
    <t>Valeur actuelle cumulée</t>
  </si>
  <si>
    <t>RETURNS_VARY_NOTE</t>
  </si>
  <si>
    <t>*Nota: Ciertos rendimientos varían según la duración del período de análisis*</t>
  </si>
  <si>
    <t>*Nota: Alguns retornos variam conforme a duração do período de análise*</t>
  </si>
  <si>
    <t>*Remarque : certains rendements varient selon la durée de la période d'analyse*</t>
  </si>
  <si>
    <t>TEN_YEAR</t>
  </si>
  <si>
    <t>10 años</t>
  </si>
  <si>
    <t>10 anos</t>
  </si>
  <si>
    <t>10 ans</t>
  </si>
  <si>
    <t>NPV_LABEL</t>
  </si>
  <si>
    <t>Valor presente neto (VPN)</t>
  </si>
  <si>
    <t>Valor presente líquido (VPL)</t>
  </si>
  <si>
    <t>Valeur actuelle nette (VAN)</t>
  </si>
  <si>
    <t>SPP_LABEL</t>
  </si>
  <si>
    <t>Período de recuperación simple (PRS)</t>
  </si>
  <si>
    <t>Período de retorno simples (PRS)</t>
  </si>
  <si>
    <t>Délai de récupération simple (DRS)</t>
  </si>
  <si>
    <t>ROI_LABEL</t>
  </si>
  <si>
    <t>Retorno de la inversión (ROI)</t>
  </si>
  <si>
    <t>Retorno sobre o investimento (ROI)</t>
  </si>
  <si>
    <t>Retour sur investissement (ROI)</t>
  </si>
  <si>
    <t>IRR_LABEL</t>
  </si>
  <si>
    <t>Tasa interna de retorno (TIR)</t>
  </si>
  <si>
    <t>Taxa interna de retorno (TIR)</t>
  </si>
  <si>
    <t>Taux de rentabilité interne (TRI)</t>
  </si>
  <si>
    <t>MIRR_LABEL</t>
  </si>
  <si>
    <t>SIR_LABEL</t>
  </si>
  <si>
    <t>Relación ahorro-inversión (SIR)</t>
  </si>
  <si>
    <t>Relação economia-investimento (SIR)</t>
  </si>
  <si>
    <t>Ratio économies-investissement (SIR)</t>
  </si>
  <si>
    <t>DISCLAIMER_TEXT</t>
  </si>
  <si>
    <t>Copyright de BELIMO Aircontrols (USA), Inc., Danbury, CT, 2014. Esta es una herramienta de estimación. Los resultados dependen de la precisión de los valores ingresados y de los detalles específicos de la planta. Para obtener resultados más precisos, se necesitan datos adicionales de la planta y software de modelado complejo. Para analizar mejor una planta existente, Belimo recomienda instalar 3 Energy Valves en ubicaciones estratégicas para obtener datos medidos reales.</t>
  </si>
  <si>
    <t>Direitos autorais da BELIMO Aircontrols (USA), Inc., Danbury, CT, 2014. Esta é uma ferramenta de estimativa. Os resultados dependem da precisão dos valores inseridos e dos detalhes específicos da instalação. Para resultados mais precisos, são necessários dados adicionais da instalação e software de modelagem complexo. Para analisar melhor uma instalação existente, a Belimo recomenda instalar 3 Energy Valves em locais estratégicos para obter dados medidos reais.</t>
  </si>
  <si>
    <t>Copyright BELIMO Aircontrols (USA), Inc., Danbury, CT, 2014. Il s'agit d'un outil d'estimation. Les résultats dépendent de la précision des valeurs saisies et des détails spécifiques de l'installation. Pour des résultats plus précis, des données supplémentaires sur l'installation et un logiciel de modélisation complexe sont nécessaires. Afin de mieux analyser une installation existante, Belimo recommande d'installer 3 Energy Valves à des emplacements stratégiques pour obtenir des données mesurées réelles.</t>
  </si>
  <si>
    <t>TOTAL_CHILLER_PLANT_ENERGY</t>
  </si>
  <si>
    <t>Consumo total de energía de la planta de enfriadoras</t>
  </si>
  <si>
    <t>Consumo total de energia da central de chillers</t>
  </si>
  <si>
    <t>Consommation totale d'énergie de l'installation frigorifique</t>
  </si>
  <si>
    <t>RESULTS_HIGHLIGHTS_TITLE</t>
  </si>
  <si>
    <t>Financial &amp; Environmental Highlights</t>
  </si>
  <si>
    <t>Aspectos financieros y ambientales destacados</t>
  </si>
  <si>
    <t>Destaques financeiros e ambientais</t>
  </si>
  <si>
    <t>Points forts financiers et environnementaux</t>
  </si>
  <si>
    <t>V.2026.11.0</t>
  </si>
  <si>
    <t>MECHANISM_TITLE</t>
  </si>
  <si>
    <t>How Energy Valves Deliver Savings</t>
  </si>
  <si>
    <t>Cómo las Energy Valves generan ahorro</t>
  </si>
  <si>
    <t>Como as Energy Valves geram economia</t>
  </si>
  <si>
    <t>Comment les Energy Valves génèrent des économies</t>
  </si>
  <si>
    <t>HERO_SAVINGS_LABEL</t>
  </si>
  <si>
    <t>Total Annual Savings</t>
  </si>
  <si>
    <t>Ahorro total anual</t>
  </si>
  <si>
    <t>Economia total anual</t>
  </si>
  <si>
    <t>Économies totales annuelles</t>
  </si>
  <si>
    <t>HERO_ENERGY_LABEL</t>
  </si>
  <si>
    <t>Total Annual Energy Saved</t>
  </si>
  <si>
    <t>Energía total ahorrada al año</t>
  </si>
  <si>
    <t>Energia total economizada por ano</t>
  </si>
  <si>
    <t>Énergie totale économisée par an</t>
  </si>
  <si>
    <t>FROM_REDUCED_FLOW</t>
  </si>
  <si>
    <t>(from reduced pump flow)</t>
  </si>
  <si>
    <t>(por reducción del caudal de bombeo)</t>
  </si>
  <si>
    <t>(pela redução da vazão de bombeamento)</t>
  </si>
  <si>
    <t>(grâce à la réduction du débit de pompage)</t>
  </si>
  <si>
    <t>FROM_IMPROVED_EFFICIENCY</t>
  </si>
  <si>
    <t>(from improved chiller efficiency)</t>
  </si>
  <si>
    <t>(por mejora en la eficiencia de la enfriadora)</t>
  </si>
  <si>
    <t>(pela melhoria na eficiência do chiller)</t>
  </si>
  <si>
    <t>(grâce à l'amélioration du rendement du groupe froid)</t>
  </si>
  <si>
    <t>UTILITY_REBATE_TITLE</t>
  </si>
  <si>
    <t>Utility Rebate Support</t>
  </si>
  <si>
    <t>Respaldo para incentivos de la compañía eléctrica</t>
  </si>
  <si>
    <t>Suporte para incentivos da concessionária</t>
  </si>
  <si>
    <t>Justificatif pour subventions du fournisseur d'énergie</t>
  </si>
  <si>
    <t>METHODOLOGY_NOTE</t>
  </si>
  <si>
    <t>This analysis uses a bin-based energy model built on region-specific weather data and standard pump affinity-law calculations, providing a defensible basis for utility rebate and incentive program verification.</t>
  </si>
  <si>
    <t>Este análisis utiliza un modelo energético por intervalos (bins), basado en datos climáticos regionales y en las leyes de afinidad estándar para bombas, lo que ofrece una base sólida para la verificación de programas de incentivos de la compañía eléctrica.</t>
  </si>
  <si>
    <t>Esta análise utiliza um modelo energético por faixas (bins), baseado em dados climáticos regionais e nas leis de afinidade padrão para bombas, oferecendo uma base sólida para a verificação de programas de incentivo da concessionária.</t>
  </si>
  <si>
    <t>Cette analyse utilise un modèle énergétique par plages (bins), basé sur des données climatiques régionales et sur les lois d'affinité standard des pompes, fournissant une base solide pour la vérification des programmes de subventions du fournisseur d'énergie.</t>
  </si>
  <si>
    <t>SAVE_SETTINGS_LABEL</t>
  </si>
  <si>
    <t>Save Settings</t>
  </si>
  <si>
    <t>Guardar configuración</t>
  </si>
  <si>
    <t>Salvar configurações</t>
  </si>
  <si>
    <t>Enregistrer les paramètres</t>
  </si>
  <si>
    <t>ABOUT_TITLE</t>
  </si>
  <si>
    <t>About</t>
  </si>
  <si>
    <t>Acerca de</t>
  </si>
  <si>
    <t>Sobre</t>
  </si>
  <si>
    <t>À propos</t>
  </si>
  <si>
    <t>ABOUT_VERSION_LABEL</t>
  </si>
  <si>
    <t>Version:</t>
  </si>
  <si>
    <t>Versión:</t>
  </si>
  <si>
    <t>Versão:</t>
  </si>
  <si>
    <t>Version :</t>
  </si>
  <si>
    <t>ABOUT_DATE_LABEL</t>
  </si>
  <si>
    <t>Last Updated:</t>
  </si>
  <si>
    <t>Última actualización:</t>
  </si>
  <si>
    <t>Última atualização:</t>
  </si>
  <si>
    <t>Dernière mise à jour :</t>
  </si>
  <si>
    <t>ABOUT_MAINTAINER_LABEL</t>
  </si>
  <si>
    <t>Maintained by:</t>
  </si>
  <si>
    <t>Mantenido por:</t>
  </si>
  <si>
    <t>Mantido por:</t>
  </si>
  <si>
    <t>Maintenu par :</t>
  </si>
  <si>
    <t>ABOUT_CONTACT_LABEL</t>
  </si>
  <si>
    <t>Contact:</t>
  </si>
  <si>
    <t>Contacto:</t>
  </si>
  <si>
    <t>Contato:</t>
  </si>
  <si>
    <t>Contact :</t>
  </si>
  <si>
    <t>ABOUT_CLOSE_LABEL</t>
  </si>
  <si>
    <t>Close</t>
  </si>
  <si>
    <t>Cerrar</t>
  </si>
  <si>
    <t>Fechar</t>
  </si>
  <si>
    <t>Fermer</t>
  </si>
  <si>
    <t>VALUE</t>
  </si>
  <si>
    <t>UNIT</t>
  </si>
  <si>
    <t>Configuration de l’installation</t>
  </si>
  <si>
    <t>Taux d’actualisation</t>
  </si>
  <si>
    <t>English</t>
  </si>
  <si>
    <t>Español</t>
  </si>
  <si>
    <t>Português</t>
  </si>
  <si>
    <t>Français</t>
  </si>
  <si>
    <t>Con Edison C&amp;I Rebate Estimate</t>
  </si>
  <si>
    <t>Project classification</t>
  </si>
  <si>
    <t>Chilled water pump motor</t>
  </si>
  <si>
    <t>Con Edison lookups</t>
  </si>
  <si>
    <t>Con Edison savings calculation</t>
  </si>
  <si>
    <t>Incentive</t>
  </si>
  <si>
    <t>Compared with this tool</t>
  </si>
  <si>
    <t>Building type</t>
  </si>
  <si>
    <t>HVAC system</t>
  </si>
  <si>
    <t>Pump motor nameplate HP</t>
  </si>
  <si>
    <t>Number of motor poles</t>
  </si>
  <si>
    <t>Enclosed or open motor</t>
  </si>
  <si>
    <t>TRM classification</t>
  </si>
  <si>
    <t>Distribution type used</t>
  </si>
  <si>
    <t>Equivalent full load hours (EFLH)</t>
  </si>
  <si>
    <t>Operating hours Con Edison will use</t>
  </si>
  <si>
    <t>Pump motor efficiency</t>
  </si>
  <si>
    <t>Design pump flow</t>
  </si>
  <si>
    <t>Average existing flow</t>
  </si>
  <si>
    <t>Average proposed flow</t>
  </si>
  <si>
    <t>Flow reduction (capped at 30%)</t>
  </si>
  <si>
    <t>Existing pump energy</t>
  </si>
  <si>
    <t>Pump energy savings</t>
  </si>
  <si>
    <t>Chiller savings (0.5% cap)</t>
  </si>
  <si>
    <t>Total claimable savings</t>
  </si>
  <si>
    <t>Incentive rate</t>
  </si>
  <si>
    <t>Gross incentive</t>
  </si>
  <si>
    <t>Project cost</t>
  </si>
  <si>
    <t>Cap: 50% of project cost</t>
  </si>
  <si>
    <t>Estimated incentive</t>
  </si>
  <si>
    <t>Con Edison credits</t>
  </si>
  <si>
    <t>GPM</t>
  </si>
  <si>
    <t>Building Type</t>
  </si>
  <si>
    <t>TRM Class</t>
  </si>
  <si>
    <t>Distribution</t>
  </si>
  <si>
    <t>Combined</t>
  </si>
  <si>
    <t>EFLH Cooling</t>
  </si>
  <si>
    <t>Assembly</t>
  </si>
  <si>
    <t>Small Commercial</t>
  </si>
  <si>
    <t>n/a</t>
  </si>
  <si>
    <t>Assembly n/a</t>
  </si>
  <si>
    <t>Auto Related</t>
  </si>
  <si>
    <t>Auto Related n/a</t>
  </si>
  <si>
    <t>Automotive/Transportation Service or Repair Facility (24/7)</t>
  </si>
  <si>
    <t>Automotive/Transportation Service or Repair Facility (24/7) n/a</t>
  </si>
  <si>
    <t>Bakery</t>
  </si>
  <si>
    <t>Bakery n/a</t>
  </si>
  <si>
    <t>Banks</t>
  </si>
  <si>
    <t>Banks n/a</t>
  </si>
  <si>
    <t>Cafeteria</t>
  </si>
  <si>
    <t>Cafeteria n/a</t>
  </si>
  <si>
    <t>College - University</t>
  </si>
  <si>
    <t>Large Commercial</t>
  </si>
  <si>
    <t>CAV econ</t>
  </si>
  <si>
    <t>College - University CAV econ</t>
  </si>
  <si>
    <t>CAV nonecon</t>
  </si>
  <si>
    <t>College - University CAV nonecon</t>
  </si>
  <si>
    <t>VAV econ</t>
  </si>
  <si>
    <t>College - University VAV econ</t>
  </si>
  <si>
    <t>College - Community</t>
  </si>
  <si>
    <t>College - Community CAV econ</t>
  </si>
  <si>
    <t>College - Community CAV nonecon</t>
  </si>
  <si>
    <t>College - Community VAV econ</t>
  </si>
  <si>
    <t>Commercial Condos</t>
  </si>
  <si>
    <t>Commercial Condos n/a</t>
  </si>
  <si>
    <t>Convenience Stores</t>
  </si>
  <si>
    <t>Convenience Stores n/a</t>
  </si>
  <si>
    <t>Convention Center</t>
  </si>
  <si>
    <t>Convention Center n/a</t>
  </si>
  <si>
    <t>Court House</t>
  </si>
  <si>
    <t>Court House CAV econ</t>
  </si>
  <si>
    <t>Court House CAV nonecon</t>
  </si>
  <si>
    <t>Court House VAV econ</t>
  </si>
  <si>
    <t>Dormitory</t>
  </si>
  <si>
    <t>Multi-Family High Rise</t>
  </si>
  <si>
    <t>Fan Coil</t>
  </si>
  <si>
    <t>Dormitory Fan Coil</t>
  </si>
  <si>
    <t>Entertainment</t>
  </si>
  <si>
    <t>Entertainment n/a</t>
  </si>
  <si>
    <t>Exercise Center</t>
  </si>
  <si>
    <t>Exercise Center n/a</t>
  </si>
  <si>
    <t>Grocery/Food Store</t>
  </si>
  <si>
    <t>Grocery/Food Store n/a</t>
  </si>
  <si>
    <t>Gymnasium</t>
  </si>
  <si>
    <t>Gymnasium n/a</t>
  </si>
  <si>
    <t>Hospital</t>
  </si>
  <si>
    <t>Hospital CAV econ</t>
  </si>
  <si>
    <t>Hospital CAV nonecon</t>
  </si>
  <si>
    <t>Hospital VAV econ</t>
  </si>
  <si>
    <t>Industrial/Manufacturing</t>
  </si>
  <si>
    <t>Industrial/Manufacturing n/a</t>
  </si>
  <si>
    <t>Laundromats</t>
  </si>
  <si>
    <t>Laundromats n/a</t>
  </si>
  <si>
    <t>Library</t>
  </si>
  <si>
    <t>Library CAV econ</t>
  </si>
  <si>
    <t>Library CAV nonecon</t>
  </si>
  <si>
    <t>Library VAV econ</t>
  </si>
  <si>
    <t>Lodging - Hotel</t>
  </si>
  <si>
    <t>Lodging - Hotel CAV econ</t>
  </si>
  <si>
    <t>Lodging - Hotel CAV nonecon</t>
  </si>
  <si>
    <t>Lodging - Hotel VAV econ</t>
  </si>
  <si>
    <t>Lodging - Motel</t>
  </si>
  <si>
    <t>Lodging - Motel n/a</t>
  </si>
  <si>
    <t>Mall Concourse</t>
  </si>
  <si>
    <t>Mall Concourse CAV econ</t>
  </si>
  <si>
    <t>Mall Concourse CAV nonecon</t>
  </si>
  <si>
    <t>Mall Concourse VAV econ</t>
  </si>
  <si>
    <t>Medical Offices</t>
  </si>
  <si>
    <t>Medical Offices n/a</t>
  </si>
  <si>
    <t>Motion Picture Theatre</t>
  </si>
  <si>
    <t>Motion Picture Theatre n/a</t>
  </si>
  <si>
    <t>Museum</t>
  </si>
  <si>
    <t>Museum n/a</t>
  </si>
  <si>
    <t>Nursing Homes High-Rise</t>
  </si>
  <si>
    <t>Nursing Homes High-Rise n/a</t>
  </si>
  <si>
    <t>Nursing Homes Low-Rise</t>
  </si>
  <si>
    <t>Multi-Family Low-Rise</t>
  </si>
  <si>
    <t>Nursing Homes Low-Rise n/a</t>
  </si>
  <si>
    <t>Office - Large</t>
  </si>
  <si>
    <t>Office - Large CAV econ</t>
  </si>
  <si>
    <t>Office - Large CAV nonecon</t>
  </si>
  <si>
    <t>Office - Large VAV econ</t>
  </si>
  <si>
    <t>Office - Small</t>
  </si>
  <si>
    <t>Office - Small n/a</t>
  </si>
  <si>
    <t>Parking Garage</t>
  </si>
  <si>
    <t>Parking Garage n/a</t>
  </si>
  <si>
    <t>Parking Lot</t>
  </si>
  <si>
    <t>Parking Lot n/a</t>
  </si>
  <si>
    <t>Penitentiary</t>
  </si>
  <si>
    <t>Penitentiary n/a</t>
  </si>
  <si>
    <t>Performing Arts Theatre</t>
  </si>
  <si>
    <t>Performing Arts Theatre n/a</t>
  </si>
  <si>
    <t>Police/Firestation</t>
  </si>
  <si>
    <t>Police/Firestation n/a</t>
  </si>
  <si>
    <t>Post Office</t>
  </si>
  <si>
    <t>Post Office n/a</t>
  </si>
  <si>
    <t>Pump Stations</t>
  </si>
  <si>
    <t>Pump Stations n/a</t>
  </si>
  <si>
    <t>Religious/Church</t>
  </si>
  <si>
    <t>Religious/Church n/a</t>
  </si>
  <si>
    <t>Restaurant - Quick Service/Fast Food</t>
  </si>
  <si>
    <t>Restaurant - Quick Service/Fast Food n/a</t>
  </si>
  <si>
    <t>Restaurant - Casual Dining</t>
  </si>
  <si>
    <t>Restaurant - Casual Dining n/a</t>
  </si>
  <si>
    <t>Restaurant - Full Service</t>
  </si>
  <si>
    <t>Restaurant - Full Service n/a</t>
  </si>
  <si>
    <t>Retail - Large</t>
  </si>
  <si>
    <t>Retail - Large CAV econ</t>
  </si>
  <si>
    <t>Retail - Large CAV nonecon</t>
  </si>
  <si>
    <t>Retail - Large VAV econ</t>
  </si>
  <si>
    <t>Retail - Big Box</t>
  </si>
  <si>
    <t>Retail - Big Box n/a</t>
  </si>
  <si>
    <t>Retail - Small</t>
  </si>
  <si>
    <t>Retail - Small n/a</t>
  </si>
  <si>
    <t>School - Jr./Sr. High</t>
  </si>
  <si>
    <t>School - Jr./Sr. High CAV econ</t>
  </si>
  <si>
    <t>School - Jr./Sr. High CAV nonecon</t>
  </si>
  <si>
    <t>School - Jr./Sr. High VAV econ</t>
  </si>
  <si>
    <t>School - Preschool/Elementary</t>
  </si>
  <si>
    <t>School - Preschool/Elementary n/a</t>
  </si>
  <si>
    <t>School - Technical/Vocational</t>
  </si>
  <si>
    <t>School - Technical/Vocational CAV econ</t>
  </si>
  <si>
    <t>School - Technical/Vocational CAV nonecon</t>
  </si>
  <si>
    <t>School - Technical/Vocational VAV econ</t>
  </si>
  <si>
    <t>Small Services</t>
  </si>
  <si>
    <t>Small Services n/a</t>
  </si>
  <si>
    <t>Sports Arena</t>
  </si>
  <si>
    <t>Sports Arena n/a</t>
  </si>
  <si>
    <t>Town Hall</t>
  </si>
  <si>
    <t>Town Hall n/a</t>
  </si>
  <si>
    <t>Transportation</t>
  </si>
  <si>
    <t>Transportation n/a</t>
  </si>
  <si>
    <t>Warehouse - Refrigerated</t>
  </si>
  <si>
    <t>Refrigerated Warehouse</t>
  </si>
  <si>
    <t>Warehouse - Refrigerated n/a</t>
  </si>
  <si>
    <t>Warehouse - Non-Refrigerated</t>
  </si>
  <si>
    <t>Warehouse - Non-Refrigerated n/a</t>
  </si>
  <si>
    <t>Waste Water Treatment Plant</t>
  </si>
  <si>
    <t>Waste Water Treatment Plant n/a</t>
  </si>
  <si>
    <t>Workshop</t>
  </si>
  <si>
    <t>Workshop n/a</t>
  </si>
  <si>
    <t>MF Vintage</t>
  </si>
  <si>
    <t>Multi-Family High-Rise</t>
  </si>
  <si>
    <t>Pre-War Uninsulated Brick</t>
  </si>
  <si>
    <t>Prior to 1979</t>
  </si>
  <si>
    <t>From 1979 Through 2006</t>
  </si>
  <si>
    <t>From 2007 Through Present</t>
  </si>
  <si>
    <t>Motor HP</t>
  </si>
  <si>
    <t>Pole</t>
  </si>
  <si>
    <t>Enclosure</t>
  </si>
  <si>
    <t>Min FL Eff</t>
  </si>
  <si>
    <t>2 Pole - 3,600 RPM</t>
  </si>
  <si>
    <t>Enclosed</t>
  </si>
  <si>
    <t>Open</t>
  </si>
  <si>
    <t>4 Pole - 1,800 RPM</t>
  </si>
  <si>
    <t>6 Pole - 1,200 RPM</t>
  </si>
  <si>
    <t>8 Pole - 900 RPM</t>
  </si>
  <si>
    <t>Building types</t>
  </si>
  <si>
    <t>HVAC</t>
  </si>
  <si>
    <t>Vintage</t>
  </si>
  <si>
    <t>Poles</t>
  </si>
  <si>
    <t>Chiller baseline energy</t>
  </si>
  <si>
    <t>This tool — pump</t>
  </si>
  <si>
    <t>Con Edison — pump</t>
  </si>
  <si>
    <t>This tool — chiller</t>
  </si>
  <si>
    <t>Con Edison — chiller</t>
  </si>
  <si>
    <t>The Energy Valve qualifies under Building Automation Systems (program manual §2.2.6). Con Edison applies caps this tool does not, so the figures here are what they will actually credit — not what the Home sheet shows. English and US units throughout, because the C&amp;I program is New York City only.</t>
  </si>
  <si>
    <t>Fill these in from the site survey.</t>
  </si>
  <si>
    <t>The single biggest driver of the whole result — it sets the EFLH cap below. Must match Con Edison's list exactly.</t>
  </si>
  <si>
    <t>Only used when the TRM class comes back as Large Commercial. Everything else falls back to n/a.</t>
  </si>
  <si>
    <t>Building vintage</t>
  </si>
  <si>
    <t>Only read when Building type is Multi-Family High-Rise. Ignored otherwise.</t>
  </si>
  <si>
    <t>From the motor nameplate, not the calculated duty.</t>
  </si>
  <si>
    <t>Nameplate horsepower, not brake HP. Round up to the next standard motor size.</t>
  </si>
  <si>
    <t>With HP and enclosure this selects the efficiency Con Edison looks up. 4-pole covers most CHW pumps.</t>
  </si>
  <si>
    <t>TEFC reads as Enclosed, ODP as Open.</t>
  </si>
  <si>
    <t>Derived from their tables — nothing to enter here.</t>
  </si>
  <si>
    <t>Con Edison's own mapping. Large Commercial gets an HVAC-specific EFLH; everything else uses n/a.</t>
  </si>
  <si>
    <t>Dormitory is forced to Fan Coil; non-Large-Commercial is forced to n/a; otherwise your HVAC choice.</t>
  </si>
  <si>
    <t>Cooling EFLH from Con Edison's table. Spans 0 h (parking garage) to 2,884 h (hotel).</t>
  </si>
  <si>
    <t>MIN(EFLH, your actual hours). Your real run hours only count if they are LOWER than the table.</t>
  </si>
  <si>
    <t>From Con Edison's motor table by HP + poles + enclosure. Falls back to 90% if the combination is not listed.</t>
  </si>
  <si>
    <t>Their method, using your Home sheet inputs.</t>
  </si>
  <si>
    <t>Design cooling load × 24 ÷ design Delta-T, from the Home sheet.</t>
  </si>
  <si>
    <t>Average flow at your Actual Delta-T, read from the Home sheet's Delta-T table.</t>
  </si>
  <si>
    <t>Average flow at your Future Delta-T.</t>
  </si>
  <si>
    <t>MIN(flow-based, Delta-T-based, 30%). Con Edison will not credit beyond 30% however good the Delta-T improvement.</t>
  </si>
  <si>
    <t>kWh / yr</t>
  </si>
  <si>
    <t>Their model: HP × MIN(1, 0.75 × (existing ÷ design flow)^2.7) × 0.746 × hours ÷ efficiency. Note the 2.7 exponent, not the cube law.</t>
  </si>
  <si>
    <t>Existing pump energy × flow reduction.</t>
  </si>
  <si>
    <t>Design tons × kW/ton × hours. Matches Con Edison's Chiller Peak Load field.</t>
  </si>
  <si>
    <t>Baseline × MIN(0.0012 per °F, 0.5%). Con Edison credits almost nothing on the chiller side — see the note below.</t>
  </si>
  <si>
    <t>Pump + chiller. This is the number the rebate is paid on.</t>
  </si>
  <si>
    <t>Building Automation Systems rate, program manual §2.2.6.</t>
  </si>
  <si>
    <t>BAS electric rate. Steam is $80/Mlbs, gas $5/therm, fuel oil $10/gal if those apply.</t>
  </si>
  <si>
    <t>Claimable kWh × rate, before the cap.</t>
  </si>
  <si>
    <t>Investment from the Home sheet. Con Edison's form wants labour and materials entered separately.</t>
  </si>
  <si>
    <t>Incentives cannot exceed 50% of project cost, 100% of each measure cost, or $1,000,000 per account per year.</t>
  </si>
  <si>
    <t>The lower of gross incentive and the cap. This is what to quote.</t>
  </si>
  <si>
    <t>Where the two methods part company.</t>
  </si>
  <si>
    <t>Our pump saving, converted from the Home sheet's cost saving at your electricity rate.</t>
  </si>
  <si>
    <t>Lower mainly because their hours are capped at EFLH.</t>
  </si>
  <si>
    <t>Our chiller saving — this is where most of the Energy Valve's value sits.</t>
  </si>
  <si>
    <t>Almost nothing, because of their 0.5% floor.</t>
  </si>
  <si>
    <t>This tool — total</t>
  </si>
  <si>
    <t>Total annual saving as modelled by this tool.</t>
  </si>
  <si>
    <t>Share of our figure that Con Edison will actually pay on.</t>
  </si>
  <si>
    <t>Most of the gap is the chiller side. This tool models low Delta-T syndrome — at a poor Delta-T more chillers must run to move the same tons, so correcting it saves real chiller energy. Con Edison's method credits only 0.0012 per °F, floored at 0.5% of chiller consumption, so it recognises almost none of that. Set customer expectations to the pump saving.</t>
  </si>
  <si>
    <t>NWS Neighborhood Bonus pays $2,000 per kW of summer coincident peak reduction, minimum 15 kW. A Delta-T improvement normally gives no peak reduction at all — at design conditions the flow is already capped either way — so do not count on it unless the Future Delta-T exceeds design. Verified against this tool's own power tables.</t>
  </si>
  <si>
    <t>Enter these in Con Edison's calculator</t>
  </si>
  <si>
    <t>Their 'Savings Validation' sheet, one row per line item, in their column order. Values here are always US units regardless of this workbook's unit selector, because their form is US only.</t>
  </si>
  <si>
    <t>C — Building Type</t>
  </si>
  <si>
    <t>From the dropdown above.</t>
  </si>
  <si>
    <t>D — Building Vintage</t>
  </si>
  <si>
    <t>Only if Building Type is Multi-Family High-Rise; otherwise leave blank.</t>
  </si>
  <si>
    <t>E — HVAC Type</t>
  </si>
  <si>
    <t>F — Total Building Cooling Load (Ton)</t>
  </si>
  <si>
    <t>Design cooling load from Home.</t>
  </si>
  <si>
    <t>G — Chiller Type</t>
  </si>
  <si>
    <t>Manual. Home says "Water Cooled" — pick Con Edison's exact wording, e.g. "Water Cooled, Centrifugal".</t>
  </si>
  <si>
    <t>H — Equipment Annual Operating Hours</t>
  </si>
  <si>
    <t>ACTUAL hours — not the EFLH-capped figure above. Their sheet applies the cap itself.</t>
  </si>
  <si>
    <t>I — Chiller Cooling Capacity (Ton)</t>
  </si>
  <si>
    <t>Design load ÷ number of chillers = per-chiller capacity.</t>
  </si>
  <si>
    <t>J — Chiller Peak Load (Ton)</t>
  </si>
  <si>
    <t>Plant design load.</t>
  </si>
  <si>
    <t>L — Chiller FL kW/Ton</t>
  </si>
  <si>
    <t>Full-load efficiency from Home.</t>
  </si>
  <si>
    <t>M — Chiller IPLV (kW/Ton)</t>
  </si>
  <si>
    <t>Manual — from the chiller submittal. NOT the 0.63 above; that is full-load, a different metric.</t>
  </si>
  <si>
    <t>O — Chiller COP</t>
  </si>
  <si>
    <t>Manual — steam and gas absorption chillers only. Leave blank for electric.</t>
  </si>
  <si>
    <t>Q — CHW Pump Design Capacity (GPM)</t>
  </si>
  <si>
    <t>R — Avg Existing CHW Pump Flow (GPM)</t>
  </si>
  <si>
    <t>May exceed design capacity at a poor Delta-T — that is the 1.25 pump design factor, be ready to explain it.</t>
  </si>
  <si>
    <t>S — Avg Proposed CHW Pump Flow (GPM)</t>
  </si>
  <si>
    <t>U — CHW Pump Motor HP</t>
  </si>
  <si>
    <t>Nameplate.</t>
  </si>
  <si>
    <t>V — Number of Poles in Pump Motor</t>
  </si>
  <si>
    <t>W — Enclosed or Open Pump Motor</t>
  </si>
  <si>
    <t>Y — Design CHW Delta-T (°F)</t>
  </si>
  <si>
    <t>Always °F — Con Edison's form is US units only.</t>
  </si>
  <si>
    <t>Z — Avg Existing CHW Delta-T (°F)</t>
  </si>
  <si>
    <t>AA — Avg Proposed CHW Delta-T (°F)</t>
  </si>
  <si>
    <t>AB — Labor Cost ($)</t>
  </si>
  <si>
    <t>Manual split of the project cost.</t>
  </si>
  <si>
    <t>AC — Materials Cost ($)</t>
  </si>
  <si>
    <t>Manual split. Labor + materials should total the project cost above.</t>
  </si>
  <si>
    <t>Leave Con Edison's columns K, N, P, T, X and AD onward alone — those are their own lookups and formulas (size category, IPLV cap, COP cap, flow reduction, motor efficiency, and every savings and incentive column). Typing into them overwrites their calculation. Grey cells above are filled from this workbook; the pale ones are yours to complete by hand.</t>
  </si>
  <si>
    <t>ANNUAL_WORD</t>
  </si>
  <si>
    <t>Annual</t>
  </si>
  <si>
    <t>Anual</t>
  </si>
  <si>
    <t>Annuel</t>
  </si>
  <si>
    <t>CONED_SUM_TITLE</t>
  </si>
  <si>
    <t>Estimación de Reembolso de Con Edison C&amp;I</t>
  </si>
  <si>
    <t>Estimativa de Reembolso Con Edison C&amp;I</t>
  </si>
  <si>
    <t>Estimation de Remise Con Edison C&amp;I</t>
  </si>
  <si>
    <t>CONED_SUM_INTRO</t>
  </si>
  <si>
    <t>This estimate follows the calculation method of the Con Edison Commercial &amp; Industrial Energy Efficiency Program for Building Automation Systems measures. Final incentive amounts are subject to Con Edison's review of the completed program application.</t>
  </si>
  <si>
    <t>Esta estimación sigue el método de cálculo del Programa de Eficiencia Energética Comercial e Industrial de Con Edison para medidas de Sistemas de Automatización de Edificios. Los montos finales del incentivo están sujetos a la revisión de Con Edison de la solicitud completa del programa.</t>
  </si>
  <si>
    <t>Esta estimativa segue o método de cálculo do Programa de Eficiência Energética Comercial e Industrial da Con Edison para medidas de Sistemas de Automação Predial. Os valores finais do incentivo estão sujeitos à análise da Con Edison sobre a inscrição completa do programa.</t>
  </si>
  <si>
    <t>Cette estimation suit la méthode de calcul du Programme d'Efficacité Énergétique Commercial et Industriel de Con Edison pour les mesures de Systèmes d'Automatisation du Bâtiment. Les montants finaux de l'incitation sont soumis à l'examen par Con Edison du dossier de candidature complet.</t>
  </si>
  <si>
    <t>CONED_SUM_SEC_PROJECT</t>
  </si>
  <si>
    <t>Project Information</t>
  </si>
  <si>
    <t>Información del Proyecto</t>
  </si>
  <si>
    <t>Informações do Projeto</t>
  </si>
  <si>
    <t>Informations sur le Projet</t>
  </si>
  <si>
    <t>CONED_SUM_BUILDING_TYPE</t>
  </si>
  <si>
    <t>Tipo de Edificio</t>
  </si>
  <si>
    <t>Tipo de Edifício</t>
  </si>
  <si>
    <t>Type de Bâtiment</t>
  </si>
  <si>
    <t>CONED_SUM_HVAC</t>
  </si>
  <si>
    <t>HVAC System</t>
  </si>
  <si>
    <t>Sistema HVAC</t>
  </si>
  <si>
    <t>Système CVC</t>
  </si>
  <si>
    <t>CONED_SUM_VINTAGE</t>
  </si>
  <si>
    <t>Building Vintage</t>
  </si>
  <si>
    <t>Antigüedad del Edificio</t>
  </si>
  <si>
    <t>Idade do Edifício</t>
  </si>
  <si>
    <t>Époque du Bâtiment</t>
  </si>
  <si>
    <t>CONED_SUM_SEC_EQUIP</t>
  </si>
  <si>
    <t>Equipment</t>
  </si>
  <si>
    <t>Equipo</t>
  </si>
  <si>
    <t>Equipamento</t>
  </si>
  <si>
    <t>Équipement</t>
  </si>
  <si>
    <t>CONED_SUM_MOTOR_HP</t>
  </si>
  <si>
    <t>Pump Motor (HP)</t>
  </si>
  <si>
    <t>Motor de Bomba (HP)</t>
  </si>
  <si>
    <t>Motor da Bomba (HP)</t>
  </si>
  <si>
    <t>Moteur de Pompe (HP)</t>
  </si>
  <si>
    <t>CONED_SUM_MOTOR_POLES</t>
  </si>
  <si>
    <t>Motor Poles</t>
  </si>
  <si>
    <t>Polos del Motor</t>
  </si>
  <si>
    <t>Polos do Motor</t>
  </si>
  <si>
    <t>Pôles du Moteur</t>
  </si>
  <si>
    <t>CONED_SUM_MOTOR_ENC</t>
  </si>
  <si>
    <t>Motor Enclosure</t>
  </si>
  <si>
    <t>Carcasa del Motor</t>
  </si>
  <si>
    <t>Carcaça do Motor</t>
  </si>
  <si>
    <t>Enveloppe du Moteur</t>
  </si>
  <si>
    <t>CONED_SUM_SEC_SAVINGS</t>
  </si>
  <si>
    <t>Estimated Program Savings</t>
  </si>
  <si>
    <t>Ahorros Estimados del Programa</t>
  </si>
  <si>
    <t>Economia Estimada do Programa</t>
  </si>
  <si>
    <t>Économies Estimées du Programme</t>
  </si>
  <si>
    <t>CONED_SUM_EFLH</t>
  </si>
  <si>
    <t>Equivalent Full Load Hours</t>
  </si>
  <si>
    <t>Horas Equivalentes a Plena Carga</t>
  </si>
  <si>
    <t>Heures Équivalentes Pleine Charge</t>
  </si>
  <si>
    <t>CONED_SUM_PUMP_SAV</t>
  </si>
  <si>
    <t>Pump Energy Savings</t>
  </si>
  <si>
    <t>Ahorro de Energía de Bomba</t>
  </si>
  <si>
    <t>Economia de Energia da Bomba</t>
  </si>
  <si>
    <t>Économies d'Énergie de Pompe</t>
  </si>
  <si>
    <t>CONED_SUM_CHILLER_SAV</t>
  </si>
  <si>
    <t>Chiller Energy Savings</t>
  </si>
  <si>
    <t>Ahorro de Energía del Enfriador</t>
  </si>
  <si>
    <t>Economia de Energia do Chiller</t>
  </si>
  <si>
    <t>Économies d'Énergie du Refroidisseur</t>
  </si>
  <si>
    <t>CONED_SUM_TOTAL_SAV</t>
  </si>
  <si>
    <t>Total Estimated Annual Savings</t>
  </si>
  <si>
    <t>Ahorro Anual Total Estimado</t>
  </si>
  <si>
    <t>Economia Anual Total Estimada</t>
  </si>
  <si>
    <t>Économies Annuelles Totales Estimées</t>
  </si>
  <si>
    <t>CONED_SUM_SEC_INCENTIVE</t>
  </si>
  <si>
    <t>Estimated Incentive</t>
  </si>
  <si>
    <t>Incentivo Estimado</t>
  </si>
  <si>
    <t>Incitation Estimée</t>
  </si>
  <si>
    <t>CONED_SUM_RATE</t>
  </si>
  <si>
    <t>Incentive Rate</t>
  </si>
  <si>
    <t>Tasa de Incentivo</t>
  </si>
  <si>
    <t>Taxa de Incentivo</t>
  </si>
  <si>
    <t>Taux d'Incitation</t>
  </si>
  <si>
    <t>CONED_SUM_PROJ_COST</t>
  </si>
  <si>
    <t>Project Cost</t>
  </si>
  <si>
    <t>Costo del Proyecto</t>
  </si>
  <si>
    <t>Custo do Projeto</t>
  </si>
  <si>
    <t>Coût du Projet</t>
  </si>
  <si>
    <t>CONED_SUM_CAP</t>
  </si>
  <si>
    <t>Program Cap (50% of Project Cost)</t>
  </si>
  <si>
    <t>Límite del Programa (50% del Costo del Proyecto)</t>
  </si>
  <si>
    <t>Limite do Programa (50% do Custo do Projeto)</t>
  </si>
  <si>
    <t>Plafond du Programme (50% du Coût du Projet)</t>
  </si>
  <si>
    <t>CONED_SUM_HERO_LABEL</t>
  </si>
  <si>
    <t>Estimated Annual Incentive</t>
  </si>
  <si>
    <t>Incentivo Anual Estimado</t>
  </si>
  <si>
    <t>Incitation Annuelle Estimée</t>
  </si>
  <si>
    <t>CONED_SUM_SEC_BASIS</t>
  </si>
  <si>
    <t>Program Basis</t>
  </si>
  <si>
    <t>Base del Programa</t>
  </si>
  <si>
    <t>Base do Programa</t>
  </si>
  <si>
    <t>Base du Programme</t>
  </si>
  <si>
    <t>CONED_SUM_METHOD_NOTE</t>
  </si>
  <si>
    <t>Savings are calculated using Con Edison's building-type Equivalent Full Load Hour (EFLH) tables together with the program's standard pump affinity-law and chiller efficiency methodology, consistent with the Commercial &amp; Industrial Energy Efficiency Program Manual.</t>
  </si>
  <si>
    <t>Los ahorros se calculan utilizando las tablas de Horas Equivalentes a Plena Carga (EFLH) de Con Edison según el tipo de edificio, junto con la metodología estándar del programa de leyes de afinidad de bombas y eficiencia de enfriadoras, conforme al Manual del Programa de Eficiencia Energética Comercial e Industrial.</t>
  </si>
  <si>
    <t>As economias são calculadas utilizando as tabelas de Horas Equivalentes a Plena Carga (EFLH) da Con Edison por tipo de edifício, juntamente com a metodologia padrão do programa de leis de afinidade de bombas e eficiência de chillers, de acordo com o Manual do Programa de Eficiência Energética Comercial e Industrial.</t>
  </si>
  <si>
    <t>Les économies sont calculées à l'aide des tables d'Heures Équivalentes Pleine Charge (EFLH) de Con Edison par type de bâtiment, ainsi que de la méthodologie standard du programme relative aux lois de similitude des pompes et à l'efficacité des refroidisseurs, conformément au Manuel du Programme d'Efficacité Énergétique Commercial et Industriel.</t>
  </si>
  <si>
    <t>CONED_SUM_UNIT_KWH_YR</t>
  </si>
  <si>
    <t>kWh / year</t>
  </si>
  <si>
    <t>kWh / año</t>
  </si>
  <si>
    <t>kWh / ano</t>
  </si>
  <si>
    <t>kWh / an</t>
  </si>
  <si>
    <t>CONED_SUM_UNIT_HOURS</t>
  </si>
  <si>
    <t>EXPLORE_DT_TITLE</t>
  </si>
  <si>
    <t>Explore a Custom Delta-T Scenario</t>
  </si>
  <si>
    <t>Explorar un Escenario de Delta-T Personalizado</t>
  </si>
  <si>
    <t>Explorar um Cenário de Delta-T Personalizado</t>
  </si>
  <si>
    <t>Explorer un Scénario de Delta-T Personnalisé</t>
  </si>
  <si>
    <t>EXPLORE_DT_INTRO</t>
  </si>
  <si>
    <t>Home's savings table already calculates six Delta-T points between your Actual and Future/Design settings. Use the spinner below to compare your Actual scenario against any of them, not just the Future value shown above.</t>
  </si>
  <si>
    <t>La tabla de ahorros de Inicio ya calcula seis puntos de Delta-T entre sus valores Actual y Futuro/Diseño. Use el control giratorio a continuación para comparar su escenario Actual con cualquiera de ellos, no solo con el valor Futuro mostrado arriba.</t>
  </si>
  <si>
    <t>A tabela de economia da página Início já calcula seis pontos de Delta-T entre seus valores Atual e Futuro/Projeto. Use o botão giratório abaixo para comparar seu cenário Atual com qualquer um deles, não apenas com o valor Futuro mostrado acima.</t>
  </si>
  <si>
    <t>Le tableau d'économies d'Accueil calcule déjà six points de Delta-T entre vos valeurs Actuel et Futur/Conception. Utilisez le curseur ci-dessous pour comparer votre scénario Actuel à n'importe lequel d'entre eux, pas seulement à la valeur Future indiquée ci-dessus.</t>
  </si>
  <si>
    <t>EXPLORE_DT_ACTUAL_HDR</t>
  </si>
  <si>
    <t>Actual</t>
  </si>
  <si>
    <t>Atual</t>
  </si>
  <si>
    <t>Actuel</t>
  </si>
  <si>
    <t>EXPLORE_DT_CUSTOM_HDR</t>
  </si>
  <si>
    <t>Custom</t>
  </si>
  <si>
    <t>Personalizado</t>
  </si>
  <si>
    <t>Personnalisé</t>
  </si>
  <si>
    <t>EXPLORE_DT_SAVINGS_LABEL</t>
  </si>
  <si>
    <t>Estimated savings: Actual → Custom</t>
  </si>
  <si>
    <t>Ahorro estimado: Actual → Personalizado</t>
  </si>
  <si>
    <t>Economia estimada: Atual → Personalizado</t>
  </si>
  <si>
    <t>Économies estimées : Actuel → Personnalisé</t>
  </si>
  <si>
    <t>EXPLORE_DT_PICK_LABEL</t>
  </si>
  <si>
    <t>Pick a scenario (spinner: 1 = lowest, 6 = Future/Design)</t>
  </si>
  <si>
    <t>Elija un escenario (control: 1 = más bajo, 6 = Futuro/Diseño)</t>
  </si>
  <si>
    <t>Escolha um cenário (botão: 1 = mais baixo, 6 = Futuro/Projeto)</t>
  </si>
  <si>
    <t>Choisissez un scénario (curseur : 1 = le plus bas, 6 = Futur/Conception)</t>
  </si>
  <si>
    <t>EXPLORE_DT_PICK_LABEL_SHORT</t>
  </si>
  <si>
    <t>Explore a different Delta-T:</t>
  </si>
  <si>
    <t>Explore un Delta-T diferente:</t>
  </si>
  <si>
    <t>Explore um Delta-T diferente:</t>
  </si>
  <si>
    <t>Explorez un Delta-T différent :</t>
  </si>
  <si>
    <t>EXPLORE_DT_FROM_LABEL</t>
  </si>
  <si>
    <t>From</t>
  </si>
  <si>
    <t>Desde</t>
  </si>
  <si>
    <t>De</t>
  </si>
  <si>
    <t>EXPLORE_DT_TO_LABEL</t>
  </si>
  <si>
    <t>To</t>
  </si>
  <si>
    <t>Hasta</t>
  </si>
  <si>
    <t>Até</t>
  </si>
  <si>
    <t>À</t>
  </si>
  <si>
    <t>Custom Financial Calc (parallel to Financials/Model_Financials, driven by D79 - never writes to either sheet)</t>
  </si>
  <si>
    <t>Custom Savings (escalating)</t>
  </si>
  <si>
    <t>Custom Annual Cash Flow</t>
  </si>
  <si>
    <t>Custom Annual Present Value</t>
  </si>
  <si>
    <t>Custom NPV (10yr)</t>
  </si>
  <si>
    <t>Custom Payback (SPP)</t>
  </si>
  <si>
    <t>Custom SIR (10yr)</t>
  </si>
  <si>
    <t>Utility Company</t>
  </si>
  <si>
    <t>UTILITY_COMPANY</t>
  </si>
  <si>
    <t>Compañía eléctrica</t>
  </si>
  <si>
    <t>Concessionária de energia</t>
  </si>
  <si>
    <t>Compagnie d'électricité</t>
  </si>
  <si>
    <t>US</t>
  </si>
  <si>
    <t>ft</t>
  </si>
  <si>
    <t>Avg [tons]</t>
  </si>
  <si>
    <t>Cooling Degree Days [°F·day]</t>
  </si>
  <si>
    <t>None</t>
  </si>
  <si>
    <t>Utility</t>
  </si>
  <si>
    <t>Program 1</t>
  </si>
  <si>
    <t>Program 2</t>
  </si>
  <si>
    <t>Program 3</t>
  </si>
  <si>
    <t>Program 4</t>
  </si>
  <si>
    <t>Program 5</t>
  </si>
  <si>
    <t>ConEd</t>
  </si>
  <si>
    <t>C&amp;I Energy Efficiency</t>
  </si>
  <si>
    <t>Eversource</t>
  </si>
  <si>
    <t>Clean Energy</t>
  </si>
  <si>
    <t>PROGRAM</t>
  </si>
  <si>
    <t>Program</t>
  </si>
  <si>
    <t>Programa</t>
  </si>
  <si>
    <t>Programme</t>
  </si>
  <si>
    <t>SELECT_PLACEHOLDER</t>
  </si>
  <si>
    <t>-Select-</t>
  </si>
  <si>
    <t>-Seleccionar-</t>
  </si>
  <si>
    <t>-Selecionar-</t>
  </si>
  <si>
    <t>-Sélectionner-</t>
  </si>
  <si>
    <t>KW2_PRIMARY_PUMP</t>
  </si>
  <si>
    <t>KW2 Constant Speed Primary Pump</t>
  </si>
  <si>
    <t>KW2 Bomba primaria de velocidad constante</t>
  </si>
  <si>
    <t>KW2 Bomba primária de velocidade constante</t>
  </si>
  <si>
    <t>KW2 Pompe primaire à vitesse constante</t>
  </si>
  <si>
    <t>KW3_CONDENSER_PUMP</t>
  </si>
  <si>
    <t>KW3 Condenser Pump</t>
  </si>
  <si>
    <t>KW3 Bomba de condensador</t>
  </si>
  <si>
    <t>KW3 Bomba do condensador</t>
  </si>
  <si>
    <t>KW3 Pompe de condenseur</t>
  </si>
  <si>
    <t>KW4_COOLING_TOWER_FAN</t>
  </si>
  <si>
    <t>KW4 Cooling Tower Fan</t>
  </si>
  <si>
    <t>KW4 Ventilador de torre de enfriamiento</t>
  </si>
  <si>
    <t>KW4 Ventilador da torre de resfriamento</t>
  </si>
  <si>
    <t>KW4 Ventilateur de tour de refroidissement</t>
  </si>
  <si>
    <t>LEGEND_TITLE</t>
  </si>
  <si>
    <t>Legend</t>
  </si>
  <si>
    <t>Leyenda</t>
  </si>
  <si>
    <t>Legenda</t>
  </si>
  <si>
    <t>Légende</t>
  </si>
  <si>
    <t>LEG_COMPRESSOR</t>
  </si>
  <si>
    <t>Compressor</t>
  </si>
  <si>
    <t>Compresor</t>
  </si>
  <si>
    <t>Compresseur</t>
  </si>
  <si>
    <t>LEG_CONDENSER_PUMP</t>
  </si>
  <si>
    <t>Condenser Pump</t>
  </si>
  <si>
    <t>Bomba de condensador</t>
  </si>
  <si>
    <t>Bomba do condensador</t>
  </si>
  <si>
    <t>Pompe de condenseur</t>
  </si>
  <si>
    <t>LEG_COOLING_TOWER_FAN</t>
  </si>
  <si>
    <t>Cooling Tower Fan</t>
  </si>
  <si>
    <t>Ventilador de torre de enfriamiento</t>
  </si>
  <si>
    <t>Ventilador da torre de resfriamento</t>
  </si>
  <si>
    <t>Ventilateur de tour de refroidissement</t>
  </si>
  <si>
    <t>LEG_CHILLER_CONTROLS</t>
  </si>
  <si>
    <t>Chiller Controls</t>
  </si>
  <si>
    <t>Controles de la enfriadora</t>
  </si>
  <si>
    <t>Controles do chiller</t>
  </si>
  <si>
    <t>Régulation du groupe froid</t>
  </si>
  <si>
    <t>LEG_TRANS_OIL_PUMP</t>
  </si>
  <si>
    <t>Transmission Oil Pump and Heater</t>
  </si>
  <si>
    <t>Bomba y calentador de aceite de transmisión</t>
  </si>
  <si>
    <t>Bomba e aquecedor de óleo de transmissão</t>
  </si>
  <si>
    <t>Pompe et réchauffeur d'huile de transmission</t>
  </si>
  <si>
    <t>PUMP_BIN_DETAILS</t>
  </si>
  <si>
    <t>Pump Bin Details</t>
  </si>
  <si>
    <t>Detalle por intervalos de bomba</t>
  </si>
  <si>
    <t>Detalhes por faixa da bomba</t>
  </si>
  <si>
    <t>Détail par plage de la pompe</t>
  </si>
  <si>
    <t>$I$5</t>
  </si>
  <si>
    <t>The relationship between pump flow, head and power follows the affinity laws and the static pressure limits of the model.</t>
  </si>
  <si>
    <t>$A$47</t>
  </si>
  <si>
    <t>$A$61</t>
  </si>
  <si>
    <t>$A$79</t>
  </si>
  <si>
    <t>$A$97</t>
  </si>
  <si>
    <t>PV of Outflows (for SIR)</t>
  </si>
  <si>
    <t>VP de salidas (para el SIR)</t>
  </si>
  <si>
    <t>VP de saídas (para o SIR)</t>
  </si>
  <si>
    <t>VA des sorties (pour le SIR)</t>
  </si>
  <si>
    <t>PV of Inflows (for SIR)</t>
  </si>
  <si>
    <t>VP de entradas (para el SIR)</t>
  </si>
  <si>
    <t>VP de entradas (para o SIR)</t>
  </si>
  <si>
    <t>VA des entrées (pour le SIR)</t>
  </si>
  <si>
    <t>Mod. Internal Rate of Return (MIRR)</t>
  </si>
  <si>
    <t>Tasa interna de retorno mod. (TIRM)</t>
  </si>
  <si>
    <t>Taxa interna de retorno mod. (TIRM)</t>
  </si>
  <si>
    <t>Taux de rentabilité interne mod. (TRIM)</t>
  </si>
  <si>
    <t>$A$33</t>
  </si>
  <si>
    <t>$A$40</t>
  </si>
  <si>
    <t>$A$41</t>
  </si>
  <si>
    <t>$A$42</t>
  </si>
  <si>
    <t>$A$43</t>
  </si>
  <si>
    <t>$A$44</t>
  </si>
  <si>
    <t>$A$45</t>
  </si>
  <si>
    <t>$E$6</t>
  </si>
  <si>
    <t>KW1 – Compressor. Electricity the chiller draws per ton of cooling at FULL load. It is the Chiller design efficiency you entered on Home, so change it there.
Where to find it: the chiller submittal or AHRI certificate (full-load kW/ton), or input kW ÷ rated tons from the nameplate. Do not use IPLV – it is a part-load average and understates energy.
A full-load rating often already includes the chiller's controls and oil pump; if so, KW5 and KW6 double-count slightly.</t>
  </si>
  <si>
    <t>KW1 – Compresor. Electricidad que consume la enfriadora por tonelada de refrigeración a PLENA carga. Es la eficiencia de diseño de la enfriadora introducida en Home; cámbiela allí.
Dónde obtenerlo: la hoja técnica de la enfriadora o el certificado AHRI (kW/ton a plena carga), o los kW de entrada ÷ las toneladas nominales de la placa de características. No use el IPLV: es un promedio a carga parcial y subestima la energía.
La clasificación a plena carga suele incluir ya los controles y la bomba de aceite; en ese caso KW5 y KW6 se cuentan un poco dos veces.</t>
  </si>
  <si>
    <t>KW1 – Compressor. Eletricidade consumida pelo chiller por tonelada de refrigeração a PLENA carga. É a eficiência de projeto do chiller informada na aba Home; altere-a lá.
Onde obter: a folha de dados do chiller ou o certificado AHRI (kW/ton a plena carga), ou os kW de entrada ÷ as toneladas nominais da placa de identificação. Não use o IPLV: é uma média em carga parcial e subestima a energia.
A classificação a plena carga costuma já incluir os controles e a bomba de óleo; nesse caso, KW5 e KW6 contam um pouco em dobro.</t>
  </si>
  <si>
    <t>KW1 – Compresseur. Électricité consommée par le groupe froid par tonne de froid à PLEINE charge. C’est l’efficacité de conception saisie sur l’onglet Home ; modifiez-la là.
Où la trouver : la fiche technique du groupe froid ou le certificat AHRI (kW/ton à pleine charge), ou les kW absorbés ÷ les tonnes nominales de la plaque signalétique. N’utilisez pas l’IPLV : c’est une moyenne à charge partielle qui sous-estime l’énergie.
La valeur à pleine charge inclut souvent déjà les commandes et la pompe à huile ; dans ce cas, KW5 et KW6 sont légèrement comptés deux fois.</t>
  </si>
  <si>
    <t>$E$8</t>
  </si>
  <si>
    <t>KW3 – Condenser pump. The pump moving condenser water between the chiller and the cooling tower. Water-cooled plants only; ignored when Home says Air cooled.
Where to find it: the condenser pump schedule (GPM and head) or the motor nameplate. kW = GPM × ft ÷ (5,308 × efficiency), then ÷ the tons of the chiller it serves.
Typical 0.04–0.055 kW/ton. Default 0.040. A higher value raises the modelled saving – use real data.</t>
  </si>
  <si>
    <t>KW3 – Bomba de condensación. La bomba que mueve el agua de condensación entre la enfriadora y la torre de enfriamiento. Solo plantas enfriadas por agua; se ignora si Home indica enfriada por aire.
Dónde obtenerlo: la tabla de bombas de condensación (GPM y altura) o la placa del motor. kW = GPM × pies ÷ (5.308 × eficiencia), luego ÷ las toneladas de la enfriadora a la que sirve.
Típico 0,04–0,055 kW/ton. Por defecto 0,040. Un valor mayor aumenta el ahorro calculado: use datos reales.</t>
  </si>
  <si>
    <t>KW3 – Bomba de condensação. A bomba que movimenta a água de condensação entre o chiller e a torre de resfriamento. Apenas plantas resfriadas a água; ignorado quando a aba Home indica resfriado a ar.
Onde obter: a tabela das bombas de condensação (GPM e altura) ou a placa do motor. kW = GPM × pés ÷ (5.308 × eficiência), depois ÷ as toneladas do chiller atendido.
Típico 0,04–0,055 kW/ton. Padrão 0,040. Um valor maior aumenta a economia calculada: use dados reais.</t>
  </si>
  <si>
    <t>KW3 – Pompe de condenseur. La pompe qui fait circuler l’eau de condensation entre le groupe froid et la tour de refroidissement. Installations refroidies à eau uniquement ; ignoré si l’onglet Home indique refroidi par air.
Où la trouver : le tableau des pompes de condenseur (GPM et hauteur) ou la plaque du moteur. kW = GPM × pieds ÷ (5 308 × rendement), puis ÷ les tonnes du groupe froid desservi.
Valeur typique 0,04–0,055 kW/ton. Par défaut 0,040. Une valeur plus élevée augmente l’économie calculée : utilisez des données réelles.</t>
  </si>
  <si>
    <t>KW4 – Cooling tower fan. The fan motors that reject the chiller's heat. Water-cooled plants only; ignored when Home says Air cooled.
Where to find it: fan motor HP on the tower submittal or nameplate. Add all fans: kW = HP × 0.746 × load factor (about 0.8) ÷ motor efficiency, then ÷ the tons the tower serves.
Typical 0.02–0.06 kW/ton; fixed-speed fans at the high end. Default 0.040. A higher value raises the modelled saving – use real data.</t>
  </si>
  <si>
    <t>KW4 – Ventilador de la torre de enfriamiento. Los motores de los ventiladores que disipan el calor de la enfriadora. Solo plantas enfriadas por agua; se ignora si Home indica enfriada por aire.
Dónde obtenerlo: los HP del motor en la hoja técnica o la placa de la torre. Sume todos los ventiladores: kW = HP × 0,746 × factor de carga (aprox. 0,8) ÷ eficiencia del motor, luego ÷ las toneladas que atiende la torre.
Típico 0,02–0,06 kW/ton; los de velocidad fija, en el extremo alto. Por defecto 0,040. Un valor mayor aumenta el ahorro calculado: use datos reales.</t>
  </si>
  <si>
    <t>KW4 – Ventilador da torre de resfriamento. Os motores dos ventiladores que rejeitam o calor do chiller. Apenas plantas resfriadas a água; ignorado quando a aba Home indica resfriado a ar.
Onde obter: os HP do motor na folha de dados ou na placa da torre. Some todos os ventiladores: kW = HP × 0,746 × fator de carga (cerca de 0,8) ÷ eficiência do motor, depois ÷ as toneladas atendidas pela torre.
Típico 0,02–0,06 kW/ton; ventiladores de velocidade fixa no extremo alto. Padrão 0,040. Um valor maior aumenta a economia calculada: use dados reais.</t>
  </si>
  <si>
    <t>KW4 – Ventilateur de la tour de refroidissement. Les moteurs de ventilateurs qui rejettent la chaleur du groupe froid. Installations refroidies à eau uniquement ; ignoré si l’onglet Home indique refroidi par air.
Où la trouver : la puissance moteur (HP) sur la fiche technique ou la plaque de la tour. Additionnez tous les ventilateurs : kW = HP × 0,746 × facteur de charge (env. 0,8) ÷ rendement du moteur, puis ÷ les tonnes desservies par la tour.
Valeur typique 0,02–0,06 kW/ton ; ventilateurs à vitesse fixe en haut de la fourchette. Par défaut 0,040. Une valeur plus élevée augmente l’économie calculée : utilisez des données réelles.</t>
  </si>
  <si>
    <t>$E$10</t>
  </si>
  <si>
    <t>KW5 – Chiller controls. The control panel, sensors, actuators and starter electronics – a small, steady load.
Where to find it: control-panel electrical data on the chiller submittal, usually 0.5–2 kW per chiller, ÷ that chiller's rated tons.
Typical 0.002–0.005 kW/ton. Default 0.005. It rarely changes the answer.</t>
  </si>
  <si>
    <t>KW5 – Controles de la enfriadora. El panel de control, sensores, actuadores y electrónica del arrancador: una carga pequeña y constante.
Dónde obtenerlo: datos eléctricos del panel de control en la hoja técnica de la enfriadora, normalmente 0,5–2 kW por enfriadora, ÷ sus toneladas nominales.
Típico 0,002–0,005 kW/ton. Por defecto 0,005. Rara vez cambia el resultado.</t>
  </si>
  <si>
    <t>KW5 – Controles do chiller. O painel de controle, sensores, atuadores e a eletrônica da partida: uma carga pequena e constante.
Onde obter: dados elétricos do painel de controle na folha de dados do chiller, normalmente 0,5–2 kW por chiller, ÷ as toneladas nominais dele.
Típico 0,002–0,005 kW/ton. Padrão 0,005. Raramente muda o resultado.</t>
  </si>
  <si>
    <t>KW5 – Commandes du groupe froid. Le tableau de commande, les capteurs, les actionneurs et l’électronique du démarreur : une charge faible et constante.
Où la trouver : les données électriques du tableau de commande sur la fiche technique, généralement 0,5–2 kW par groupe froid, ÷ ses tonnes nominales.
Valeur typique 0,002–0,005 kW/ton. Par défaut 0,005. Elle change rarement le résultat.</t>
  </si>
  <si>
    <t>$E$11</t>
  </si>
  <si>
    <t>KW6 – Transmission oil pump and heater. The oil pump that lubricates the compressor bearings and gearbox, plus the oil sump heater.
Where to find it: auxiliary electrical data on the chiller submittal – oil pump motor (often 1–3 HP) plus heater (often 1–3 kW), ÷ the chiller's rated tons.
Oil-free chillers with magnetic bearings have neither: enter 0. Default 0.010.</t>
  </si>
  <si>
    <t>KW6 – Bomba de aceite de la transmisión y calentador. La bomba que lubrica los cojinetes del compresor y la caja de engranajes, más el calentador del cárter de aceite.
Dónde obtenerlo: datos eléctricos auxiliares en la hoja técnica: motor de la bomba de aceite (a menudo 1–3 HP) más el calentador (a menudo 1–3 kW), ÷ las toneladas nominales de la enfriadora.
Las enfriadoras sin aceite con cojinetes magnéticos no tienen ninguno de los dos: introduzca 0. Por defecto 0,010.</t>
  </si>
  <si>
    <t>KW6 – Bomba de óleo da transmissão e aquecedor. A bomba que lubrifica os mancais do compressor e a caixa de engrenagens, mais o aquecedor do cárter de óleo.
Onde obter: dados elétricos auxiliares na folha de dados: motor da bomba de óleo (geralmente 1–3 HP) mais o aquecedor (geralmente 1–3 kW), ÷ as toneladas nominais do chiller.
Chillers sem óleo, com mancais magnéticos, não têm nenhum dos dois: informe 0. Padrão 0,010.</t>
  </si>
  <si>
    <t>KW6 – Pompe à huile de transmission et réchauffeur. La pompe qui lubrifie les paliers du compresseur et le réducteur, plus le réchauffeur du carter d’huile.
Où la trouver : les données électriques auxiliaires de la fiche technique : moteur de la pompe à huile (souvent 1–3 HP) plus réchauffeur (souvent 1–3 kW), ÷ les tonnes nominales du groupe froid.
Les groupes froids sans huile à paliers magnétiques n’ont ni l’un ni l’autre : saisissez 0. Par défaut 0,010.</t>
  </si>
  <si>
    <t>KW2 – Constant-speed primary pumps. Only used on a primary/secondary plant, and calculated, not entered.
The tool assumes the primary pumps use the same energy as the secondary pumps running at full speed: design flow at the pump head and efficiency from Home, divided by design tons.
To sanity-check it: primary pump motor kW ÷ the rated tons of the chiller it serves. Primary loops often run at lower head, so this figure can be on the high side.</t>
  </si>
  <si>
    <t>KW2 – Bombas primarias de velocidad constante. Solo se usa en una planta primario-secundario y se calcula; no se introduce.
La herramienta supone que las bombas primarias consumen la misma energía que las secundarias a máxima velocidad: caudal de diseño con la altura y la eficiencia de bomba de Home, dividido por las toneladas de diseño.
Para comprobarlo: kW del motor de la bomba primaria ÷ toneladas nominales de la enfriadora a la que sirve. Los circuitos primarios suelen trabajar con menos altura, así que el valor puede quedar alto.</t>
  </si>
  <si>
    <t>KW2 – Bombas primárias de velocidade constante. Usado apenas numa planta primário-secundário e calculado, não informado.
A ferramenta considera que as bombas primárias consomem a mesma energia que as secundárias na velocidade máxima: vazão de projeto com a altura e a eficiência de bomba da aba Home, dividida pelas toneladas de projeto.
Para conferir: kW do motor da bomba primária ÷ toneladas nominais do chiller que ela atende. Circuitos primários costumam operar com altura menor, então o valor pode ficar alto.</t>
  </si>
  <si>
    <t>KW2 – Pompes primaires à vitesse constante. Utilisé uniquement pour une installation primaire-secondaire, et calculé, non saisi.
L’outil suppose que les pompes primaires consomment la même énergie que les pompes secondaires à vitesse maximale : débit de conception avec la hauteur et le rendement de pompe de l’onglet Home, divisé par les tonnes de conception.
Pour vérifier : kW du moteur de la pompe primaire ÷ tonnes nominales du groupe froid qu’elle dessert. Les boucles primaires travaillent souvent à plus faible hauteur ; la valeur peut donc être élevée.</t>
  </si>
  <si>
    <t>The constants are based on the weighted average of the most common building types, and operating hours, using average USA weather data. To reduce the number of data points, the ASHRAE based bin data was grouped into load bins.</t>
  </si>
  <si>
    <t>Minimum pump head – the pressure floor. Pumps usually slow down to hold a set pressure at a sensor far out in the building, so they cannot slow below the speed that keeps it. As load falls, head drops with the square of flow until it hits this floor.
The tool also turns it into a minimum flow (row 15): the flow where that curve meets the floor. No load bin runs below it.
Where to find it: the chilled-water differential-pressure setpoint in the BAS. psi × 2.31 = ft; in metric, enter kPa directly.
Default: design head ÷ chillers ÷ 2. A lower value credits more savings – use the site's setpoint.</t>
  </si>
  <si>
    <t>Altura mínima de la bomba – el límite inferior de presión. Las bombas suelen reducir velocidad para mantener una presión fija en un sensor alejado en el edificio, así que no pueden bajar de la velocidad que la mantiene. Al bajar la carga, la altura cae con el cuadrado del caudal hasta llegar a este límite.
La herramienta también lo convierte en un caudal mínimo (fila 15): el caudal en que la curva alcanza el límite. Ningún intervalo de carga funciona por debajo.
Dónde obtenerlo: la consigna de presión diferencial de agua helada en el BAS. psi × 2,31 = pies; en métrico, introduzca kPa directamente.
Por defecto: altura de diseño ÷ enfriadoras ÷ 2. Un valor menor acredita más ahorro: use la consigna real del sitio.</t>
  </si>
  <si>
    <t>Altura mínima da bomba – o piso de pressão. As bombas costumam reduzir a velocidade para manter uma pressão fixa num sensor distante no prédio, então não podem ficar abaixo da velocidade que a mantém. Com a queda da carga, a altura cai com o quadrado da vazão até atingir este piso.
A ferramenta também o converte numa vazão mínima (linha 15): a vazão em que a curva atinge o piso. Nenhuma faixa de carga opera abaixo dela.
Onde obter: o setpoint de pressão diferencial de água gelada no BAS. psi × 2,31 = pés; no sistema métrico, informe kPa diretamente.
Padrão: altura de projeto ÷ chillers ÷ 2. Um valor menor credita mais economia: use o setpoint real do local.</t>
  </si>
  <si>
    <t>Hauteur minimale de la pompe – le plancher de pression. Les pompes ralentissent généralement pour maintenir une pression fixe sur un capteur éloigné dans le bâtiment ; elles ne peuvent donc pas descendre sous la vitesse qui la maintient. Quand la charge baisse, la hauteur diminue avec le carré du débit jusqu’à ce plancher.
L’outil en déduit aussi un débit minimal (ligne 15) : le débit où la courbe atteint le plancher. Aucune plage de charge ne descend en dessous.
Où la trouver : la consigne de pression différentielle d’eau glacée dans la GTB. psi × 2,31 = pieds ; en métrique, saisissez directement des kPa.
Par défaut : hauteur de conception ÷ groupes froids ÷ 2. Une valeur plus basse crédite plus d’économies : utilisez la consigne réelle du site.</t>
  </si>
  <si>
    <t>CHILLER_SAVINGS_METHOD</t>
  </si>
  <si>
    <t>Chiller Savings Method:</t>
  </si>
  <si>
    <t>Método de ahorro de la enfriadora:</t>
  </si>
  <si>
    <t>Método de economia do chiller:</t>
  </si>
  <si>
    <t>Méthode d'économies du groupe froid :</t>
  </si>
  <si>
    <t>METHOD_FULL</t>
  </si>
  <si>
    <t>Full plant (incl. compressor)</t>
  </si>
  <si>
    <t>Planta completa (con compresor)</t>
  </si>
  <si>
    <t>Planta completa (com compressor)</t>
  </si>
  <si>
    <t>Complète (avec compresseur)</t>
  </si>
  <si>
    <t>METHOD_ORIGINAL</t>
  </si>
  <si>
    <t>Original (auxiliaries only)</t>
  </si>
  <si>
    <t>Original (solo auxiliares)</t>
  </si>
  <si>
    <t>Original (só auxiliares)</t>
  </si>
  <si>
    <t>Original (auxiliaires seuls)</t>
  </si>
  <si>
    <t>Chiller savings method.
Full plant (incl. compressor): every chiller the plant no longer needs to run is credited its full energy, compressor included, at the full-load kW/ton from Home.
Original (auxiliaries only): the method of the 2021 tool. A better Delta-T does not change the tons the chillers must produce, so compressor energy is not counted. Only the primary and condenser pumps, tower fans, controls and oil pumps that stop with fewer chillers running are credited.
The original method gives a much lower, more conservative saving.</t>
  </si>
  <si>
    <t>Método de ahorro de la enfriadora.
Planta completa (con compresor): cada enfriadora que la planta ya no necesita operar se acredita con toda su energía, compresor incluido, al kW/ton a plena carga de Home.
Original (solo auxiliares): el método de la herramienta de 2021. Un mejor Delta-T no cambia las toneladas que deben producir las enfriadoras, así que no se cuenta la energía del compresor. Solo se acreditan las bombas primarias y de condensación, los ventiladores de torre, los controles y las bombas de aceite que se detienen al operar menos enfriadoras.
El método original da un ahorro mucho menor y más conservador.</t>
  </si>
  <si>
    <t>Método de economia do chiller.
Planta completa (com compressor): cada chiller que a planta deixa de precisar operar é creditado com toda a sua energia, compressor incluído, ao kW/ton a plena carga da aba Home.
Original (só auxiliares): o método da ferramenta de 2021. Um Delta-T melhor não muda as toneladas que os chillers precisam produzir, então a energia do compressor não é contada. Só são creditadas as bombas primárias e de condensação, os ventiladores da torre, os controles e as bombas de óleo que param com menos chillers em operação.
O método original resulta numa economia muito menor e mais conservadora.</t>
  </si>
  <si>
    <t>Méthode d'économies du groupe froid.
Complète (avec compresseur) : chaque groupe froid que l'installation n'a plus besoin de faire fonctionner est crédité de toute son énergie, compresseur compris, au kW/ton à pleine charge de l'onglet Home.
Original (auxiliaires seuls) : la méthode de l'outil de 2021. Un meilleur Delta-T ne change pas les tonnes que les groupes froids doivent produire ; l'énergie du compresseur n'est donc pas comptée. Seuls les pompes primaires et de condenseur, les ventilateurs de tour, les commandes et les pompes à huile qui s'arrêtent quand moins de groupes froids tournent sont crédités.
La méthode originale donne une économie bien plus faible et plus prudente.</t>
  </si>
  <si>
    <t>2026.11.1</t>
  </si>
  <si>
    <t>2026-09-24</t>
  </si>
  <si>
    <t>Average Tonnage based on the corresponding average delta T and average flow.
Formula linked to Chiller Tab Column "J".</t>
  </si>
  <si>
    <t>This factor assumes that the pump can generate more GPM than its design selection.  Default Value is 100% means that the pump produces its design capacity.  A larger value can be used for pumps that can generate more GPM than their design selection capacity.</t>
  </si>
  <si>
    <t>This is a chiller short-cycling factor that is used on chillers with partial load only. This value can be set to 0% to ignore this factor.</t>
  </si>
  <si>
    <t>Avg Tonnage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</si>
</sst>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0.000"/>
    <numFmt numFmtId="167" formatCode="_(&quot;$&quot;* #,##0_);_(&quot;$&quot;* \(#,##0\);_(&quot;$&quot;* &quot;-&quot;??_);_(@_)"/>
    <numFmt numFmtId="168" formatCode="&quot;$&quot;#,##0"/>
    <numFmt numFmtId="169" formatCode="0.0%"/>
    <numFmt numFmtId="170" formatCode="_(* #,##0.0_);_(* \(#,##0.0\);_(* &quot;-&quot;??_);_(@_)"/>
    <numFmt numFmtId="171" formatCode="0.0000"/>
    <numFmt numFmtId="172" formatCode="#,##0.0"/>
    <numFmt numFmtId="173" formatCode=";;;"/>
    <numFmt numFmtId="174" formatCode="&quot;$&quot;0.00&quot; / kWh&quot;"/>
  </numFmts>
  <fonts count="50">
    <font>
      <sz val="11"/>
      <color theme="1"/>
      <name val="Calibri"/>
      <family val="2"/>
      <scheme val="minor"/>
    </font>
    <font>
      <sz val="11"/>
      <color theme="1"/>
      <name val="Calibri"/>
      <family val="2"/>
      <scheme val="minor"/>
    </font>
    <font>
      <sz val="11"/>
      <name val="Arial"/>
      <family val="2"/>
    </font>
    <font>
      <sz val="11"/>
      <color theme="1"/>
      <name val="HelveticaNeueLT Std Lt"/>
      <family val="2"/>
    </font>
    <font>
      <b/>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Arial"/>
      <family val="2"/>
    </font>
    <font>
      <sz val="10"/>
      <color theme="1"/>
      <name val="Arial"/>
      <family val="2"/>
    </font>
    <font>
      <b/>
      <sz val="10"/>
      <color theme="0"/>
      <name val="Arial"/>
      <family val="2"/>
    </font>
    <font>
      <sz val="10"/>
      <name val="Arial"/>
      <family val="2"/>
    </font>
    <font>
      <b/>
      <sz val="10"/>
      <name val="Arial"/>
      <family val="2"/>
    </font>
    <font>
      <sz val="9"/>
      <color theme="1"/>
      <name val="Arial"/>
      <family val="2"/>
    </font>
    <font>
      <b/>
      <sz val="10"/>
      <color theme="1"/>
      <name val="Arial"/>
      <family val="2"/>
    </font>
    <font>
      <sz val="7.5"/>
      <color theme="1"/>
      <name val="Arial"/>
      <family val="2"/>
    </font>
    <font>
      <sz val="12"/>
      <color rgb="FF222222"/>
      <name val="Arial"/>
      <family val="2"/>
    </font>
    <font>
      <sz val="9.9"/>
      <color theme="1"/>
      <name val="Arial"/>
      <family val="2"/>
    </font>
    <font>
      <sz val="11"/>
      <color theme="0"/>
      <name val="Arial"/>
      <family val="2"/>
    </font>
    <font>
      <sz val="10"/>
      <color theme="0"/>
      <name val="Arial"/>
      <family val="2"/>
    </font>
    <font>
      <sz val="10"/>
      <color rgb="FF013B5A"/>
      <name val="Arial"/>
      <family val="2"/>
    </font>
    <font>
      <b/>
      <sz val="14"/>
      <name val="HelveticaNeueLT Std Lt"/>
      <family val="2"/>
    </font>
    <font>
      <b/>
      <sz val="11"/>
      <name val="Arial"/>
      <family val="2"/>
    </font>
    <font>
      <b/>
      <sz val="12"/>
      <color rgb="FFFF6600"/>
      <name val="Arial"/>
      <family val="2"/>
    </font>
    <font>
      <sz val="11"/>
      <color theme="0"/>
      <name val="Calibri"/>
      <family val="2"/>
      <scheme val="minor"/>
    </font>
    <font>
      <b/>
      <sz val="11"/>
      <color theme="0"/>
      <name val="Arial"/>
      <family val="2"/>
    </font>
    <font>
      <sz val="10"/>
      <color rgb="FF006100"/>
      <name val="Arial"/>
      <family val="2"/>
    </font>
    <font>
      <i/>
      <sz val="10"/>
      <name val="Arial"/>
      <family val="2"/>
    </font>
    <font>
      <b/>
      <sz val="10"/>
      <color rgb="FFFF6600"/>
      <name val="Arial"/>
      <family val="2"/>
    </font>
    <font>
      <u/>
      <sz val="11"/>
      <color theme="10"/>
      <name val="Calibri"/>
      <family val="2"/>
      <scheme val="minor"/>
    </font>
    <font>
      <u/>
      <sz val="11"/>
      <color rgb="FF0033CC"/>
      <name val="Calibri"/>
      <family val="2"/>
      <scheme val="minor"/>
    </font>
    <font>
      <sz val="9.5"/>
      <name val="Arial"/>
      <family val="2"/>
    </font>
    <font>
      <sz val="8"/>
      <color theme="1"/>
      <name val="Arial"/>
      <family val="2"/>
    </font>
    <font>
      <sz val="11"/>
      <color theme="0" tint="-0.14999847407452621"/>
      <name val="Arial"/>
      <family val="2"/>
    </font>
    <font>
      <sz val="11"/>
      <color theme="0" tint="-4.9989318521683403E-2"/>
      <name val="Arial"/>
      <family val="2"/>
    </font>
    <font>
      <b/>
      <sz val="14"/>
      <color theme="1"/>
      <name val="Arial"/>
      <family val="2"/>
    </font>
    <font>
      <b/>
      <sz val="10"/>
      <color rgb="FFFFFFFF"/>
      <name val="Arial"/>
      <family val="2"/>
    </font>
    <font>
      <b/>
      <sz val="11"/>
      <color theme="1"/>
      <name val="Arial"/>
      <family val="2"/>
    </font>
    <font>
      <b/>
      <sz val="22"/>
      <color rgb="FFFF6600"/>
      <name val="Arial"/>
      <family val="2"/>
    </font>
    <font>
      <i/>
      <sz val="9"/>
      <color theme="1"/>
      <name val="Arial"/>
      <family val="2"/>
    </font>
    <font>
      <sz val="8"/>
      <color rgb="FF000000"/>
      <name val="Segoe UI"/>
      <family val="2"/>
    </font>
    <font>
      <sz val="10"/>
      <color rgb="FFFFFFFF"/>
      <name val="Arial"/>
      <family val="2"/>
    </font>
    <font>
      <sz val="9"/>
      <color rgb="FF808080"/>
      <name val="Arial"/>
      <family val="2"/>
    </font>
    <font>
      <i/>
      <sz val="9"/>
      <color rgb="FF808080"/>
      <name val="Arial"/>
      <family val="2"/>
    </font>
    <font>
      <b/>
      <i/>
      <sz val="9"/>
      <color theme="1"/>
      <name val="Arial"/>
      <family val="2"/>
    </font>
    <font>
      <b/>
      <sz val="14"/>
      <color rgb="FF000000"/>
      <name val="Arial"/>
      <family val="2"/>
    </font>
    <font>
      <b/>
      <sz val="9"/>
      <color theme="1"/>
      <name val="Arial"/>
      <family val="2"/>
    </font>
    <font>
      <sz val="11"/>
      <color rgb="FFFFFFFF"/>
      <name val="Arial"/>
      <family val="2"/>
    </font>
    <font>
      <sz val="9"/>
      <color rgb="FFFFFFFF"/>
      <name val="Arial"/>
      <family val="2"/>
    </font>
    <font>
      <sz val="10"/>
      <color rgb="FF000000"/>
      <name val="Arial"/>
      <family val="2"/>
    </font>
  </fonts>
  <fills count="21">
    <fill>
      <patternFill patternType="none"/>
    </fill>
    <fill>
      <patternFill patternType="gray125"/>
    </fill>
    <fill>
      <patternFill patternType="solid">
        <fgColor rgb="FFFFFF00"/>
        <bgColor indexed="64"/>
      </patternFill>
    </fill>
    <fill>
      <patternFill patternType="solid">
        <fgColor rgb="FF339933"/>
        <bgColor indexed="64"/>
      </patternFill>
    </fill>
    <fill>
      <patternFill patternType="solid">
        <fgColor rgb="FFFF0000"/>
        <bgColor indexed="64"/>
      </patternFill>
    </fill>
    <fill>
      <patternFill patternType="solid">
        <fgColor rgb="FFFF9900"/>
        <bgColor indexed="64"/>
      </patternFill>
    </fill>
    <fill>
      <patternFill patternType="solid">
        <fgColor rgb="FF00CC66"/>
        <bgColor indexed="64"/>
      </patternFill>
    </fill>
    <fill>
      <patternFill patternType="solid">
        <fgColor rgb="FF19FF8C"/>
        <bgColor indexed="64"/>
      </patternFill>
    </fill>
    <fill>
      <patternFill patternType="solid">
        <fgColor theme="0"/>
        <bgColor indexed="64"/>
      </patternFill>
    </fill>
    <fill>
      <patternFill patternType="solid">
        <fgColor rgb="FFEEF0F2"/>
        <bgColor indexed="64"/>
      </patternFill>
    </fill>
    <fill>
      <patternFill patternType="solid">
        <fgColor rgb="FFC3C8CE"/>
        <bgColor indexed="64"/>
      </patternFill>
    </fill>
    <fill>
      <patternFill patternType="solid">
        <fgColor rgb="FFFF66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CC"/>
      </patternFill>
    </fill>
    <fill>
      <patternFill patternType="solid">
        <fgColor indexed="9"/>
        <bgColor indexed="64"/>
      </patternFill>
    </fill>
    <fill>
      <patternFill patternType="solid">
        <fgColor theme="0"/>
        <bgColor theme="8"/>
      </patternFill>
    </fill>
    <fill>
      <patternFill patternType="solid">
        <fgColor theme="0"/>
        <bgColor theme="0" tint="-0.14999847407452621"/>
      </patternFill>
    </fill>
    <fill>
      <patternFill patternType="solid">
        <fgColor rgb="FFFFFFCC"/>
        <bgColor indexed="64"/>
      </patternFill>
    </fill>
    <fill>
      <patternFill patternType="solid">
        <fgColor rgb="FFFFFFFF"/>
        <bgColor indexed="64"/>
      </patternFill>
    </fill>
  </fills>
  <borders count="16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medium">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4.9989318521683403E-2"/>
      </bottom>
      <diagonal/>
    </border>
    <border>
      <left style="thin">
        <color rgb="FFD1D5D9"/>
      </left>
      <right style="thin">
        <color rgb="FFD1D5D9"/>
      </right>
      <top style="thin">
        <color rgb="FFD1D5D9"/>
      </top>
      <bottom style="thin">
        <color rgb="FFD1D5D9"/>
      </bottom>
      <diagonal/>
    </border>
    <border>
      <left/>
      <right/>
      <top style="thin">
        <color rgb="FFD1D5D9"/>
      </top>
      <bottom style="thin">
        <color rgb="FFD1D5D9"/>
      </bottom>
      <diagonal/>
    </border>
    <border>
      <left style="thin">
        <color rgb="FFD1D5D9"/>
      </left>
      <right style="thin">
        <color rgb="FFD1D5D9"/>
      </right>
      <top/>
      <bottom style="thin">
        <color rgb="FFD1D5D9"/>
      </bottom>
      <diagonal/>
    </border>
    <border>
      <left style="thin">
        <color theme="0"/>
      </left>
      <right style="thin">
        <color theme="0"/>
      </right>
      <top style="thin">
        <color theme="0"/>
      </top>
      <bottom/>
      <diagonal/>
    </border>
    <border>
      <left style="thin">
        <color rgb="FFD1D5D9"/>
      </left>
      <right style="thin">
        <color rgb="FFD1D5D9"/>
      </right>
      <top/>
      <bottom/>
      <diagonal/>
    </border>
    <border>
      <left style="thin">
        <color rgb="FFB6B6B6"/>
      </left>
      <right style="thin">
        <color rgb="FFD1D5D9"/>
      </right>
      <top style="thin">
        <color rgb="FFB6B6B6"/>
      </top>
      <bottom style="thin">
        <color rgb="FFD1D5D9"/>
      </bottom>
      <diagonal/>
    </border>
    <border>
      <left style="thin">
        <color rgb="FFD1D5D9"/>
      </left>
      <right style="thin">
        <color rgb="FFD1D5D9"/>
      </right>
      <top style="thin">
        <color rgb="FFB6B6B6"/>
      </top>
      <bottom style="thin">
        <color rgb="FFD1D5D9"/>
      </bottom>
      <diagonal/>
    </border>
    <border>
      <left style="thin">
        <color rgb="FFD1D5D9"/>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B6B6B6"/>
      </right>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B6B6B6"/>
      </right>
      <top style="thin">
        <color rgb="FFD1D5D9"/>
      </top>
      <bottom style="thin">
        <color rgb="FFD1D5D9"/>
      </bottom>
      <diagonal/>
    </border>
    <border>
      <left style="thin">
        <color rgb="FFB6B6B6"/>
      </left>
      <right style="thin">
        <color rgb="FFB6B6B6"/>
      </right>
      <top style="thin">
        <color rgb="FFB6B6B6"/>
      </top>
      <bottom style="thin">
        <color rgb="FFD1D5D9"/>
      </bottom>
      <diagonal/>
    </border>
    <border>
      <left style="thin">
        <color rgb="FFB6B6B6"/>
      </left>
      <right style="thin">
        <color rgb="FFB6B6B6"/>
      </right>
      <top style="thin">
        <color rgb="FFD1D5D9"/>
      </top>
      <bottom style="thin">
        <color rgb="FFD1D5D9"/>
      </bottom>
      <diagonal/>
    </border>
    <border>
      <left style="thin">
        <color rgb="FFB6B6B6"/>
      </left>
      <right style="thin">
        <color rgb="FFB6B6B6"/>
      </right>
      <top style="thin">
        <color rgb="FFD1D5D9"/>
      </top>
      <bottom style="thin">
        <color rgb="FFB6B6B6"/>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B6B6B6"/>
      </right>
      <top style="thin">
        <color rgb="FFB6B6B6"/>
      </top>
      <bottom style="thin">
        <color rgb="FFD1D5D9"/>
      </bottom>
      <diagonal/>
    </border>
    <border>
      <left style="thin">
        <color rgb="FFB6B6B6"/>
      </left>
      <right/>
      <top style="thin">
        <color rgb="FFD1D5D9"/>
      </top>
      <bottom style="thin">
        <color rgb="FFD1D5D9"/>
      </bottom>
      <diagonal/>
    </border>
    <border>
      <left/>
      <right style="thin">
        <color rgb="FFB6B6B6"/>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right style="thin">
        <color rgb="FFB6B6B6"/>
      </right>
      <top style="thin">
        <color rgb="FFD1D5D9"/>
      </top>
      <bottom style="thin">
        <color rgb="FFB6B6B6"/>
      </bottom>
      <diagonal/>
    </border>
    <border>
      <left style="thin">
        <color rgb="FFB6B6B6"/>
      </left>
      <right style="thin">
        <color rgb="FFD1D5D9"/>
      </right>
      <top style="thin">
        <color rgb="FFB6B6B6"/>
      </top>
      <bottom/>
      <diagonal/>
    </border>
    <border>
      <left style="thin">
        <color rgb="FFD1D5D9"/>
      </left>
      <right style="thin">
        <color rgb="FFD1D5D9"/>
      </right>
      <top style="thin">
        <color rgb="FFB6B6B6"/>
      </top>
      <bottom/>
      <diagonal/>
    </border>
    <border>
      <left style="thin">
        <color rgb="FFD1D5D9"/>
      </left>
      <right style="thin">
        <color rgb="FFB6B6B6"/>
      </right>
      <top style="thin">
        <color rgb="FFB6B6B6"/>
      </top>
      <bottom/>
      <diagonal/>
    </border>
    <border>
      <left style="thin">
        <color rgb="FFB6B6B6"/>
      </left>
      <right style="thin">
        <color rgb="FFD1D5D9"/>
      </right>
      <top/>
      <bottom/>
      <diagonal/>
    </border>
    <border>
      <left style="thin">
        <color rgb="FFD1D5D9"/>
      </left>
      <right style="thin">
        <color rgb="FFB6B6B6"/>
      </right>
      <top/>
      <bottom/>
      <diagonal/>
    </border>
    <border>
      <left style="thin">
        <color rgb="FFB6B6B6"/>
      </left>
      <right/>
      <top style="thin">
        <color rgb="FFB6B6B6"/>
      </top>
      <bottom/>
      <diagonal/>
    </border>
    <border>
      <left/>
      <right/>
      <top style="thin">
        <color rgb="FFB6B6B6"/>
      </top>
      <bottom/>
      <diagonal/>
    </border>
    <border>
      <left/>
      <right style="thin">
        <color rgb="FFB6B6B6"/>
      </right>
      <top style="thin">
        <color rgb="FFB6B6B6"/>
      </top>
      <bottom/>
      <diagonal/>
    </border>
    <border>
      <left style="thin">
        <color rgb="FFB6B6B6"/>
      </left>
      <right/>
      <top/>
      <bottom/>
      <diagonal/>
    </border>
    <border>
      <left/>
      <right style="thin">
        <color rgb="FFB6B6B6"/>
      </right>
      <top/>
      <bottom/>
      <diagonal/>
    </border>
    <border>
      <left style="thin">
        <color rgb="FFB6B6B6"/>
      </left>
      <right/>
      <top/>
      <bottom style="thin">
        <color rgb="FFB6B6B6"/>
      </bottom>
      <diagonal/>
    </border>
    <border>
      <left/>
      <right/>
      <top/>
      <bottom style="thin">
        <color rgb="FFB6B6B6"/>
      </bottom>
      <diagonal/>
    </border>
    <border>
      <left/>
      <right style="thin">
        <color rgb="FFB6B6B6"/>
      </right>
      <top/>
      <bottom style="thin">
        <color rgb="FFB6B6B6"/>
      </bottom>
      <diagonal/>
    </border>
    <border>
      <left style="thin">
        <color rgb="FF00B45A"/>
      </left>
      <right style="thin">
        <color rgb="FF00B45A"/>
      </right>
      <top style="thin">
        <color rgb="FF00B45A"/>
      </top>
      <bottom style="thin">
        <color rgb="FF00B45A"/>
      </bottom>
      <diagonal/>
    </border>
    <border>
      <left style="thin">
        <color rgb="FF297B29"/>
      </left>
      <right style="thin">
        <color rgb="FF297B29"/>
      </right>
      <top style="thin">
        <color rgb="FF297B29"/>
      </top>
      <bottom style="thin">
        <color rgb="FF297B29"/>
      </bottom>
      <diagonal/>
    </border>
    <border>
      <left style="thin">
        <color rgb="FFD6DBE0"/>
      </left>
      <right style="thin">
        <color rgb="FFD6DBE0"/>
      </right>
      <top style="thin">
        <color rgb="FFD6DBE0"/>
      </top>
      <bottom style="thin">
        <color rgb="FFE0E4E8"/>
      </bottom>
      <diagonal/>
    </border>
    <border>
      <left style="thin">
        <color rgb="FFD6DBE0"/>
      </left>
      <right style="thin">
        <color rgb="FFD6DBE0"/>
      </right>
      <top style="thin">
        <color rgb="FFE0E4E8"/>
      </top>
      <bottom style="thin">
        <color rgb="FFE0E4E8"/>
      </bottom>
      <diagonal/>
    </border>
    <border>
      <left style="thin">
        <color rgb="FFD6DBE0"/>
      </left>
      <right style="thin">
        <color rgb="FFD6DBE0"/>
      </right>
      <top style="thin">
        <color rgb="FFE0E4E8"/>
      </top>
      <bottom style="thin">
        <color rgb="FFD6DBE0"/>
      </bottom>
      <diagonal/>
    </border>
    <border>
      <left/>
      <right/>
      <top style="thin">
        <color rgb="FFE0E4E8"/>
      </top>
      <bottom style="thin">
        <color rgb="FFD6DBE0"/>
      </bottom>
      <diagonal/>
    </border>
    <border>
      <left/>
      <right style="thin">
        <color rgb="FFD6DBE0"/>
      </right>
      <top style="thin">
        <color rgb="FFE0E4E8"/>
      </top>
      <bottom style="thin">
        <color rgb="FFD6DBE0"/>
      </bottom>
      <diagonal/>
    </border>
    <border>
      <left style="thin">
        <color rgb="FFB6B6B6"/>
      </left>
      <right style="thin">
        <color rgb="FFB6B6B6"/>
      </right>
      <top style="thin">
        <color rgb="FFB6B6B6"/>
      </top>
      <bottom style="double">
        <color rgb="FFB6B6B6"/>
      </bottom>
      <diagonal/>
    </border>
    <border>
      <left style="thin">
        <color rgb="FFB6B6B6"/>
      </left>
      <right style="thin">
        <color rgb="FFB6B6B6"/>
      </right>
      <top style="thin">
        <color rgb="FFB6B6B6"/>
      </top>
      <bottom style="thin">
        <color rgb="FFB6B6B6"/>
      </bottom>
      <diagonal/>
    </border>
    <border>
      <left style="thin">
        <color rgb="FFD6DBE0"/>
      </left>
      <right/>
      <top style="thin">
        <color rgb="FFD6DBE0"/>
      </top>
      <bottom/>
      <diagonal/>
    </border>
    <border>
      <left/>
      <right style="thin">
        <color rgb="FFD6DBE0"/>
      </right>
      <top style="thin">
        <color rgb="FFD6DBE0"/>
      </top>
      <bottom/>
      <diagonal/>
    </border>
    <border>
      <left style="thin">
        <color rgb="FFB6B6B6"/>
      </left>
      <right/>
      <top style="thin">
        <color rgb="FFB6B6B6"/>
      </top>
      <bottom style="thin">
        <color rgb="FFB6B6B6"/>
      </bottom>
      <diagonal/>
    </border>
    <border>
      <left/>
      <right style="thin">
        <color rgb="FFB6B6B6"/>
      </right>
      <top style="thin">
        <color rgb="FFB6B6B6"/>
      </top>
      <bottom style="thin">
        <color rgb="FFB6B6B6"/>
      </bottom>
      <diagonal/>
    </border>
    <border>
      <left style="thin">
        <color rgb="FFB6B6B6"/>
      </left>
      <right style="thin">
        <color rgb="FFB6B6B6"/>
      </right>
      <top style="double">
        <color rgb="FFB6B6B6"/>
      </top>
      <bottom style="medium">
        <color rgb="FFB6B6B6"/>
      </bottom>
      <diagonal/>
    </border>
    <border>
      <left style="thin">
        <color rgb="FFD6DBE0"/>
      </left>
      <right style="thin">
        <color rgb="FFD6DBE0"/>
      </right>
      <top style="thin">
        <color rgb="FFD6DBE0"/>
      </top>
      <bottom/>
      <diagonal/>
    </border>
    <border>
      <left style="thin">
        <color rgb="FFB6B6B6"/>
      </left>
      <right style="thin">
        <color rgb="FFB6B6B6"/>
      </right>
      <top style="thin">
        <color rgb="FFB6B6B6"/>
      </top>
      <bottom/>
      <diagonal/>
    </border>
    <border>
      <left style="thin">
        <color rgb="FFFF6600"/>
      </left>
      <right style="thin">
        <color rgb="FFFF6600"/>
      </right>
      <top style="thin">
        <color rgb="FFFF6600"/>
      </top>
      <bottom style="thin">
        <color rgb="FFFF6600"/>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right/>
      <top style="thin">
        <color rgb="FFB6B6B6"/>
      </top>
      <bottom style="thin">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B6B6B6"/>
      </left>
      <right style="thin">
        <color rgb="FFB6B6B6"/>
      </right>
      <top/>
      <bottom style="thin">
        <color rgb="FFB6B6B6"/>
      </bottom>
      <diagonal/>
    </border>
    <border>
      <left style="thin">
        <color rgb="FFD6DBE0"/>
      </left>
      <right style="thin">
        <color rgb="FFD6DBE0"/>
      </right>
      <top style="thin">
        <color rgb="FFD6DBE0"/>
      </top>
      <bottom style="thin">
        <color rgb="FFB6B6B6"/>
      </bottom>
      <diagonal/>
    </border>
    <border>
      <left style="thin">
        <color rgb="FFB2B2B2"/>
      </left>
      <right style="thin">
        <color rgb="FFB2B2B2"/>
      </right>
      <top style="thin">
        <color rgb="FFB2B2B2"/>
      </top>
      <bottom style="thin">
        <color rgb="FFB2B2B2"/>
      </bottom>
      <diagonal/>
    </border>
    <border>
      <left style="thin">
        <color rgb="FFB6B6B6"/>
      </left>
      <right style="thin">
        <color rgb="FFB6B6B6"/>
      </right>
      <top/>
      <bottom/>
      <diagonal/>
    </border>
    <border>
      <left/>
      <right/>
      <top style="thin">
        <color rgb="FF787878"/>
      </top>
      <bottom/>
      <diagonal/>
    </border>
    <border>
      <left/>
      <right/>
      <top/>
      <bottom style="double">
        <color rgb="FF787878"/>
      </bottom>
      <diagonal/>
    </border>
    <border>
      <left/>
      <right style="thin">
        <color theme="0" tint="-0.14999847407452621"/>
      </right>
      <top/>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double">
        <color rgb="FF787878"/>
      </top>
      <bottom/>
      <diagonal/>
    </border>
    <border>
      <left style="thin">
        <color theme="0" tint="-0.14999847407452621"/>
      </left>
      <right style="thin">
        <color theme="0" tint="-0.14999847407452621"/>
      </right>
      <top style="double">
        <color rgb="FF787878"/>
      </top>
      <bottom/>
      <diagonal/>
    </border>
    <border>
      <left style="thin">
        <color rgb="FFC3C8CE"/>
      </left>
      <right style="thin">
        <color rgb="FFC3C8CE"/>
      </right>
      <top style="thin">
        <color rgb="FFC3C8CE"/>
      </top>
      <bottom style="thin">
        <color rgb="FFC3C8CE"/>
      </bottom>
      <diagonal/>
    </border>
    <border>
      <left style="thin">
        <color rgb="FFC3C8CE"/>
      </left>
      <right/>
      <top style="thin">
        <color rgb="FFC3C8CE"/>
      </top>
      <bottom style="thin">
        <color rgb="FFC3C8CE"/>
      </bottom>
      <diagonal/>
    </border>
    <border>
      <left style="thin">
        <color theme="0" tint="-0.14999847407452621"/>
      </left>
      <right/>
      <top style="thin">
        <color rgb="FFC3C8CE"/>
      </top>
      <bottom style="thin">
        <color rgb="FFC3C8CE"/>
      </bottom>
      <diagonal/>
    </border>
    <border>
      <left style="thin">
        <color theme="0" tint="-0.14999847407452621"/>
      </left>
      <right style="thin">
        <color theme="0" tint="-0.14999847407452621"/>
      </right>
      <top style="thin">
        <color rgb="FFC3C8CE"/>
      </top>
      <bottom style="thin">
        <color rgb="FFC3C8CE"/>
      </bottom>
      <diagonal/>
    </border>
    <border>
      <left/>
      <right/>
      <top style="thin">
        <color rgb="FFC3C8CE"/>
      </top>
      <bottom style="thin">
        <color rgb="FFC3C8CE"/>
      </bottom>
      <diagonal/>
    </border>
    <border>
      <left/>
      <right style="thin">
        <color rgb="FFC3C8CE"/>
      </right>
      <top style="thin">
        <color rgb="FFC3C8CE"/>
      </top>
      <bottom style="thin">
        <color rgb="FFC3C8CE"/>
      </bottom>
      <diagonal/>
    </border>
    <border>
      <left style="thin">
        <color rgb="FFC3C8CE"/>
      </left>
      <right style="thin">
        <color theme="0" tint="-0.14999847407452621"/>
      </right>
      <top style="thin">
        <color rgb="FFC3C8CE"/>
      </top>
      <bottom style="thin">
        <color theme="0" tint="-0.14999847407452621"/>
      </bottom>
      <diagonal/>
    </border>
    <border>
      <left/>
      <right/>
      <top style="thin">
        <color rgb="FFC3C8CE"/>
      </top>
      <bottom style="thin">
        <color theme="0" tint="-0.14999847407452621"/>
      </bottom>
      <diagonal/>
    </border>
    <border>
      <left style="thin">
        <color theme="0" tint="-0.14999847407452621"/>
      </left>
      <right style="thin">
        <color theme="0" tint="-0.14999847407452621"/>
      </right>
      <top style="thin">
        <color rgb="FFC3C8CE"/>
      </top>
      <bottom style="thin">
        <color theme="0" tint="-0.14999847407452621"/>
      </bottom>
      <diagonal/>
    </border>
    <border>
      <left/>
      <right/>
      <top/>
      <bottom style="thin">
        <color rgb="FFC3C8CE"/>
      </bottom>
      <diagonal/>
    </border>
    <border>
      <left/>
      <right style="thin">
        <color rgb="FFC3C8CE"/>
      </right>
      <top/>
      <bottom style="thin">
        <color rgb="FFC3C8CE"/>
      </bottom>
      <diagonal/>
    </border>
    <border>
      <left/>
      <right style="thin">
        <color theme="0" tint="-0.14999847407452621"/>
      </right>
      <top style="thin">
        <color rgb="FFC3C8CE"/>
      </top>
      <bottom style="thin">
        <color theme="0" tint="-0.14999847407452621"/>
      </bottom>
      <diagonal/>
    </border>
    <border>
      <left/>
      <right style="thin">
        <color theme="0" tint="-0.14999847407452621"/>
      </right>
      <top style="thin">
        <color rgb="FFC3C8CE"/>
      </top>
      <bottom style="thin">
        <color rgb="FFC3C8CE"/>
      </bottom>
      <diagonal/>
    </border>
    <border>
      <left/>
      <right style="thin">
        <color rgb="FFC3C8CE"/>
      </right>
      <top/>
      <bottom/>
      <diagonal/>
    </border>
    <border>
      <left style="thin">
        <color rgb="FFC3C8CE"/>
      </left>
      <right style="thin">
        <color rgb="FFC3C8CE"/>
      </right>
      <top style="thin">
        <color rgb="FFC3C8CE"/>
      </top>
      <bottom/>
      <diagonal/>
    </border>
    <border>
      <left style="thin">
        <color rgb="FFC3C8CE"/>
      </left>
      <right style="thin">
        <color rgb="FFC3C8CE"/>
      </right>
      <top/>
      <bottom style="thin">
        <color rgb="FFC3C8CE"/>
      </bottom>
      <diagonal/>
    </border>
    <border>
      <left/>
      <right/>
      <top style="thin">
        <color theme="0" tint="-0.14999847407452621"/>
      </top>
      <bottom style="thin">
        <color theme="0" tint="-0.14999847407452621"/>
      </bottom>
      <diagonal/>
    </border>
    <border>
      <left/>
      <right/>
      <top style="thin">
        <color theme="0" tint="-0.14999847407452621"/>
      </top>
      <bottom style="thin">
        <color rgb="FFC3C8CE"/>
      </bottom>
      <diagonal/>
    </border>
    <border>
      <left style="thin">
        <color theme="0" tint="-0.14999847407452621"/>
      </left>
      <right/>
      <top/>
      <bottom style="thin">
        <color rgb="FFC3C8CE"/>
      </bottom>
      <diagonal/>
    </border>
    <border>
      <left style="thin">
        <color rgb="FFC3C8CE"/>
      </left>
      <right/>
      <top style="thin">
        <color rgb="FFC3C8CE"/>
      </top>
      <bottom style="thin">
        <color theme="0" tint="-0.14999847407452621"/>
      </bottom>
      <diagonal/>
    </border>
    <border>
      <left style="thin">
        <color theme="0" tint="-0.14999847407452621"/>
      </left>
      <right/>
      <top style="thin">
        <color rgb="FFC3C8CE"/>
      </top>
      <bottom style="thin">
        <color theme="0" tint="-0.14999847407452621"/>
      </bottom>
      <diagonal/>
    </border>
    <border>
      <left style="thin">
        <color rgb="FFC3C8CE"/>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rgb="FFC3C8CE"/>
      </left>
      <right/>
      <top style="thin">
        <color rgb="FFC3C8CE"/>
      </top>
      <bottom/>
      <diagonal/>
    </border>
    <border>
      <left style="thin">
        <color theme="0" tint="-0.14999847407452621"/>
      </left>
      <right/>
      <top style="thin">
        <color rgb="FFC3C8CE"/>
      </top>
      <bottom style="double">
        <color rgb="FF787878"/>
      </bottom>
      <diagonal/>
    </border>
    <border>
      <left style="medium">
        <color theme="0" tint="-0.14999847407452621"/>
      </left>
      <right/>
      <top/>
      <bottom style="thin">
        <color rgb="FFC3C8CE"/>
      </bottom>
      <diagonal/>
    </border>
    <border>
      <left style="medium">
        <color theme="0" tint="-0.14999847407452621"/>
      </left>
      <right/>
      <top style="thin">
        <color rgb="FFC3C8CE"/>
      </top>
      <bottom style="thin">
        <color theme="0" tint="-0.14999847407452621"/>
      </bottom>
      <diagonal/>
    </border>
    <border>
      <left style="medium">
        <color theme="0" tint="-0.14999847407452621"/>
      </left>
      <right/>
      <top/>
      <bottom/>
      <diagonal/>
    </border>
    <border>
      <left style="medium">
        <color theme="0" tint="-0.14999847407452621"/>
      </left>
      <right/>
      <top style="thin">
        <color theme="0" tint="-0.14999847407452621"/>
      </top>
      <bottom style="thin">
        <color theme="0" tint="-0.14999847407452621"/>
      </bottom>
      <diagonal/>
    </border>
    <border>
      <left style="medium">
        <color theme="0" tint="-0.14999847407452621"/>
      </left>
      <right style="thin">
        <color theme="0" tint="-0.14999847407452621"/>
      </right>
      <top style="thin">
        <color theme="0" tint="-0.14999847407452621"/>
      </top>
      <bottom style="thin">
        <color theme="0" tint="-0.14999847407452621"/>
      </bottom>
      <diagonal/>
    </border>
    <border>
      <left style="medium">
        <color theme="0" tint="-0.14999847407452621"/>
      </left>
      <right/>
      <top style="thin">
        <color theme="0" tint="-0.14999847407452621"/>
      </top>
      <bottom style="medium">
        <color theme="0" tint="-0.14999847407452621"/>
      </bottom>
      <diagonal/>
    </border>
    <border>
      <left style="thin">
        <color theme="0" tint="-0.14999847407452621"/>
      </left>
      <right/>
      <top style="thin">
        <color theme="0" tint="-0.14999847407452621"/>
      </top>
      <bottom style="medium">
        <color theme="0" tint="-0.14999847407452621"/>
      </bottom>
      <diagonal/>
    </border>
    <border>
      <left style="thin">
        <color theme="0" tint="-0.14999847407452621"/>
      </left>
      <right style="thin">
        <color theme="0" tint="-0.14999847407452621"/>
      </right>
      <top style="thin">
        <color theme="0" tint="-0.14999847407452621"/>
      </top>
      <bottom style="medium">
        <color theme="0" tint="-0.14999847407452621"/>
      </bottom>
      <diagonal/>
    </border>
    <border>
      <left/>
      <right/>
      <top style="thin">
        <color theme="0" tint="-0.14999847407452621"/>
      </top>
      <bottom style="medium">
        <color theme="0" tint="-0.14999847407452621"/>
      </bottom>
      <diagonal/>
    </border>
    <border>
      <left style="medium">
        <color theme="0" tint="-0.14999847407452621"/>
      </left>
      <right/>
      <top style="medium">
        <color theme="0" tint="-0.14999847407452621"/>
      </top>
      <bottom style="thin">
        <color theme="0" tint="-0.14999847407452621"/>
      </bottom>
      <diagonal/>
    </border>
    <border>
      <left/>
      <right/>
      <top style="medium">
        <color theme="0" tint="-0.14999847407452621"/>
      </top>
      <bottom style="thin">
        <color theme="0" tint="-0.14999847407452621"/>
      </bottom>
      <diagonal/>
    </border>
    <border>
      <left style="thin">
        <color rgb="FFFFC000"/>
      </left>
      <right style="thin">
        <color rgb="FFFFC000"/>
      </right>
      <top style="thin">
        <color rgb="FFFFC000"/>
      </top>
      <bottom style="thin">
        <color rgb="FFFFC000"/>
      </bottom>
      <diagonal/>
    </border>
    <border>
      <left style="thin">
        <color rgb="FF00B050"/>
      </left>
      <right style="thin">
        <color rgb="FF00B050"/>
      </right>
      <top style="thin">
        <color rgb="FF00B050"/>
      </top>
      <bottom style="thin">
        <color rgb="FF00B050"/>
      </bottom>
      <diagonal/>
    </border>
    <border>
      <left style="thin">
        <color rgb="FFD6DBE0"/>
      </left>
      <right/>
      <top style="thin">
        <color rgb="FFD6DBE0"/>
      </top>
      <bottom style="thin">
        <color rgb="FFB6B6B6"/>
      </bottom>
      <diagonal/>
    </border>
    <border>
      <left style="thin">
        <color rgb="FFC3C8CE"/>
      </left>
      <right/>
      <top/>
      <bottom style="thin">
        <color rgb="FFC3C8CE"/>
      </bottom>
      <diagonal/>
    </border>
    <border>
      <left style="thin">
        <color theme="0" tint="-0.14999847407452621"/>
      </left>
      <right/>
      <top style="thin">
        <color theme="0" tint="-0.14999847407452621"/>
      </top>
      <bottom style="thin">
        <color theme="0" tint="-0.14999847407452621"/>
      </bottom>
      <diagonal/>
    </border>
    <border>
      <left style="thin">
        <color rgb="FFB6B6B6"/>
      </left>
      <right/>
      <top style="thin">
        <color rgb="FFB6B6B6"/>
      </top>
      <bottom style="double">
        <color rgb="FFB6B6B6"/>
      </bottom>
      <diagonal/>
    </border>
    <border>
      <left/>
      <right/>
      <top style="thin">
        <color rgb="FFB6B6B6"/>
      </top>
      <bottom style="double">
        <color rgb="FFB6B6B6"/>
      </bottom>
      <diagonal/>
    </border>
    <border>
      <left/>
      <right style="thin">
        <color rgb="FFB6B6B6"/>
      </right>
      <top style="thin">
        <color rgb="FFB6B6B6"/>
      </top>
      <bottom style="double">
        <color rgb="FFB6B6B6"/>
      </bottom>
      <diagonal/>
    </border>
    <border>
      <left style="thin">
        <color rgb="FFD1D5D9"/>
      </left>
      <right/>
      <top style="thin">
        <color rgb="FFB6B6B6"/>
      </top>
      <bottom/>
      <diagonal/>
    </border>
    <border>
      <left/>
      <right style="thin">
        <color rgb="FFD1D5D9"/>
      </right>
      <top style="thin">
        <color rgb="FFB6B6B6"/>
      </top>
      <bottom/>
      <diagonal/>
    </border>
    <border>
      <left style="thin">
        <color rgb="FFD1D5D9"/>
      </left>
      <right/>
      <top/>
      <bottom/>
      <diagonal/>
    </border>
    <border>
      <left/>
      <right style="thin">
        <color rgb="FFD1D5D9"/>
      </right>
      <top/>
      <bottom/>
      <diagonal/>
    </border>
    <border>
      <left style="thin">
        <color rgb="FFD1D5D9"/>
      </left>
      <right/>
      <top/>
      <bottom style="thin">
        <color rgb="FFD1D5D9"/>
      </bottom>
      <diagonal/>
    </border>
    <border>
      <left/>
      <right style="thin">
        <color rgb="FFD1D5D9"/>
      </right>
      <top/>
      <bottom style="thin">
        <color rgb="FFD1D5D9"/>
      </bottom>
      <diagonal/>
    </border>
    <border>
      <left/>
      <right/>
      <top style="thin">
        <color rgb="FFD6DBE0"/>
      </top>
      <bottom/>
      <diagonal/>
    </border>
    <border>
      <left style="thin">
        <color rgb="FFD6DBE0"/>
      </left>
      <right/>
      <top style="thin">
        <color rgb="FFD6DBE0"/>
      </top>
      <bottom style="thin">
        <color rgb="FFD6DBE0"/>
      </bottom>
      <diagonal/>
    </border>
    <border>
      <left/>
      <right/>
      <top style="thin">
        <color rgb="FFD6DBE0"/>
      </top>
      <bottom style="thin">
        <color rgb="FFD6DBE0"/>
      </bottom>
      <diagonal/>
    </border>
    <border>
      <left/>
      <right style="thin">
        <color rgb="FFD6DBE0"/>
      </right>
      <top style="thin">
        <color rgb="FFD6DBE0"/>
      </top>
      <bottom style="thin">
        <color rgb="FFD6DBE0"/>
      </bottom>
      <diagonal/>
    </border>
    <border>
      <left style="thin">
        <color rgb="FFD6DBE0"/>
      </left>
      <right style="thin">
        <color rgb="FFB6B6B6"/>
      </right>
      <top style="thin">
        <color rgb="FFE0E4E8"/>
      </top>
      <bottom/>
      <diagonal/>
    </border>
    <border>
      <left style="thin">
        <color rgb="FFB6B6B6"/>
      </left>
      <right/>
      <top style="double">
        <color rgb="FFB6B6B6"/>
      </top>
      <bottom style="medium">
        <color rgb="FFB6B6B6"/>
      </bottom>
      <diagonal/>
    </border>
    <border>
      <left/>
      <right/>
      <top style="double">
        <color rgb="FFB6B6B6"/>
      </top>
      <bottom style="medium">
        <color rgb="FFB6B6B6"/>
      </bottom>
      <diagonal/>
    </border>
    <border>
      <left/>
      <right style="thin">
        <color rgb="FFB6B6B6"/>
      </right>
      <top style="double">
        <color rgb="FFB6B6B6"/>
      </top>
      <bottom style="medium">
        <color rgb="FFB6B6B6"/>
      </bottom>
      <diagonal/>
    </border>
    <border>
      <left style="thin">
        <color theme="0"/>
      </left>
      <right/>
      <top/>
      <bottom style="thin">
        <color rgb="FFB6B6B6"/>
      </bottom>
      <diagonal/>
    </border>
    <border>
      <left/>
      <right style="thin">
        <color theme="0"/>
      </right>
      <top/>
      <bottom style="thin">
        <color rgb="FFB6B6B6"/>
      </bottom>
      <diagonal/>
    </border>
    <border>
      <left style="thin">
        <color theme="0"/>
      </left>
      <right/>
      <top style="thin">
        <color rgb="FFD1D5D9"/>
      </top>
      <bottom style="thin">
        <color rgb="FFB6B6B6"/>
      </bottom>
      <diagonal/>
    </border>
    <border>
      <left/>
      <right style="thin">
        <color theme="0"/>
      </right>
      <top style="thin">
        <color rgb="FFD1D5D9"/>
      </top>
      <bottom style="thin">
        <color rgb="FFB6B6B6"/>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diagonal/>
    </border>
    <border>
      <left/>
      <right/>
      <top style="thin">
        <color rgb="FFD1D5D9"/>
      </top>
      <bottom/>
      <diagonal/>
    </border>
    <border>
      <left/>
      <right style="thin">
        <color rgb="FFD1D5D9"/>
      </right>
      <top style="thin">
        <color rgb="FFD1D5D9"/>
      </top>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right/>
      <top/>
      <bottom style="thin">
        <color theme="9"/>
      </bottom>
      <diagonal/>
    </border>
    <border>
      <left/>
      <right style="thin">
        <color rgb="FFD6DBE0"/>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rgb="FFD6DBE0"/>
      </bottom>
      <diagonal/>
    </border>
    <border>
      <left style="thin">
        <color rgb="FFB6B6B6"/>
      </left>
      <right style="thin">
        <color rgb="FFB6B6B6"/>
      </right>
      <top style="double">
        <color rgb="FFB6B6B6"/>
      </top>
      <bottom/>
      <diagonal/>
    </border>
    <border>
      <left style="thin">
        <color rgb="FFD6DBE0"/>
      </left>
      <right/>
      <top style="thin">
        <color rgb="FFD6DBE0"/>
      </top>
      <bottom style="thin">
        <color rgb="FFE0E4E8"/>
      </bottom>
      <diagonal/>
    </border>
    <border>
      <left/>
      <right/>
      <top style="thin">
        <color rgb="FFD6DBE0"/>
      </top>
      <bottom style="thin">
        <color rgb="FFE0E4E8"/>
      </bottom>
      <diagonal/>
    </border>
    <border>
      <left/>
      <right style="thin">
        <color rgb="FFD6DBE0"/>
      </right>
      <top style="thin">
        <color rgb="FFD6DBE0"/>
      </top>
      <bottom style="thin">
        <color rgb="FFE0E4E8"/>
      </bottom>
      <diagonal/>
    </border>
  </borders>
  <cellStyleXfs count="9">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 fillId="12" borderId="0" applyNumberFormat="0" applyBorder="0" applyAlignment="0" applyProtection="0"/>
    <xf numFmtId="0" fontId="6" fillId="13" borderId="0" applyNumberFormat="0" applyBorder="0" applyAlignment="0" applyProtection="0"/>
    <xf numFmtId="0" fontId="7" fillId="14" borderId="0" applyNumberFormat="0" applyBorder="0" applyAlignment="0" applyProtection="0"/>
    <xf numFmtId="0" fontId="1" fillId="15" borderId="71" applyNumberFormat="0" applyFont="0" applyAlignment="0" applyProtection="0"/>
    <xf numFmtId="0" fontId="29" fillId="0" borderId="0" applyNumberFormat="0" applyFill="0" applyBorder="0" applyAlignment="0" applyProtection="0"/>
  </cellStyleXfs>
  <cellXfs count="556">
    <xf numFmtId="0" fontId="0" fillId="0" borderId="0" xfId="0"/>
    <xf numFmtId="0" fontId="0" fillId="8" borderId="0" xfId="0" applyFill="1"/>
    <xf numFmtId="0" fontId="3" fillId="9" borderId="0" xfId="0" applyFont="1" applyFill="1"/>
    <xf numFmtId="0" fontId="3" fillId="9" borderId="5" xfId="0" applyFont="1" applyFill="1" applyBorder="1"/>
    <xf numFmtId="0" fontId="0" fillId="8" borderId="6" xfId="0" applyFill="1" applyBorder="1"/>
    <xf numFmtId="0" fontId="0" fillId="8" borderId="6" xfId="0" applyFill="1" applyBorder="1" applyAlignment="1">
      <alignment wrapText="1"/>
    </xf>
    <xf numFmtId="0" fontId="0" fillId="8" borderId="8" xfId="0" applyFill="1" applyBorder="1"/>
    <xf numFmtId="0" fontId="0" fillId="8" borderId="8" xfId="0" applyFill="1" applyBorder="1" applyAlignment="1">
      <alignment wrapText="1"/>
    </xf>
    <xf numFmtId="0" fontId="4" fillId="8" borderId="7" xfId="0" applyFont="1" applyFill="1" applyBorder="1"/>
    <xf numFmtId="0" fontId="8" fillId="9" borderId="0" xfId="0" applyFont="1" applyFill="1"/>
    <xf numFmtId="0" fontId="8" fillId="9" borderId="5" xfId="0" applyFont="1" applyFill="1" applyBorder="1"/>
    <xf numFmtId="0" fontId="8" fillId="8" borderId="0" xfId="0" applyFont="1" applyFill="1"/>
    <xf numFmtId="0" fontId="9" fillId="8" borderId="0" xfId="0" applyFont="1" applyFill="1"/>
    <xf numFmtId="0" fontId="9" fillId="8" borderId="0" xfId="0" applyFont="1" applyFill="1" applyAlignment="1">
      <alignment horizontal="left"/>
    </xf>
    <xf numFmtId="0" fontId="9" fillId="8" borderId="2" xfId="0" applyFont="1" applyFill="1" applyBorder="1"/>
    <xf numFmtId="0" fontId="11" fillId="8" borderId="0" xfId="0" applyFont="1" applyFill="1"/>
    <xf numFmtId="0" fontId="12" fillId="8" borderId="0" xfId="0" applyFont="1" applyFill="1"/>
    <xf numFmtId="0" fontId="11" fillId="8" borderId="0" xfId="0" applyFont="1" applyFill="1" applyAlignment="1">
      <alignment horizontal="left"/>
    </xf>
    <xf numFmtId="2" fontId="9" fillId="9" borderId="47" xfId="0" applyNumberFormat="1" applyFont="1" applyFill="1" applyBorder="1" applyAlignment="1" applyProtection="1">
      <alignment horizontal="center"/>
      <protection locked="0"/>
    </xf>
    <xf numFmtId="2" fontId="9" fillId="8" borderId="0" xfId="0" applyNumberFormat="1" applyFont="1" applyFill="1" applyAlignment="1">
      <alignment horizontal="center"/>
    </xf>
    <xf numFmtId="0" fontId="9" fillId="10" borderId="21" xfId="0" applyFont="1" applyFill="1" applyBorder="1" applyAlignment="1">
      <alignment horizontal="center"/>
    </xf>
    <xf numFmtId="0" fontId="9" fillId="9" borderId="48" xfId="0" applyFont="1" applyFill="1" applyBorder="1" applyAlignment="1" applyProtection="1">
      <alignment horizontal="center"/>
      <protection locked="0"/>
    </xf>
    <xf numFmtId="0" fontId="9" fillId="8" borderId="0" xfId="0" applyFont="1" applyFill="1" applyAlignment="1">
      <alignment horizontal="center"/>
    </xf>
    <xf numFmtId="0" fontId="9" fillId="10" borderId="22" xfId="0" applyFont="1" applyFill="1" applyBorder="1" applyAlignment="1">
      <alignment horizontal="center"/>
    </xf>
    <xf numFmtId="9" fontId="9" fillId="10" borderId="22" xfId="1" applyFont="1" applyFill="1" applyBorder="1" applyAlignment="1" applyProtection="1">
      <alignment horizontal="center"/>
    </xf>
    <xf numFmtId="9" fontId="11" fillId="8" borderId="0" xfId="1" applyFont="1" applyFill="1" applyBorder="1" applyAlignment="1" applyProtection="1">
      <alignment horizontal="left"/>
    </xf>
    <xf numFmtId="0" fontId="9" fillId="9" borderId="49" xfId="0" applyFont="1" applyFill="1" applyBorder="1" applyAlignment="1" applyProtection="1">
      <alignment horizontal="center"/>
      <protection locked="0"/>
    </xf>
    <xf numFmtId="0" fontId="9" fillId="10" borderId="23" xfId="0" applyFont="1" applyFill="1" applyBorder="1" applyAlignment="1">
      <alignment horizontal="center"/>
    </xf>
    <xf numFmtId="0" fontId="10" fillId="8" borderId="0" xfId="0" applyFont="1" applyFill="1"/>
    <xf numFmtId="0" fontId="9" fillId="8" borderId="3" xfId="0" applyFont="1" applyFill="1" applyBorder="1" applyAlignment="1">
      <alignment horizontal="left"/>
    </xf>
    <xf numFmtId="0" fontId="9" fillId="8" borderId="3" xfId="0" applyFont="1" applyFill="1" applyBorder="1" applyAlignment="1">
      <alignment horizontal="center"/>
    </xf>
    <xf numFmtId="1" fontId="9" fillId="8" borderId="3" xfId="0" applyNumberFormat="1" applyFont="1" applyFill="1" applyBorder="1" applyAlignment="1">
      <alignment horizontal="center"/>
    </xf>
    <xf numFmtId="37" fontId="9" fillId="4" borderId="34" xfId="0" applyNumberFormat="1" applyFont="1" applyFill="1" applyBorder="1" applyAlignment="1">
      <alignment horizontal="center"/>
    </xf>
    <xf numFmtId="37" fontId="9" fillId="5" borderId="36" xfId="0" applyNumberFormat="1" applyFont="1" applyFill="1" applyBorder="1" applyAlignment="1">
      <alignment horizontal="center"/>
    </xf>
    <xf numFmtId="37" fontId="9" fillId="2" borderId="36" xfId="0" applyNumberFormat="1" applyFont="1" applyFill="1" applyBorder="1" applyAlignment="1">
      <alignment horizontal="center"/>
    </xf>
    <xf numFmtId="37" fontId="9" fillId="7" borderId="36" xfId="0" applyNumberFormat="1" applyFont="1" applyFill="1" applyBorder="1" applyAlignment="1">
      <alignment horizontal="center"/>
    </xf>
    <xf numFmtId="37" fontId="9" fillId="6" borderId="36" xfId="0" applyNumberFormat="1" applyFont="1" applyFill="1" applyBorder="1" applyAlignment="1">
      <alignment horizontal="center"/>
    </xf>
    <xf numFmtId="37" fontId="9" fillId="3" borderId="18" xfId="0" applyNumberFormat="1" applyFont="1" applyFill="1" applyBorder="1" applyAlignment="1">
      <alignment horizontal="center"/>
    </xf>
    <xf numFmtId="0" fontId="9" fillId="10" borderId="20" xfId="0" applyFont="1" applyFill="1" applyBorder="1" applyAlignment="1">
      <alignment horizontal="center"/>
    </xf>
    <xf numFmtId="0" fontId="11" fillId="8" borderId="0" xfId="0" applyFont="1" applyFill="1" applyAlignment="1">
      <alignment horizontal="left" indent="1"/>
    </xf>
    <xf numFmtId="0" fontId="11" fillId="8" borderId="0" xfId="0" applyFont="1" applyFill="1" applyAlignment="1">
      <alignment horizontal="center"/>
    </xf>
    <xf numFmtId="37" fontId="9" fillId="9" borderId="47" xfId="0" applyNumberFormat="1" applyFont="1" applyFill="1" applyBorder="1" applyAlignment="1" applyProtection="1">
      <alignment horizontal="center"/>
      <protection locked="0"/>
    </xf>
    <xf numFmtId="37" fontId="9" fillId="8" borderId="4" xfId="0" applyNumberFormat="1" applyFont="1" applyFill="1" applyBorder="1" applyAlignment="1">
      <alignment horizontal="center"/>
    </xf>
    <xf numFmtId="1" fontId="9" fillId="9" borderId="48" xfId="1" applyNumberFormat="1" applyFont="1" applyFill="1" applyBorder="1" applyAlignment="1" applyProtection="1">
      <alignment horizontal="center"/>
      <protection locked="0"/>
    </xf>
    <xf numFmtId="1" fontId="9" fillId="8" borderId="4" xfId="1" applyNumberFormat="1" applyFont="1" applyFill="1" applyBorder="1" applyAlignment="1" applyProtection="1">
      <alignment horizontal="center"/>
    </xf>
    <xf numFmtId="1" fontId="9" fillId="9" borderId="49" xfId="1" applyNumberFormat="1" applyFont="1" applyFill="1" applyBorder="1" applyAlignment="1" applyProtection="1">
      <alignment horizontal="center"/>
      <protection locked="0"/>
    </xf>
    <xf numFmtId="0" fontId="9" fillId="6" borderId="45" xfId="0" applyFont="1" applyFill="1" applyBorder="1" applyAlignment="1">
      <alignment horizontal="center"/>
    </xf>
    <xf numFmtId="0" fontId="9" fillId="3" borderId="46" xfId="0" applyFont="1" applyFill="1" applyBorder="1" applyAlignment="1">
      <alignment horizontal="center"/>
    </xf>
    <xf numFmtId="9" fontId="9" fillId="8" borderId="3" xfId="0" applyNumberFormat="1" applyFont="1" applyFill="1" applyBorder="1" applyAlignment="1">
      <alignment horizontal="center"/>
    </xf>
    <xf numFmtId="5" fontId="9" fillId="8" borderId="3" xfId="0" applyNumberFormat="1" applyFont="1" applyFill="1" applyBorder="1" applyAlignment="1">
      <alignment horizontal="center"/>
    </xf>
    <xf numFmtId="6" fontId="9" fillId="6" borderId="45" xfId="0" applyNumberFormat="1" applyFont="1" applyFill="1" applyBorder="1" applyAlignment="1">
      <alignment horizontal="center"/>
    </xf>
    <xf numFmtId="6" fontId="9" fillId="8" borderId="3" xfId="0" applyNumberFormat="1" applyFont="1" applyFill="1" applyBorder="1" applyAlignment="1">
      <alignment horizontal="center"/>
    </xf>
    <xf numFmtId="6" fontId="9" fillId="3" borderId="46" xfId="0" applyNumberFormat="1" applyFont="1" applyFill="1" applyBorder="1" applyAlignment="1">
      <alignment horizontal="center"/>
    </xf>
    <xf numFmtId="0" fontId="9" fillId="8" borderId="4" xfId="0" applyFont="1" applyFill="1" applyBorder="1" applyAlignment="1">
      <alignment horizontal="left"/>
    </xf>
    <xf numFmtId="37" fontId="9" fillId="8" borderId="1" xfId="0" applyNumberFormat="1" applyFont="1" applyFill="1" applyBorder="1" applyAlignment="1">
      <alignment horizontal="center"/>
    </xf>
    <xf numFmtId="1" fontId="9" fillId="8" borderId="1" xfId="1" applyNumberFormat="1" applyFont="1" applyFill="1" applyBorder="1" applyAlignment="1" applyProtection="1">
      <alignment horizontal="center"/>
    </xf>
    <xf numFmtId="0" fontId="8" fillId="8" borderId="0" xfId="0" applyFont="1" applyFill="1" applyAlignment="1">
      <alignment vertical="center"/>
    </xf>
    <xf numFmtId="0" fontId="9" fillId="9" borderId="0" xfId="0" applyFont="1" applyFill="1"/>
    <xf numFmtId="0" fontId="9" fillId="9" borderId="5" xfId="0" applyFont="1" applyFill="1" applyBorder="1"/>
    <xf numFmtId="0" fontId="14" fillId="8" borderId="0" xfId="0" applyFont="1" applyFill="1"/>
    <xf numFmtId="0" fontId="9" fillId="8" borderId="0" xfId="0" applyFont="1" applyFill="1" applyAlignment="1">
      <alignment vertical="center"/>
    </xf>
    <xf numFmtId="1" fontId="9" fillId="10" borderId="21" xfId="0" applyNumberFormat="1" applyFont="1" applyFill="1" applyBorder="1" applyAlignment="1">
      <alignment horizontal="left"/>
    </xf>
    <xf numFmtId="1" fontId="9" fillId="10" borderId="21" xfId="0" applyNumberFormat="1" applyFont="1" applyFill="1" applyBorder="1" applyAlignment="1">
      <alignment horizontal="center"/>
    </xf>
    <xf numFmtId="0" fontId="9" fillId="9" borderId="70" xfId="0" applyFont="1" applyFill="1" applyBorder="1" applyAlignment="1">
      <alignment horizontal="center"/>
    </xf>
    <xf numFmtId="1" fontId="9" fillId="10" borderId="53" xfId="0" applyNumberFormat="1" applyFont="1" applyFill="1" applyBorder="1" applyAlignment="1">
      <alignment horizontal="center"/>
    </xf>
    <xf numFmtId="0" fontId="9" fillId="10" borderId="53" xfId="0" applyFont="1" applyFill="1" applyBorder="1" applyAlignment="1">
      <alignment horizontal="center"/>
    </xf>
    <xf numFmtId="0" fontId="8" fillId="8" borderId="0" xfId="0" applyFont="1" applyFill="1" applyAlignment="1">
      <alignment horizontal="left"/>
    </xf>
    <xf numFmtId="9" fontId="9" fillId="10" borderId="21" xfId="1" applyFont="1" applyFill="1" applyBorder="1" applyAlignment="1" applyProtection="1">
      <alignment horizontal="center"/>
    </xf>
    <xf numFmtId="166" fontId="9" fillId="10" borderId="21" xfId="0" applyNumberFormat="1" applyFont="1" applyFill="1" applyBorder="1" applyAlignment="1">
      <alignment horizontal="center"/>
    </xf>
    <xf numFmtId="2" fontId="9" fillId="10" borderId="58" xfId="0" applyNumberFormat="1" applyFont="1" applyFill="1" applyBorder="1" applyAlignment="1">
      <alignment horizontal="center"/>
    </xf>
    <xf numFmtId="165" fontId="8" fillId="8" borderId="0" xfId="0" applyNumberFormat="1" applyFont="1" applyFill="1"/>
    <xf numFmtId="0" fontId="16" fillId="8" borderId="0" xfId="0" applyFont="1" applyFill="1" applyAlignment="1">
      <alignment vertical="center"/>
    </xf>
    <xf numFmtId="0" fontId="17" fillId="8" borderId="0" xfId="0" applyFont="1" applyFill="1"/>
    <xf numFmtId="1" fontId="9" fillId="10" borderId="58" xfId="0" applyNumberFormat="1" applyFont="1" applyFill="1" applyBorder="1" applyAlignment="1">
      <alignment horizontal="center"/>
    </xf>
    <xf numFmtId="9" fontId="9" fillId="10" borderId="58" xfId="1" applyFont="1" applyFill="1" applyBorder="1" applyAlignment="1" applyProtection="1">
      <alignment horizontal="center"/>
    </xf>
    <xf numFmtId="0" fontId="8" fillId="8" borderId="0" xfId="0" applyFont="1" applyFill="1" applyAlignment="1">
      <alignment horizontal="center"/>
    </xf>
    <xf numFmtId="0" fontId="8" fillId="8" borderId="0" xfId="0" applyFont="1" applyFill="1" applyAlignment="1">
      <alignment horizontal="center" vertical="center"/>
    </xf>
    <xf numFmtId="0" fontId="14" fillId="8" borderId="0" xfId="0" applyFont="1" applyFill="1" applyAlignment="1">
      <alignment horizontal="center"/>
    </xf>
    <xf numFmtId="1" fontId="9" fillId="10" borderId="56" xfId="0" applyNumberFormat="1" applyFont="1" applyFill="1" applyBorder="1" applyAlignment="1">
      <alignment horizontal="center"/>
    </xf>
    <xf numFmtId="2" fontId="9" fillId="10" borderId="26" xfId="0" applyNumberFormat="1" applyFont="1" applyFill="1" applyBorder="1" applyAlignment="1">
      <alignment horizontal="center"/>
    </xf>
    <xf numFmtId="9" fontId="9" fillId="9" borderId="52" xfId="0" applyNumberFormat="1" applyFont="1" applyFill="1" applyBorder="1" applyAlignment="1" applyProtection="1">
      <alignment horizontal="center"/>
      <protection locked="0"/>
    </xf>
    <xf numFmtId="2" fontId="9" fillId="10" borderId="39" xfId="0" applyNumberFormat="1" applyFont="1" applyFill="1" applyBorder="1" applyAlignment="1">
      <alignment horizontal="center"/>
    </xf>
    <xf numFmtId="2" fontId="9" fillId="10" borderId="52" xfId="0" applyNumberFormat="1" applyFont="1" applyFill="1" applyBorder="1" applyAlignment="1">
      <alignment horizontal="center"/>
    </xf>
    <xf numFmtId="1" fontId="11" fillId="10" borderId="53" xfId="0" applyNumberFormat="1" applyFont="1" applyFill="1" applyBorder="1" applyAlignment="1">
      <alignment horizontal="center"/>
    </xf>
    <xf numFmtId="2" fontId="9" fillId="10" borderId="57" xfId="0" applyNumberFormat="1" applyFont="1" applyFill="1" applyBorder="1" applyAlignment="1">
      <alignment horizontal="center"/>
    </xf>
    <xf numFmtId="164" fontId="9" fillId="10" borderId="21" xfId="0" applyNumberFormat="1" applyFont="1" applyFill="1" applyBorder="1" applyAlignment="1">
      <alignment horizontal="center"/>
    </xf>
    <xf numFmtId="9" fontId="9" fillId="10" borderId="60" xfId="1" applyFont="1" applyFill="1" applyBorder="1" applyAlignment="1" applyProtection="1">
      <alignment horizontal="center"/>
    </xf>
    <xf numFmtId="0" fontId="18" fillId="11" borderId="0" xfId="0" applyFont="1" applyFill="1"/>
    <xf numFmtId="1" fontId="14" fillId="10" borderId="21" xfId="0" applyNumberFormat="1" applyFont="1" applyFill="1" applyBorder="1" applyAlignment="1">
      <alignment horizontal="left"/>
    </xf>
    <xf numFmtId="0" fontId="9" fillId="10" borderId="26" xfId="0" applyFont="1" applyFill="1" applyBorder="1" applyAlignment="1">
      <alignment horizontal="center"/>
    </xf>
    <xf numFmtId="0" fontId="19" fillId="11" borderId="63" xfId="0" applyFont="1" applyFill="1" applyBorder="1"/>
    <xf numFmtId="0" fontId="19" fillId="11" borderId="64" xfId="0" applyFont="1" applyFill="1" applyBorder="1"/>
    <xf numFmtId="49" fontId="9" fillId="8" borderId="0" xfId="0" applyNumberFormat="1" applyFont="1" applyFill="1"/>
    <xf numFmtId="1" fontId="9" fillId="8" borderId="0" xfId="0" applyNumberFormat="1" applyFont="1" applyFill="1" applyAlignment="1">
      <alignment horizontal="center"/>
    </xf>
    <xf numFmtId="0" fontId="19" fillId="11" borderId="61" xfId="0" applyFont="1" applyFill="1" applyBorder="1"/>
    <xf numFmtId="0" fontId="18" fillId="11" borderId="62" xfId="0" applyFont="1" applyFill="1" applyBorder="1"/>
    <xf numFmtId="0" fontId="14" fillId="8" borderId="0" xfId="0" applyFont="1" applyFill="1" applyAlignment="1">
      <alignment horizontal="left"/>
    </xf>
    <xf numFmtId="168" fontId="14" fillId="10" borderId="52" xfId="0" applyNumberFormat="1" applyFont="1" applyFill="1" applyBorder="1" applyAlignment="1">
      <alignment horizontal="center"/>
    </xf>
    <xf numFmtId="0" fontId="20" fillId="18" borderId="0" xfId="0" applyFont="1" applyFill="1" applyAlignment="1">
      <alignment horizontal="center"/>
    </xf>
    <xf numFmtId="167" fontId="9" fillId="18" borderId="0" xfId="3" applyNumberFormat="1" applyFont="1" applyFill="1" applyBorder="1" applyAlignment="1">
      <alignment horizontal="center"/>
    </xf>
    <xf numFmtId="0" fontId="1" fillId="8" borderId="0" xfId="0" applyFont="1" applyFill="1"/>
    <xf numFmtId="0" fontId="1" fillId="8" borderId="75" xfId="0" applyFont="1" applyFill="1" applyBorder="1"/>
    <xf numFmtId="5" fontId="18" fillId="8" borderId="0" xfId="6" applyNumberFormat="1" applyFont="1" applyFill="1" applyBorder="1" applyAlignment="1">
      <alignment horizontal="center"/>
    </xf>
    <xf numFmtId="9" fontId="8" fillId="16" borderId="0" xfId="0" applyNumberFormat="1" applyFont="1" applyFill="1"/>
    <xf numFmtId="0" fontId="0" fillId="8" borderId="0" xfId="0" applyFill="1" applyAlignment="1">
      <alignment vertical="top"/>
    </xf>
    <xf numFmtId="0" fontId="0" fillId="8" borderId="0" xfId="0" applyFill="1" applyAlignment="1">
      <alignment horizontal="right"/>
    </xf>
    <xf numFmtId="0" fontId="9" fillId="8" borderId="0" xfId="0" applyFont="1" applyFill="1" applyAlignment="1">
      <alignment horizontal="right"/>
    </xf>
    <xf numFmtId="0" fontId="2" fillId="8" borderId="0" xfId="0" applyFont="1" applyFill="1" applyAlignment="1">
      <alignment horizontal="right"/>
    </xf>
    <xf numFmtId="0" fontId="22" fillId="8" borderId="0" xfId="0" applyFont="1" applyFill="1" applyAlignment="1">
      <alignment horizontal="right"/>
    </xf>
    <xf numFmtId="0" fontId="13" fillId="8" borderId="0" xfId="0" applyFont="1" applyFill="1" applyAlignment="1">
      <alignment horizontal="right"/>
    </xf>
    <xf numFmtId="0" fontId="9" fillId="2" borderId="118" xfId="0" applyFont="1" applyFill="1" applyBorder="1" applyAlignment="1">
      <alignment horizontal="center"/>
    </xf>
    <xf numFmtId="5" fontId="9" fillId="2" borderId="118" xfId="0" applyNumberFormat="1" applyFont="1" applyFill="1" applyBorder="1" applyAlignment="1">
      <alignment horizontal="center"/>
    </xf>
    <xf numFmtId="0" fontId="9" fillId="7" borderId="119" xfId="0" applyFont="1" applyFill="1" applyBorder="1" applyAlignment="1">
      <alignment horizontal="center"/>
    </xf>
    <xf numFmtId="5" fontId="9" fillId="7" borderId="119" xfId="0" applyNumberFormat="1" applyFont="1" applyFill="1" applyBorder="1" applyAlignment="1">
      <alignment horizontal="center"/>
    </xf>
    <xf numFmtId="1" fontId="9" fillId="8" borderId="0" xfId="0" applyNumberFormat="1" applyFont="1" applyFill="1"/>
    <xf numFmtId="166" fontId="9" fillId="10" borderId="58" xfId="0" applyNumberFormat="1" applyFont="1" applyFill="1" applyBorder="1" applyAlignment="1">
      <alignment horizontal="center"/>
    </xf>
    <xf numFmtId="166" fontId="9" fillId="9" borderId="47" xfId="0" applyNumberFormat="1" applyFont="1" applyFill="1" applyBorder="1" applyAlignment="1" applyProtection="1">
      <alignment horizontal="center"/>
      <protection locked="0"/>
    </xf>
    <xf numFmtId="166" fontId="9" fillId="9" borderId="59" xfId="0" applyNumberFormat="1" applyFont="1" applyFill="1" applyBorder="1" applyAlignment="1" applyProtection="1">
      <alignment horizontal="center"/>
      <protection locked="0"/>
    </xf>
    <xf numFmtId="0" fontId="11" fillId="10" borderId="27" xfId="0" applyFont="1" applyFill="1" applyBorder="1" applyAlignment="1">
      <alignment horizontal="left" indent="1"/>
    </xf>
    <xf numFmtId="0" fontId="11" fillId="10" borderId="10" xfId="0" applyFont="1" applyFill="1" applyBorder="1" applyAlignment="1">
      <alignment horizontal="left" indent="1"/>
    </xf>
    <xf numFmtId="0" fontId="11" fillId="10" borderId="28" xfId="0" applyFont="1" applyFill="1" applyBorder="1" applyAlignment="1">
      <alignment horizontal="left" indent="1"/>
    </xf>
    <xf numFmtId="167" fontId="19" fillId="8" borderId="0" xfId="3" applyNumberFormat="1" applyFont="1" applyFill="1" applyBorder="1" applyAlignment="1">
      <alignment horizontal="center"/>
    </xf>
    <xf numFmtId="5" fontId="18" fillId="8" borderId="0" xfId="4" applyNumberFormat="1" applyFont="1" applyFill="1" applyBorder="1" applyAlignment="1">
      <alignment horizontal="center"/>
    </xf>
    <xf numFmtId="0" fontId="18" fillId="8" borderId="0" xfId="0" applyFont="1" applyFill="1" applyAlignment="1">
      <alignment horizontal="center"/>
    </xf>
    <xf numFmtId="0" fontId="25" fillId="8" borderId="0" xfId="0" applyFont="1" applyFill="1" applyAlignment="1">
      <alignment horizontal="center" wrapText="1"/>
    </xf>
    <xf numFmtId="0" fontId="24" fillId="8" borderId="0" xfId="0" applyFont="1" applyFill="1"/>
    <xf numFmtId="5" fontId="18" fillId="8" borderId="0" xfId="3" applyNumberFormat="1" applyFont="1" applyFill="1" applyBorder="1" applyAlignment="1" applyProtection="1">
      <alignment horizontal="center"/>
      <protection locked="0"/>
    </xf>
    <xf numFmtId="5" fontId="18" fillId="8" borderId="0" xfId="5" applyNumberFormat="1" applyFont="1" applyFill="1" applyBorder="1" applyAlignment="1">
      <alignment horizontal="center"/>
    </xf>
    <xf numFmtId="5" fontId="18" fillId="8" borderId="0" xfId="3" applyNumberFormat="1" applyFont="1" applyFill="1" applyBorder="1" applyAlignment="1">
      <alignment horizontal="center"/>
    </xf>
    <xf numFmtId="0" fontId="25" fillId="8" borderId="0" xfId="0" applyFont="1" applyFill="1" applyAlignment="1">
      <alignment horizontal="center"/>
    </xf>
    <xf numFmtId="169" fontId="18" fillId="8" borderId="0" xfId="0" applyNumberFormat="1" applyFont="1" applyFill="1" applyAlignment="1">
      <alignment horizontal="right"/>
    </xf>
    <xf numFmtId="170" fontId="18" fillId="8" borderId="0" xfId="2" applyNumberFormat="1" applyFont="1" applyFill="1" applyBorder="1" applyAlignment="1">
      <alignment horizontal="right"/>
    </xf>
    <xf numFmtId="0" fontId="19" fillId="8" borderId="0" xfId="0" applyFont="1" applyFill="1" applyAlignment="1">
      <alignment horizontal="center"/>
    </xf>
    <xf numFmtId="0" fontId="18" fillId="8" borderId="0" xfId="0" applyFont="1" applyFill="1"/>
    <xf numFmtId="168" fontId="19" fillId="8" borderId="0" xfId="0" applyNumberFormat="1" applyFont="1" applyFill="1" applyAlignment="1">
      <alignment horizontal="center"/>
    </xf>
    <xf numFmtId="9" fontId="19" fillId="8" borderId="0" xfId="1" applyFont="1" applyFill="1" applyBorder="1" applyAlignment="1" applyProtection="1">
      <alignment horizontal="center"/>
    </xf>
    <xf numFmtId="0" fontId="24" fillId="8" borderId="0" xfId="0" applyFont="1" applyFill="1" applyAlignment="1">
      <alignment vertical="top"/>
    </xf>
    <xf numFmtId="0" fontId="19" fillId="8" borderId="0" xfId="0" applyFont="1" applyFill="1" applyAlignment="1">
      <alignment horizontal="center" vertical="top"/>
    </xf>
    <xf numFmtId="168" fontId="19" fillId="8" borderId="0" xfId="0" applyNumberFormat="1" applyFont="1" applyFill="1" applyAlignment="1">
      <alignment horizontal="center" vertical="top"/>
    </xf>
    <xf numFmtId="0" fontId="18" fillId="8" borderId="0" xfId="0" applyFont="1" applyFill="1" applyAlignment="1">
      <alignment vertical="top"/>
    </xf>
    <xf numFmtId="1" fontId="9" fillId="9" borderId="56" xfId="0" applyNumberFormat="1" applyFont="1" applyFill="1" applyBorder="1" applyAlignment="1" applyProtection="1">
      <alignment horizontal="center"/>
      <protection locked="0"/>
    </xf>
    <xf numFmtId="9" fontId="11" fillId="10" borderId="53" xfId="0" applyNumberFormat="1" applyFont="1" applyFill="1" applyBorder="1" applyAlignment="1">
      <alignment horizontal="center"/>
    </xf>
    <xf numFmtId="9" fontId="11" fillId="10" borderId="72" xfId="0" applyNumberFormat="1" applyFont="1" applyFill="1" applyBorder="1" applyAlignment="1">
      <alignment horizontal="center"/>
    </xf>
    <xf numFmtId="9" fontId="11" fillId="10" borderId="60" xfId="0" applyNumberFormat="1" applyFont="1" applyFill="1" applyBorder="1" applyAlignment="1">
      <alignment horizontal="center"/>
    </xf>
    <xf numFmtId="9" fontId="11" fillId="10" borderId="69" xfId="0" applyNumberFormat="1" applyFont="1" applyFill="1" applyBorder="1" applyAlignment="1">
      <alignment horizontal="center"/>
    </xf>
    <xf numFmtId="0" fontId="11" fillId="18" borderId="0" xfId="0" applyFont="1" applyFill="1" applyAlignment="1">
      <alignment horizontal="right"/>
    </xf>
    <xf numFmtId="9" fontId="11" fillId="10" borderId="87" xfId="6" applyNumberFormat="1" applyFont="1" applyFill="1" applyBorder="1"/>
    <xf numFmtId="9" fontId="11" fillId="9" borderId="95" xfId="6" applyNumberFormat="1" applyFont="1" applyFill="1" applyBorder="1" applyProtection="1">
      <protection locked="0"/>
    </xf>
    <xf numFmtId="9" fontId="11" fillId="9" borderId="87" xfId="6" applyNumberFormat="1" applyFont="1" applyFill="1" applyBorder="1" applyProtection="1">
      <protection locked="0"/>
    </xf>
    <xf numFmtId="0" fontId="11" fillId="17" borderId="0" xfId="0" applyFont="1" applyFill="1" applyAlignment="1">
      <alignment horizontal="right"/>
    </xf>
    <xf numFmtId="0" fontId="14" fillId="8" borderId="0" xfId="0" applyFont="1" applyFill="1" applyAlignment="1">
      <alignment horizontal="center" vertical="top"/>
    </xf>
    <xf numFmtId="0" fontId="14" fillId="8" borderId="0" xfId="0" applyFont="1" applyFill="1" applyAlignment="1">
      <alignment horizontal="center" wrapText="1"/>
    </xf>
    <xf numFmtId="0" fontId="11" fillId="8" borderId="0" xfId="7" applyFont="1" applyFill="1" applyBorder="1" applyAlignment="1">
      <alignment horizontal="right" vertical="center" wrapText="1"/>
    </xf>
    <xf numFmtId="5" fontId="11" fillId="10" borderId="87" xfId="6" applyNumberFormat="1" applyFont="1" applyFill="1" applyBorder="1" applyAlignment="1">
      <alignment horizontal="center"/>
    </xf>
    <xf numFmtId="5" fontId="9" fillId="9" borderId="96" xfId="3" applyNumberFormat="1" applyFont="1" applyFill="1" applyBorder="1" applyAlignment="1" applyProtection="1">
      <alignment horizontal="center"/>
      <protection locked="0"/>
    </xf>
    <xf numFmtId="5" fontId="9" fillId="9" borderId="105" xfId="3" applyNumberFormat="1" applyFont="1" applyFill="1" applyBorder="1" applyAlignment="1" applyProtection="1">
      <alignment horizontal="center"/>
      <protection locked="0"/>
    </xf>
    <xf numFmtId="0" fontId="11" fillId="8" borderId="0" xfId="0" applyFont="1" applyFill="1" applyAlignment="1">
      <alignment horizontal="right"/>
    </xf>
    <xf numFmtId="5" fontId="9" fillId="9" borderId="87" xfId="3" applyNumberFormat="1" applyFont="1" applyFill="1" applyBorder="1" applyAlignment="1" applyProtection="1">
      <alignment horizontal="center"/>
      <protection locked="0"/>
    </xf>
    <xf numFmtId="5" fontId="9" fillId="9" borderId="82" xfId="3" applyNumberFormat="1" applyFont="1" applyFill="1" applyBorder="1" applyAlignment="1" applyProtection="1">
      <alignment horizontal="center"/>
      <protection locked="0"/>
    </xf>
    <xf numFmtId="5" fontId="9" fillId="9" borderId="83" xfId="3" applyNumberFormat="1" applyFont="1" applyFill="1" applyBorder="1" applyAlignment="1" applyProtection="1">
      <alignment horizontal="center"/>
      <protection locked="0"/>
    </xf>
    <xf numFmtId="5" fontId="9" fillId="9" borderId="92" xfId="3" applyNumberFormat="1" applyFont="1" applyFill="1" applyBorder="1" applyAlignment="1" applyProtection="1">
      <alignment horizontal="center"/>
      <protection locked="0"/>
    </xf>
    <xf numFmtId="5" fontId="9" fillId="9" borderId="97" xfId="3" applyNumberFormat="1" applyFont="1" applyFill="1" applyBorder="1" applyAlignment="1" applyProtection="1">
      <alignment horizontal="center"/>
      <protection locked="0"/>
    </xf>
    <xf numFmtId="5" fontId="9" fillId="9" borderId="121" xfId="3" applyNumberFormat="1" applyFont="1" applyFill="1" applyBorder="1" applyAlignment="1" applyProtection="1">
      <alignment horizontal="center"/>
      <protection locked="0"/>
    </xf>
    <xf numFmtId="0" fontId="11" fillId="8" borderId="0" xfId="5" applyFont="1" applyFill="1" applyBorder="1" applyAlignment="1">
      <alignment horizontal="right"/>
    </xf>
    <xf numFmtId="5" fontId="11" fillId="10" borderId="93" xfId="5" applyNumberFormat="1" applyFont="1" applyFill="1" applyBorder="1" applyAlignment="1">
      <alignment horizontal="center"/>
    </xf>
    <xf numFmtId="5" fontId="11" fillId="10" borderId="85" xfId="5" applyNumberFormat="1" applyFont="1" applyFill="1" applyBorder="1" applyAlignment="1">
      <alignment horizontal="center"/>
    </xf>
    <xf numFmtId="5" fontId="11" fillId="10" borderId="86" xfId="5" applyNumberFormat="1" applyFont="1" applyFill="1" applyBorder="1" applyAlignment="1">
      <alignment horizontal="center"/>
    </xf>
    <xf numFmtId="5" fontId="11" fillId="10" borderId="94" xfId="5" applyNumberFormat="1" applyFont="1" applyFill="1" applyBorder="1" applyAlignment="1">
      <alignment horizontal="center"/>
    </xf>
    <xf numFmtId="5" fontId="11" fillId="10" borderId="84" xfId="5" applyNumberFormat="1" applyFont="1" applyFill="1" applyBorder="1" applyAlignment="1">
      <alignment horizontal="center"/>
    </xf>
    <xf numFmtId="0" fontId="11" fillId="18" borderId="0" xfId="0" applyFont="1" applyFill="1" applyAlignment="1">
      <alignment horizontal="right" wrapText="1"/>
    </xf>
    <xf numFmtId="5" fontId="9" fillId="8" borderId="106" xfId="7" applyNumberFormat="1" applyFont="1" applyFill="1" applyBorder="1" applyAlignment="1">
      <alignment horizontal="center"/>
    </xf>
    <xf numFmtId="5" fontId="9" fillId="8" borderId="74" xfId="7" applyNumberFormat="1" applyFont="1" applyFill="1" applyBorder="1" applyAlignment="1">
      <alignment horizontal="center"/>
    </xf>
    <xf numFmtId="5" fontId="9" fillId="8" borderId="74" xfId="3" applyNumberFormat="1" applyFont="1" applyFill="1" applyBorder="1" applyAlignment="1">
      <alignment horizontal="center"/>
    </xf>
    <xf numFmtId="0" fontId="9" fillId="18" borderId="0" xfId="0" applyFont="1" applyFill="1" applyAlignment="1">
      <alignment horizontal="right" wrapText="1"/>
    </xf>
    <xf numFmtId="5" fontId="11" fillId="10" borderId="73" xfId="5" applyNumberFormat="1" applyFont="1" applyFill="1" applyBorder="1" applyAlignment="1">
      <alignment horizontal="center"/>
    </xf>
    <xf numFmtId="5" fontId="11" fillId="10" borderId="80" xfId="5" applyNumberFormat="1" applyFont="1" applyFill="1" applyBorder="1" applyAlignment="1">
      <alignment horizontal="center"/>
    </xf>
    <xf numFmtId="5" fontId="11" fillId="10" borderId="81" xfId="5" applyNumberFormat="1" applyFont="1" applyFill="1" applyBorder="1" applyAlignment="1">
      <alignment horizontal="center"/>
    </xf>
    <xf numFmtId="0" fontId="11" fillId="18" borderId="0" xfId="0" applyFont="1" applyFill="1" applyAlignment="1">
      <alignment horizontal="right" indent="1"/>
    </xf>
    <xf numFmtId="0" fontId="26" fillId="8" borderId="0" xfId="4" applyFont="1" applyFill="1" applyBorder="1" applyAlignment="1">
      <alignment horizontal="right"/>
    </xf>
    <xf numFmtId="0" fontId="11" fillId="8" borderId="0" xfId="0" applyFont="1" applyFill="1" applyAlignment="1">
      <alignment horizontal="right" wrapText="1"/>
    </xf>
    <xf numFmtId="0" fontId="9" fillId="8" borderId="0" xfId="0" applyFont="1" applyFill="1" applyAlignment="1">
      <alignment vertical="top"/>
    </xf>
    <xf numFmtId="5" fontId="9" fillId="10" borderId="105" xfId="3" applyNumberFormat="1" applyFont="1" applyFill="1" applyBorder="1" applyAlignment="1">
      <alignment horizontal="center"/>
    </xf>
    <xf numFmtId="5" fontId="9" fillId="10" borderId="90" xfId="3" applyNumberFormat="1" applyFont="1" applyFill="1" applyBorder="1" applyAlignment="1">
      <alignment horizontal="center"/>
    </xf>
    <xf numFmtId="5" fontId="9" fillId="10" borderId="93" xfId="3" applyNumberFormat="1" applyFont="1" applyFill="1" applyBorder="1" applyAlignment="1">
      <alignment horizontal="center"/>
    </xf>
    <xf numFmtId="5" fontId="9" fillId="10" borderId="89" xfId="3" applyNumberFormat="1" applyFont="1" applyFill="1" applyBorder="1" applyAlignment="1">
      <alignment horizontal="center"/>
    </xf>
    <xf numFmtId="5" fontId="9" fillId="10" borderId="103" xfId="3" applyNumberFormat="1" applyFont="1" applyFill="1" applyBorder="1" applyAlignment="1">
      <alignment horizontal="center"/>
    </xf>
    <xf numFmtId="5" fontId="9" fillId="10" borderId="77" xfId="3" applyNumberFormat="1" applyFont="1" applyFill="1" applyBorder="1" applyAlignment="1">
      <alignment horizontal="center"/>
    </xf>
    <xf numFmtId="5" fontId="9" fillId="10" borderId="104" xfId="3" applyNumberFormat="1" applyFont="1" applyFill="1" applyBorder="1" applyAlignment="1">
      <alignment horizontal="center"/>
    </xf>
    <xf numFmtId="5" fontId="9" fillId="10" borderId="76" xfId="3" applyNumberFormat="1" applyFont="1" applyFill="1" applyBorder="1" applyAlignment="1">
      <alignment horizontal="center"/>
    </xf>
    <xf numFmtId="0" fontId="9" fillId="8" borderId="0" xfId="4" applyFont="1" applyFill="1" applyBorder="1" applyAlignment="1">
      <alignment horizontal="right"/>
    </xf>
    <xf numFmtId="5" fontId="9" fillId="10" borderId="88" xfId="3" applyNumberFormat="1" applyFont="1" applyFill="1" applyBorder="1" applyAlignment="1">
      <alignment horizontal="center"/>
    </xf>
    <xf numFmtId="5" fontId="9" fillId="10" borderId="101" xfId="3" applyNumberFormat="1" applyFont="1" applyFill="1" applyBorder="1" applyAlignment="1">
      <alignment horizontal="center"/>
    </xf>
    <xf numFmtId="5" fontId="26" fillId="8" borderId="0" xfId="4" applyNumberFormat="1" applyFont="1" applyFill="1" applyBorder="1" applyAlignment="1">
      <alignment horizontal="center"/>
    </xf>
    <xf numFmtId="8" fontId="11" fillId="8" borderId="0" xfId="6" applyNumberFormat="1" applyFont="1" applyFill="1" applyBorder="1" applyAlignment="1">
      <alignment horizontal="right"/>
    </xf>
    <xf numFmtId="5" fontId="9" fillId="10" borderId="102" xfId="3" applyNumberFormat="1" applyFont="1" applyFill="1" applyBorder="1" applyAlignment="1">
      <alignment horizontal="center"/>
    </xf>
    <xf numFmtId="5" fontId="11" fillId="8" borderId="0" xfId="6" applyNumberFormat="1" applyFont="1" applyFill="1" applyBorder="1" applyAlignment="1">
      <alignment horizontal="center"/>
    </xf>
    <xf numFmtId="5" fontId="11" fillId="10" borderId="89" xfId="5" applyNumberFormat="1" applyFont="1" applyFill="1" applyBorder="1" applyAlignment="1">
      <alignment horizontal="center"/>
    </xf>
    <xf numFmtId="5" fontId="11" fillId="10" borderId="102" xfId="5" applyNumberFormat="1" applyFont="1" applyFill="1" applyBorder="1" applyAlignment="1">
      <alignment horizontal="center"/>
    </xf>
    <xf numFmtId="5" fontId="11" fillId="10" borderId="90" xfId="5" applyNumberFormat="1" applyFont="1" applyFill="1" applyBorder="1" applyAlignment="1">
      <alignment horizontal="center"/>
    </xf>
    <xf numFmtId="5" fontId="11" fillId="10" borderId="91" xfId="5" applyNumberFormat="1" applyFont="1" applyFill="1" applyBorder="1" applyAlignment="1">
      <alignment horizontal="center"/>
    </xf>
    <xf numFmtId="5" fontId="11" fillId="10" borderId="100" xfId="5" applyNumberFormat="1" applyFont="1" applyFill="1" applyBorder="1" applyAlignment="1">
      <alignment horizontal="center"/>
    </xf>
    <xf numFmtId="0" fontId="19" fillId="8" borderId="0" xfId="6" applyNumberFormat="1" applyFont="1" applyFill="1" applyBorder="1" applyAlignment="1">
      <alignment horizontal="right"/>
    </xf>
    <xf numFmtId="5" fontId="19" fillId="8" borderId="0" xfId="6" applyNumberFormat="1" applyFont="1" applyFill="1" applyBorder="1" applyAlignment="1">
      <alignment horizontal="center"/>
    </xf>
    <xf numFmtId="8" fontId="27" fillId="8" borderId="0" xfId="6" applyNumberFormat="1" applyFont="1" applyFill="1" applyBorder="1" applyAlignment="1">
      <alignment horizontal="right"/>
    </xf>
    <xf numFmtId="0" fontId="28" fillId="0" borderId="0" xfId="0" applyFont="1" applyAlignment="1">
      <alignment vertical="center"/>
    </xf>
    <xf numFmtId="0" fontId="14" fillId="8" borderId="107" xfId="0" applyFont="1" applyFill="1" applyBorder="1" applyAlignment="1">
      <alignment horizontal="center"/>
    </xf>
    <xf numFmtId="0" fontId="14" fillId="8" borderId="91" xfId="0" applyFont="1" applyFill="1" applyBorder="1" applyAlignment="1">
      <alignment horizontal="center"/>
    </xf>
    <xf numFmtId="5" fontId="11" fillId="10" borderId="108" xfId="5" applyNumberFormat="1" applyFont="1" applyFill="1" applyBorder="1" applyAlignment="1">
      <alignment horizontal="center"/>
    </xf>
    <xf numFmtId="164" fontId="11" fillId="10" borderId="98" xfId="0" applyNumberFormat="1" applyFont="1" applyFill="1" applyBorder="1"/>
    <xf numFmtId="0" fontId="11" fillId="8" borderId="109" xfId="0" applyFont="1" applyFill="1" applyBorder="1" applyAlignment="1">
      <alignment horizontal="center"/>
    </xf>
    <xf numFmtId="169" fontId="11" fillId="10" borderId="98" xfId="1" applyNumberFormat="1" applyFont="1" applyFill="1" applyBorder="1"/>
    <xf numFmtId="169" fontId="11" fillId="10" borderId="98" xfId="0" applyNumberFormat="1" applyFont="1" applyFill="1" applyBorder="1"/>
    <xf numFmtId="169" fontId="11" fillId="10" borderId="110" xfId="0" applyNumberFormat="1" applyFont="1" applyFill="1" applyBorder="1" applyAlignment="1">
      <alignment horizontal="right"/>
    </xf>
    <xf numFmtId="169" fontId="11" fillId="10" borderId="79" xfId="0" applyNumberFormat="1" applyFont="1" applyFill="1" applyBorder="1" applyAlignment="1">
      <alignment horizontal="right"/>
    </xf>
    <xf numFmtId="169" fontId="11" fillId="10" borderId="122" xfId="0" applyNumberFormat="1" applyFont="1" applyFill="1" applyBorder="1" applyAlignment="1">
      <alignment horizontal="right"/>
    </xf>
    <xf numFmtId="169" fontId="11" fillId="10" borderId="76" xfId="0" applyNumberFormat="1" applyFont="1" applyFill="1" applyBorder="1"/>
    <xf numFmtId="169" fontId="11" fillId="10" borderId="111" xfId="0" applyNumberFormat="1" applyFont="1" applyFill="1" applyBorder="1" applyAlignment="1">
      <alignment horizontal="right"/>
    </xf>
    <xf numFmtId="169" fontId="11" fillId="10" borderId="78" xfId="0" applyNumberFormat="1" applyFont="1" applyFill="1" applyBorder="1" applyAlignment="1">
      <alignment horizontal="right"/>
    </xf>
    <xf numFmtId="170" fontId="11" fillId="10" borderId="99" xfId="2" applyNumberFormat="1" applyFont="1" applyFill="1" applyBorder="1"/>
    <xf numFmtId="170" fontId="11" fillId="10" borderId="112" xfId="2" applyNumberFormat="1" applyFont="1" applyFill="1" applyBorder="1" applyAlignment="1">
      <alignment horizontal="right"/>
    </xf>
    <xf numFmtId="170" fontId="11" fillId="10" borderId="113" xfId="2" applyNumberFormat="1" applyFont="1" applyFill="1" applyBorder="1" applyAlignment="1">
      <alignment horizontal="right"/>
    </xf>
    <xf numFmtId="170" fontId="11" fillId="10" borderId="114" xfId="2" applyNumberFormat="1" applyFont="1" applyFill="1" applyBorder="1" applyAlignment="1">
      <alignment horizontal="right"/>
    </xf>
    <xf numFmtId="170" fontId="11" fillId="10" borderId="115" xfId="2" applyNumberFormat="1" applyFont="1" applyFill="1" applyBorder="1" applyAlignment="1">
      <alignment horizontal="right"/>
    </xf>
    <xf numFmtId="1" fontId="29" fillId="9" borderId="124" xfId="8" applyNumberFormat="1" applyFill="1" applyBorder="1" applyAlignment="1" applyProtection="1">
      <protection locked="0"/>
    </xf>
    <xf numFmtId="1" fontId="29" fillId="9" borderId="125" xfId="8" applyNumberFormat="1" applyFill="1" applyBorder="1" applyAlignment="1" applyProtection="1">
      <protection locked="0"/>
    </xf>
    <xf numFmtId="1" fontId="30" fillId="9" borderId="123" xfId="8" applyNumberFormat="1" applyFont="1" applyFill="1" applyBorder="1" applyAlignment="1" applyProtection="1">
      <protection locked="0"/>
    </xf>
    <xf numFmtId="0" fontId="11" fillId="8" borderId="12" xfId="0" applyFont="1" applyFill="1" applyBorder="1" applyAlignment="1">
      <alignment horizontal="left"/>
    </xf>
    <xf numFmtId="0" fontId="32" fillId="8" borderId="0" xfId="0" applyFont="1" applyFill="1"/>
    <xf numFmtId="2" fontId="9" fillId="2" borderId="118" xfId="2" applyNumberFormat="1" applyFont="1" applyFill="1" applyBorder="1" applyAlignment="1" applyProtection="1">
      <alignment horizontal="center"/>
    </xf>
    <xf numFmtId="2" fontId="9" fillId="7" borderId="119" xfId="0" applyNumberFormat="1" applyFont="1" applyFill="1" applyBorder="1" applyAlignment="1">
      <alignment horizontal="center"/>
    </xf>
    <xf numFmtId="2" fontId="9" fillId="6" borderId="45" xfId="0" applyNumberFormat="1" applyFont="1" applyFill="1" applyBorder="1" applyAlignment="1">
      <alignment horizontal="center"/>
    </xf>
    <xf numFmtId="2" fontId="9" fillId="3" borderId="46" xfId="0" applyNumberFormat="1" applyFont="1" applyFill="1" applyBorder="1" applyAlignment="1">
      <alignment horizontal="center"/>
    </xf>
    <xf numFmtId="0" fontId="9" fillId="8" borderId="0" xfId="0" applyFont="1" applyFill="1" applyAlignment="1">
      <alignment wrapText="1"/>
    </xf>
    <xf numFmtId="1" fontId="9" fillId="10" borderId="21" xfId="1" applyNumberFormat="1" applyFont="1" applyFill="1" applyBorder="1" applyAlignment="1" applyProtection="1">
      <alignment horizontal="center"/>
    </xf>
    <xf numFmtId="0" fontId="14" fillId="8" borderId="0" xfId="0" applyFont="1" applyFill="1" applyAlignment="1">
      <alignment horizontal="center" vertical="center"/>
    </xf>
    <xf numFmtId="9" fontId="9" fillId="9" borderId="47" xfId="1" applyFont="1" applyFill="1" applyBorder="1" applyAlignment="1" applyProtection="1">
      <alignment horizontal="center"/>
      <protection locked="0"/>
    </xf>
    <xf numFmtId="166" fontId="9" fillId="10" borderId="0" xfId="0" applyNumberFormat="1" applyFont="1" applyFill="1" applyAlignment="1">
      <alignment horizontal="center"/>
    </xf>
    <xf numFmtId="0" fontId="9" fillId="10" borderId="24" xfId="1" applyNumberFormat="1" applyFont="1" applyFill="1" applyBorder="1" applyAlignment="1" applyProtection="1">
      <alignment horizontal="left"/>
    </xf>
    <xf numFmtId="0" fontId="9" fillId="10" borderId="25" xfId="1" applyNumberFormat="1" applyFont="1" applyFill="1" applyBorder="1" applyAlignment="1" applyProtection="1">
      <alignment horizontal="left"/>
    </xf>
    <xf numFmtId="0" fontId="9" fillId="10" borderId="26" xfId="1" applyNumberFormat="1" applyFont="1" applyFill="1" applyBorder="1" applyAlignment="1" applyProtection="1">
      <alignment horizontal="left"/>
    </xf>
    <xf numFmtId="0" fontId="33" fillId="8" borderId="0" xfId="0" applyFont="1" applyFill="1" applyAlignment="1">
      <alignment horizontal="left" vertical="center"/>
    </xf>
    <xf numFmtId="0" fontId="9" fillId="9" borderId="70" xfId="0" applyFont="1" applyFill="1" applyBorder="1" applyAlignment="1">
      <alignment horizontal="center" vertical="center"/>
    </xf>
    <xf numFmtId="0" fontId="9" fillId="10" borderId="53" xfId="0" applyFont="1" applyFill="1" applyBorder="1" applyAlignment="1">
      <alignment horizontal="center" vertical="center"/>
    </xf>
    <xf numFmtId="168" fontId="14" fillId="10" borderId="53" xfId="0" applyNumberFormat="1" applyFont="1" applyFill="1" applyBorder="1" applyAlignment="1">
      <alignment horizontal="center"/>
    </xf>
    <xf numFmtId="166" fontId="9" fillId="10" borderId="53" xfId="0" applyNumberFormat="1" applyFont="1" applyFill="1" applyBorder="1" applyAlignment="1">
      <alignment horizontal="center"/>
    </xf>
    <xf numFmtId="0" fontId="9" fillId="9" borderId="120" xfId="0" applyFont="1" applyFill="1" applyBorder="1" applyAlignment="1">
      <alignment horizontal="center" vertical="center"/>
    </xf>
    <xf numFmtId="1" fontId="9" fillId="10" borderId="69" xfId="0" applyNumberFormat="1" applyFont="1" applyFill="1" applyBorder="1" applyAlignment="1">
      <alignment horizontal="center"/>
    </xf>
    <xf numFmtId="0" fontId="0" fillId="0" borderId="6" xfId="0" applyBorder="1"/>
    <xf numFmtId="0" fontId="0" fillId="8" borderId="0" xfId="0" applyFill="1" applyAlignment="1">
      <alignment wrapText="1"/>
    </xf>
    <xf numFmtId="0" fontId="0" fillId="0" borderId="6" xfId="0" applyBorder="1" applyAlignment="1">
      <alignment wrapText="1"/>
    </xf>
    <xf numFmtId="0" fontId="0" fillId="0" borderId="0" xfId="0" applyAlignment="1">
      <alignment wrapText="1"/>
    </xf>
    <xf numFmtId="0" fontId="0" fillId="0" borderId="0" xfId="0" applyAlignment="1">
      <alignment vertical="center"/>
    </xf>
    <xf numFmtId="0" fontId="9" fillId="10" borderId="145" xfId="0" applyFont="1" applyFill="1" applyBorder="1" applyAlignment="1">
      <alignment horizontal="center"/>
    </xf>
    <xf numFmtId="0" fontId="9" fillId="10" borderId="144" xfId="0" applyFont="1" applyFill="1" applyBorder="1" applyAlignment="1">
      <alignment horizontal="center"/>
    </xf>
    <xf numFmtId="0" fontId="34" fillId="8" borderId="0" xfId="0" applyFont="1" applyFill="1"/>
    <xf numFmtId="9" fontId="9" fillId="8" borderId="0" xfId="1" applyFont="1" applyFill="1" applyProtection="1"/>
    <xf numFmtId="38" fontId="9" fillId="10" borderId="20" xfId="2" applyNumberFormat="1" applyFont="1" applyFill="1" applyBorder="1" applyAlignment="1" applyProtection="1">
      <alignment horizontal="center" vertical="center"/>
    </xf>
    <xf numFmtId="2" fontId="12" fillId="0" borderId="0" xfId="0" applyNumberFormat="1" applyFont="1"/>
    <xf numFmtId="1" fontId="9" fillId="10" borderId="22" xfId="1" applyNumberFormat="1" applyFont="1" applyFill="1" applyBorder="1" applyAlignment="1" applyProtection="1">
      <alignment horizontal="center" vertical="center"/>
    </xf>
    <xf numFmtId="1" fontId="9" fillId="10" borderId="23" xfId="1" applyNumberFormat="1" applyFont="1" applyFill="1" applyBorder="1" applyAlignment="1" applyProtection="1">
      <alignment horizontal="center" vertical="center"/>
    </xf>
    <xf numFmtId="3" fontId="9" fillId="10" borderId="21" xfId="0" applyNumberFormat="1" applyFont="1" applyFill="1" applyBorder="1" applyAlignment="1">
      <alignment horizontal="center" vertical="center"/>
    </xf>
    <xf numFmtId="0" fontId="9" fillId="9" borderId="133" xfId="0" applyFont="1" applyFill="1" applyBorder="1" applyAlignment="1" applyProtection="1">
      <alignment horizontal="center"/>
      <protection locked="0"/>
    </xf>
    <xf numFmtId="0" fontId="9" fillId="8" borderId="136" xfId="0" applyFont="1" applyFill="1" applyBorder="1" applyAlignment="1" applyProtection="1">
      <alignment horizontal="center"/>
      <protection locked="0"/>
    </xf>
    <xf numFmtId="0" fontId="9" fillId="10" borderId="27" xfId="0" applyFont="1" applyFill="1" applyBorder="1" applyAlignment="1">
      <alignment horizontal="center"/>
    </xf>
    <xf numFmtId="0" fontId="9" fillId="9" borderId="50" xfId="0" applyFont="1" applyFill="1" applyBorder="1" applyAlignment="1" applyProtection="1">
      <alignment horizontal="center"/>
      <protection locked="0"/>
    </xf>
    <xf numFmtId="0" fontId="9" fillId="9" borderId="51" xfId="0" applyFont="1" applyFill="1" applyBorder="1" applyAlignment="1" applyProtection="1">
      <alignment horizontal="center"/>
      <protection locked="0"/>
    </xf>
    <xf numFmtId="171" fontId="8" fillId="8" borderId="0" xfId="0" applyNumberFormat="1" applyFont="1" applyFill="1"/>
    <xf numFmtId="1" fontId="9" fillId="9" borderId="21" xfId="0" applyNumberFormat="1" applyFont="1" applyFill="1" applyBorder="1" applyAlignment="1" applyProtection="1">
      <alignment horizontal="center"/>
      <protection locked="0"/>
    </xf>
    <xf numFmtId="169" fontId="9" fillId="9" borderId="47" xfId="1" applyNumberFormat="1" applyFont="1" applyFill="1" applyBorder="1" applyAlignment="1" applyProtection="1">
      <alignment horizontal="center"/>
      <protection locked="0"/>
    </xf>
    <xf numFmtId="169" fontId="9" fillId="10" borderId="21" xfId="1" applyNumberFormat="1" applyFont="1" applyFill="1" applyBorder="1" applyAlignment="1" applyProtection="1">
      <alignment horizontal="center"/>
    </xf>
    <xf numFmtId="164" fontId="9" fillId="10" borderId="21" xfId="1" applyNumberFormat="1" applyFont="1" applyFill="1" applyBorder="1" applyAlignment="1" applyProtection="1">
      <alignment horizontal="center"/>
    </xf>
    <xf numFmtId="9" fontId="9" fillId="8" borderId="0" xfId="1" applyFont="1" applyFill="1" applyBorder="1" applyAlignment="1" applyProtection="1">
      <alignment horizontal="center"/>
    </xf>
    <xf numFmtId="9" fontId="9" fillId="8" borderId="0" xfId="1" applyFont="1" applyFill="1" applyBorder="1" applyAlignment="1" applyProtection="1">
      <alignment horizontal="center" vertical="center"/>
    </xf>
    <xf numFmtId="0" fontId="13" fillId="8" borderId="0" xfId="0" applyFont="1" applyFill="1"/>
    <xf numFmtId="2" fontId="13" fillId="8" borderId="0" xfId="1" applyNumberFormat="1" applyFont="1" applyFill="1" applyBorder="1" applyProtection="1"/>
    <xf numFmtId="2" fontId="13" fillId="8" borderId="0" xfId="0" applyNumberFormat="1" applyFont="1" applyFill="1"/>
    <xf numFmtId="0" fontId="9" fillId="19" borderId="0" xfId="0" applyFont="1" applyFill="1"/>
    <xf numFmtId="0" fontId="9" fillId="0" borderId="0" xfId="0" applyFont="1"/>
    <xf numFmtId="0" fontId="35" fillId="0" borderId="0" xfId="0" applyFont="1"/>
    <xf numFmtId="0" fontId="36" fillId="11" borderId="0" xfId="0" applyFont="1" applyFill="1" applyAlignment="1">
      <alignment horizontal="center"/>
    </xf>
    <xf numFmtId="0" fontId="9" fillId="10" borderId="0" xfId="0" applyFont="1" applyFill="1"/>
    <xf numFmtId="0" fontId="18" fillId="11" borderId="62" xfId="0" applyFont="1" applyFill="1" applyBorder="1" applyAlignment="1">
      <alignment wrapText="1"/>
    </xf>
    <xf numFmtId="0" fontId="9" fillId="0" borderId="0" xfId="0" applyFont="1" applyAlignment="1">
      <alignment wrapText="1"/>
    </xf>
    <xf numFmtId="0" fontId="0" fillId="9" borderId="0" xfId="0" applyFill="1"/>
    <xf numFmtId="0" fontId="0" fillId="9" borderId="154" xfId="0" applyFill="1" applyBorder="1"/>
    <xf numFmtId="0" fontId="14" fillId="8" borderId="0" xfId="0" applyFont="1" applyFill="1" applyAlignment="1">
      <alignment horizontal="left" vertical="center"/>
    </xf>
    <xf numFmtId="1" fontId="9" fillId="10" borderId="21" xfId="0" applyNumberFormat="1" applyFont="1" applyFill="1" applyBorder="1" applyAlignment="1">
      <alignment horizontal="center" vertical="center"/>
    </xf>
    <xf numFmtId="1" fontId="9" fillId="10" borderId="53" xfId="0" applyNumberFormat="1" applyFont="1" applyFill="1" applyBorder="1" applyAlignment="1">
      <alignment horizontal="center" vertical="center"/>
    </xf>
    <xf numFmtId="0" fontId="9" fillId="9" borderId="133" xfId="0" applyFont="1" applyFill="1" applyBorder="1" applyAlignment="1" applyProtection="1">
      <alignment horizontal="center" vertical="center"/>
      <protection locked="0"/>
    </xf>
    <xf numFmtId="0" fontId="9" fillId="10" borderId="27" xfId="0" applyFont="1" applyFill="1" applyBorder="1" applyAlignment="1">
      <alignment horizontal="center" vertical="center" wrapText="1"/>
    </xf>
    <xf numFmtId="0" fontId="9" fillId="9" borderId="50" xfId="0" applyFont="1" applyFill="1" applyBorder="1" applyAlignment="1" applyProtection="1">
      <alignment horizontal="center" vertical="center"/>
      <protection locked="0"/>
    </xf>
    <xf numFmtId="0" fontId="9" fillId="9" borderId="51" xfId="0" applyFont="1" applyFill="1" applyBorder="1" applyAlignment="1" applyProtection="1">
      <alignment horizontal="center" vertical="center"/>
      <protection locked="0"/>
    </xf>
    <xf numFmtId="0" fontId="9" fillId="10" borderId="26" xfId="0" applyFont="1" applyFill="1" applyBorder="1" applyAlignment="1">
      <alignment horizontal="center" vertical="center"/>
    </xf>
    <xf numFmtId="9" fontId="9" fillId="9" borderId="47" xfId="1" applyFont="1" applyFill="1" applyBorder="1" applyAlignment="1" applyProtection="1">
      <alignment horizontal="center" vertical="center"/>
      <protection locked="0"/>
    </xf>
    <xf numFmtId="1" fontId="9" fillId="9" borderId="21" xfId="0" applyNumberFormat="1" applyFont="1" applyFill="1" applyBorder="1" applyAlignment="1" applyProtection="1">
      <alignment horizontal="center" vertical="center"/>
      <protection locked="0"/>
    </xf>
    <xf numFmtId="0" fontId="37" fillId="10" borderId="0" xfId="0" applyFont="1" applyFill="1"/>
    <xf numFmtId="0" fontId="0" fillId="10" borderId="0" xfId="0" applyFill="1"/>
    <xf numFmtId="0" fontId="42" fillId="0" borderId="0" xfId="0" applyFont="1" applyAlignment="1">
      <alignment vertical="center" wrapText="1"/>
    </xf>
    <xf numFmtId="0" fontId="43" fillId="0" borderId="0" xfId="0" applyFont="1" applyAlignment="1">
      <alignment vertical="center" wrapText="1"/>
    </xf>
    <xf numFmtId="0" fontId="43" fillId="0" borderId="0" xfId="0" applyFont="1" applyAlignment="1">
      <alignment wrapText="1"/>
    </xf>
    <xf numFmtId="0" fontId="9" fillId="10" borderId="0" xfId="0" applyFont="1" applyFill="1" applyAlignment="1">
      <alignment horizontal="center" vertical="center"/>
    </xf>
    <xf numFmtId="3" fontId="9" fillId="10" borderId="0" xfId="0" applyNumberFormat="1" applyFont="1" applyFill="1" applyAlignment="1">
      <alignment horizontal="center" vertical="center"/>
    </xf>
    <xf numFmtId="0" fontId="9" fillId="10" borderId="156" xfId="0" applyFont="1" applyFill="1" applyBorder="1" applyAlignment="1">
      <alignment horizontal="center" vertical="center"/>
    </xf>
    <xf numFmtId="3" fontId="9" fillId="10" borderId="156" xfId="0" applyNumberFormat="1" applyFont="1" applyFill="1" applyBorder="1" applyAlignment="1">
      <alignment horizontal="center" vertical="center"/>
    </xf>
    <xf numFmtId="172" fontId="9" fillId="10" borderId="156" xfId="0" applyNumberFormat="1" applyFont="1" applyFill="1" applyBorder="1" applyAlignment="1">
      <alignment horizontal="center" vertical="center"/>
    </xf>
    <xf numFmtId="168" fontId="9" fillId="10" borderId="156" xfId="0" applyNumberFormat="1" applyFont="1" applyFill="1" applyBorder="1" applyAlignment="1">
      <alignment horizontal="center" vertical="center"/>
    </xf>
    <xf numFmtId="0" fontId="0" fillId="0" borderId="0" xfId="0" applyAlignment="1">
      <alignment horizontal="center" vertical="center"/>
    </xf>
    <xf numFmtId="0" fontId="0" fillId="10" borderId="0" xfId="0" applyFill="1" applyAlignment="1">
      <alignment horizontal="center" vertical="center"/>
    </xf>
    <xf numFmtId="0" fontId="9" fillId="9" borderId="0" xfId="0" applyFont="1" applyFill="1" applyAlignment="1" applyProtection="1">
      <alignment horizontal="center" vertical="center"/>
      <protection locked="0"/>
    </xf>
    <xf numFmtId="166" fontId="9" fillId="10" borderId="0" xfId="0" applyNumberFormat="1" applyFont="1" applyFill="1" applyAlignment="1">
      <alignment horizontal="center" vertical="center"/>
    </xf>
    <xf numFmtId="164" fontId="9" fillId="10" borderId="0" xfId="0" applyNumberFormat="1" applyFont="1" applyFill="1" applyAlignment="1">
      <alignment horizontal="center" vertical="center"/>
    </xf>
    <xf numFmtId="168" fontId="9" fillId="9" borderId="0" xfId="0" applyNumberFormat="1" applyFont="1" applyFill="1" applyAlignment="1" applyProtection="1">
      <alignment horizontal="center" vertical="center"/>
      <protection locked="0"/>
    </xf>
    <xf numFmtId="0" fontId="9" fillId="9" borderId="157" xfId="0" applyFont="1" applyFill="1" applyBorder="1" applyAlignment="1" applyProtection="1">
      <alignment horizontal="center" vertical="center"/>
      <protection locked="0"/>
    </xf>
    <xf numFmtId="164" fontId="9" fillId="9" borderId="157" xfId="0" applyNumberFormat="1" applyFont="1" applyFill="1" applyBorder="1" applyAlignment="1" applyProtection="1">
      <alignment horizontal="center" vertical="center"/>
      <protection locked="0"/>
    </xf>
    <xf numFmtId="0" fontId="37" fillId="10" borderId="156" xfId="0" applyFont="1" applyFill="1" applyBorder="1"/>
    <xf numFmtId="0" fontId="0" fillId="10" borderId="156" xfId="0" applyFill="1" applyBorder="1"/>
    <xf numFmtId="0" fontId="0" fillId="10" borderId="156" xfId="0" applyFill="1" applyBorder="1" applyAlignment="1">
      <alignment horizontal="center" vertical="center"/>
    </xf>
    <xf numFmtId="0" fontId="9" fillId="10" borderId="156" xfId="0" applyFont="1" applyFill="1" applyBorder="1"/>
    <xf numFmtId="169" fontId="9" fillId="10" borderId="156" xfId="0" applyNumberFormat="1" applyFont="1" applyFill="1" applyBorder="1" applyAlignment="1">
      <alignment horizontal="center" vertical="center"/>
    </xf>
    <xf numFmtId="174" fontId="9" fillId="10" borderId="156" xfId="0" applyNumberFormat="1" applyFont="1" applyFill="1" applyBorder="1" applyAlignment="1">
      <alignment horizontal="center" vertical="center"/>
    </xf>
    <xf numFmtId="0" fontId="45" fillId="0" borderId="0" xfId="0" applyFont="1"/>
    <xf numFmtId="0" fontId="14" fillId="0" borderId="0" xfId="0" applyFont="1"/>
    <xf numFmtId="0" fontId="36" fillId="11" borderId="0" xfId="0" applyFont="1" applyFill="1"/>
    <xf numFmtId="0" fontId="0" fillId="11" borderId="0" xfId="0" applyFill="1"/>
    <xf numFmtId="0" fontId="9" fillId="10" borderId="0" xfId="0" applyFont="1" applyFill="1" applyAlignment="1">
      <alignment horizontal="right"/>
    </xf>
    <xf numFmtId="164" fontId="9" fillId="10" borderId="0" xfId="0" applyNumberFormat="1" applyFont="1" applyFill="1" applyAlignment="1">
      <alignment horizontal="right"/>
    </xf>
    <xf numFmtId="3" fontId="9" fillId="10" borderId="0" xfId="0" applyNumberFormat="1" applyFont="1" applyFill="1" applyAlignment="1">
      <alignment horizontal="right"/>
    </xf>
    <xf numFmtId="3" fontId="14" fillId="10" borderId="0" xfId="0" applyNumberFormat="1" applyFont="1" applyFill="1" applyAlignment="1">
      <alignment horizontal="right"/>
    </xf>
    <xf numFmtId="174" fontId="9" fillId="10" borderId="0" xfId="0" applyNumberFormat="1" applyFont="1" applyFill="1" applyAlignment="1">
      <alignment horizontal="right"/>
    </xf>
    <xf numFmtId="168" fontId="9" fillId="10" borderId="0" xfId="0" applyNumberFormat="1" applyFont="1" applyFill="1" applyAlignment="1">
      <alignment horizontal="right"/>
    </xf>
    <xf numFmtId="0" fontId="9" fillId="10" borderId="0" xfId="0" applyFont="1" applyFill="1" applyAlignment="1">
      <alignment horizontal="center"/>
    </xf>
    <xf numFmtId="3" fontId="9" fillId="10" borderId="0" xfId="0" applyNumberFormat="1" applyFont="1" applyFill="1" applyAlignment="1">
      <alignment horizontal="center"/>
    </xf>
    <xf numFmtId="172" fontId="9" fillId="10" borderId="0" xfId="0" applyNumberFormat="1" applyFont="1" applyFill="1" applyAlignment="1">
      <alignment horizontal="center"/>
    </xf>
    <xf numFmtId="168" fontId="9" fillId="10" borderId="0" xfId="0" applyNumberFormat="1" applyFont="1" applyFill="1" applyAlignment="1">
      <alignment horizontal="center"/>
    </xf>
    <xf numFmtId="164" fontId="9" fillId="10" borderId="0" xfId="0" applyNumberFormat="1" applyFont="1" applyFill="1" applyAlignment="1">
      <alignment horizontal="center"/>
    </xf>
    <xf numFmtId="168" fontId="0" fillId="0" borderId="0" xfId="0" applyNumberFormat="1"/>
    <xf numFmtId="5" fontId="0" fillId="0" borderId="0" xfId="0" applyNumberFormat="1"/>
    <xf numFmtId="0" fontId="10" fillId="8" borderId="0" xfId="0" applyFont="1" applyFill="1" applyAlignment="1">
      <alignment horizontal="center"/>
    </xf>
    <xf numFmtId="0" fontId="11" fillId="9" borderId="0" xfId="0" applyFont="1" applyFill="1" applyAlignment="1" applyProtection="1">
      <alignment horizontal="center" vertical="center"/>
      <protection locked="0"/>
    </xf>
    <xf numFmtId="0" fontId="9" fillId="10" borderId="158" xfId="0" applyFont="1" applyFill="1" applyBorder="1" applyAlignment="1">
      <alignment horizontal="left" vertical="center"/>
    </xf>
    <xf numFmtId="0" fontId="9" fillId="9" borderId="0" xfId="0" applyFont="1" applyFill="1" applyAlignment="1" applyProtection="1">
      <alignment horizontal="left" vertical="center"/>
      <protection locked="0"/>
    </xf>
    <xf numFmtId="0" fontId="11" fillId="10" borderId="0" xfId="0" applyFont="1" applyFill="1" applyAlignment="1">
      <alignment horizontal="center" vertical="center"/>
    </xf>
    <xf numFmtId="0" fontId="9" fillId="9" borderId="0" xfId="0" applyFont="1" applyFill="1" applyAlignment="1">
      <alignment horizontal="left"/>
    </xf>
    <xf numFmtId="0" fontId="19" fillId="9" borderId="0" xfId="0" applyFont="1" applyFill="1" applyAlignment="1" applyProtection="1">
      <alignment horizontal="left"/>
      <protection locked="0"/>
    </xf>
    <xf numFmtId="0" fontId="10" fillId="9" borderId="0" xfId="0" applyFont="1" applyFill="1" applyAlignment="1">
      <alignment horizontal="center"/>
    </xf>
    <xf numFmtId="0" fontId="9" fillId="0" borderId="0" xfId="0" applyFont="1" applyProtection="1">
      <protection locked="0"/>
    </xf>
    <xf numFmtId="0" fontId="14" fillId="0" borderId="0" xfId="0" applyFont="1" applyAlignment="1">
      <alignment horizontal="left" vertical="center"/>
    </xf>
    <xf numFmtId="0" fontId="9" fillId="0" borderId="0" xfId="0" applyFont="1" applyAlignment="1" applyProtection="1">
      <alignment horizontal="left" vertical="center"/>
      <protection locked="0"/>
    </xf>
    <xf numFmtId="173" fontId="41" fillId="0" borderId="0" xfId="0" applyNumberFormat="1" applyFont="1" applyProtection="1">
      <protection locked="0"/>
    </xf>
    <xf numFmtId="0" fontId="14" fillId="8" borderId="0" xfId="0" applyFont="1" applyFill="1" applyAlignment="1">
      <alignment horizontal="center" vertical="center" wrapText="1"/>
    </xf>
    <xf numFmtId="0" fontId="14" fillId="20" borderId="151" xfId="0" applyFont="1" applyFill="1" applyBorder="1" applyAlignment="1">
      <alignment vertical="center"/>
    </xf>
    <xf numFmtId="0" fontId="14" fillId="20" borderId="151" xfId="0" applyFont="1" applyFill="1" applyBorder="1" applyAlignment="1">
      <alignment vertical="center" wrapText="1"/>
    </xf>
    <xf numFmtId="0" fontId="14" fillId="8" borderId="0" xfId="0" applyFont="1" applyFill="1" applyAlignment="1">
      <alignment horizontal="left" vertical="center" wrapText="1"/>
    </xf>
    <xf numFmtId="0" fontId="9" fillId="18" borderId="0" xfId="0" applyFont="1" applyFill="1" applyAlignment="1">
      <alignment horizontal="right"/>
    </xf>
    <xf numFmtId="0" fontId="47" fillId="9" borderId="0" xfId="0" applyFont="1" applyFill="1"/>
    <xf numFmtId="0" fontId="47" fillId="9" borderId="5" xfId="0" applyFont="1" applyFill="1" applyBorder="1"/>
    <xf numFmtId="0" fontId="47" fillId="8" borderId="0" xfId="0" applyFont="1" applyFill="1"/>
    <xf numFmtId="0" fontId="36" fillId="8" borderId="0" xfId="0" applyFont="1" applyFill="1" applyAlignment="1">
      <alignment horizontal="center" wrapText="1"/>
    </xf>
    <xf numFmtId="0" fontId="36" fillId="8" borderId="0" xfId="0" applyFont="1" applyFill="1" applyAlignment="1">
      <alignment horizontal="left" vertical="center"/>
    </xf>
    <xf numFmtId="9" fontId="41" fillId="8" borderId="0" xfId="1" applyFont="1" applyFill="1" applyBorder="1" applyAlignment="1" applyProtection="1">
      <alignment horizontal="center" wrapText="1"/>
    </xf>
    <xf numFmtId="9" fontId="41" fillId="8" borderId="0" xfId="1" applyFont="1" applyFill="1" applyBorder="1" applyAlignment="1" applyProtection="1">
      <alignment horizontal="left" vertical="center"/>
    </xf>
    <xf numFmtId="9" fontId="41" fillId="8" borderId="0" xfId="1" applyFont="1" applyFill="1" applyBorder="1" applyAlignment="1" applyProtection="1">
      <alignment horizontal="center" vertical="center" wrapText="1"/>
    </xf>
    <xf numFmtId="0" fontId="47" fillId="8" borderId="0" xfId="0" applyFont="1" applyFill="1" applyAlignment="1">
      <alignment horizontal="center" vertical="center"/>
    </xf>
    <xf numFmtId="0" fontId="48" fillId="8" borderId="0" xfId="0" applyFont="1" applyFill="1" applyAlignment="1">
      <alignment horizontal="center" vertical="center"/>
    </xf>
    <xf numFmtId="2" fontId="48" fillId="8" borderId="0" xfId="1" applyNumberFormat="1" applyFont="1" applyFill="1" applyBorder="1" applyAlignment="1" applyProtection="1">
      <alignment horizontal="center" vertical="center"/>
    </xf>
    <xf numFmtId="0" fontId="47" fillId="8" borderId="0" xfId="0" applyFont="1" applyFill="1" applyAlignment="1">
      <alignment vertical="center"/>
    </xf>
    <xf numFmtId="2" fontId="48" fillId="8" borderId="0" xfId="0" applyNumberFormat="1" applyFont="1" applyFill="1" applyAlignment="1">
      <alignment horizontal="center" vertical="center"/>
    </xf>
    <xf numFmtId="171" fontId="47" fillId="8" borderId="0" xfId="0" applyNumberFormat="1" applyFont="1" applyFill="1"/>
    <xf numFmtId="0" fontId="36" fillId="8" borderId="0" xfId="0" applyFont="1" applyFill="1" applyAlignment="1">
      <alignment horizontal="center"/>
    </xf>
    <xf numFmtId="0" fontId="9" fillId="10" borderId="21" xfId="0" applyFont="1" applyFill="1" applyBorder="1" applyAlignment="1">
      <alignment horizontal="center" vertical="center"/>
    </xf>
    <xf numFmtId="164" fontId="9" fillId="10" borderId="21" xfId="1" applyNumberFormat="1" applyFont="1" applyFill="1" applyBorder="1" applyAlignment="1" applyProtection="1">
      <alignment horizontal="center" vertical="center"/>
    </xf>
    <xf numFmtId="164" fontId="9" fillId="10" borderId="21" xfId="0" applyNumberFormat="1" applyFont="1" applyFill="1" applyBorder="1" applyAlignment="1">
      <alignment horizontal="center" vertical="center"/>
    </xf>
    <xf numFmtId="166" fontId="9" fillId="10" borderId="159" xfId="0" applyNumberFormat="1" applyFont="1" applyFill="1" applyBorder="1" applyAlignment="1">
      <alignment horizontal="center"/>
    </xf>
    <xf numFmtId="9" fontId="9" fillId="10" borderId="159" xfId="1" applyFont="1" applyFill="1" applyBorder="1" applyAlignment="1" applyProtection="1">
      <alignment horizontal="center"/>
    </xf>
    <xf numFmtId="49" fontId="0" fillId="0" borderId="0" xfId="0" applyNumberFormat="1"/>
    <xf numFmtId="0" fontId="9" fillId="9" borderId="158" xfId="0" applyFont="1" applyFill="1" applyBorder="1" applyAlignment="1" applyProtection="1">
      <alignment horizontal="left" vertical="center"/>
      <protection locked="0"/>
    </xf>
    <xf numFmtId="0" fontId="9" fillId="8" borderId="158" xfId="0" applyFont="1" applyFill="1" applyBorder="1" applyAlignment="1" applyProtection="1">
      <alignment horizontal="left" vertical="center"/>
      <protection locked="0"/>
    </xf>
    <xf numFmtId="0" fontId="11" fillId="8" borderId="0" xfId="0" applyFont="1" applyFill="1" applyAlignment="1">
      <alignment horizontal="left" indent="1"/>
    </xf>
    <xf numFmtId="0" fontId="11" fillId="10" borderId="14" xfId="0" applyFont="1" applyFill="1" applyBorder="1" applyAlignment="1">
      <alignment horizontal="left" indent="1"/>
    </xf>
    <xf numFmtId="0" fontId="11" fillId="10" borderId="15" xfId="0" applyFont="1" applyFill="1" applyBorder="1" applyAlignment="1">
      <alignment horizontal="left" indent="1"/>
    </xf>
    <xf numFmtId="0" fontId="11" fillId="10" borderId="16" xfId="0" applyFont="1" applyFill="1" applyBorder="1" applyAlignment="1">
      <alignment horizontal="left" indent="1"/>
    </xf>
    <xf numFmtId="0" fontId="11" fillId="10" borderId="17" xfId="0" applyFont="1" applyFill="1" applyBorder="1" applyAlignment="1">
      <alignment horizontal="left" indent="1"/>
    </xf>
    <xf numFmtId="0" fontId="11" fillId="10" borderId="11" xfId="0" applyFont="1" applyFill="1" applyBorder="1" applyAlignment="1">
      <alignment horizontal="left" indent="1"/>
    </xf>
    <xf numFmtId="0" fontId="11" fillId="10" borderId="18" xfId="0" applyFont="1" applyFill="1" applyBorder="1" applyAlignment="1">
      <alignment horizontal="left" indent="1"/>
    </xf>
    <xf numFmtId="0" fontId="11" fillId="10" borderId="19" xfId="0" applyFont="1" applyFill="1" applyBorder="1" applyAlignment="1">
      <alignment horizontal="left" indent="1"/>
    </xf>
    <xf numFmtId="0" fontId="11" fillId="10" borderId="9" xfId="0" applyFont="1" applyFill="1" applyBorder="1" applyAlignment="1">
      <alignment horizontal="left" indent="1"/>
    </xf>
    <xf numFmtId="0" fontId="11" fillId="10" borderId="20" xfId="0" applyFont="1" applyFill="1" applyBorder="1" applyAlignment="1">
      <alignment horizontal="left" indent="1"/>
    </xf>
    <xf numFmtId="0" fontId="9" fillId="10" borderId="43" xfId="0" applyFont="1" applyFill="1" applyBorder="1" applyAlignment="1">
      <alignment horizontal="left" vertical="center"/>
    </xf>
    <xf numFmtId="0" fontId="9" fillId="8" borderId="43" xfId="0" applyFont="1" applyFill="1" applyBorder="1" applyAlignment="1">
      <alignment horizontal="left" vertical="center"/>
    </xf>
    <xf numFmtId="0" fontId="11" fillId="9" borderId="0" xfId="0" applyFont="1" applyFill="1" applyAlignment="1" applyProtection="1">
      <alignment horizontal="left" vertical="center"/>
      <protection locked="0"/>
    </xf>
    <xf numFmtId="42" fontId="9" fillId="5" borderId="13" xfId="0" applyNumberFormat="1" applyFont="1" applyFill="1" applyBorder="1" applyAlignment="1">
      <alignment horizontal="center"/>
    </xf>
    <xf numFmtId="1" fontId="9" fillId="5" borderId="128" xfId="0" applyNumberFormat="1" applyFont="1" applyFill="1" applyBorder="1" applyAlignment="1">
      <alignment horizontal="center"/>
    </xf>
    <xf numFmtId="1" fontId="9" fillId="5" borderId="129" xfId="0" applyNumberFormat="1" applyFont="1" applyFill="1" applyBorder="1" applyAlignment="1">
      <alignment horizontal="center"/>
    </xf>
    <xf numFmtId="1" fontId="9" fillId="6" borderId="35" xfId="0" applyNumberFormat="1" applyFont="1" applyFill="1" applyBorder="1" applyAlignment="1">
      <alignment horizontal="center"/>
    </xf>
    <xf numFmtId="1" fontId="9" fillId="6" borderId="13" xfId="0" applyNumberFormat="1" applyFont="1" applyFill="1" applyBorder="1" applyAlignment="1">
      <alignment horizontal="center"/>
    </xf>
    <xf numFmtId="42" fontId="9" fillId="4" borderId="33" xfId="0" applyNumberFormat="1" applyFont="1" applyFill="1" applyBorder="1" applyAlignment="1">
      <alignment horizontal="center"/>
    </xf>
    <xf numFmtId="1" fontId="9" fillId="5" borderId="35" xfId="0" applyNumberFormat="1" applyFont="1" applyFill="1" applyBorder="1" applyAlignment="1">
      <alignment horizontal="center"/>
    </xf>
    <xf numFmtId="1" fontId="9" fillId="5" borderId="13" xfId="0" applyNumberFormat="1" applyFont="1" applyFill="1" applyBorder="1" applyAlignment="1">
      <alignment horizontal="center"/>
    </xf>
    <xf numFmtId="1" fontId="9" fillId="4" borderId="32" xfId="0" applyNumberFormat="1" applyFont="1" applyFill="1" applyBorder="1" applyAlignment="1">
      <alignment horizontal="center"/>
    </xf>
    <xf numFmtId="1" fontId="9" fillId="4" borderId="33" xfId="0" applyNumberFormat="1" applyFont="1" applyFill="1" applyBorder="1" applyAlignment="1">
      <alignment horizontal="center"/>
    </xf>
    <xf numFmtId="1" fontId="9" fillId="4" borderId="126" xfId="0" applyNumberFormat="1" applyFont="1" applyFill="1" applyBorder="1" applyAlignment="1">
      <alignment horizontal="center"/>
    </xf>
    <xf numFmtId="1" fontId="9" fillId="4" borderId="127" xfId="0" applyNumberFormat="1" applyFont="1" applyFill="1" applyBorder="1" applyAlignment="1">
      <alignment horizontal="center"/>
    </xf>
    <xf numFmtId="1" fontId="9" fillId="6" borderId="128" xfId="0" applyNumberFormat="1" applyFont="1" applyFill="1" applyBorder="1" applyAlignment="1">
      <alignment horizontal="center"/>
    </xf>
    <xf numFmtId="1" fontId="9" fillId="6" borderId="129" xfId="0" applyNumberFormat="1" applyFont="1" applyFill="1" applyBorder="1" applyAlignment="1">
      <alignment horizontal="center"/>
    </xf>
    <xf numFmtId="1" fontId="9" fillId="2" borderId="128" xfId="0" applyNumberFormat="1" applyFont="1" applyFill="1" applyBorder="1" applyAlignment="1">
      <alignment horizontal="center"/>
    </xf>
    <xf numFmtId="1" fontId="9" fillId="2" borderId="129" xfId="0" applyNumberFormat="1" applyFont="1" applyFill="1" applyBorder="1" applyAlignment="1">
      <alignment horizontal="center"/>
    </xf>
    <xf numFmtId="1" fontId="9" fillId="7" borderId="128" xfId="0" applyNumberFormat="1" applyFont="1" applyFill="1" applyBorder="1" applyAlignment="1">
      <alignment horizontal="center"/>
    </xf>
    <xf numFmtId="1" fontId="9" fillId="7" borderId="129" xfId="0" applyNumberFormat="1" applyFont="1" applyFill="1" applyBorder="1" applyAlignment="1">
      <alignment horizontal="center"/>
    </xf>
    <xf numFmtId="42" fontId="9" fillId="2" borderId="13" xfId="0" applyNumberFormat="1" applyFont="1" applyFill="1" applyBorder="1" applyAlignment="1">
      <alignment horizontal="center"/>
    </xf>
    <xf numFmtId="1" fontId="9" fillId="2" borderId="35" xfId="0" applyNumberFormat="1" applyFont="1" applyFill="1" applyBorder="1" applyAlignment="1">
      <alignment horizontal="center"/>
    </xf>
    <xf numFmtId="1" fontId="9" fillId="2" borderId="13" xfId="0" applyNumberFormat="1" applyFont="1" applyFill="1" applyBorder="1" applyAlignment="1">
      <alignment horizontal="center"/>
    </xf>
    <xf numFmtId="9" fontId="9" fillId="10" borderId="9" xfId="1" applyFont="1" applyFill="1" applyBorder="1" applyAlignment="1" applyProtection="1">
      <alignment horizontal="center"/>
    </xf>
    <xf numFmtId="5" fontId="9" fillId="10" borderId="149" xfId="0" applyNumberFormat="1" applyFont="1" applyFill="1" applyBorder="1" applyAlignment="1">
      <alignment horizontal="center"/>
    </xf>
    <xf numFmtId="5" fontId="9" fillId="10" borderId="150" xfId="0" applyNumberFormat="1" applyFont="1" applyFill="1" applyBorder="1" applyAlignment="1">
      <alignment horizontal="center"/>
    </xf>
    <xf numFmtId="0" fontId="9" fillId="10" borderId="56" xfId="0" applyFont="1" applyFill="1" applyBorder="1" applyAlignment="1">
      <alignment horizontal="left" vertical="center" indent="1"/>
    </xf>
    <xf numFmtId="0" fontId="9" fillId="10" borderId="65" xfId="0" applyFont="1" applyFill="1" applyBorder="1" applyAlignment="1">
      <alignment horizontal="left" vertical="center" indent="1"/>
    </xf>
    <xf numFmtId="0" fontId="9" fillId="10" borderId="57" xfId="0" applyFont="1" applyFill="1" applyBorder="1" applyAlignment="1">
      <alignment horizontal="left" vertical="center" indent="1"/>
    </xf>
    <xf numFmtId="0" fontId="9" fillId="6" borderId="35" xfId="0" applyFont="1" applyFill="1" applyBorder="1" applyAlignment="1">
      <alignment horizontal="center"/>
    </xf>
    <xf numFmtId="0" fontId="9" fillId="6" borderId="13" xfId="0" applyFont="1" applyFill="1" applyBorder="1" applyAlignment="1">
      <alignment horizontal="center"/>
    </xf>
    <xf numFmtId="0" fontId="9" fillId="7" borderId="35" xfId="0" applyFont="1" applyFill="1" applyBorder="1" applyAlignment="1">
      <alignment horizontal="center"/>
    </xf>
    <xf numFmtId="0" fontId="9" fillId="7" borderId="13" xfId="0" applyFont="1" applyFill="1" applyBorder="1" applyAlignment="1">
      <alignment horizontal="center"/>
    </xf>
    <xf numFmtId="0" fontId="9" fillId="2" borderId="35" xfId="0" applyFont="1" applyFill="1" applyBorder="1" applyAlignment="1">
      <alignment horizontal="center"/>
    </xf>
    <xf numFmtId="0" fontId="9" fillId="2" borderId="13" xfId="0" applyFont="1" applyFill="1" applyBorder="1" applyAlignment="1">
      <alignment horizontal="center"/>
    </xf>
    <xf numFmtId="42" fontId="9" fillId="7" borderId="13" xfId="0" applyNumberFormat="1" applyFont="1" applyFill="1" applyBorder="1" applyAlignment="1">
      <alignment horizontal="center"/>
    </xf>
    <xf numFmtId="42" fontId="9" fillId="6" borderId="13" xfId="0" applyNumberFormat="1" applyFont="1" applyFill="1" applyBorder="1" applyAlignment="1">
      <alignment horizont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15" fillId="9" borderId="37" xfId="0" applyFont="1" applyFill="1" applyBorder="1" applyAlignment="1">
      <alignment horizontal="left" vertical="center" wrapText="1" indent="1"/>
    </xf>
    <xf numFmtId="0" fontId="15" fillId="9" borderId="38" xfId="0" applyFont="1" applyFill="1" applyBorder="1" applyAlignment="1">
      <alignment horizontal="left" vertical="center" wrapText="1" indent="1"/>
    </xf>
    <xf numFmtId="0" fontId="15" fillId="9" borderId="39" xfId="0" applyFont="1" applyFill="1" applyBorder="1" applyAlignment="1">
      <alignment horizontal="left" vertical="center" wrapText="1" indent="1"/>
    </xf>
    <xf numFmtId="0" fontId="15" fillId="9" borderId="40" xfId="0" applyFont="1" applyFill="1" applyBorder="1" applyAlignment="1">
      <alignment horizontal="left" vertical="center" wrapText="1" indent="1"/>
    </xf>
    <xf numFmtId="0" fontId="15" fillId="9" borderId="0" xfId="0" applyFont="1" applyFill="1" applyAlignment="1">
      <alignment horizontal="left" vertical="center" wrapText="1" indent="1"/>
    </xf>
    <xf numFmtId="0" fontId="15" fillId="9" borderId="41" xfId="0" applyFont="1" applyFill="1" applyBorder="1" applyAlignment="1">
      <alignment horizontal="left" vertical="center" wrapText="1" indent="1"/>
    </xf>
    <xf numFmtId="0" fontId="15" fillId="9" borderId="42" xfId="0" applyFont="1" applyFill="1" applyBorder="1" applyAlignment="1">
      <alignment horizontal="left" vertical="center" wrapText="1" indent="1"/>
    </xf>
    <xf numFmtId="0" fontId="15" fillId="9" borderId="43" xfId="0" applyFont="1" applyFill="1" applyBorder="1" applyAlignment="1">
      <alignment horizontal="left" vertical="center" wrapText="1" indent="1"/>
    </xf>
    <xf numFmtId="0" fontId="15" fillId="9" borderId="44" xfId="0" applyFont="1" applyFill="1" applyBorder="1" applyAlignment="1">
      <alignment horizontal="left" vertical="center" wrapText="1" indent="1"/>
    </xf>
    <xf numFmtId="0" fontId="9" fillId="10" borderId="146" xfId="0" applyFont="1" applyFill="1" applyBorder="1" applyAlignment="1">
      <alignment horizontal="left" vertical="center" wrapText="1" indent="1"/>
    </xf>
    <xf numFmtId="0" fontId="9" fillId="10" borderId="147" xfId="0" applyFont="1" applyFill="1" applyBorder="1" applyAlignment="1">
      <alignment horizontal="left" vertical="center" wrapText="1" indent="1"/>
    </xf>
    <xf numFmtId="0" fontId="9" fillId="10" borderId="148" xfId="0" applyFont="1" applyFill="1" applyBorder="1" applyAlignment="1">
      <alignment horizontal="left" vertical="center" wrapText="1" indent="1"/>
    </xf>
    <xf numFmtId="0" fontId="9" fillId="10" borderId="40" xfId="0" applyFont="1" applyFill="1" applyBorder="1" applyAlignment="1">
      <alignment horizontal="left" vertical="center" wrapText="1" indent="1"/>
    </xf>
    <xf numFmtId="0" fontId="9" fillId="10" borderId="0" xfId="0" applyFont="1" applyFill="1" applyAlignment="1">
      <alignment horizontal="left" vertical="center" wrapText="1" indent="1"/>
    </xf>
    <xf numFmtId="0" fontId="9" fillId="10" borderId="129" xfId="0" applyFont="1" applyFill="1" applyBorder="1" applyAlignment="1">
      <alignment horizontal="left" vertical="center" wrapText="1" indent="1"/>
    </xf>
    <xf numFmtId="0" fontId="9" fillId="10" borderId="24" xfId="0" applyFont="1" applyFill="1" applyBorder="1" applyAlignment="1">
      <alignment horizontal="left" indent="1"/>
    </xf>
    <xf numFmtId="0" fontId="9" fillId="10" borderId="25" xfId="0" applyFont="1" applyFill="1" applyBorder="1" applyAlignment="1">
      <alignment horizontal="left" indent="1"/>
    </xf>
    <xf numFmtId="0" fontId="9" fillId="10" borderId="26" xfId="0" applyFont="1" applyFill="1" applyBorder="1" applyAlignment="1">
      <alignment horizontal="left" indent="1"/>
    </xf>
    <xf numFmtId="0" fontId="9" fillId="10" borderId="27" xfId="0" applyFont="1" applyFill="1" applyBorder="1" applyAlignment="1">
      <alignment horizontal="left" indent="1"/>
    </xf>
    <xf numFmtId="0" fontId="9" fillId="10" borderId="10" xfId="0" applyFont="1" applyFill="1" applyBorder="1" applyAlignment="1">
      <alignment horizontal="left" indent="1"/>
    </xf>
    <xf numFmtId="0" fontId="9" fillId="10" borderId="28" xfId="0" applyFont="1" applyFill="1" applyBorder="1" applyAlignment="1">
      <alignment horizontal="left" indent="1"/>
    </xf>
    <xf numFmtId="0" fontId="9" fillId="10" borderId="29" xfId="0" applyFont="1" applyFill="1" applyBorder="1" applyAlignment="1">
      <alignment horizontal="left" indent="1"/>
    </xf>
    <xf numFmtId="0" fontId="9" fillId="10" borderId="30" xfId="0" applyFont="1" applyFill="1" applyBorder="1" applyAlignment="1">
      <alignment horizontal="left" indent="1"/>
    </xf>
    <xf numFmtId="0" fontId="9" fillId="10" borderId="31" xfId="0" applyFont="1" applyFill="1" applyBorder="1" applyAlignment="1">
      <alignment horizontal="left" indent="1"/>
    </xf>
    <xf numFmtId="0" fontId="11" fillId="8" borderId="3" xfId="0" applyFont="1" applyFill="1" applyBorder="1" applyAlignment="1">
      <alignment horizontal="left" indent="1"/>
    </xf>
    <xf numFmtId="42" fontId="9" fillId="3" borderId="11" xfId="0" applyNumberFormat="1" applyFont="1" applyFill="1" applyBorder="1" applyAlignment="1">
      <alignment horizontal="center"/>
    </xf>
    <xf numFmtId="0" fontId="11" fillId="8" borderId="142" xfId="0" applyFont="1" applyFill="1" applyBorder="1" applyAlignment="1">
      <alignment horizontal="left"/>
    </xf>
    <xf numFmtId="0" fontId="11" fillId="8" borderId="143" xfId="0" applyFont="1" applyFill="1" applyBorder="1" applyAlignment="1">
      <alignment horizontal="left"/>
    </xf>
    <xf numFmtId="0" fontId="31" fillId="8" borderId="142" xfId="0" applyFont="1" applyFill="1" applyBorder="1" applyAlignment="1">
      <alignment horizontal="left"/>
    </xf>
    <xf numFmtId="0" fontId="31" fillId="8" borderId="143" xfId="0" applyFont="1" applyFill="1" applyBorder="1" applyAlignment="1">
      <alignment horizontal="left"/>
    </xf>
    <xf numFmtId="167" fontId="9" fillId="4" borderId="33" xfId="0" applyNumberFormat="1" applyFont="1" applyFill="1" applyBorder="1" applyAlignment="1">
      <alignment horizontal="center"/>
    </xf>
    <xf numFmtId="0" fontId="9" fillId="5" borderId="35" xfId="0" applyFont="1" applyFill="1" applyBorder="1" applyAlignment="1">
      <alignment horizontal="center"/>
    </xf>
    <xf numFmtId="0" fontId="9" fillId="5" borderId="13" xfId="0" applyFont="1" applyFill="1" applyBorder="1" applyAlignment="1">
      <alignment horizontal="center"/>
    </xf>
    <xf numFmtId="1" fontId="9" fillId="3" borderId="130" xfId="0" applyNumberFormat="1" applyFont="1" applyFill="1" applyBorder="1" applyAlignment="1">
      <alignment horizontal="center"/>
    </xf>
    <xf numFmtId="1" fontId="9" fillId="3" borderId="131" xfId="0" applyNumberFormat="1" applyFont="1" applyFill="1" applyBorder="1" applyAlignment="1">
      <alignment horizontal="center"/>
    </xf>
    <xf numFmtId="1" fontId="9" fillId="3" borderId="17" xfId="0" applyNumberFormat="1" applyFont="1" applyFill="1" applyBorder="1" applyAlignment="1">
      <alignment horizontal="center"/>
    </xf>
    <xf numFmtId="1" fontId="9" fillId="3" borderId="11" xfId="0" applyNumberFormat="1" applyFont="1" applyFill="1" applyBorder="1" applyAlignment="1">
      <alignment horizontal="center"/>
    </xf>
    <xf numFmtId="1" fontId="9" fillId="7" borderId="35" xfId="0" applyNumberFormat="1" applyFont="1" applyFill="1" applyBorder="1" applyAlignment="1">
      <alignment horizontal="center"/>
    </xf>
    <xf numFmtId="1" fontId="9" fillId="7" borderId="13" xfId="0" applyNumberFormat="1" applyFont="1" applyFill="1" applyBorder="1" applyAlignment="1">
      <alignment horizontal="center"/>
    </xf>
    <xf numFmtId="0" fontId="9" fillId="3" borderId="17" xfId="0" applyFont="1" applyFill="1" applyBorder="1" applyAlignment="1">
      <alignment horizontal="center"/>
    </xf>
    <xf numFmtId="0" fontId="9" fillId="3" borderId="11" xfId="0" applyFont="1" applyFill="1" applyBorder="1" applyAlignment="1">
      <alignment horizontal="center"/>
    </xf>
    <xf numFmtId="0" fontId="11" fillId="8" borderId="140" xfId="0" applyFont="1" applyFill="1" applyBorder="1" applyAlignment="1">
      <alignment horizontal="left"/>
    </xf>
    <xf numFmtId="0" fontId="11" fillId="8" borderId="141" xfId="0" applyFont="1" applyFill="1" applyBorder="1" applyAlignment="1">
      <alignment horizontal="left"/>
    </xf>
    <xf numFmtId="9" fontId="11" fillId="10" borderId="29" xfId="1" applyFont="1" applyFill="1" applyBorder="1" applyAlignment="1" applyProtection="1">
      <alignment horizontal="left" indent="1"/>
    </xf>
    <xf numFmtId="9" fontId="11" fillId="10" borderId="30" xfId="1" applyFont="1" applyFill="1" applyBorder="1" applyAlignment="1" applyProtection="1">
      <alignment horizontal="left" indent="1"/>
    </xf>
    <xf numFmtId="9" fontId="11" fillId="10" borderId="31" xfId="1" applyFont="1" applyFill="1" applyBorder="1" applyAlignment="1" applyProtection="1">
      <alignment horizontal="left" indent="1"/>
    </xf>
    <xf numFmtId="0" fontId="9" fillId="10" borderId="24" xfId="0" applyFont="1" applyFill="1" applyBorder="1"/>
    <xf numFmtId="0" fontId="9" fillId="10" borderId="25" xfId="0" applyFont="1" applyFill="1" applyBorder="1"/>
    <xf numFmtId="0" fontId="9" fillId="10" borderId="26" xfId="0" applyFont="1" applyFill="1" applyBorder="1"/>
    <xf numFmtId="0" fontId="9" fillId="10" borderId="27" xfId="0" applyFont="1" applyFill="1" applyBorder="1"/>
    <xf numFmtId="0" fontId="9" fillId="10" borderId="10" xfId="0" applyFont="1" applyFill="1" applyBorder="1"/>
    <xf numFmtId="0" fontId="9" fillId="10" borderId="28" xfId="0" applyFont="1" applyFill="1" applyBorder="1"/>
    <xf numFmtId="0" fontId="9" fillId="10" borderId="29" xfId="0" applyFont="1" applyFill="1" applyBorder="1" applyAlignment="1">
      <alignment horizontal="left" vertical="center"/>
    </xf>
    <xf numFmtId="0" fontId="9" fillId="10" borderId="30" xfId="0" applyFont="1" applyFill="1" applyBorder="1" applyAlignment="1">
      <alignment horizontal="left" vertical="center"/>
    </xf>
    <xf numFmtId="0" fontId="9" fillId="10" borderId="31" xfId="0" applyFont="1" applyFill="1" applyBorder="1" applyAlignment="1">
      <alignment horizontal="left" vertical="center"/>
    </xf>
    <xf numFmtId="0" fontId="9" fillId="9" borderId="133" xfId="0" applyFont="1" applyFill="1" applyBorder="1" applyAlignment="1" applyProtection="1">
      <alignment horizontal="left"/>
      <protection locked="0"/>
    </xf>
    <xf numFmtId="0" fontId="9" fillId="9" borderId="134" xfId="0" applyFont="1" applyFill="1" applyBorder="1" applyAlignment="1" applyProtection="1">
      <alignment horizontal="left"/>
      <protection locked="0"/>
    </xf>
    <xf numFmtId="0" fontId="9" fillId="9" borderId="135" xfId="0" applyFont="1" applyFill="1" applyBorder="1" applyAlignment="1" applyProtection="1">
      <alignment horizontal="left"/>
      <protection locked="0"/>
    </xf>
    <xf numFmtId="0" fontId="9" fillId="9" borderId="54" xfId="0" applyFont="1" applyFill="1" applyBorder="1" applyAlignment="1" applyProtection="1">
      <alignment horizontal="left"/>
      <protection locked="0"/>
    </xf>
    <xf numFmtId="0" fontId="9" fillId="9" borderId="132" xfId="0" applyFont="1" applyFill="1" applyBorder="1" applyAlignment="1" applyProtection="1">
      <alignment horizontal="left"/>
      <protection locked="0"/>
    </xf>
    <xf numFmtId="0" fontId="9" fillId="9" borderId="55" xfId="0" applyFont="1" applyFill="1" applyBorder="1" applyAlignment="1" applyProtection="1">
      <alignment horizontal="left"/>
      <protection locked="0"/>
    </xf>
    <xf numFmtId="0" fontId="11" fillId="10" borderId="38" xfId="0" applyFont="1" applyFill="1" applyBorder="1" applyAlignment="1">
      <alignment horizontal="left" vertical="center"/>
    </xf>
    <xf numFmtId="0" fontId="19" fillId="10" borderId="38" xfId="0" applyFont="1" applyFill="1" applyBorder="1" applyAlignment="1">
      <alignment horizontal="left" vertical="center"/>
    </xf>
    <xf numFmtId="0" fontId="11" fillId="10" borderId="27" xfId="0" applyFont="1" applyFill="1" applyBorder="1" applyAlignment="1">
      <alignment horizontal="left" vertical="center" wrapText="1" indent="1"/>
    </xf>
    <xf numFmtId="0" fontId="11" fillId="10" borderId="10" xfId="0" applyFont="1" applyFill="1" applyBorder="1" applyAlignment="1">
      <alignment horizontal="left" vertical="center" wrapText="1" indent="1"/>
    </xf>
    <xf numFmtId="0" fontId="11" fillId="10" borderId="28" xfId="0" applyFont="1" applyFill="1" applyBorder="1" applyAlignment="1">
      <alignment horizontal="left" vertical="center" wrapText="1" indent="1"/>
    </xf>
    <xf numFmtId="0" fontId="9" fillId="10" borderId="19" xfId="0" applyFont="1" applyFill="1" applyBorder="1" applyAlignment="1">
      <alignment horizontal="left" indent="1"/>
    </xf>
    <xf numFmtId="0" fontId="9" fillId="10" borderId="9" xfId="0" applyFont="1" applyFill="1" applyBorder="1" applyAlignment="1">
      <alignment horizontal="left" indent="1"/>
    </xf>
    <xf numFmtId="0" fontId="9" fillId="10" borderId="20" xfId="0" applyFont="1" applyFill="1" applyBorder="1" applyAlignment="1">
      <alignment horizontal="left" indent="1"/>
    </xf>
    <xf numFmtId="0" fontId="14" fillId="8" borderId="0" xfId="0" applyFont="1" applyFill="1" applyAlignment="1">
      <alignment horizontal="center"/>
    </xf>
    <xf numFmtId="1" fontId="14" fillId="0" borderId="0" xfId="0" applyNumberFormat="1" applyFont="1" applyAlignment="1">
      <alignment horizontal="right"/>
    </xf>
    <xf numFmtId="1" fontId="9" fillId="10" borderId="56" xfId="0" applyNumberFormat="1" applyFont="1" applyFill="1" applyBorder="1" applyAlignment="1">
      <alignment horizontal="left" vertical="center" wrapText="1"/>
    </xf>
    <xf numFmtId="1" fontId="9" fillId="10" borderId="57" xfId="0" applyNumberFormat="1" applyFont="1" applyFill="1" applyBorder="1" applyAlignment="1">
      <alignment horizontal="left" vertical="center" wrapText="1"/>
    </xf>
    <xf numFmtId="1" fontId="9" fillId="10" borderId="24" xfId="0" applyNumberFormat="1" applyFont="1" applyFill="1" applyBorder="1" applyAlignment="1">
      <alignment horizontal="left" vertical="center" wrapText="1"/>
    </xf>
    <xf numFmtId="1" fontId="9" fillId="10" borderId="26" xfId="0" applyNumberFormat="1" applyFont="1" applyFill="1" applyBorder="1" applyAlignment="1">
      <alignment horizontal="left" vertical="center" wrapText="1"/>
    </xf>
    <xf numFmtId="0" fontId="8" fillId="8" borderId="0" xfId="0" applyFont="1" applyFill="1" applyAlignment="1">
      <alignment horizontal="right"/>
    </xf>
    <xf numFmtId="1" fontId="9" fillId="10" borderId="66" xfId="0" applyNumberFormat="1" applyFont="1" applyFill="1" applyBorder="1" applyAlignment="1">
      <alignment horizontal="left"/>
    </xf>
    <xf numFmtId="1" fontId="9" fillId="10" borderId="67" xfId="0" applyNumberFormat="1" applyFont="1" applyFill="1" applyBorder="1" applyAlignment="1">
      <alignment horizontal="left"/>
    </xf>
    <xf numFmtId="1" fontId="9" fillId="10" borderId="68" xfId="0" applyNumberFormat="1" applyFont="1" applyFill="1" applyBorder="1" applyAlignment="1">
      <alignment horizontal="left"/>
    </xf>
    <xf numFmtId="1" fontId="9" fillId="10" borderId="56" xfId="0" applyNumberFormat="1" applyFont="1" applyFill="1" applyBorder="1" applyAlignment="1">
      <alignment horizontal="left"/>
    </xf>
    <xf numFmtId="1" fontId="9" fillId="10" borderId="65" xfId="0" applyNumberFormat="1" applyFont="1" applyFill="1" applyBorder="1" applyAlignment="1">
      <alignment horizontal="left"/>
    </xf>
    <xf numFmtId="1" fontId="9" fillId="10" borderId="57" xfId="0" applyNumberFormat="1" applyFont="1" applyFill="1" applyBorder="1" applyAlignment="1">
      <alignment horizontal="left"/>
    </xf>
    <xf numFmtId="0" fontId="14" fillId="8" borderId="43" xfId="0" applyFont="1" applyFill="1" applyBorder="1" applyAlignment="1">
      <alignment horizontal="left"/>
    </xf>
    <xf numFmtId="0" fontId="14" fillId="8" borderId="0" xfId="0" applyFont="1" applyFill="1" applyAlignment="1">
      <alignment horizontal="left" wrapText="1"/>
    </xf>
    <xf numFmtId="0" fontId="14" fillId="8" borderId="43" xfId="0" applyFont="1" applyFill="1" applyBorder="1" applyAlignment="1">
      <alignment horizontal="left" wrapText="1"/>
    </xf>
    <xf numFmtId="0" fontId="49" fillId="9" borderId="160" xfId="1" applyNumberFormat="1" applyFont="1" applyFill="1" applyBorder="1" applyAlignment="1" applyProtection="1">
      <alignment horizontal="left" vertical="center" indent="1"/>
      <protection locked="0"/>
    </xf>
    <xf numFmtId="0" fontId="49" fillId="9" borderId="161" xfId="1" applyNumberFormat="1" applyFont="1" applyFill="1" applyBorder="1" applyAlignment="1" applyProtection="1">
      <alignment horizontal="left" vertical="center" indent="1"/>
      <protection locked="0"/>
    </xf>
    <xf numFmtId="0" fontId="49" fillId="9" borderId="162" xfId="1" applyNumberFormat="1" applyFont="1" applyFill="1" applyBorder="1" applyAlignment="1" applyProtection="1">
      <alignment horizontal="left" vertical="center" indent="1"/>
      <protection locked="0"/>
    </xf>
    <xf numFmtId="0" fontId="18" fillId="11" borderId="0" xfId="0" applyFont="1" applyFill="1" applyAlignment="1">
      <alignment vertical="center" wrapText="1"/>
    </xf>
    <xf numFmtId="0" fontId="18" fillId="11" borderId="43" xfId="0" applyFont="1" applyFill="1" applyBorder="1" applyAlignment="1">
      <alignment vertical="center" wrapText="1"/>
    </xf>
    <xf numFmtId="0" fontId="14" fillId="10" borderId="137" xfId="1" applyNumberFormat="1" applyFont="1" applyFill="1" applyBorder="1" applyAlignment="1" applyProtection="1">
      <alignment horizontal="left"/>
    </xf>
    <xf numFmtId="0" fontId="14" fillId="10" borderId="138" xfId="1" applyNumberFormat="1" applyFont="1" applyFill="1" applyBorder="1" applyAlignment="1" applyProtection="1">
      <alignment horizontal="left"/>
    </xf>
    <xf numFmtId="0" fontId="14" fillId="10" borderId="139" xfId="1" applyNumberFormat="1" applyFont="1" applyFill="1" applyBorder="1" applyAlignment="1" applyProtection="1">
      <alignment horizontal="left"/>
    </xf>
    <xf numFmtId="0" fontId="18" fillId="11" borderId="155" xfId="0" applyFont="1" applyFill="1" applyBorder="1" applyAlignment="1">
      <alignment vertical="center" wrapText="1"/>
    </xf>
    <xf numFmtId="0" fontId="9" fillId="10" borderId="56" xfId="1" applyNumberFormat="1" applyFont="1" applyFill="1" applyBorder="1" applyAlignment="1" applyProtection="1">
      <alignment horizontal="left" vertical="center" wrapText="1"/>
    </xf>
    <xf numFmtId="0" fontId="9" fillId="10" borderId="65" xfId="1" applyNumberFormat="1" applyFont="1" applyFill="1" applyBorder="1" applyAlignment="1" applyProtection="1">
      <alignment horizontal="left" vertical="center" wrapText="1"/>
    </xf>
    <xf numFmtId="0" fontId="9" fillId="10" borderId="57" xfId="1" applyNumberFormat="1" applyFont="1" applyFill="1" applyBorder="1" applyAlignment="1" applyProtection="1">
      <alignment horizontal="left" vertical="center" wrapText="1"/>
    </xf>
    <xf numFmtId="0" fontId="9" fillId="10" borderId="123" xfId="1" applyNumberFormat="1" applyFont="1" applyFill="1" applyBorder="1" applyAlignment="1" applyProtection="1">
      <alignment horizontal="left" vertical="center" wrapText="1"/>
    </xf>
    <xf numFmtId="0" fontId="9" fillId="10" borderId="124" xfId="1" applyNumberFormat="1" applyFont="1" applyFill="1" applyBorder="1" applyAlignment="1" applyProtection="1">
      <alignment horizontal="left" vertical="center" wrapText="1"/>
    </xf>
    <xf numFmtId="0" fontId="9" fillId="10" borderId="125" xfId="1" applyNumberFormat="1" applyFont="1" applyFill="1" applyBorder="1" applyAlignment="1" applyProtection="1">
      <alignment horizontal="left" vertical="center" wrapText="1"/>
    </xf>
    <xf numFmtId="0" fontId="18" fillId="11" borderId="62" xfId="0" applyFont="1" applyFill="1" applyBorder="1" applyAlignment="1">
      <alignment vertical="center" wrapText="1"/>
    </xf>
    <xf numFmtId="0" fontId="18" fillId="11" borderId="63" xfId="0" applyFont="1" applyFill="1" applyBorder="1" applyAlignment="1">
      <alignment vertical="center" wrapText="1"/>
    </xf>
    <xf numFmtId="0" fontId="18" fillId="11" borderId="64" xfId="0" applyFont="1" applyFill="1" applyBorder="1" applyAlignment="1">
      <alignment vertical="center" wrapText="1"/>
    </xf>
    <xf numFmtId="0" fontId="9" fillId="8" borderId="0" xfId="0" applyFont="1" applyFill="1" applyAlignment="1">
      <alignment horizontal="center"/>
    </xf>
    <xf numFmtId="0" fontId="21" fillId="0" borderId="0" xfId="0" applyFont="1" applyAlignment="1">
      <alignment horizontal="center"/>
    </xf>
    <xf numFmtId="0" fontId="23" fillId="0" borderId="116" xfId="0" applyFont="1" applyBorder="1" applyAlignment="1">
      <alignment horizontal="center" vertical="center"/>
    </xf>
    <xf numFmtId="0" fontId="23" fillId="0" borderId="117" xfId="0" applyFont="1" applyBorder="1" applyAlignment="1">
      <alignment horizontal="center" vertical="center"/>
    </xf>
    <xf numFmtId="0" fontId="36" fillId="11" borderId="0" xfId="0" applyFont="1" applyFill="1" applyAlignment="1">
      <alignment horizontal="left"/>
    </xf>
    <xf numFmtId="0" fontId="9" fillId="0" borderId="0" xfId="0" applyFont="1" applyAlignment="1">
      <alignment wrapText="1"/>
    </xf>
    <xf numFmtId="0" fontId="37" fillId="0" borderId="0" xfId="0" applyFont="1" applyAlignment="1">
      <alignment horizontal="center"/>
    </xf>
    <xf numFmtId="0" fontId="38" fillId="0" borderId="0" xfId="0" applyFont="1" applyAlignment="1">
      <alignment horizontal="center"/>
    </xf>
    <xf numFmtId="0" fontId="46" fillId="9" borderId="0" xfId="0" applyFont="1" applyFill="1" applyAlignment="1">
      <alignment horizontal="center" vertical="center"/>
    </xf>
    <xf numFmtId="0" fontId="14" fillId="9" borderId="0" xfId="0" applyFont="1" applyFill="1" applyAlignment="1">
      <alignment horizontal="center" vertical="center"/>
    </xf>
    <xf numFmtId="0" fontId="9" fillId="0" borderId="0" xfId="0" applyFont="1"/>
    <xf numFmtId="0" fontId="14" fillId="10" borderId="152" xfId="0" applyFont="1" applyFill="1" applyBorder="1" applyAlignment="1">
      <alignment horizontal="left"/>
    </xf>
    <xf numFmtId="0" fontId="0" fillId="0" borderId="0" xfId="0" applyAlignment="1">
      <alignment horizontal="left"/>
    </xf>
    <xf numFmtId="0" fontId="13" fillId="0" borderId="0" xfId="0" applyFont="1" applyAlignment="1">
      <alignment vertical="top" wrapText="1"/>
    </xf>
    <xf numFmtId="0" fontId="0" fillId="0" borderId="0" xfId="0" applyAlignment="1">
      <alignment vertical="top" wrapText="1"/>
    </xf>
    <xf numFmtId="0" fontId="39" fillId="0" borderId="0" xfId="0" applyFont="1" applyAlignment="1">
      <alignment wrapText="1"/>
    </xf>
    <xf numFmtId="0" fontId="14" fillId="10" borderId="153" xfId="0" applyFont="1" applyFill="1" applyBorder="1"/>
    <xf numFmtId="0" fontId="39" fillId="0" borderId="0" xfId="0" applyFont="1" applyAlignment="1">
      <alignment horizontal="left" vertical="top" wrapText="1"/>
    </xf>
    <xf numFmtId="0" fontId="44" fillId="0" borderId="0" xfId="0" applyFont="1" applyAlignment="1">
      <alignment horizontal="left" vertical="top" wrapText="1"/>
    </xf>
    <xf numFmtId="0" fontId="0" fillId="0" borderId="0" xfId="0" applyAlignment="1">
      <alignment horizontal="left" vertical="top" wrapText="1"/>
    </xf>
    <xf numFmtId="0" fontId="14" fillId="0" borderId="0" xfId="0" applyFont="1" applyAlignment="1">
      <alignment horizontal="center"/>
    </xf>
    <xf numFmtId="0" fontId="39" fillId="0" borderId="0" xfId="0" applyFont="1" applyAlignment="1">
      <alignment vertical="top" wrapText="1"/>
    </xf>
    <xf numFmtId="0" fontId="9" fillId="10" borderId="29" xfId="0" applyFont="1" applyFill="1" applyBorder="1"/>
    <xf numFmtId="0" fontId="9" fillId="10" borderId="30" xfId="0" applyFont="1" applyFill="1" applyBorder="1"/>
    <xf numFmtId="0" fontId="9" fillId="10" borderId="31" xfId="0" applyFont="1" applyFill="1" applyBorder="1"/>
    <xf numFmtId="0" fontId="10" fillId="8" borderId="0" xfId="0" applyFont="1" applyFill="1" applyAlignment="1">
      <alignment horizontal="center"/>
    </xf>
  </cellXfs>
  <cellStyles count="9">
    <cellStyle name="Bad" xfId="5" builtinId="27"/>
    <cellStyle name="Comma" xfId="2" builtinId="3"/>
    <cellStyle name="Currency" xfId="3" builtinId="4"/>
    <cellStyle name="Good" xfId="4" builtinId="26"/>
    <cellStyle name="Hyperlink" xfId="8" builtinId="8"/>
    <cellStyle name="Neutral" xfId="6" builtinId="28"/>
    <cellStyle name="Normal" xfId="0" builtinId="0"/>
    <cellStyle name="Note" xfId="7" builtinId="10"/>
    <cellStyle name="Percent" xfId="1" builtinId="5"/>
  </cellStyles>
  <dxfs count="0"/>
  <tableStyles count="0" defaultTableStyle="TableStyleMedium2" defaultPivotStyle="PivotStyleLight16"/>
  <colors>
    <mruColors>
      <color rgb="FFEEF0F2"/>
      <color rgb="FFC3C8CE"/>
      <color rgb="FF339933"/>
      <color rgb="FF005BE2"/>
      <color rgb="FF0033CC"/>
      <color rgb="FF000099"/>
      <color rgb="FF66CCFF"/>
      <color rgb="FF33CC33"/>
      <color rgb="FF0099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Home!$Z$5</c:f>
          <c:strCache>
            <c:ptCount val="1"/>
            <c:pt idx="0">
              <c:v>Annual Energy Costs</c:v>
            </c:pt>
          </c:strCache>
        </c:strRef>
      </c:tx>
      <c:layout>
        <c:manualLayout>
          <c:xMode val="edge"/>
          <c:yMode val="edge"/>
          <c:x val="0.3013657876943881"/>
          <c:y val="3.4782608695652174E-2"/>
        </c:manualLayout>
      </c:layout>
      <c:overlay val="0"/>
      <c:spPr>
        <a:noFill/>
        <a:ln>
          <a:noFill/>
        </a:ln>
        <a:effectLst/>
      </c:spPr>
      <c:txPr>
        <a:bodyPr rot="0" spcFirstLastPara="1" vertOverflow="ellipsis" vert="horz" wrap="square" anchor="ctr" anchorCtr="1"/>
        <a:lstStyle/>
        <a:p>
          <a:pPr>
            <a:defRPr sz="1500" b="0" i="0" u="none" strike="noStrike" kern="1200" spc="0" baseline="0">
              <a:solidFill>
                <a:sysClr val="windowText" lastClr="000000"/>
              </a:solidFill>
              <a:effectLst/>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clustered"/>
        <c:varyColors val="0"/>
        <c:ser>
          <c:idx val="1"/>
          <c:order val="1"/>
          <c:tx>
            <c:strRef>
              <c:f>Home!$L$24</c:f>
              <c:strCache>
                <c:ptCount val="1"/>
                <c:pt idx="0">
                  <c:v>     Total Cost</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8F8D-47AB-83DD-F435D7570241}"/>
              </c:ext>
            </c:extLst>
          </c:dPt>
          <c:dPt>
            <c:idx val="1"/>
            <c:invertIfNegative val="0"/>
            <c:bubble3D val="0"/>
            <c:spPr>
              <a:solidFill>
                <a:srgbClr val="FF9900"/>
              </a:solidFill>
              <a:ln>
                <a:noFill/>
              </a:ln>
              <a:effectLst/>
            </c:spPr>
            <c:extLst>
              <c:ext xmlns:c16="http://schemas.microsoft.com/office/drawing/2014/chart" uri="{C3380CC4-5D6E-409C-BE32-E72D297353CC}">
                <c16:uniqueId val="{00000003-8F8D-47AB-83DD-F435D7570241}"/>
              </c:ext>
            </c:extLst>
          </c:dPt>
          <c:dPt>
            <c:idx val="2"/>
            <c:invertIfNegative val="0"/>
            <c:bubble3D val="0"/>
            <c:spPr>
              <a:solidFill>
                <a:srgbClr val="FFFF00"/>
              </a:solidFill>
              <a:ln>
                <a:noFill/>
              </a:ln>
              <a:effectLst/>
            </c:spPr>
            <c:extLst>
              <c:ext xmlns:c16="http://schemas.microsoft.com/office/drawing/2014/chart" uri="{C3380CC4-5D6E-409C-BE32-E72D297353CC}">
                <c16:uniqueId val="{00000005-8F8D-47AB-83DD-F435D7570241}"/>
              </c:ext>
            </c:extLst>
          </c:dPt>
          <c:dPt>
            <c:idx val="3"/>
            <c:invertIfNegative val="0"/>
            <c:bubble3D val="0"/>
            <c:spPr>
              <a:solidFill>
                <a:srgbClr val="19FF8C"/>
              </a:solidFill>
              <a:ln>
                <a:noFill/>
              </a:ln>
              <a:effectLst/>
            </c:spPr>
            <c:extLst>
              <c:ext xmlns:c16="http://schemas.microsoft.com/office/drawing/2014/chart" uri="{C3380CC4-5D6E-409C-BE32-E72D297353CC}">
                <c16:uniqueId val="{00000007-8F8D-47AB-83DD-F435D7570241}"/>
              </c:ext>
            </c:extLst>
          </c:dPt>
          <c:dPt>
            <c:idx val="4"/>
            <c:invertIfNegative val="0"/>
            <c:bubble3D val="0"/>
            <c:spPr>
              <a:solidFill>
                <a:srgbClr val="00CC66"/>
              </a:solidFill>
              <a:ln>
                <a:noFill/>
              </a:ln>
              <a:effectLst/>
            </c:spPr>
            <c:extLst>
              <c:ext xmlns:c16="http://schemas.microsoft.com/office/drawing/2014/chart" uri="{C3380CC4-5D6E-409C-BE32-E72D297353CC}">
                <c16:uniqueId val="{00000009-8F8D-47AB-83DD-F435D7570241}"/>
              </c:ext>
            </c:extLst>
          </c:dPt>
          <c:dPt>
            <c:idx val="5"/>
            <c:invertIfNegative val="0"/>
            <c:bubble3D val="0"/>
            <c:spPr>
              <a:solidFill>
                <a:srgbClr val="297B29"/>
              </a:solidFill>
              <a:ln>
                <a:noFill/>
              </a:ln>
              <a:effectLst/>
            </c:spPr>
            <c:extLst>
              <c:ext xmlns:c16="http://schemas.microsoft.com/office/drawing/2014/chart" uri="{C3380CC4-5D6E-409C-BE32-E72D297353CC}">
                <c16:uniqueId val="{0000000B-8F8D-47AB-83DD-F435D7570241}"/>
              </c:ext>
            </c:extLst>
          </c:dPt>
          <c:dLbls>
            <c:numFmt formatCode="&quot;$&quot;* #,\k;&quot;$&quot;* #,\k;"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Home!$B$25:$B$30</c:f>
              <c:numCache>
                <c:formatCode>General</c:formatCode>
                <c:ptCount val="5"/>
                <c:pt idx="0">
                  <c:v>6</c:v>
                </c:pt>
                <c:pt idx="1">
                  <c:v>8</c:v>
                </c:pt>
                <c:pt idx="2">
                  <c:v>10</c:v>
                </c:pt>
                <c:pt idx="3">
                  <c:v>12</c:v>
                </c:pt>
                <c:pt idx="4">
                  <c:v>14</c:v>
                </c:pt>
              </c:numCache>
            </c:numRef>
          </c:cat>
          <c:val>
            <c:numRef>
              <c:f>Home!$L$25:$L$30</c:f>
              <c:numCache>
                <c:formatCode>_("$"* #,##0_);_("$"* \(#,##0\);_("$"* "-"_);_(@_)</c:formatCode>
                <c:ptCount val="5"/>
                <c:pt idx="0">
                  <c:v>365016.01381508389</c:v>
                </c:pt>
                <c:pt idx="1">
                  <c:v>291173.94741427002</c:v>
                </c:pt>
                <c:pt idx="2">
                  <c:v>267660.11028877023</c:v>
                </c:pt>
                <c:pt idx="3">
                  <c:v>214144.3474966661</c:v>
                </c:pt>
                <c:pt idx="4">
                  <c:v>201817.22114285638</c:v>
                </c:pt>
              </c:numCache>
            </c:numRef>
          </c:val>
          <c:extLst>
            <c:ext xmlns:c16="http://schemas.microsoft.com/office/drawing/2014/chart" uri="{C3380CC4-5D6E-409C-BE32-E72D297353CC}">
              <c16:uniqueId val="{0000000C-8F8D-47AB-83DD-F435D7570241}"/>
            </c:ext>
          </c:extLst>
        </c:ser>
        <c:dLbls>
          <c:dLblPos val="inBase"/>
          <c:showLegendKey val="0"/>
          <c:showVal val="1"/>
          <c:showCatName val="0"/>
          <c:showSerName val="0"/>
          <c:showPercent val="0"/>
          <c:showBubbleSize val="0"/>
        </c:dLbls>
        <c:gapWidth val="0"/>
        <c:axId val="290756728"/>
        <c:axId val="290753200"/>
        <c:extLst>
          <c:ext xmlns:c15="http://schemas.microsoft.com/office/drawing/2012/chart" uri="{02D57815-91ED-43cb-92C2-25804820EDAC}">
            <c15:filteredBarSeries>
              <c15:ser>
                <c:idx val="0"/>
                <c:order val="0"/>
                <c:tx>
                  <c:strRef>
                    <c:extLst>
                      <c:ext uri="{02D57815-91ED-43cb-92C2-25804820EDAC}">
                        <c15:formulaRef>
                          <c15:sqref>Home!$C$24</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c:ext uri="{02D57815-91ED-43cb-92C2-25804820EDAC}">
                        <c15:formulaRef>
                          <c15:sqref>Home!$C$25:$C$30</c15:sqref>
                        </c15:formulaRef>
                      </c:ext>
                    </c:extLst>
                    <c:numCache>
                      <c:formatCode>General</c:formatCode>
                      <c:ptCount val="5"/>
                    </c:numCache>
                  </c:numRef>
                </c:val>
                <c:extLst>
                  <c:ext xmlns:c16="http://schemas.microsoft.com/office/drawing/2014/chart" uri="{C3380CC4-5D6E-409C-BE32-E72D297353CC}">
                    <c16:uniqueId val="{0000000D-8F8D-47AB-83DD-F435D757024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Home!$M$24</c15:sqref>
                        </c15:formulaRef>
                      </c:ext>
                    </c:extLst>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xmlns:c15="http://schemas.microsoft.com/office/drawing/2012/chart">
                      <c:ext xmlns:c15="http://schemas.microsoft.com/office/drawing/2012/chart" uri="{02D57815-91ED-43cb-92C2-25804820EDAC}">
                        <c15:formulaRef>
                          <c15:sqref>Home!$M$25:$M$30</c15:sqref>
                        </c15:formulaRef>
                      </c:ext>
                    </c:extLst>
                    <c:numCache>
                      <c:formatCode>_("$"* #,##0_);_("$"* \(#,##0\);_("$"* "-"_);_(@_)</c:formatCode>
                      <c:ptCount val="5"/>
                    </c:numCache>
                  </c:numRef>
                </c:val>
                <c:extLst xmlns:c15="http://schemas.microsoft.com/office/drawing/2012/chart">
                  <c:ext xmlns:c16="http://schemas.microsoft.com/office/drawing/2014/chart" uri="{C3380CC4-5D6E-409C-BE32-E72D297353CC}">
                    <c16:uniqueId val="{0000000E-8F8D-47AB-83DD-F435D7570241}"/>
                  </c:ext>
                </c:extLst>
              </c15:ser>
            </c15:filteredBarSeries>
          </c:ext>
        </c:extLst>
      </c:barChart>
      <c:catAx>
        <c:axId val="29075672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Delta-T [°F]</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3200"/>
        <c:crosses val="autoZero"/>
        <c:auto val="1"/>
        <c:lblAlgn val="ctr"/>
        <c:lblOffset val="100"/>
        <c:noMultiLvlLbl val="0"/>
      </c:catAx>
      <c:valAx>
        <c:axId val="290753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Total Cost</a:t>
                </a:r>
              </a:p>
            </c:rich>
          </c:tx>
          <c:layout>
            <c:manualLayout>
              <c:xMode val="edge"/>
              <c:yMode val="edge"/>
              <c:x val="3.0428847899476138E-2"/>
              <c:y val="0.27893408506508449"/>
            </c:manualLayout>
          </c:layout>
          <c:overlay val="0"/>
          <c:spPr>
            <a:noFill/>
            <a:ln>
              <a:noFill/>
            </a:ln>
            <a:effectLst/>
          </c:spPr>
        </c:title>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6728"/>
        <c:crosses val="autoZero"/>
        <c:crossBetween val="between"/>
      </c:valAx>
      <c:spPr>
        <a:solidFill>
          <a:schemeClr val="bg1"/>
        </a:solidFill>
        <a:ln>
          <a:solidFill>
            <a:schemeClr val="bg1">
              <a:lumMod val="65000"/>
            </a:schemeClr>
          </a:solidFill>
        </a:ln>
        <a:effectLst/>
      </c:spPr>
    </c:plotArea>
    <c:plotVisOnly val="1"/>
    <c:dispBlanksAs val="gap"/>
    <c:showDLblsOverMax val="0"/>
  </c:chart>
  <c:spPr>
    <a:solidFill>
      <a:schemeClr val="bg1"/>
    </a:solidFill>
    <a:ln w="25400" cap="flat" cmpd="sng" algn="ctr">
      <a:solidFill>
        <a:srgbClr val="FF6600"/>
      </a:solidFill>
      <a:round/>
    </a:ln>
    <a:effectLst>
      <a:outerShdw blurRad="40005" dist="22860" dir="5400000" algn="ctr" rotWithShape="0">
        <a:prstClr val="black">
          <a:alpha val="35000"/>
        </a:prstClr>
      </a:outerShdw>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Home!$Z$6</c:f>
          <c:strCache>
            <c:ptCount val="1"/>
            <c:pt idx="0">
              <c:v>Financial Analysis Results</c:v>
            </c:pt>
          </c:strCache>
        </c:strRef>
      </c:tx>
      <c:layout>
        <c:manualLayout>
          <c:xMode val="edge"/>
          <c:yMode val="edge"/>
          <c:x val="0.25740370277774349"/>
          <c:y val="3.8135593220338986E-2"/>
        </c:manualLayout>
      </c:layout>
      <c:overlay val="0"/>
      <c:txPr>
        <a:bodyPr rot="0" vert="horz"/>
        <a:lstStyle/>
        <a:p>
          <a:pPr>
            <a:defRPr sz="1500" b="0">
              <a:latin typeface="Arial" panose="020B0604020202020204" pitchFamily="34" charset="0"/>
              <a:cs typeface="Arial" panose="020B0604020202020204" pitchFamily="34" charset="0"/>
            </a:defRPr>
          </a:pPr>
          <a:endParaRPr lang="en-US"/>
        </a:p>
      </c:txPr>
    </c:title>
    <c:autoTitleDeleted val="0"/>
    <c:plotArea>
      <c:layout/>
      <c:barChart>
        <c:barDir val="col"/>
        <c:grouping val="clustered"/>
        <c:varyColors val="0"/>
        <c:ser>
          <c:idx val="0"/>
          <c:order val="0"/>
          <c:invertIfNegative val="0"/>
          <c:dPt>
            <c:idx val="0"/>
            <c:invertIfNegative val="0"/>
            <c:bubble3D val="0"/>
            <c:spPr>
              <a:solidFill>
                <a:srgbClr val="FFFF00"/>
              </a:solidFill>
            </c:spPr>
            <c:extLst>
              <c:ext xmlns:c16="http://schemas.microsoft.com/office/drawing/2014/chart" uri="{C3380CC4-5D6E-409C-BE32-E72D297353CC}">
                <c16:uniqueId val="{00000001-6556-45A8-96F4-7174C387D0DA}"/>
              </c:ext>
            </c:extLst>
          </c:dPt>
          <c:dPt>
            <c:idx val="1"/>
            <c:invertIfNegative val="0"/>
            <c:bubble3D val="0"/>
            <c:spPr>
              <a:solidFill>
                <a:srgbClr val="19FF8C"/>
              </a:solidFill>
            </c:spPr>
            <c:extLst>
              <c:ext xmlns:c16="http://schemas.microsoft.com/office/drawing/2014/chart" uri="{C3380CC4-5D6E-409C-BE32-E72D297353CC}">
                <c16:uniqueId val="{00000003-6556-45A8-96F4-7174C387D0DA}"/>
              </c:ext>
            </c:extLst>
          </c:dPt>
          <c:dPt>
            <c:idx val="2"/>
            <c:invertIfNegative val="0"/>
            <c:bubble3D val="0"/>
            <c:spPr>
              <a:solidFill>
                <a:srgbClr val="00CC66"/>
              </a:solidFill>
            </c:spPr>
            <c:extLst>
              <c:ext xmlns:c16="http://schemas.microsoft.com/office/drawing/2014/chart" uri="{C3380CC4-5D6E-409C-BE32-E72D297353CC}">
                <c16:uniqueId val="{00000005-6556-45A8-96F4-7174C387D0DA}"/>
              </c:ext>
            </c:extLst>
          </c:dPt>
          <c:dPt>
            <c:idx val="3"/>
            <c:invertIfNegative val="0"/>
            <c:bubble3D val="0"/>
            <c:spPr>
              <a:solidFill>
                <a:srgbClr val="339933"/>
              </a:solidFill>
            </c:spPr>
            <c:extLst>
              <c:ext xmlns:c16="http://schemas.microsoft.com/office/drawing/2014/chart" uri="{C3380CC4-5D6E-409C-BE32-E72D297353CC}">
                <c16:uniqueId val="{00000007-6556-45A8-96F4-7174C387D0DA}"/>
              </c:ext>
            </c:extLst>
          </c:dPt>
          <c:dLbls>
            <c:numFmt formatCode="&quot;$&quot;* #,\k;&quot;$&quot;* #,\k;" sourceLinked="0"/>
            <c:spPr>
              <a:noFill/>
              <a:ln>
                <a:noFill/>
              </a:ln>
              <a:effectLst/>
            </c:spPr>
            <c:txPr>
              <a:bodyPr rot="0" vert="horz"/>
              <a:lstStyle/>
              <a:p>
                <a:pPr>
                  <a:defRPr>
                    <a:latin typeface="Arial Narrow" panose="020B060602020203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(Home!$H$39,Home!$J$39,Home!$L$39,Home!$N$39)</c:f>
              <c:strCache>
                <c:ptCount val="4"/>
                <c:pt idx="0">
                  <c:v>5 years</c:v>
                </c:pt>
                <c:pt idx="1">
                  <c:v>10 years</c:v>
                </c:pt>
                <c:pt idx="2">
                  <c:v>15 years</c:v>
                </c:pt>
                <c:pt idx="3">
                  <c:v>20 years</c:v>
                </c:pt>
              </c:strCache>
            </c:strRef>
          </c:cat>
          <c:val>
            <c:numRef>
              <c:f>(Home!$H$41,Home!$J$41,Home!$L$41,Home!$N$41)</c:f>
              <c:numCache>
                <c:formatCode>"$"#,##0_);\("$"#,##0\)</c:formatCode>
                <c:ptCount val="4"/>
                <c:pt idx="0">
                  <c:v>243391.28991391213</c:v>
                </c:pt>
                <c:pt idx="1">
                  <c:v>618533.1126175737</c:v>
                </c:pt>
                <c:pt idx="2" formatCode="&quot;$&quot;#,##0_);[Red]\(&quot;$&quot;#,##0\)">
                  <c:v>958964.54060129472</c:v>
                </c:pt>
                <c:pt idx="3" formatCode="&quot;$&quot;#,##0_);[Red]\(&quot;$&quot;#,##0\)">
                  <c:v>1267897.1899225195</c:v>
                </c:pt>
              </c:numCache>
            </c:numRef>
          </c:val>
          <c:extLst>
            <c:ext xmlns:c16="http://schemas.microsoft.com/office/drawing/2014/chart" uri="{C3380CC4-5D6E-409C-BE32-E72D297353CC}">
              <c16:uniqueId val="{00000008-6556-45A8-96F4-7174C387D0DA}"/>
            </c:ext>
          </c:extLst>
        </c:ser>
        <c:dLbls>
          <c:dLblPos val="inBase"/>
          <c:showLegendKey val="0"/>
          <c:showVal val="1"/>
          <c:showCatName val="0"/>
          <c:showSerName val="0"/>
          <c:showPercent val="0"/>
          <c:showBubbleSize val="0"/>
        </c:dLbls>
        <c:gapWidth val="0"/>
        <c:axId val="355212976"/>
        <c:axId val="355217288"/>
        <c:extLst/>
      </c:barChart>
      <c:catAx>
        <c:axId val="355212976"/>
        <c:scaling>
          <c:orientation val="minMax"/>
        </c:scaling>
        <c:delete val="0"/>
        <c:axPos val="b"/>
        <c:title>
          <c:tx>
            <c:rich>
              <a:bodyPr rot="0" vert="horz"/>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Investment Horizon</a:t>
                </a:r>
              </a:p>
            </c:rich>
          </c:tx>
          <c:overlay val="0"/>
        </c:title>
        <c:numFmt formatCode="General" sourceLinked="1"/>
        <c:majorTickMark val="none"/>
        <c:minorTickMark val="none"/>
        <c:tickLblPos val="nextTo"/>
        <c:txPr>
          <a:bodyPr rot="-60000000" vert="horz"/>
          <a:lstStyle/>
          <a:p>
            <a:pPr>
              <a:defRPr>
                <a:latin typeface="Arial Narrow" panose="020B0606020202030204" pitchFamily="34" charset="0"/>
              </a:defRPr>
            </a:pPr>
            <a:endParaRPr lang="en-US"/>
          </a:p>
        </c:txPr>
        <c:crossAx val="355217288"/>
        <c:crosses val="autoZero"/>
        <c:auto val="1"/>
        <c:lblAlgn val="ctr"/>
        <c:lblOffset val="100"/>
        <c:noMultiLvlLbl val="0"/>
      </c:catAx>
      <c:valAx>
        <c:axId val="35521728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Net Present Value (NPV)</a:t>
                </a:r>
              </a:p>
            </c:rich>
          </c:tx>
          <c:layout>
            <c:manualLayout>
              <c:xMode val="edge"/>
              <c:yMode val="edge"/>
              <c:x val="2.2130006897768652E-2"/>
              <c:y val="0.15900055534497501"/>
            </c:manualLayout>
          </c:layout>
          <c:overlay val="0"/>
        </c:title>
        <c:numFmt formatCode="&quot;$&quot;* #,\k;&quot;$&quot;* #,\k;" sourceLinked="0"/>
        <c:majorTickMark val="out"/>
        <c:minorTickMark val="none"/>
        <c:tickLblPos val="nextTo"/>
        <c:txPr>
          <a:bodyPr rot="-60000000" vert="horz"/>
          <a:lstStyle/>
          <a:p>
            <a:pPr>
              <a:defRPr sz="900">
                <a:latin typeface="Arial" panose="020B0604020202020204" pitchFamily="34" charset="0"/>
                <a:cs typeface="Arial" panose="020B0604020202020204" pitchFamily="34" charset="0"/>
              </a:defRPr>
            </a:pPr>
            <a:endParaRPr lang="en-US"/>
          </a:p>
        </c:txPr>
        <c:crossAx val="355212976"/>
        <c:crosses val="autoZero"/>
        <c:crossBetween val="between"/>
      </c:valAx>
    </c:plotArea>
    <c:plotVisOnly val="1"/>
    <c:dispBlanksAs val="gap"/>
    <c:showDLblsOverMax val="0"/>
  </c:chart>
  <c:spPr>
    <a:ln w="25400">
      <a:solidFill>
        <a:srgbClr val="FF6600"/>
      </a:solidFill>
    </a:ln>
    <a:effectLst>
      <a:outerShdw blurRad="40005" dist="38100" dir="5400000" algn="tl" rotWithShape="0">
        <a:prstClr val="black">
          <a:alpha val="35000"/>
        </a:prstClr>
      </a:outerShdw>
    </a:effectLst>
    <a:scene3d>
      <a:camera prst="orthographicFront"/>
      <a:lightRig rig="threePt" dir="t"/>
    </a:scene3d>
    <a:sp3d>
      <a:bevelT/>
    </a:sp3d>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Home!$Z$7</c:f>
          <c:strCache>
            <c:ptCount val="1"/>
            <c:pt idx="0">
              <c:v>Actual Delta-T Energy Usage</c:v>
            </c:pt>
          </c:strCache>
        </c:strRef>
      </c:tx>
      <c:overlay val="0"/>
      <c:txPr>
        <a:bodyPr/>
        <a:lstStyle/>
        <a:p>
          <a:pPr>
            <a:defRPr/>
          </a:pPr>
          <a:endParaRPr lang="en-US"/>
        </a:p>
      </c:txPr>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F853-461B-A5B5-691D9BB1F0EE}"/>
              </c:ext>
            </c:extLst>
          </c:dPt>
          <c:dPt>
            <c:idx val="1"/>
            <c:bubble3D val="0"/>
            <c:spPr>
              <a:solidFill>
                <a:srgbClr val="005BE2"/>
              </a:solidFill>
              <a:ln>
                <a:solidFill>
                  <a:schemeClr val="bg1"/>
                </a:solidFill>
              </a:ln>
            </c:spPr>
            <c:extLst>
              <c:ext xmlns:c16="http://schemas.microsoft.com/office/drawing/2014/chart" uri="{C3380CC4-5D6E-409C-BE32-E72D297353CC}">
                <c16:uniqueId val="{00000003-F853-461B-A5B5-691D9BB1F0EE}"/>
              </c:ext>
            </c:extLst>
          </c:dPt>
          <c:dPt>
            <c:idx val="2"/>
            <c:bubble3D val="0"/>
            <c:spPr>
              <a:solidFill>
                <a:srgbClr val="0033CC"/>
              </a:solidFill>
              <a:ln>
                <a:solidFill>
                  <a:schemeClr val="bg1"/>
                </a:solidFill>
              </a:ln>
            </c:spPr>
            <c:extLst>
              <c:ext xmlns:c16="http://schemas.microsoft.com/office/drawing/2014/chart" uri="{C3380CC4-5D6E-409C-BE32-E72D297353CC}">
                <c16:uniqueId val="{00000005-F853-461B-A5B5-691D9BB1F0EE}"/>
              </c:ext>
            </c:extLst>
          </c:dPt>
          <c:dPt>
            <c:idx val="3"/>
            <c:bubble3D val="0"/>
            <c:spPr>
              <a:solidFill>
                <a:srgbClr val="66CCFF"/>
              </a:solidFill>
              <a:ln>
                <a:solidFill>
                  <a:schemeClr val="bg1"/>
                </a:solidFill>
              </a:ln>
            </c:spPr>
            <c:extLst>
              <c:ext xmlns:c16="http://schemas.microsoft.com/office/drawing/2014/chart" uri="{C3380CC4-5D6E-409C-BE32-E72D297353CC}">
                <c16:uniqueId val="{00000007-F853-461B-A5B5-691D9BB1F0EE}"/>
              </c:ext>
            </c:extLst>
          </c:dPt>
          <c:dPt>
            <c:idx val="4"/>
            <c:bubble3D val="0"/>
            <c:spPr>
              <a:solidFill>
                <a:srgbClr val="000099"/>
              </a:solidFill>
              <a:ln>
                <a:solidFill>
                  <a:schemeClr val="bg1"/>
                </a:solidFill>
              </a:ln>
            </c:spPr>
            <c:extLst>
              <c:ext xmlns:c16="http://schemas.microsoft.com/office/drawing/2014/chart" uri="{C3380CC4-5D6E-409C-BE32-E72D297353CC}">
                <c16:uniqueId val="{00000009-F853-461B-A5B5-691D9BB1F0EE}"/>
              </c:ext>
            </c:extLst>
          </c:dPt>
          <c:dPt>
            <c:idx val="5"/>
            <c:bubble3D val="0"/>
            <c:spPr>
              <a:solidFill>
                <a:srgbClr val="33CC33"/>
              </a:solidFill>
              <a:ln>
                <a:solidFill>
                  <a:schemeClr val="bg1"/>
                </a:solidFill>
              </a:ln>
            </c:spPr>
            <c:extLst>
              <c:ext xmlns:c16="http://schemas.microsoft.com/office/drawing/2014/chart" uri="{C3380CC4-5D6E-409C-BE32-E72D297353CC}">
                <c16:uniqueId val="{0000000B-F853-461B-A5B5-691D9BB1F0EE}"/>
              </c:ext>
            </c:extLst>
          </c:dPt>
          <c:dPt>
            <c:idx val="6"/>
            <c:bubble3D val="0"/>
            <c:spPr>
              <a:solidFill>
                <a:srgbClr val="00B050"/>
              </a:solidFill>
            </c:spPr>
            <c:extLst>
              <c:ext xmlns:c16="http://schemas.microsoft.com/office/drawing/2014/chart" uri="{C3380CC4-5D6E-409C-BE32-E72D297353CC}">
                <c16:uniqueId val="{0000000D-F853-461B-A5B5-691D9BB1F0EE}"/>
              </c:ext>
            </c:extLst>
          </c:dPt>
          <c:val>
            <c:numRef>
              <c:f>Chiller!$O$16:$O$22</c:f>
              <c:numCache>
                <c:formatCode>0.00</c:formatCode>
                <c:ptCount val="7"/>
                <c:pt idx="0">
                  <c:v>81.0198627348977</c:v>
                </c:pt>
                <c:pt idx="1">
                  <c:v>4.8453437229624567</c:v>
                </c:pt>
                <c:pt idx="2">
                  <c:v>5.1441182688823934</c:v>
                </c:pt>
                <c:pt idx="3">
                  <c:v>5.1441182688823934</c:v>
                </c:pt>
                <c:pt idx="4">
                  <c:v>0.64301478361029918</c:v>
                </c:pt>
                <c:pt idx="5">
                  <c:v>1.2860295672205984</c:v>
                </c:pt>
                <c:pt idx="6">
                  <c:v>1.9175126535441622</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E-F853-461B-A5B5-691D9BB1F0EE}"/>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Home!$Z$8</c:f>
          <c:strCache>
            <c:ptCount val="1"/>
            <c:pt idx="0">
              <c:v>Future Delta-T Energy Usage</c:v>
            </c:pt>
          </c:strCache>
        </c:strRef>
      </c:tx>
      <c:layout>
        <c:manualLayout>
          <c:xMode val="edge"/>
          <c:yMode val="edge"/>
          <c:x val="0.18764622397031683"/>
          <c:y val="3.5868477976219552E-2"/>
        </c:manualLayout>
      </c:layout>
      <c:overlay val="0"/>
      <c:txPr>
        <a:bodyPr/>
        <a:lstStyle/>
        <a:p>
          <a:pPr>
            <a:defRPr/>
          </a:pPr>
          <a:endParaRPr lang="en-US"/>
        </a:p>
      </c:txPr>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EF54-4FFC-A0DA-4B93517D229D}"/>
              </c:ext>
            </c:extLst>
          </c:dPt>
          <c:dPt>
            <c:idx val="1"/>
            <c:bubble3D val="0"/>
            <c:spPr>
              <a:solidFill>
                <a:srgbClr val="005BE2"/>
              </a:solidFill>
              <a:ln>
                <a:solidFill>
                  <a:schemeClr val="bg1"/>
                </a:solidFill>
              </a:ln>
            </c:spPr>
            <c:extLst>
              <c:ext xmlns:c16="http://schemas.microsoft.com/office/drawing/2014/chart" uri="{C3380CC4-5D6E-409C-BE32-E72D297353CC}">
                <c16:uniqueId val="{00000003-EF54-4FFC-A0DA-4B93517D229D}"/>
              </c:ext>
            </c:extLst>
          </c:dPt>
          <c:dPt>
            <c:idx val="2"/>
            <c:bubble3D val="0"/>
            <c:spPr>
              <a:solidFill>
                <a:srgbClr val="0033CC"/>
              </a:solidFill>
              <a:ln>
                <a:solidFill>
                  <a:schemeClr val="bg1"/>
                </a:solidFill>
              </a:ln>
            </c:spPr>
            <c:extLst>
              <c:ext xmlns:c16="http://schemas.microsoft.com/office/drawing/2014/chart" uri="{C3380CC4-5D6E-409C-BE32-E72D297353CC}">
                <c16:uniqueId val="{00000005-EF54-4FFC-A0DA-4B93517D229D}"/>
              </c:ext>
            </c:extLst>
          </c:dPt>
          <c:dPt>
            <c:idx val="3"/>
            <c:bubble3D val="0"/>
            <c:spPr>
              <a:solidFill>
                <a:srgbClr val="66CCFF"/>
              </a:solidFill>
              <a:ln>
                <a:solidFill>
                  <a:schemeClr val="bg1"/>
                </a:solidFill>
              </a:ln>
            </c:spPr>
            <c:extLst>
              <c:ext xmlns:c16="http://schemas.microsoft.com/office/drawing/2014/chart" uri="{C3380CC4-5D6E-409C-BE32-E72D297353CC}">
                <c16:uniqueId val="{00000007-EF54-4FFC-A0DA-4B93517D229D}"/>
              </c:ext>
            </c:extLst>
          </c:dPt>
          <c:dPt>
            <c:idx val="4"/>
            <c:bubble3D val="0"/>
            <c:spPr>
              <a:solidFill>
                <a:srgbClr val="000099"/>
              </a:solidFill>
              <a:ln>
                <a:solidFill>
                  <a:schemeClr val="bg1"/>
                </a:solidFill>
              </a:ln>
            </c:spPr>
            <c:extLst>
              <c:ext xmlns:c16="http://schemas.microsoft.com/office/drawing/2014/chart" uri="{C3380CC4-5D6E-409C-BE32-E72D297353CC}">
                <c16:uniqueId val="{00000009-EF54-4FFC-A0DA-4B93517D229D}"/>
              </c:ext>
            </c:extLst>
          </c:dPt>
          <c:dPt>
            <c:idx val="5"/>
            <c:bubble3D val="0"/>
            <c:spPr>
              <a:solidFill>
                <a:srgbClr val="33CC33"/>
              </a:solidFill>
              <a:ln>
                <a:solidFill>
                  <a:schemeClr val="bg1"/>
                </a:solidFill>
              </a:ln>
            </c:spPr>
            <c:extLst>
              <c:ext xmlns:c16="http://schemas.microsoft.com/office/drawing/2014/chart" uri="{C3380CC4-5D6E-409C-BE32-E72D297353CC}">
                <c16:uniqueId val="{0000000B-EF54-4FFC-A0DA-4B93517D229D}"/>
              </c:ext>
            </c:extLst>
          </c:dPt>
          <c:val>
            <c:numRef>
              <c:f>Chiller!$Q$16:$Q$22</c:f>
              <c:numCache>
                <c:formatCode>0.00</c:formatCode>
                <c:ptCount val="7"/>
                <c:pt idx="0">
                  <c:v>76.633383395351672</c:v>
                </c:pt>
                <c:pt idx="1">
                  <c:v>4.5830129880497319</c:v>
                </c:pt>
                <c:pt idx="2">
                  <c:v>4.8656116441493138</c:v>
                </c:pt>
                <c:pt idx="3">
                  <c:v>4.8656116441493138</c:v>
                </c:pt>
                <c:pt idx="4">
                  <c:v>0.60820145551866422</c:v>
                </c:pt>
                <c:pt idx="5">
                  <c:v>1.2164029110373284</c:v>
                </c:pt>
                <c:pt idx="6">
                  <c:v>7.2277759617439665</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C-EF54-4FFC-A0DA-4B93517D229D}"/>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Home!$Z$8</c:f>
          <c:strCache>
            <c:ptCount val="1"/>
            <c:pt idx="0">
              <c:v>Future Delta-T Energy Usage</c:v>
            </c:pt>
          </c:strCache>
        </c:strRef>
      </c:tx>
      <c:layout>
        <c:manualLayout>
          <c:xMode val="edge"/>
          <c:yMode val="edge"/>
          <c:x val="6.4612083408663937E-2"/>
          <c:y val="3.5868584607091733E-2"/>
        </c:manualLayout>
      </c:layout>
      <c:overlay val="0"/>
      <c:txPr>
        <a:bodyPr/>
        <a:lstStyle/>
        <a:p>
          <a:pPr>
            <a:defRPr/>
          </a:pPr>
          <a:endParaRPr lang="en-US"/>
        </a:p>
      </c:txPr>
    </c:title>
    <c:autoTitleDeleted val="0"/>
    <c:plotArea>
      <c:layout/>
      <c:pieChart>
        <c:varyColors val="0"/>
        <c:dLbls>
          <c:showLegendKey val="0"/>
          <c:showVal val="0"/>
          <c:showCatName val="0"/>
          <c:showSerName val="0"/>
          <c:showPercent val="0"/>
          <c:showBubbleSize val="0"/>
          <c:showLeaderLines val="0"/>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v>-69600 12272.72727 12396.69421 12509.39144 12611.84345 12704.98165 12789.65274 12866.62646 12936.60257 13000.21721 13058.0487</c:v>
          </c:tx>
          <c:invertIfNegative val="0"/>
          <c:dLbls>
            <c:numFmt formatCode="&quot;$&quot;#,##0.00" sourceLinked="0"/>
            <c:spPr>
              <a:noFill/>
              <a:ln>
                <a:noFill/>
              </a:ln>
              <a:effectLst/>
            </c:spPr>
            <c:txPr>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Lit>
              <c:formatCode>General</c:formatCode>
              <c:ptCount val="11"/>
              <c:pt idx="0">
                <c:v>-69600</c:v>
              </c:pt>
              <c:pt idx="1">
                <c:v>-57327.272727272728</c:v>
              </c:pt>
              <c:pt idx="2">
                <c:v>-44930.578512396693</c:v>
              </c:pt>
              <c:pt idx="3">
                <c:v>-32421.187077385424</c:v>
              </c:pt>
              <c:pt idx="4">
                <c:v>-19809.343624069392</c:v>
              </c:pt>
              <c:pt idx="5">
                <c:v>-7104.3619722944877</c:v>
              </c:pt>
              <c:pt idx="6">
                <c:v>5685.2907689884833</c:v>
              </c:pt>
              <c:pt idx="7">
                <c:v>18551.917228006059</c:v>
              </c:pt>
              <c:pt idx="8">
                <c:v>31488.519794055097</c:v>
              </c:pt>
              <c:pt idx="9">
                <c:v>44488.737002860013</c:v>
              </c:pt>
              <c:pt idx="10">
                <c:v>57546.785705079354</c:v>
              </c:pt>
            </c:numLit>
          </c:val>
          <c:extLst>
            <c:ext xmlns:c16="http://schemas.microsoft.com/office/drawing/2014/chart" uri="{C3380CC4-5D6E-409C-BE32-E72D297353CC}">
              <c16:uniqueId val="{00000000-E461-45C2-8C99-F4239BC8DCD3}"/>
            </c:ext>
          </c:extLst>
        </c:ser>
        <c:dLbls>
          <c:showLegendKey val="0"/>
          <c:showVal val="1"/>
          <c:showCatName val="0"/>
          <c:showSerName val="0"/>
          <c:showPercent val="0"/>
          <c:showBubbleSize val="0"/>
        </c:dLbls>
        <c:gapWidth val="75"/>
        <c:axId val="361457472"/>
        <c:axId val="361453944"/>
      </c:barChart>
      <c:catAx>
        <c:axId val="361457472"/>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3944"/>
        <c:crossesAt val="0"/>
        <c:auto val="1"/>
        <c:lblAlgn val="ctr"/>
        <c:lblOffset val="0"/>
        <c:noMultiLvlLbl val="0"/>
      </c:catAx>
      <c:valAx>
        <c:axId val="36145394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7472"/>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7.1677493291733854E-2"/>
          <c:y val="0.17325338989661568"/>
          <c:w val="0.9283225067082661"/>
          <c:h val="0.7905450506271583"/>
        </c:manualLayout>
      </c:layout>
      <c:barChart>
        <c:barDir val="col"/>
        <c:grouping val="clustered"/>
        <c:varyColors val="0"/>
        <c:ser>
          <c:idx val="1"/>
          <c:order val="0"/>
          <c:tx>
            <c:strRef>
              <c:f>Financials!$B$31:$L$31</c:f>
              <c:strCache>
                <c:ptCount val="11"/>
                <c:pt idx="0">
                  <c:v>($170,000)</c:v>
                </c:pt>
                <c:pt idx="1">
                  <c:v>$89,357 </c:v>
                </c:pt>
                <c:pt idx="2">
                  <c:v>$91,144 </c:v>
                </c:pt>
                <c:pt idx="3">
                  <c:v>$92,967 </c:v>
                </c:pt>
                <c:pt idx="4">
                  <c:v>$94,826 </c:v>
                </c:pt>
                <c:pt idx="5">
                  <c:v>$96,723 </c:v>
                </c:pt>
                <c:pt idx="6">
                  <c:v>$98,657 </c:v>
                </c:pt>
                <c:pt idx="7">
                  <c:v>$100,630 </c:v>
                </c:pt>
                <c:pt idx="8">
                  <c:v>$102,643 </c:v>
                </c:pt>
                <c:pt idx="9">
                  <c:v>$104,696 </c:v>
                </c:pt>
                <c:pt idx="10">
                  <c:v>$106,790 </c:v>
                </c:pt>
              </c:strCache>
            </c:strRef>
          </c:tx>
          <c:invertIfNegative val="0"/>
          <c:dLbls>
            <c:dLbl>
              <c:idx val="8"/>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7B-4A4D-98F1-0B5A9A0F82E1}"/>
                </c:ext>
              </c:extLst>
            </c:dLbl>
            <c:dLbl>
              <c:idx val="9"/>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07B-4A4D-98F1-0B5A9A0F82E1}"/>
                </c:ext>
              </c:extLst>
            </c:dLbl>
            <c:dLbl>
              <c:idx val="10"/>
              <c:layout>
                <c:manualLayout>
                  <c:x val="0"/>
                  <c:y val="1.7037041553292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7B-4A4D-98F1-0B5A9A0F82E1}"/>
                </c:ext>
              </c:extLst>
            </c:dLbl>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Financials!$B$31:$L$31</c:f>
              <c:numCache>
                <c:formatCode>"$"#,##0_);\("$"#,##0\)</c:formatCode>
                <c:ptCount val="11"/>
                <c:pt idx="0">
                  <c:v>-170000</c:v>
                </c:pt>
                <c:pt idx="1">
                  <c:v>89356.726271413645</c:v>
                </c:pt>
                <c:pt idx="2">
                  <c:v>91143.860796841924</c:v>
                </c:pt>
                <c:pt idx="3">
                  <c:v>92966.738012778762</c:v>
                </c:pt>
                <c:pt idx="4">
                  <c:v>94826.072773034335</c:v>
                </c:pt>
                <c:pt idx="5">
                  <c:v>96722.594228495029</c:v>
                </c:pt>
                <c:pt idx="6">
                  <c:v>98657.046113064935</c:v>
                </c:pt>
                <c:pt idx="7">
                  <c:v>100630.18703532623</c:v>
                </c:pt>
                <c:pt idx="8">
                  <c:v>102642.79077603277</c:v>
                </c:pt>
                <c:pt idx="9">
                  <c:v>104695.64659155342</c:v>
                </c:pt>
                <c:pt idx="10">
                  <c:v>106789.55952338449</c:v>
                </c:pt>
              </c:numCache>
            </c:numRef>
          </c:val>
          <c:extLst>
            <c:ext xmlns:c16="http://schemas.microsoft.com/office/drawing/2014/chart" uri="{C3380CC4-5D6E-409C-BE32-E72D297353CC}">
              <c16:uniqueId val="{00000003-907B-4A4D-98F1-0B5A9A0F82E1}"/>
            </c:ext>
          </c:extLst>
        </c:ser>
        <c:dLbls>
          <c:showLegendKey val="0"/>
          <c:showVal val="1"/>
          <c:showCatName val="0"/>
          <c:showSerName val="0"/>
          <c:showPercent val="0"/>
          <c:showBubbleSize val="0"/>
        </c:dLbls>
        <c:gapWidth val="75"/>
        <c:axId val="361456688"/>
        <c:axId val="361455904"/>
      </c:barChart>
      <c:catAx>
        <c:axId val="36145668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5904"/>
        <c:crossesAt val="0"/>
        <c:auto val="1"/>
        <c:lblAlgn val="ctr"/>
        <c:lblOffset val="0"/>
        <c:noMultiLvlLbl val="0"/>
      </c:catAx>
      <c:valAx>
        <c:axId val="36145590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6688"/>
        <c:crosses val="autoZero"/>
        <c:crossBetween val="between"/>
      </c:valAx>
    </c:plotArea>
    <c:plotVisOnly val="1"/>
    <c:dispBlanksAs val="gap"/>
    <c:showDLblsOverMax val="0"/>
  </c:chart>
  <c:spPr>
    <a:ln w="12700">
      <a:solidFill>
        <a:srgbClr val="C3C8CE"/>
      </a:solidFill>
    </a:ln>
    <a:effectLst/>
    <a:scene3d>
      <a:camera prst="orthographicFront"/>
      <a:lightRig rig="threePt" dir="t"/>
    </a:scene3d>
    <a:sp3d/>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Financials!$B$36:$L$36</c:f>
              <c:strCache>
                <c:ptCount val="11"/>
                <c:pt idx="0">
                  <c:v>($170,000)</c:v>
                </c:pt>
                <c:pt idx="1">
                  <c:v>$85,920 </c:v>
                </c:pt>
                <c:pt idx="2">
                  <c:v>$84,268 </c:v>
                </c:pt>
                <c:pt idx="3">
                  <c:v>$82,647 </c:v>
                </c:pt>
                <c:pt idx="4">
                  <c:v>$81,058 </c:v>
                </c:pt>
                <c:pt idx="5">
                  <c:v>$79,499 </c:v>
                </c:pt>
                <c:pt idx="6">
                  <c:v>$77,970 </c:v>
                </c:pt>
                <c:pt idx="7">
                  <c:v>$76,471 </c:v>
                </c:pt>
                <c:pt idx="8">
                  <c:v>$75,000 </c:v>
                </c:pt>
                <c:pt idx="9">
                  <c:v>$73,558 </c:v>
                </c:pt>
                <c:pt idx="10">
                  <c:v>$72,143 </c:v>
                </c:pt>
              </c:strCache>
            </c:strRef>
          </c:tx>
          <c:invertIfNegative val="0"/>
          <c:dLbls>
            <c:numFmt formatCode="&quot;$&quot;#,##0" sourceLinked="0"/>
            <c:spPr>
              <a:noFill/>
              <a:ln>
                <a:noFill/>
              </a:ln>
              <a:effectLst/>
            </c:spPr>
            <c:txPr>
              <a:bodyPr/>
              <a:lstStyle/>
              <a:p>
                <a:pPr>
                  <a:defRPr sz="1050">
                    <a:solidFill>
                      <a:sysClr val="windowText" lastClr="000000"/>
                    </a:solidFill>
                    <a:latin typeface="Arial Narrow" panose="020B0606020202030204" pitchFamily="34" charset="0"/>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Financials!$B$36:$L$36</c:f>
              <c:numCache>
                <c:formatCode>"$"#,##0_);\("$"#,##0\)</c:formatCode>
                <c:ptCount val="11"/>
                <c:pt idx="0">
                  <c:v>-170000</c:v>
                </c:pt>
                <c:pt idx="1">
                  <c:v>85919.929107128497</c:v>
                </c:pt>
                <c:pt idx="2">
                  <c:v>84267.622778145262</c:v>
                </c:pt>
                <c:pt idx="3">
                  <c:v>82647.091570873235</c:v>
                </c:pt>
                <c:pt idx="4">
                  <c:v>81057.724425279506</c:v>
                </c:pt>
                <c:pt idx="5">
                  <c:v>79498.922032485672</c:v>
                </c:pt>
                <c:pt idx="6">
                  <c:v>77970.096608784035</c:v>
                </c:pt>
                <c:pt idx="7">
                  <c:v>76470.671673999736</c:v>
                </c:pt>
                <c:pt idx="8">
                  <c:v>75000.081834115117</c:v>
                </c:pt>
                <c:pt idx="9">
                  <c:v>73557.772568074433</c:v>
                </c:pt>
                <c:pt idx="10">
                  <c:v>72143.200018688382</c:v>
                </c:pt>
              </c:numCache>
            </c:numRef>
          </c:val>
          <c:extLst>
            <c:ext xmlns:c16="http://schemas.microsoft.com/office/drawing/2014/chart" uri="{C3380CC4-5D6E-409C-BE32-E72D297353CC}">
              <c16:uniqueId val="{00000000-4E69-447F-9C84-7373EF00FFEA}"/>
            </c:ext>
          </c:extLst>
        </c:ser>
        <c:dLbls>
          <c:showLegendKey val="0"/>
          <c:showVal val="1"/>
          <c:showCatName val="0"/>
          <c:showSerName val="0"/>
          <c:showPercent val="0"/>
          <c:showBubbleSize val="0"/>
        </c:dLbls>
        <c:gapWidth val="75"/>
        <c:axId val="361458256"/>
        <c:axId val="361451984"/>
      </c:barChart>
      <c:catAx>
        <c:axId val="361458256"/>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1984"/>
        <c:crossesAt val="0"/>
        <c:auto val="1"/>
        <c:lblAlgn val="ctr"/>
        <c:lblOffset val="0"/>
        <c:noMultiLvlLbl val="0"/>
      </c:catAx>
      <c:valAx>
        <c:axId val="36145198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25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0"/>
          <c:order val="0"/>
          <c:tx>
            <c:strRef>
              <c:f>Financials!$B$35:$L$35</c:f>
              <c:strCache>
                <c:ptCount val="11"/>
                <c:pt idx="0">
                  <c:v>($170,000)</c:v>
                </c:pt>
                <c:pt idx="1">
                  <c:v>($80,643)</c:v>
                </c:pt>
                <c:pt idx="2">
                  <c:v>$10,501 </c:v>
                </c:pt>
                <c:pt idx="3">
                  <c:v>$103,467 </c:v>
                </c:pt>
                <c:pt idx="4">
                  <c:v>$198,293 </c:v>
                </c:pt>
                <c:pt idx="5">
                  <c:v>$295,016 </c:v>
                </c:pt>
                <c:pt idx="6">
                  <c:v>$393,673 </c:v>
                </c:pt>
                <c:pt idx="7">
                  <c:v>$494,303 </c:v>
                </c:pt>
                <c:pt idx="8">
                  <c:v>$596,946 </c:v>
                </c:pt>
                <c:pt idx="9">
                  <c:v>$701,642 </c:v>
                </c:pt>
                <c:pt idx="10">
                  <c:v>$808,431 </c:v>
                </c:pt>
              </c:strCache>
            </c:strRef>
          </c:tx>
          <c:spPr>
            <a:solidFill>
              <a:srgbClr val="B6B6B6"/>
            </a:solidFill>
          </c:spPr>
          <c:invertIfNegative val="0"/>
          <c:dLbls>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Financials!$B$35:$L$35</c:f>
              <c:numCache>
                <c:formatCode>"$"#,##0_);\("$"#,##0\)</c:formatCode>
                <c:ptCount val="11"/>
                <c:pt idx="0">
                  <c:v>-170000</c:v>
                </c:pt>
                <c:pt idx="1">
                  <c:v>-80643.273728586355</c:v>
                </c:pt>
                <c:pt idx="2">
                  <c:v>10500.587068255569</c:v>
                </c:pt>
                <c:pt idx="3">
                  <c:v>103467.32508103433</c:v>
                </c:pt>
                <c:pt idx="4">
                  <c:v>198293.39785406867</c:v>
                </c:pt>
                <c:pt idx="5">
                  <c:v>295015.99208256369</c:v>
                </c:pt>
                <c:pt idx="6">
                  <c:v>393673.03819562861</c:v>
                </c:pt>
                <c:pt idx="7">
                  <c:v>494303.22523095482</c:v>
                </c:pt>
                <c:pt idx="8">
                  <c:v>596946.01600698754</c:v>
                </c:pt>
                <c:pt idx="9">
                  <c:v>701641.66259854101</c:v>
                </c:pt>
                <c:pt idx="10">
                  <c:v>808431.22212192556</c:v>
                </c:pt>
              </c:numCache>
            </c:numRef>
          </c:val>
          <c:extLst>
            <c:ext xmlns:c16="http://schemas.microsoft.com/office/drawing/2014/chart" uri="{C3380CC4-5D6E-409C-BE32-E72D297353CC}">
              <c16:uniqueId val="{00000000-1181-4E0C-B58A-92AB5036E0C1}"/>
            </c:ext>
          </c:extLst>
        </c:ser>
        <c:dLbls>
          <c:showLegendKey val="0"/>
          <c:showVal val="1"/>
          <c:showCatName val="0"/>
          <c:showSerName val="0"/>
          <c:showPercent val="0"/>
          <c:showBubbleSize val="0"/>
        </c:dLbls>
        <c:gapWidth val="75"/>
        <c:axId val="361452768"/>
        <c:axId val="361459040"/>
      </c:barChart>
      <c:catAx>
        <c:axId val="36145276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9040"/>
        <c:crossesAt val="0"/>
        <c:auto val="1"/>
        <c:lblAlgn val="ctr"/>
        <c:lblOffset val="0"/>
        <c:noMultiLvlLbl val="0"/>
      </c:catAx>
      <c:valAx>
        <c:axId val="361459040"/>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2768"/>
        <c:crosses val="autoZero"/>
        <c:crossBetween val="between"/>
      </c:valAx>
    </c:plotArea>
    <c:plotVisOnly val="1"/>
    <c:dispBlanksAs val="gap"/>
    <c:showDLblsOverMax val="0"/>
  </c:chart>
  <c:spPr>
    <a:ln w="3175">
      <a:solidFill>
        <a:srgbClr val="787878"/>
      </a:solidFill>
    </a:ln>
    <a:effectLst/>
    <a:scene3d>
      <a:camera prst="orthographicFront"/>
      <a:lightRig rig="threePt" dir="t"/>
    </a:scene3d>
    <a:sp3d/>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Financials!$B$37:$L$37</c:f>
              <c:strCache>
                <c:ptCount val="11"/>
                <c:pt idx="0">
                  <c:v> $(170,000)</c:v>
                </c:pt>
                <c:pt idx="1">
                  <c:v> $(84,080)</c:v>
                </c:pt>
                <c:pt idx="2">
                  <c:v> $188 </c:v>
                </c:pt>
                <c:pt idx="3">
                  <c:v> $82,835 </c:v>
                </c:pt>
                <c:pt idx="4">
                  <c:v> $163,892 </c:v>
                </c:pt>
                <c:pt idx="5">
                  <c:v> $243,391 </c:v>
                </c:pt>
                <c:pt idx="6">
                  <c:v> $321,361 </c:v>
                </c:pt>
                <c:pt idx="7">
                  <c:v> $397,832 </c:v>
                </c:pt>
                <c:pt idx="8">
                  <c:v> $472,832 </c:v>
                </c:pt>
                <c:pt idx="9">
                  <c:v> $546,390 </c:v>
                </c:pt>
                <c:pt idx="10">
                  <c:v> $618,533 </c:v>
                </c:pt>
              </c:strCache>
            </c:strRef>
          </c:tx>
          <c:invertIfNegative val="0"/>
          <c:dLbls>
            <c:numFmt formatCode="&quot;$&quot;#,##0" sourceLinked="0"/>
            <c:spPr>
              <a:noFill/>
              <a:ln>
                <a:noFill/>
              </a:ln>
              <a:effectLst/>
            </c:spPr>
            <c:txPr>
              <a:bodyPr/>
              <a:lstStyle/>
              <a:p>
                <a:pPr>
                  <a:defRPr sz="105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Financials!$B$37:$L$37</c:f>
              <c:numCache>
                <c:formatCode>_("$"* #,##0_);_("$"* \(#,##0\);_("$"* "-"??_);_(@_)</c:formatCode>
                <c:ptCount val="11"/>
                <c:pt idx="0">
                  <c:v>-170000</c:v>
                </c:pt>
                <c:pt idx="1">
                  <c:v>-84080.070892871503</c:v>
                </c:pt>
                <c:pt idx="2">
                  <c:v>187.55188527375867</c:v>
                </c:pt>
                <c:pt idx="3">
                  <c:v>82834.643456146994</c:v>
                </c:pt>
                <c:pt idx="4">
                  <c:v>163892.3678814265</c:v>
                </c:pt>
                <c:pt idx="5">
                  <c:v>243391.28991391219</c:v>
                </c:pt>
                <c:pt idx="6">
                  <c:v>321361.38652269624</c:v>
                </c:pt>
                <c:pt idx="7">
                  <c:v>397832.05819669599</c:v>
                </c:pt>
                <c:pt idx="8">
                  <c:v>472832.14003081108</c:v>
                </c:pt>
                <c:pt idx="9">
                  <c:v>546389.91259888548</c:v>
                </c:pt>
                <c:pt idx="10">
                  <c:v>618533.11261757382</c:v>
                </c:pt>
              </c:numCache>
            </c:numRef>
          </c:val>
          <c:extLst>
            <c:ext xmlns:c16="http://schemas.microsoft.com/office/drawing/2014/chart" uri="{C3380CC4-5D6E-409C-BE32-E72D297353CC}">
              <c16:uniqueId val="{00000000-340B-4A07-8A26-9E005F1FDB70}"/>
            </c:ext>
          </c:extLst>
        </c:ser>
        <c:dLbls>
          <c:showLegendKey val="0"/>
          <c:showVal val="1"/>
          <c:showCatName val="0"/>
          <c:showSerName val="0"/>
          <c:showPercent val="0"/>
          <c:showBubbleSize val="0"/>
        </c:dLbls>
        <c:gapWidth val="75"/>
        <c:axId val="361458648"/>
        <c:axId val="361454336"/>
      </c:barChart>
      <c:catAx>
        <c:axId val="36145864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4336"/>
        <c:crossesAt val="0"/>
        <c:auto val="1"/>
        <c:lblAlgn val="ctr"/>
        <c:lblOffset val="0"/>
        <c:noMultiLvlLbl val="0"/>
      </c:catAx>
      <c:valAx>
        <c:axId val="361454336"/>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648"/>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0" i="0" u="none" strike="noStrike" kern="1200" spc="0" baseline="0">
                <a:solidFill>
                  <a:sysClr val="windowText" lastClr="000000"/>
                </a:solidFill>
                <a:effectLst/>
                <a:latin typeface="Arial" panose="020B0604020202020204" pitchFamily="34" charset="0"/>
                <a:ea typeface="+mn-ea"/>
                <a:cs typeface="Arial" panose="020B0604020202020204" pitchFamily="34" charset="0"/>
              </a:defRPr>
            </a:pPr>
            <a:r>
              <a:rPr lang="en-US" sz="1500">
                <a:effectLst/>
                <a:latin typeface="Arial" panose="020B0604020202020204" pitchFamily="34" charset="0"/>
                <a:cs typeface="Arial" panose="020B0604020202020204" pitchFamily="34" charset="0"/>
              </a:rPr>
              <a:t>Annual Energy Costs</a:t>
            </a:r>
          </a:p>
        </c:rich>
      </c:tx>
      <c:layout>
        <c:manualLayout>
          <c:xMode val="edge"/>
          <c:yMode val="edge"/>
          <c:x val="0.3013657876943881"/>
          <c:y val="3.4782608695652174E-2"/>
        </c:manualLayout>
      </c:layout>
      <c:overlay val="0"/>
      <c:spPr>
        <a:noFill/>
        <a:ln>
          <a:noFill/>
        </a:ln>
        <a:effectLst/>
      </c:spPr>
    </c:title>
    <c:autoTitleDeleted val="0"/>
    <c:plotArea>
      <c:layout/>
      <c:barChart>
        <c:barDir val="col"/>
        <c:grouping val="clustered"/>
        <c:varyColors val="0"/>
        <c:ser>
          <c:idx val="1"/>
          <c:order val="1"/>
          <c:tx>
            <c:strRef>
              <c:f>Home!$L$24</c:f>
              <c:strCache>
                <c:ptCount val="1"/>
                <c:pt idx="0">
                  <c:v>     Total Cost</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7061-43E9-8D21-4B3D512650BE}"/>
              </c:ext>
            </c:extLst>
          </c:dPt>
          <c:dPt>
            <c:idx val="1"/>
            <c:invertIfNegative val="0"/>
            <c:bubble3D val="0"/>
            <c:spPr>
              <a:solidFill>
                <a:srgbClr val="FF9900"/>
              </a:solidFill>
              <a:ln>
                <a:noFill/>
              </a:ln>
              <a:effectLst/>
            </c:spPr>
            <c:extLst>
              <c:ext xmlns:c16="http://schemas.microsoft.com/office/drawing/2014/chart" uri="{C3380CC4-5D6E-409C-BE32-E72D297353CC}">
                <c16:uniqueId val="{00000003-7061-43E9-8D21-4B3D512650BE}"/>
              </c:ext>
            </c:extLst>
          </c:dPt>
          <c:dPt>
            <c:idx val="2"/>
            <c:invertIfNegative val="0"/>
            <c:bubble3D val="0"/>
            <c:spPr>
              <a:solidFill>
                <a:srgbClr val="FFFF00"/>
              </a:solidFill>
              <a:ln>
                <a:noFill/>
              </a:ln>
              <a:effectLst/>
            </c:spPr>
            <c:extLst>
              <c:ext xmlns:c16="http://schemas.microsoft.com/office/drawing/2014/chart" uri="{C3380CC4-5D6E-409C-BE32-E72D297353CC}">
                <c16:uniqueId val="{00000005-7061-43E9-8D21-4B3D512650BE}"/>
              </c:ext>
            </c:extLst>
          </c:dPt>
          <c:dPt>
            <c:idx val="3"/>
            <c:invertIfNegative val="0"/>
            <c:bubble3D val="0"/>
            <c:spPr>
              <a:solidFill>
                <a:srgbClr val="19FF8C"/>
              </a:solidFill>
              <a:ln>
                <a:noFill/>
              </a:ln>
              <a:effectLst/>
            </c:spPr>
            <c:extLst>
              <c:ext xmlns:c16="http://schemas.microsoft.com/office/drawing/2014/chart" uri="{C3380CC4-5D6E-409C-BE32-E72D297353CC}">
                <c16:uniqueId val="{00000007-7061-43E9-8D21-4B3D512650BE}"/>
              </c:ext>
            </c:extLst>
          </c:dPt>
          <c:dPt>
            <c:idx val="4"/>
            <c:invertIfNegative val="0"/>
            <c:bubble3D val="0"/>
            <c:spPr>
              <a:solidFill>
                <a:srgbClr val="00CC66"/>
              </a:solidFill>
              <a:ln>
                <a:noFill/>
              </a:ln>
              <a:effectLst/>
            </c:spPr>
            <c:extLst>
              <c:ext xmlns:c16="http://schemas.microsoft.com/office/drawing/2014/chart" uri="{C3380CC4-5D6E-409C-BE32-E72D297353CC}">
                <c16:uniqueId val="{00000009-7061-43E9-8D21-4B3D512650BE}"/>
              </c:ext>
            </c:extLst>
          </c:dPt>
          <c:dPt>
            <c:idx val="5"/>
            <c:invertIfNegative val="0"/>
            <c:bubble3D val="0"/>
            <c:spPr>
              <a:solidFill>
                <a:srgbClr val="297B29"/>
              </a:solidFill>
              <a:ln>
                <a:noFill/>
              </a:ln>
              <a:effectLst/>
            </c:spPr>
            <c:extLst>
              <c:ext xmlns:c16="http://schemas.microsoft.com/office/drawing/2014/chart" uri="{C3380CC4-5D6E-409C-BE32-E72D297353CC}">
                <c16:uniqueId val="{0000000B-7061-43E9-8D21-4B3D512650BE}"/>
              </c:ext>
            </c:extLst>
          </c:dPt>
          <c:dLbls>
            <c:numFmt formatCode="&quot;$&quot;* #,\k;&quot;$&quot;* #,\k;"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Home!$B$25:$B$30</c:f>
              <c:numCache>
                <c:formatCode>General</c:formatCode>
                <c:ptCount val="5"/>
                <c:pt idx="0">
                  <c:v>6</c:v>
                </c:pt>
                <c:pt idx="1">
                  <c:v>8</c:v>
                </c:pt>
                <c:pt idx="2">
                  <c:v>10</c:v>
                </c:pt>
                <c:pt idx="3">
                  <c:v>12</c:v>
                </c:pt>
                <c:pt idx="4">
                  <c:v>14</c:v>
                </c:pt>
              </c:numCache>
            </c:numRef>
          </c:cat>
          <c:val>
            <c:numRef>
              <c:f>Home!$L$25:$L$30</c:f>
              <c:numCache>
                <c:formatCode>_("$"* #,##0_);_("$"* \(#,##0\);_("$"* "-"_);_(@_)</c:formatCode>
                <c:ptCount val="5"/>
                <c:pt idx="0">
                  <c:v>365016.01381508389</c:v>
                </c:pt>
                <c:pt idx="1">
                  <c:v>291173.94741427002</c:v>
                </c:pt>
                <c:pt idx="2">
                  <c:v>267660.11028877023</c:v>
                </c:pt>
                <c:pt idx="3">
                  <c:v>214144.3474966661</c:v>
                </c:pt>
                <c:pt idx="4">
                  <c:v>201817.22114285638</c:v>
                </c:pt>
              </c:numCache>
            </c:numRef>
          </c:val>
          <c:extLst>
            <c:ext xmlns:c16="http://schemas.microsoft.com/office/drawing/2014/chart" uri="{C3380CC4-5D6E-409C-BE32-E72D297353CC}">
              <c16:uniqueId val="{0000000C-7061-43E9-8D21-4B3D512650BE}"/>
            </c:ext>
          </c:extLst>
        </c:ser>
        <c:dLbls>
          <c:dLblPos val="inBase"/>
          <c:showLegendKey val="0"/>
          <c:showVal val="1"/>
          <c:showCatName val="0"/>
          <c:showSerName val="0"/>
          <c:showPercent val="0"/>
          <c:showBubbleSize val="0"/>
        </c:dLbls>
        <c:gapWidth val="0"/>
        <c:axId val="290756728"/>
        <c:axId val="290753200"/>
        <c:extLst>
          <c:ext xmlns:c15="http://schemas.microsoft.com/office/drawing/2012/chart" uri="{02D57815-91ED-43cb-92C2-25804820EDAC}">
            <c15:filteredBarSeries>
              <c15:ser>
                <c:idx val="0"/>
                <c:order val="0"/>
                <c:tx>
                  <c:strRef>
                    <c:extLst>
                      <c:ext uri="{02D57815-91ED-43cb-92C2-25804820EDAC}">
                        <c15:formulaRef>
                          <c15:sqref>Home!$C$24</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c:ext uri="{02D57815-91ED-43cb-92C2-25804820EDAC}">
                        <c15:formulaRef>
                          <c15:sqref>Home!$C$25:$C$30</c15:sqref>
                        </c15:formulaRef>
                      </c:ext>
                    </c:extLst>
                    <c:numCache>
                      <c:formatCode>General</c:formatCode>
                      <c:ptCount val="5"/>
                    </c:numCache>
                  </c:numRef>
                </c:val>
                <c:extLst>
                  <c:ext xmlns:c16="http://schemas.microsoft.com/office/drawing/2014/chart" uri="{C3380CC4-5D6E-409C-BE32-E72D297353CC}">
                    <c16:uniqueId val="{0000000D-7061-43E9-8D21-4B3D512650BE}"/>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Home!$M$24</c15:sqref>
                        </c15:formulaRef>
                      </c:ext>
                    </c:extLst>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Home!$B$25:$B$30</c15:sqref>
                        </c15:formulaRef>
                      </c:ext>
                    </c:extLst>
                    <c:numCache>
                      <c:formatCode>General</c:formatCode>
                      <c:ptCount val="5"/>
                      <c:pt idx="0">
                        <c:v>6</c:v>
                      </c:pt>
                      <c:pt idx="1">
                        <c:v>8</c:v>
                      </c:pt>
                      <c:pt idx="2">
                        <c:v>10</c:v>
                      </c:pt>
                      <c:pt idx="3">
                        <c:v>12</c:v>
                      </c:pt>
                      <c:pt idx="4">
                        <c:v>14</c:v>
                      </c:pt>
                    </c:numCache>
                  </c:numRef>
                </c:cat>
                <c:val>
                  <c:numRef>
                    <c:extLst xmlns:c15="http://schemas.microsoft.com/office/drawing/2012/chart">
                      <c:ext xmlns:c15="http://schemas.microsoft.com/office/drawing/2012/chart" uri="{02D57815-91ED-43cb-92C2-25804820EDAC}">
                        <c15:formulaRef>
                          <c15:sqref>Home!$M$25:$M$30</c15:sqref>
                        </c15:formulaRef>
                      </c:ext>
                    </c:extLst>
                    <c:numCache>
                      <c:formatCode>_("$"* #,##0_);_("$"* \(#,##0\);_("$"* "-"_);_(@_)</c:formatCode>
                      <c:ptCount val="5"/>
                    </c:numCache>
                  </c:numRef>
                </c:val>
                <c:extLst xmlns:c15="http://schemas.microsoft.com/office/drawing/2012/chart">
                  <c:ext xmlns:c16="http://schemas.microsoft.com/office/drawing/2014/chart" uri="{C3380CC4-5D6E-409C-BE32-E72D297353CC}">
                    <c16:uniqueId val="{0000000E-7061-43E9-8D21-4B3D512650BE}"/>
                  </c:ext>
                </c:extLst>
              </c15:ser>
            </c15:filteredBarSeries>
          </c:ext>
        </c:extLst>
      </c:barChart>
      <c:catAx>
        <c:axId val="29075672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Delta-T [°F]</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3200"/>
        <c:crosses val="autoZero"/>
        <c:auto val="1"/>
        <c:lblAlgn val="ctr"/>
        <c:lblOffset val="100"/>
        <c:noMultiLvlLbl val="0"/>
      </c:catAx>
      <c:valAx>
        <c:axId val="290753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Total Cost</a:t>
                </a:r>
              </a:p>
            </c:rich>
          </c:tx>
          <c:layout>
            <c:manualLayout>
              <c:xMode val="edge"/>
              <c:yMode val="edge"/>
              <c:x val="3.0428847899476138E-2"/>
              <c:y val="0.27893408506508449"/>
            </c:manualLayout>
          </c:layout>
          <c:overlay val="0"/>
          <c:spPr>
            <a:noFill/>
            <a:ln>
              <a:noFill/>
            </a:ln>
            <a:effectLst/>
          </c:spPr>
        </c:title>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6728"/>
        <c:crosses val="autoZero"/>
        <c:crossBetween val="between"/>
      </c:valAx>
      <c:spPr>
        <a:solidFill>
          <a:schemeClr val="bg1"/>
        </a:solidFill>
        <a:ln>
          <a:solidFill>
            <a:schemeClr val="bg1">
              <a:lumMod val="65000"/>
            </a:schemeClr>
          </a:solidFill>
        </a:ln>
        <a:effectLst/>
      </c:spPr>
    </c:plotArea>
    <c:plotVisOnly val="1"/>
    <c:dispBlanksAs val="gap"/>
    <c:showDLblsOverMax val="0"/>
  </c:chart>
  <c:spPr>
    <a:solidFill>
      <a:schemeClr val="bg1"/>
    </a:solidFill>
    <a:ln w="25400" cap="flat" cmpd="sng" algn="ctr">
      <a:solidFill>
        <a:srgbClr val="FF6600"/>
      </a:solidFill>
      <a:round/>
    </a:ln>
    <a:effectLst>
      <a:outerShdw blurRad="40005" dist="22860" dir="5400000" algn="ctr" rotWithShape="0">
        <a:prstClr val="black">
          <a:alpha val="35000"/>
        </a:prstClr>
      </a:outerShdw>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500" b="0">
                <a:latin typeface="Arial" panose="020B0604020202020204" pitchFamily="34" charset="0"/>
                <a:cs typeface="Arial" panose="020B0604020202020204" pitchFamily="34" charset="0"/>
              </a:defRPr>
            </a:pPr>
            <a:r>
              <a:rPr lang="en-US" sz="1500" b="0">
                <a:latin typeface="Arial" panose="020B0604020202020204" pitchFamily="34" charset="0"/>
                <a:cs typeface="Arial" panose="020B0604020202020204" pitchFamily="34" charset="0"/>
              </a:rPr>
              <a:t>Financial Analysis Results</a:t>
            </a:r>
          </a:p>
        </c:rich>
      </c:tx>
      <c:layout>
        <c:manualLayout>
          <c:xMode val="edge"/>
          <c:yMode val="edge"/>
          <c:x val="0.25740370277774349"/>
          <c:y val="3.8135593220338986E-2"/>
        </c:manualLayout>
      </c:layout>
      <c:overlay val="0"/>
    </c:title>
    <c:autoTitleDeleted val="0"/>
    <c:plotArea>
      <c:layout/>
      <c:barChart>
        <c:barDir val="col"/>
        <c:grouping val="clustered"/>
        <c:varyColors val="0"/>
        <c:ser>
          <c:idx val="0"/>
          <c:order val="0"/>
          <c:invertIfNegative val="0"/>
          <c:dPt>
            <c:idx val="0"/>
            <c:invertIfNegative val="0"/>
            <c:bubble3D val="0"/>
            <c:spPr>
              <a:solidFill>
                <a:srgbClr val="FFFF00"/>
              </a:solidFill>
            </c:spPr>
            <c:extLst>
              <c:ext xmlns:c16="http://schemas.microsoft.com/office/drawing/2014/chart" uri="{C3380CC4-5D6E-409C-BE32-E72D297353CC}">
                <c16:uniqueId val="{00000001-2CB4-4DBE-A897-42A66CB6C186}"/>
              </c:ext>
            </c:extLst>
          </c:dPt>
          <c:dPt>
            <c:idx val="1"/>
            <c:invertIfNegative val="0"/>
            <c:bubble3D val="0"/>
            <c:spPr>
              <a:solidFill>
                <a:srgbClr val="19FF8C"/>
              </a:solidFill>
            </c:spPr>
            <c:extLst>
              <c:ext xmlns:c16="http://schemas.microsoft.com/office/drawing/2014/chart" uri="{C3380CC4-5D6E-409C-BE32-E72D297353CC}">
                <c16:uniqueId val="{00000003-2CB4-4DBE-A897-42A66CB6C186}"/>
              </c:ext>
            </c:extLst>
          </c:dPt>
          <c:dPt>
            <c:idx val="2"/>
            <c:invertIfNegative val="0"/>
            <c:bubble3D val="0"/>
            <c:spPr>
              <a:solidFill>
                <a:srgbClr val="00CC66"/>
              </a:solidFill>
            </c:spPr>
            <c:extLst>
              <c:ext xmlns:c16="http://schemas.microsoft.com/office/drawing/2014/chart" uri="{C3380CC4-5D6E-409C-BE32-E72D297353CC}">
                <c16:uniqueId val="{00000005-2CB4-4DBE-A897-42A66CB6C186}"/>
              </c:ext>
            </c:extLst>
          </c:dPt>
          <c:dPt>
            <c:idx val="3"/>
            <c:invertIfNegative val="0"/>
            <c:bubble3D val="0"/>
            <c:spPr>
              <a:solidFill>
                <a:srgbClr val="339933"/>
              </a:solidFill>
            </c:spPr>
            <c:extLst>
              <c:ext xmlns:c16="http://schemas.microsoft.com/office/drawing/2014/chart" uri="{C3380CC4-5D6E-409C-BE32-E72D297353CC}">
                <c16:uniqueId val="{00000007-2CB4-4DBE-A897-42A66CB6C186}"/>
              </c:ext>
            </c:extLst>
          </c:dPt>
          <c:dLbls>
            <c:numFmt formatCode="&quot;$&quot;* #,\k;&quot;$&quot;* #,\k;" sourceLinked="0"/>
            <c:spPr>
              <a:noFill/>
              <a:ln>
                <a:noFill/>
              </a:ln>
              <a:effectLst/>
            </c:spPr>
            <c:txPr>
              <a:bodyPr rot="0" vert="horz"/>
              <a:lstStyle/>
              <a:p>
                <a:pPr>
                  <a:defRPr>
                    <a:latin typeface="Arial Narrow" panose="020B060602020203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(Home!$H$39,Home!$J$39,Home!$L$39,Home!$N$39)</c:f>
              <c:strCache>
                <c:ptCount val="4"/>
                <c:pt idx="0">
                  <c:v>5 years</c:v>
                </c:pt>
                <c:pt idx="1">
                  <c:v>10 years</c:v>
                </c:pt>
                <c:pt idx="2">
                  <c:v>15 years</c:v>
                </c:pt>
                <c:pt idx="3">
                  <c:v>20 years</c:v>
                </c:pt>
              </c:strCache>
            </c:strRef>
          </c:cat>
          <c:val>
            <c:numRef>
              <c:f>(Home!$H$41,Home!$J$41,Home!$L$41,Home!$N$41)</c:f>
              <c:numCache>
                <c:formatCode>"$"#,##0_);\("$"#,##0\)</c:formatCode>
                <c:ptCount val="4"/>
                <c:pt idx="0">
                  <c:v>243391.28991391213</c:v>
                </c:pt>
                <c:pt idx="1">
                  <c:v>618533.1126175737</c:v>
                </c:pt>
                <c:pt idx="2" formatCode="&quot;$&quot;#,##0_);[Red]\(&quot;$&quot;#,##0\)">
                  <c:v>958964.54060129472</c:v>
                </c:pt>
                <c:pt idx="3" formatCode="&quot;$&quot;#,##0_);[Red]\(&quot;$&quot;#,##0\)">
                  <c:v>1267897.1899225195</c:v>
                </c:pt>
              </c:numCache>
            </c:numRef>
          </c:val>
          <c:extLst>
            <c:ext xmlns:c16="http://schemas.microsoft.com/office/drawing/2014/chart" uri="{C3380CC4-5D6E-409C-BE32-E72D297353CC}">
              <c16:uniqueId val="{00000008-2CB4-4DBE-A897-42A66CB6C186}"/>
            </c:ext>
          </c:extLst>
        </c:ser>
        <c:dLbls>
          <c:dLblPos val="inBase"/>
          <c:showLegendKey val="0"/>
          <c:showVal val="1"/>
          <c:showCatName val="0"/>
          <c:showSerName val="0"/>
          <c:showPercent val="0"/>
          <c:showBubbleSize val="0"/>
        </c:dLbls>
        <c:gapWidth val="0"/>
        <c:axId val="355212976"/>
        <c:axId val="355217288"/>
        <c:extLst/>
      </c:barChart>
      <c:catAx>
        <c:axId val="355212976"/>
        <c:scaling>
          <c:orientation val="minMax"/>
        </c:scaling>
        <c:delete val="0"/>
        <c:axPos val="b"/>
        <c:title>
          <c:tx>
            <c:rich>
              <a:bodyPr rot="0" vert="horz"/>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Investment Horizon</a:t>
                </a:r>
              </a:p>
            </c:rich>
          </c:tx>
          <c:overlay val="0"/>
        </c:title>
        <c:numFmt formatCode="General" sourceLinked="1"/>
        <c:majorTickMark val="none"/>
        <c:minorTickMark val="none"/>
        <c:tickLblPos val="nextTo"/>
        <c:txPr>
          <a:bodyPr rot="-60000000" vert="horz"/>
          <a:lstStyle/>
          <a:p>
            <a:pPr>
              <a:defRPr>
                <a:latin typeface="Arial Narrow" panose="020B0606020202030204" pitchFamily="34" charset="0"/>
              </a:defRPr>
            </a:pPr>
            <a:endParaRPr lang="en-US"/>
          </a:p>
        </c:txPr>
        <c:crossAx val="355217288"/>
        <c:crosses val="autoZero"/>
        <c:auto val="1"/>
        <c:lblAlgn val="ctr"/>
        <c:lblOffset val="100"/>
        <c:noMultiLvlLbl val="0"/>
      </c:catAx>
      <c:valAx>
        <c:axId val="35521728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Net Present Value (NPV)</a:t>
                </a:r>
              </a:p>
            </c:rich>
          </c:tx>
          <c:layout>
            <c:manualLayout>
              <c:xMode val="edge"/>
              <c:yMode val="edge"/>
              <c:x val="2.2130006897768652E-2"/>
              <c:y val="0.15900055534497501"/>
            </c:manualLayout>
          </c:layout>
          <c:overlay val="0"/>
        </c:title>
        <c:numFmt formatCode="&quot;$&quot;* #,\k;&quot;$&quot;* #,\k;" sourceLinked="0"/>
        <c:majorTickMark val="out"/>
        <c:minorTickMark val="none"/>
        <c:tickLblPos val="nextTo"/>
        <c:txPr>
          <a:bodyPr rot="-60000000" vert="horz"/>
          <a:lstStyle/>
          <a:p>
            <a:pPr>
              <a:defRPr sz="900">
                <a:latin typeface="Arial" panose="020B0604020202020204" pitchFamily="34" charset="0"/>
                <a:cs typeface="Arial" panose="020B0604020202020204" pitchFamily="34" charset="0"/>
              </a:defRPr>
            </a:pPr>
            <a:endParaRPr lang="en-US"/>
          </a:p>
        </c:txPr>
        <c:crossAx val="355212976"/>
        <c:crosses val="autoZero"/>
        <c:crossBetween val="between"/>
      </c:valAx>
    </c:plotArea>
    <c:plotVisOnly val="1"/>
    <c:dispBlanksAs val="gap"/>
    <c:showDLblsOverMax val="0"/>
  </c:chart>
  <c:spPr>
    <a:ln w="25400">
      <a:solidFill>
        <a:srgbClr val="FF6600"/>
      </a:solidFill>
    </a:ln>
    <a:effectLst>
      <a:outerShdw blurRad="40005" dist="38100" dir="5400000" algn="tl" rotWithShape="0">
        <a:prstClr val="black">
          <a:alpha val="35000"/>
        </a:prstClr>
      </a:outerShdw>
    </a:effectLst>
    <a:scene3d>
      <a:camera prst="orthographicFront"/>
      <a:lightRig rig="threePt" dir="t"/>
    </a:scene3d>
    <a:sp3d>
      <a:bevelT/>
    </a:sp3d>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Actual Delta T Energy Usage</a:t>
            </a:r>
          </a:p>
        </c:rich>
      </c:tx>
      <c:overlay val="0"/>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6183-4D55-835B-5DBF96D6FE7C}"/>
              </c:ext>
            </c:extLst>
          </c:dPt>
          <c:dPt>
            <c:idx val="1"/>
            <c:bubble3D val="0"/>
            <c:spPr>
              <a:solidFill>
                <a:srgbClr val="005BE2"/>
              </a:solidFill>
              <a:ln>
                <a:solidFill>
                  <a:schemeClr val="bg1"/>
                </a:solidFill>
              </a:ln>
            </c:spPr>
            <c:extLst>
              <c:ext xmlns:c16="http://schemas.microsoft.com/office/drawing/2014/chart" uri="{C3380CC4-5D6E-409C-BE32-E72D297353CC}">
                <c16:uniqueId val="{00000003-6183-4D55-835B-5DBF96D6FE7C}"/>
              </c:ext>
            </c:extLst>
          </c:dPt>
          <c:dPt>
            <c:idx val="2"/>
            <c:bubble3D val="0"/>
            <c:spPr>
              <a:solidFill>
                <a:srgbClr val="0033CC"/>
              </a:solidFill>
              <a:ln>
                <a:solidFill>
                  <a:schemeClr val="bg1"/>
                </a:solidFill>
              </a:ln>
            </c:spPr>
            <c:extLst>
              <c:ext xmlns:c16="http://schemas.microsoft.com/office/drawing/2014/chart" uri="{C3380CC4-5D6E-409C-BE32-E72D297353CC}">
                <c16:uniqueId val="{00000005-6183-4D55-835B-5DBF96D6FE7C}"/>
              </c:ext>
            </c:extLst>
          </c:dPt>
          <c:dPt>
            <c:idx val="3"/>
            <c:bubble3D val="0"/>
            <c:spPr>
              <a:solidFill>
                <a:srgbClr val="66CCFF"/>
              </a:solidFill>
              <a:ln>
                <a:solidFill>
                  <a:schemeClr val="bg1"/>
                </a:solidFill>
              </a:ln>
            </c:spPr>
            <c:extLst>
              <c:ext xmlns:c16="http://schemas.microsoft.com/office/drawing/2014/chart" uri="{C3380CC4-5D6E-409C-BE32-E72D297353CC}">
                <c16:uniqueId val="{00000007-6183-4D55-835B-5DBF96D6FE7C}"/>
              </c:ext>
            </c:extLst>
          </c:dPt>
          <c:dPt>
            <c:idx val="4"/>
            <c:bubble3D val="0"/>
            <c:spPr>
              <a:solidFill>
                <a:srgbClr val="000099"/>
              </a:solidFill>
              <a:ln>
                <a:solidFill>
                  <a:schemeClr val="bg1"/>
                </a:solidFill>
              </a:ln>
            </c:spPr>
            <c:extLst>
              <c:ext xmlns:c16="http://schemas.microsoft.com/office/drawing/2014/chart" uri="{C3380CC4-5D6E-409C-BE32-E72D297353CC}">
                <c16:uniqueId val="{00000009-6183-4D55-835B-5DBF96D6FE7C}"/>
              </c:ext>
            </c:extLst>
          </c:dPt>
          <c:dPt>
            <c:idx val="5"/>
            <c:bubble3D val="0"/>
            <c:spPr>
              <a:solidFill>
                <a:srgbClr val="33CC33"/>
              </a:solidFill>
              <a:ln>
                <a:solidFill>
                  <a:schemeClr val="bg1"/>
                </a:solidFill>
              </a:ln>
            </c:spPr>
            <c:extLst>
              <c:ext xmlns:c16="http://schemas.microsoft.com/office/drawing/2014/chart" uri="{C3380CC4-5D6E-409C-BE32-E72D297353CC}">
                <c16:uniqueId val="{0000000B-6183-4D55-835B-5DBF96D6FE7C}"/>
              </c:ext>
            </c:extLst>
          </c:dPt>
          <c:dPt>
            <c:idx val="6"/>
            <c:bubble3D val="0"/>
            <c:spPr>
              <a:solidFill>
                <a:srgbClr val="00B050"/>
              </a:solidFill>
            </c:spPr>
            <c:extLst>
              <c:ext xmlns:c16="http://schemas.microsoft.com/office/drawing/2014/chart" uri="{C3380CC4-5D6E-409C-BE32-E72D297353CC}">
                <c16:uniqueId val="{0000000D-6183-4D55-835B-5DBF96D6FE7C}"/>
              </c:ext>
            </c:extLst>
          </c:dPt>
          <c:val>
            <c:numRef>
              <c:f>Chiller!$O$16:$O$22</c:f>
              <c:numCache>
                <c:formatCode>0.00</c:formatCode>
                <c:ptCount val="7"/>
                <c:pt idx="0">
                  <c:v>81.0198627348977</c:v>
                </c:pt>
                <c:pt idx="1">
                  <c:v>4.8453437229624567</c:v>
                </c:pt>
                <c:pt idx="2">
                  <c:v>5.1441182688823934</c:v>
                </c:pt>
                <c:pt idx="3">
                  <c:v>5.1441182688823934</c:v>
                </c:pt>
                <c:pt idx="4">
                  <c:v>0.64301478361029918</c:v>
                </c:pt>
                <c:pt idx="5">
                  <c:v>1.2860295672205984</c:v>
                </c:pt>
                <c:pt idx="6">
                  <c:v>1.9175126535441622</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E-6183-4D55-835B-5DBF96D6FE7C}"/>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Future Delta T </a:t>
            </a:r>
          </a:p>
          <a:p>
            <a:pPr>
              <a:defRPr/>
            </a:pPr>
            <a:r>
              <a:rPr lang="en-US" sz="1500" b="0">
                <a:latin typeface="Arial" pitchFamily="34" charset="0"/>
                <a:cs typeface="Arial" pitchFamily="34" charset="0"/>
              </a:rPr>
              <a:t>Energy Usage</a:t>
            </a:r>
          </a:p>
        </c:rich>
      </c:tx>
      <c:layout>
        <c:manualLayout>
          <c:xMode val="edge"/>
          <c:yMode val="edge"/>
          <c:x val="0.18764622397031683"/>
          <c:y val="3.5868477976219552E-2"/>
        </c:manualLayout>
      </c:layout>
      <c:overlay val="0"/>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4DD0-4740-A5AD-093D328173E0}"/>
              </c:ext>
            </c:extLst>
          </c:dPt>
          <c:dPt>
            <c:idx val="1"/>
            <c:bubble3D val="0"/>
            <c:spPr>
              <a:solidFill>
                <a:srgbClr val="005BE2"/>
              </a:solidFill>
              <a:ln>
                <a:solidFill>
                  <a:schemeClr val="bg1"/>
                </a:solidFill>
              </a:ln>
            </c:spPr>
            <c:extLst>
              <c:ext xmlns:c16="http://schemas.microsoft.com/office/drawing/2014/chart" uri="{C3380CC4-5D6E-409C-BE32-E72D297353CC}">
                <c16:uniqueId val="{00000003-4DD0-4740-A5AD-093D328173E0}"/>
              </c:ext>
            </c:extLst>
          </c:dPt>
          <c:dPt>
            <c:idx val="2"/>
            <c:bubble3D val="0"/>
            <c:spPr>
              <a:solidFill>
                <a:srgbClr val="0033CC"/>
              </a:solidFill>
              <a:ln>
                <a:solidFill>
                  <a:schemeClr val="bg1"/>
                </a:solidFill>
              </a:ln>
            </c:spPr>
            <c:extLst>
              <c:ext xmlns:c16="http://schemas.microsoft.com/office/drawing/2014/chart" uri="{C3380CC4-5D6E-409C-BE32-E72D297353CC}">
                <c16:uniqueId val="{00000005-4DD0-4740-A5AD-093D328173E0}"/>
              </c:ext>
            </c:extLst>
          </c:dPt>
          <c:dPt>
            <c:idx val="3"/>
            <c:bubble3D val="0"/>
            <c:spPr>
              <a:solidFill>
                <a:srgbClr val="66CCFF"/>
              </a:solidFill>
              <a:ln>
                <a:solidFill>
                  <a:schemeClr val="bg1"/>
                </a:solidFill>
              </a:ln>
            </c:spPr>
            <c:extLst>
              <c:ext xmlns:c16="http://schemas.microsoft.com/office/drawing/2014/chart" uri="{C3380CC4-5D6E-409C-BE32-E72D297353CC}">
                <c16:uniqueId val="{00000007-4DD0-4740-A5AD-093D328173E0}"/>
              </c:ext>
            </c:extLst>
          </c:dPt>
          <c:dPt>
            <c:idx val="4"/>
            <c:bubble3D val="0"/>
            <c:spPr>
              <a:solidFill>
                <a:srgbClr val="000099"/>
              </a:solidFill>
              <a:ln>
                <a:solidFill>
                  <a:schemeClr val="bg1"/>
                </a:solidFill>
              </a:ln>
            </c:spPr>
            <c:extLst>
              <c:ext xmlns:c16="http://schemas.microsoft.com/office/drawing/2014/chart" uri="{C3380CC4-5D6E-409C-BE32-E72D297353CC}">
                <c16:uniqueId val="{00000009-4DD0-4740-A5AD-093D328173E0}"/>
              </c:ext>
            </c:extLst>
          </c:dPt>
          <c:dPt>
            <c:idx val="5"/>
            <c:bubble3D val="0"/>
            <c:spPr>
              <a:solidFill>
                <a:srgbClr val="33CC33"/>
              </a:solidFill>
              <a:ln>
                <a:solidFill>
                  <a:schemeClr val="bg1"/>
                </a:solidFill>
              </a:ln>
            </c:spPr>
            <c:extLst>
              <c:ext xmlns:c16="http://schemas.microsoft.com/office/drawing/2014/chart" uri="{C3380CC4-5D6E-409C-BE32-E72D297353CC}">
                <c16:uniqueId val="{0000000B-4DD0-4740-A5AD-093D328173E0}"/>
              </c:ext>
            </c:extLst>
          </c:dPt>
          <c:val>
            <c:numRef>
              <c:f>Chiller!$Q$16:$Q$22</c:f>
              <c:numCache>
                <c:formatCode>0.00</c:formatCode>
                <c:ptCount val="7"/>
                <c:pt idx="0">
                  <c:v>76.633383395351672</c:v>
                </c:pt>
                <c:pt idx="1">
                  <c:v>4.5830129880497319</c:v>
                </c:pt>
                <c:pt idx="2">
                  <c:v>4.8656116441493138</c:v>
                </c:pt>
                <c:pt idx="3">
                  <c:v>4.8656116441493138</c:v>
                </c:pt>
                <c:pt idx="4">
                  <c:v>0.60820145551866422</c:v>
                </c:pt>
                <c:pt idx="5">
                  <c:v>1.2164029110373284</c:v>
                </c:pt>
                <c:pt idx="6">
                  <c:v>7.2277759617439665</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C-4DD0-4740-A5AD-093D328173E0}"/>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Future Delta T </a:t>
            </a:r>
          </a:p>
          <a:p>
            <a:pPr>
              <a:defRPr/>
            </a:pPr>
            <a:r>
              <a:rPr lang="en-US" sz="1500" b="0">
                <a:latin typeface="Arial" pitchFamily="34" charset="0"/>
                <a:cs typeface="Arial" pitchFamily="34" charset="0"/>
              </a:rPr>
              <a:t>Energy Usage</a:t>
            </a:r>
          </a:p>
        </c:rich>
      </c:tx>
      <c:layout>
        <c:manualLayout>
          <c:xMode val="edge"/>
          <c:yMode val="edge"/>
          <c:x val="6.4612083408663937E-2"/>
          <c:y val="3.5868584607091733E-2"/>
        </c:manualLayout>
      </c:layout>
      <c:overlay val="0"/>
    </c:title>
    <c:autoTitleDeleted val="0"/>
    <c:plotArea>
      <c:layout/>
      <c:pieChart>
        <c:varyColors val="0"/>
        <c:dLbls>
          <c:showLegendKey val="0"/>
          <c:showVal val="0"/>
          <c:showCatName val="0"/>
          <c:showSerName val="0"/>
          <c:showPercent val="0"/>
          <c:showBubbleSize val="0"/>
          <c:showLeaderLines val="0"/>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v>-69600 12272.72727 12396.69421 12509.39144 12611.84345 12704.98165 12789.65274 12866.62646 12936.60257 13000.21721 13058.0487</c:v>
          </c:tx>
          <c:invertIfNegative val="0"/>
          <c:dLbls>
            <c:numFmt formatCode="&quot;$&quot;#,##0.00" sourceLinked="0"/>
            <c:spPr>
              <a:noFill/>
              <a:ln>
                <a:noFill/>
              </a:ln>
              <a:effectLst/>
            </c:spPr>
            <c:txPr>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Lit>
              <c:formatCode>General</c:formatCode>
              <c:ptCount val="11"/>
              <c:pt idx="0">
                <c:v>-69600</c:v>
              </c:pt>
              <c:pt idx="1">
                <c:v>-57327.272727272728</c:v>
              </c:pt>
              <c:pt idx="2">
                <c:v>-44930.578512396693</c:v>
              </c:pt>
              <c:pt idx="3">
                <c:v>-32421.187077385424</c:v>
              </c:pt>
              <c:pt idx="4">
                <c:v>-19809.343624069392</c:v>
              </c:pt>
              <c:pt idx="5">
                <c:v>-7104.3619722944877</c:v>
              </c:pt>
              <c:pt idx="6">
                <c:v>5685.2907689884833</c:v>
              </c:pt>
              <c:pt idx="7">
                <c:v>18551.917228006059</c:v>
              </c:pt>
              <c:pt idx="8">
                <c:v>31488.519794055097</c:v>
              </c:pt>
              <c:pt idx="9">
                <c:v>44488.737002860013</c:v>
              </c:pt>
              <c:pt idx="10">
                <c:v>57546.785705079354</c:v>
              </c:pt>
            </c:numLit>
          </c:val>
          <c:extLst>
            <c:ext xmlns:c16="http://schemas.microsoft.com/office/drawing/2014/chart" uri="{C3380CC4-5D6E-409C-BE32-E72D297353CC}">
              <c16:uniqueId val="{00000000-9B43-419F-BF74-427FFF290C29}"/>
            </c:ext>
          </c:extLst>
        </c:ser>
        <c:dLbls>
          <c:showLegendKey val="0"/>
          <c:showVal val="1"/>
          <c:showCatName val="0"/>
          <c:showSerName val="0"/>
          <c:showPercent val="0"/>
          <c:showBubbleSize val="0"/>
        </c:dLbls>
        <c:gapWidth val="75"/>
        <c:axId val="361457472"/>
        <c:axId val="361453944"/>
      </c:barChart>
      <c:catAx>
        <c:axId val="361457472"/>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3944"/>
        <c:crossesAt val="0"/>
        <c:auto val="1"/>
        <c:lblAlgn val="ctr"/>
        <c:lblOffset val="0"/>
        <c:noMultiLvlLbl val="0"/>
      </c:catAx>
      <c:valAx>
        <c:axId val="36145394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7472"/>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7.1677493291733854E-2"/>
          <c:y val="0.17325338989661568"/>
          <c:w val="0.9283225067082661"/>
          <c:h val="0.7905450506271583"/>
        </c:manualLayout>
      </c:layout>
      <c:barChart>
        <c:barDir val="col"/>
        <c:grouping val="clustered"/>
        <c:varyColors val="0"/>
        <c:ser>
          <c:idx val="1"/>
          <c:order val="0"/>
          <c:tx>
            <c:strRef>
              <c:f>Financials!$B$31:$L$31</c:f>
              <c:strCache>
                <c:ptCount val="11"/>
                <c:pt idx="0">
                  <c:v>($170,000)</c:v>
                </c:pt>
                <c:pt idx="1">
                  <c:v>$89,357 </c:v>
                </c:pt>
                <c:pt idx="2">
                  <c:v>$91,144 </c:v>
                </c:pt>
                <c:pt idx="3">
                  <c:v>$92,967 </c:v>
                </c:pt>
                <c:pt idx="4">
                  <c:v>$94,826 </c:v>
                </c:pt>
                <c:pt idx="5">
                  <c:v>$96,723 </c:v>
                </c:pt>
                <c:pt idx="6">
                  <c:v>$98,657 </c:v>
                </c:pt>
                <c:pt idx="7">
                  <c:v>$100,630 </c:v>
                </c:pt>
                <c:pt idx="8">
                  <c:v>$102,643 </c:v>
                </c:pt>
                <c:pt idx="9">
                  <c:v>$104,696 </c:v>
                </c:pt>
                <c:pt idx="10">
                  <c:v>$106,790 </c:v>
                </c:pt>
              </c:strCache>
            </c:strRef>
          </c:tx>
          <c:invertIfNegative val="0"/>
          <c:dLbls>
            <c:dLbl>
              <c:idx val="8"/>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A1-4E4B-918A-D60F557837A1}"/>
                </c:ext>
              </c:extLst>
            </c:dLbl>
            <c:dLbl>
              <c:idx val="9"/>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A1-4E4B-918A-D60F557837A1}"/>
                </c:ext>
              </c:extLst>
            </c:dLbl>
            <c:dLbl>
              <c:idx val="10"/>
              <c:layout>
                <c:manualLayout>
                  <c:x val="0"/>
                  <c:y val="1.7037041553292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A1-4E4B-918A-D60F557837A1}"/>
                </c:ext>
              </c:extLst>
            </c:dLbl>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Financials!$B$31:$L$31</c:f>
              <c:numCache>
                <c:formatCode>"$"#,##0_);\("$"#,##0\)</c:formatCode>
                <c:ptCount val="11"/>
                <c:pt idx="0">
                  <c:v>-170000</c:v>
                </c:pt>
                <c:pt idx="1">
                  <c:v>89356.726271413645</c:v>
                </c:pt>
                <c:pt idx="2">
                  <c:v>91143.860796841924</c:v>
                </c:pt>
                <c:pt idx="3">
                  <c:v>92966.738012778762</c:v>
                </c:pt>
                <c:pt idx="4">
                  <c:v>94826.072773034335</c:v>
                </c:pt>
                <c:pt idx="5">
                  <c:v>96722.594228495029</c:v>
                </c:pt>
                <c:pt idx="6">
                  <c:v>98657.046113064935</c:v>
                </c:pt>
                <c:pt idx="7">
                  <c:v>100630.18703532623</c:v>
                </c:pt>
                <c:pt idx="8">
                  <c:v>102642.79077603277</c:v>
                </c:pt>
                <c:pt idx="9">
                  <c:v>104695.64659155342</c:v>
                </c:pt>
                <c:pt idx="10">
                  <c:v>106789.55952338449</c:v>
                </c:pt>
              </c:numCache>
            </c:numRef>
          </c:val>
          <c:extLst>
            <c:ext xmlns:c16="http://schemas.microsoft.com/office/drawing/2014/chart" uri="{C3380CC4-5D6E-409C-BE32-E72D297353CC}">
              <c16:uniqueId val="{00000003-59A1-4E4B-918A-D60F557837A1}"/>
            </c:ext>
          </c:extLst>
        </c:ser>
        <c:dLbls>
          <c:showLegendKey val="0"/>
          <c:showVal val="1"/>
          <c:showCatName val="0"/>
          <c:showSerName val="0"/>
          <c:showPercent val="0"/>
          <c:showBubbleSize val="0"/>
        </c:dLbls>
        <c:gapWidth val="75"/>
        <c:axId val="361456688"/>
        <c:axId val="361455904"/>
      </c:barChart>
      <c:catAx>
        <c:axId val="36145668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5904"/>
        <c:crossesAt val="0"/>
        <c:auto val="1"/>
        <c:lblAlgn val="ctr"/>
        <c:lblOffset val="0"/>
        <c:noMultiLvlLbl val="0"/>
      </c:catAx>
      <c:valAx>
        <c:axId val="36145590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6688"/>
        <c:crosses val="autoZero"/>
        <c:crossBetween val="between"/>
      </c:valAx>
    </c:plotArea>
    <c:plotVisOnly val="1"/>
    <c:dispBlanksAs val="gap"/>
    <c:showDLblsOverMax val="0"/>
  </c:chart>
  <c:spPr>
    <a:ln w="12700">
      <a:solidFill>
        <a:srgbClr val="C3C8CE"/>
      </a:solidFill>
    </a:ln>
    <a:effectLst/>
    <a:scene3d>
      <a:camera prst="orthographicFront"/>
      <a:lightRig rig="threePt" dir="t"/>
    </a:scene3d>
    <a:sp3d/>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Financials!$B$36:$L$36</c:f>
              <c:strCache>
                <c:ptCount val="11"/>
                <c:pt idx="0">
                  <c:v>($170,000)</c:v>
                </c:pt>
                <c:pt idx="1">
                  <c:v>$85,920 </c:v>
                </c:pt>
                <c:pt idx="2">
                  <c:v>$84,268 </c:v>
                </c:pt>
                <c:pt idx="3">
                  <c:v>$82,647 </c:v>
                </c:pt>
                <c:pt idx="4">
                  <c:v>$81,058 </c:v>
                </c:pt>
                <c:pt idx="5">
                  <c:v>$79,499 </c:v>
                </c:pt>
                <c:pt idx="6">
                  <c:v>$77,970 </c:v>
                </c:pt>
                <c:pt idx="7">
                  <c:v>$76,471 </c:v>
                </c:pt>
                <c:pt idx="8">
                  <c:v>$75,000 </c:v>
                </c:pt>
                <c:pt idx="9">
                  <c:v>$73,558 </c:v>
                </c:pt>
                <c:pt idx="10">
                  <c:v>$72,143 </c:v>
                </c:pt>
              </c:strCache>
            </c:strRef>
          </c:tx>
          <c:invertIfNegative val="0"/>
          <c:dLbls>
            <c:numFmt formatCode="&quot;$&quot;#,##0" sourceLinked="0"/>
            <c:spPr>
              <a:noFill/>
              <a:ln>
                <a:noFill/>
              </a:ln>
              <a:effectLst/>
            </c:spPr>
            <c:txPr>
              <a:bodyPr/>
              <a:lstStyle/>
              <a:p>
                <a:pPr>
                  <a:defRPr sz="1050">
                    <a:solidFill>
                      <a:sysClr val="windowText" lastClr="000000"/>
                    </a:solidFill>
                    <a:latin typeface="Arial Narrow" panose="020B0606020202030204" pitchFamily="34" charset="0"/>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Financials!$B$36:$L$36</c:f>
              <c:numCache>
                <c:formatCode>"$"#,##0_);\("$"#,##0\)</c:formatCode>
                <c:ptCount val="11"/>
                <c:pt idx="0">
                  <c:v>-170000</c:v>
                </c:pt>
                <c:pt idx="1">
                  <c:v>85919.929107128497</c:v>
                </c:pt>
                <c:pt idx="2">
                  <c:v>84267.622778145262</c:v>
                </c:pt>
                <c:pt idx="3">
                  <c:v>82647.091570873235</c:v>
                </c:pt>
                <c:pt idx="4">
                  <c:v>81057.724425279506</c:v>
                </c:pt>
                <c:pt idx="5">
                  <c:v>79498.922032485672</c:v>
                </c:pt>
                <c:pt idx="6">
                  <c:v>77970.096608784035</c:v>
                </c:pt>
                <c:pt idx="7">
                  <c:v>76470.671673999736</c:v>
                </c:pt>
                <c:pt idx="8">
                  <c:v>75000.081834115117</c:v>
                </c:pt>
                <c:pt idx="9">
                  <c:v>73557.772568074433</c:v>
                </c:pt>
                <c:pt idx="10">
                  <c:v>72143.200018688382</c:v>
                </c:pt>
              </c:numCache>
            </c:numRef>
          </c:val>
          <c:extLst>
            <c:ext xmlns:c16="http://schemas.microsoft.com/office/drawing/2014/chart" uri="{C3380CC4-5D6E-409C-BE32-E72D297353CC}">
              <c16:uniqueId val="{00000000-E666-4B91-8A13-F7736879189C}"/>
            </c:ext>
          </c:extLst>
        </c:ser>
        <c:dLbls>
          <c:showLegendKey val="0"/>
          <c:showVal val="1"/>
          <c:showCatName val="0"/>
          <c:showSerName val="0"/>
          <c:showPercent val="0"/>
          <c:showBubbleSize val="0"/>
        </c:dLbls>
        <c:gapWidth val="75"/>
        <c:axId val="361458256"/>
        <c:axId val="361451984"/>
      </c:barChart>
      <c:catAx>
        <c:axId val="361458256"/>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1984"/>
        <c:crossesAt val="0"/>
        <c:auto val="1"/>
        <c:lblAlgn val="ctr"/>
        <c:lblOffset val="0"/>
        <c:noMultiLvlLbl val="0"/>
      </c:catAx>
      <c:valAx>
        <c:axId val="36145198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0"/>
          <c:order val="0"/>
          <c:tx>
            <c:strRef>
              <c:f>Financials!$B$35:$L$35</c:f>
              <c:strCache>
                <c:ptCount val="11"/>
                <c:pt idx="0">
                  <c:v>($170,000)</c:v>
                </c:pt>
                <c:pt idx="1">
                  <c:v>($80,643)</c:v>
                </c:pt>
                <c:pt idx="2">
                  <c:v>$10,501 </c:v>
                </c:pt>
                <c:pt idx="3">
                  <c:v>$103,467 </c:v>
                </c:pt>
                <c:pt idx="4">
                  <c:v>$198,293 </c:v>
                </c:pt>
                <c:pt idx="5">
                  <c:v>$295,016 </c:v>
                </c:pt>
                <c:pt idx="6">
                  <c:v>$393,673 </c:v>
                </c:pt>
                <c:pt idx="7">
                  <c:v>$494,303 </c:v>
                </c:pt>
                <c:pt idx="8">
                  <c:v>$596,946 </c:v>
                </c:pt>
                <c:pt idx="9">
                  <c:v>$701,642 </c:v>
                </c:pt>
                <c:pt idx="10">
                  <c:v>$808,431 </c:v>
                </c:pt>
              </c:strCache>
            </c:strRef>
          </c:tx>
          <c:spPr>
            <a:solidFill>
              <a:srgbClr val="B6B6B6"/>
            </a:solidFill>
          </c:spPr>
          <c:invertIfNegative val="0"/>
          <c:dLbls>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Financials!$B$35:$L$35</c:f>
              <c:numCache>
                <c:formatCode>"$"#,##0_);\("$"#,##0\)</c:formatCode>
                <c:ptCount val="11"/>
                <c:pt idx="0">
                  <c:v>-170000</c:v>
                </c:pt>
                <c:pt idx="1">
                  <c:v>-80643.273728586355</c:v>
                </c:pt>
                <c:pt idx="2">
                  <c:v>10500.587068255569</c:v>
                </c:pt>
                <c:pt idx="3">
                  <c:v>103467.32508103433</c:v>
                </c:pt>
                <c:pt idx="4">
                  <c:v>198293.39785406867</c:v>
                </c:pt>
                <c:pt idx="5">
                  <c:v>295015.99208256369</c:v>
                </c:pt>
                <c:pt idx="6">
                  <c:v>393673.03819562861</c:v>
                </c:pt>
                <c:pt idx="7">
                  <c:v>494303.22523095482</c:v>
                </c:pt>
                <c:pt idx="8">
                  <c:v>596946.01600698754</c:v>
                </c:pt>
                <c:pt idx="9">
                  <c:v>701641.66259854101</c:v>
                </c:pt>
                <c:pt idx="10">
                  <c:v>808431.22212192556</c:v>
                </c:pt>
              </c:numCache>
            </c:numRef>
          </c:val>
          <c:extLst>
            <c:ext xmlns:c16="http://schemas.microsoft.com/office/drawing/2014/chart" uri="{C3380CC4-5D6E-409C-BE32-E72D297353CC}">
              <c16:uniqueId val="{00000000-0012-4992-93D2-84C6DE77CBAA}"/>
            </c:ext>
          </c:extLst>
        </c:ser>
        <c:dLbls>
          <c:showLegendKey val="0"/>
          <c:showVal val="1"/>
          <c:showCatName val="0"/>
          <c:showSerName val="0"/>
          <c:showPercent val="0"/>
          <c:showBubbleSize val="0"/>
        </c:dLbls>
        <c:gapWidth val="75"/>
        <c:axId val="361452768"/>
        <c:axId val="361459040"/>
      </c:barChart>
      <c:catAx>
        <c:axId val="36145276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9040"/>
        <c:crossesAt val="0"/>
        <c:auto val="1"/>
        <c:lblAlgn val="ctr"/>
        <c:lblOffset val="0"/>
        <c:noMultiLvlLbl val="0"/>
      </c:catAx>
      <c:valAx>
        <c:axId val="361459040"/>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2768"/>
        <c:crosses val="autoZero"/>
        <c:crossBetween val="between"/>
      </c:valAx>
    </c:plotArea>
    <c:plotVisOnly val="1"/>
    <c:dispBlanksAs val="gap"/>
    <c:showDLblsOverMax val="0"/>
  </c:chart>
  <c:spPr>
    <a:ln w="3175">
      <a:solidFill>
        <a:srgbClr val="787878"/>
      </a:solidFill>
    </a:ln>
    <a:effectLst/>
    <a:scene3d>
      <a:camera prst="orthographicFront"/>
      <a:lightRig rig="threePt" dir="t"/>
    </a:scene3d>
    <a:sp3d/>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Financials!$B$37:$L$37</c:f>
              <c:strCache>
                <c:ptCount val="11"/>
                <c:pt idx="0">
                  <c:v> $(170,000)</c:v>
                </c:pt>
                <c:pt idx="1">
                  <c:v> $(84,080)</c:v>
                </c:pt>
                <c:pt idx="2">
                  <c:v> $188 </c:v>
                </c:pt>
                <c:pt idx="3">
                  <c:v> $82,835 </c:v>
                </c:pt>
                <c:pt idx="4">
                  <c:v> $163,892 </c:v>
                </c:pt>
                <c:pt idx="5">
                  <c:v> $243,391 </c:v>
                </c:pt>
                <c:pt idx="6">
                  <c:v> $321,361 </c:v>
                </c:pt>
                <c:pt idx="7">
                  <c:v> $397,832 </c:v>
                </c:pt>
                <c:pt idx="8">
                  <c:v> $472,832 </c:v>
                </c:pt>
                <c:pt idx="9">
                  <c:v> $546,390 </c:v>
                </c:pt>
                <c:pt idx="10">
                  <c:v> $618,533 </c:v>
                </c:pt>
              </c:strCache>
            </c:strRef>
          </c:tx>
          <c:invertIfNegative val="0"/>
          <c:dLbls>
            <c:numFmt formatCode="&quot;$&quot;#,##0" sourceLinked="0"/>
            <c:spPr>
              <a:noFill/>
              <a:ln>
                <a:noFill/>
              </a:ln>
              <a:effectLst/>
            </c:spPr>
            <c:txPr>
              <a:bodyPr/>
              <a:lstStyle/>
              <a:p>
                <a:pPr>
                  <a:defRPr sz="105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Financials!$B$37:$L$37</c:f>
              <c:numCache>
                <c:formatCode>_("$"* #,##0_);_("$"* \(#,##0\);_("$"* "-"??_);_(@_)</c:formatCode>
                <c:ptCount val="11"/>
                <c:pt idx="0">
                  <c:v>-170000</c:v>
                </c:pt>
                <c:pt idx="1">
                  <c:v>-84080.070892871503</c:v>
                </c:pt>
                <c:pt idx="2">
                  <c:v>187.55188527375867</c:v>
                </c:pt>
                <c:pt idx="3">
                  <c:v>82834.643456146994</c:v>
                </c:pt>
                <c:pt idx="4">
                  <c:v>163892.3678814265</c:v>
                </c:pt>
                <c:pt idx="5">
                  <c:v>243391.28991391219</c:v>
                </c:pt>
                <c:pt idx="6">
                  <c:v>321361.38652269624</c:v>
                </c:pt>
                <c:pt idx="7">
                  <c:v>397832.05819669599</c:v>
                </c:pt>
                <c:pt idx="8">
                  <c:v>472832.14003081108</c:v>
                </c:pt>
                <c:pt idx="9">
                  <c:v>546389.91259888548</c:v>
                </c:pt>
                <c:pt idx="10">
                  <c:v>618533.11261757382</c:v>
                </c:pt>
              </c:numCache>
            </c:numRef>
          </c:val>
          <c:extLst>
            <c:ext xmlns:c16="http://schemas.microsoft.com/office/drawing/2014/chart" uri="{C3380CC4-5D6E-409C-BE32-E72D297353CC}">
              <c16:uniqueId val="{00000000-4EFD-46E5-810F-2260C37C9F57}"/>
            </c:ext>
          </c:extLst>
        </c:ser>
        <c:dLbls>
          <c:showLegendKey val="0"/>
          <c:showVal val="1"/>
          <c:showCatName val="0"/>
          <c:showSerName val="0"/>
          <c:showPercent val="0"/>
          <c:showBubbleSize val="0"/>
        </c:dLbls>
        <c:gapWidth val="75"/>
        <c:axId val="361458648"/>
        <c:axId val="361454336"/>
      </c:barChart>
      <c:catAx>
        <c:axId val="36145864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4336"/>
        <c:crossesAt val="0"/>
        <c:auto val="1"/>
        <c:lblAlgn val="ctr"/>
        <c:lblOffset val="0"/>
        <c:noMultiLvlLbl val="0"/>
      </c:catAx>
      <c:valAx>
        <c:axId val="361454336"/>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648"/>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L6" noThreeD="1"/>
</file>

<file path=xl/ctrlProps/ctrlProp2.xml><?xml version="1.0" encoding="utf-8"?>
<formControlPr xmlns="http://schemas.microsoft.com/office/spreadsheetml/2009/9/main" objectType="Scroll" dx="26" horiz="1" inc="2" max="16" min="8" page="2" val="12"/>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https://ecv.microsoft.com/vrNtkzFNqS" TargetMode="External"/><Relationship Id="rId3" Type="http://schemas.openxmlformats.org/officeDocument/2006/relationships/image" Target="../media/image2.png"/><Relationship Id="rId7" Type="http://schemas.openxmlformats.org/officeDocument/2006/relationships/image" Target="../media/image5.png"/><Relationship Id="rId12"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chart" Target="../charts/chart2.xml"/><Relationship Id="rId10" Type="http://schemas.openxmlformats.org/officeDocument/2006/relationships/hyperlink" Target="http://www.energyvalve.com" TargetMode="External"/><Relationship Id="rId4" Type="http://schemas.openxmlformats.org/officeDocument/2006/relationships/image" Target="../media/image3.png"/><Relationship Id="rId9" Type="http://schemas.openxmlformats.org/officeDocument/2006/relationships/chart" Target="../charts/chart4.xml"/><Relationship Id="rId1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1.png"/><Relationship Id="rId1" Type="http://schemas.openxmlformats.org/officeDocument/2006/relationships/hyperlink" Target="http://www.belimo.us" TargetMode="External"/><Relationship Id="rId6" Type="http://schemas.openxmlformats.org/officeDocument/2006/relationships/chart" Target="../charts/chart9.xml"/><Relationship Id="rId5" Type="http://schemas.openxmlformats.org/officeDocument/2006/relationships/chart" Target="../charts/chart8.xml"/><Relationship Id="rId10" Type="http://schemas.openxmlformats.org/officeDocument/2006/relationships/image" Target="../media/image13.png"/><Relationship Id="rId4" Type="http://schemas.openxmlformats.org/officeDocument/2006/relationships/chart" Target="../charts/chart7.xml"/><Relationship Id="rId9" Type="http://schemas.openxmlformats.org/officeDocument/2006/relationships/hyperlink" Target="http://www.energyvalve.com"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8" Type="http://schemas.openxmlformats.org/officeDocument/2006/relationships/hyperlink" Target="http://www.energyvalve.com" TargetMode="External"/><Relationship Id="rId3" Type="http://schemas.openxmlformats.org/officeDocument/2006/relationships/image" Target="../media/image3.png"/><Relationship Id="rId7" Type="http://schemas.openxmlformats.org/officeDocument/2006/relationships/chart" Target="../charts/chart14.xml"/><Relationship Id="rId2" Type="http://schemas.openxmlformats.org/officeDocument/2006/relationships/image" Target="../media/image2.png"/><Relationship Id="rId1" Type="http://schemas.openxmlformats.org/officeDocument/2006/relationships/chart" Target="../charts/chart11.xml"/><Relationship Id="rId6" Type="http://schemas.openxmlformats.org/officeDocument/2006/relationships/chart" Target="../charts/chart13.xml"/><Relationship Id="rId5" Type="http://schemas.openxmlformats.org/officeDocument/2006/relationships/image" Target="../media/image5.png"/><Relationship Id="rId10" Type="http://schemas.openxmlformats.org/officeDocument/2006/relationships/chart" Target="../charts/chart15.xml"/><Relationship Id="rId4" Type="http://schemas.openxmlformats.org/officeDocument/2006/relationships/chart" Target="../charts/chart12.xml"/><Relationship Id="rId9"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7" Type="http://schemas.openxmlformats.org/officeDocument/2006/relationships/image" Target="../media/image13.png"/><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hyperlink" Target="http://www.energyvalve.com" TargetMode="External"/><Relationship Id="rId5" Type="http://schemas.openxmlformats.org/officeDocument/2006/relationships/chart" Target="../charts/chart20.xml"/><Relationship Id="rId4"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absolute">
    <xdr:from>
      <xdr:col>0</xdr:col>
      <xdr:colOff>114301</xdr:colOff>
      <xdr:row>0</xdr:row>
      <xdr:rowOff>62306</xdr:rowOff>
    </xdr:from>
    <xdr:to>
      <xdr:col>1</xdr:col>
      <xdr:colOff>671196</xdr:colOff>
      <xdr:row>2</xdr:row>
      <xdr:rowOff>174982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1" y="62306"/>
          <a:ext cx="1257300" cy="445416"/>
        </a:xfrm>
        <a:prstGeom prst="rect">
          <a:avLst/>
        </a:prstGeom>
      </xdr:spPr>
    </xdr:pic>
    <xdr:clientData/>
  </xdr:twoCellAnchor>
  <xdr:twoCellAnchor editAs="absolute">
    <xdr:from>
      <xdr:col>3</xdr:col>
      <xdr:colOff>2014</xdr:colOff>
      <xdr:row>0</xdr:row>
      <xdr:rowOff>98147</xdr:rowOff>
    </xdr:from>
    <xdr:to>
      <xdr:col>5</xdr:col>
      <xdr:colOff>749870</xdr:colOff>
      <xdr:row>2</xdr:row>
      <xdr:rowOff>137572</xdr:rowOff>
    </xdr:to>
    <xdr:sp macro="GoHome" textlink="">
      <xdr:nvSpPr>
        <xdr:cNvPr id="5" name="Parallelogram 4">
          <a:extLst>
            <a:ext uri="{FF2B5EF4-FFF2-40B4-BE49-F238E27FC236}">
              <a16:creationId xmlns:a16="http://schemas.microsoft.com/office/drawing/2014/main" id="{00000000-0008-0000-0000-000005000000}"/>
            </a:ext>
          </a:extLst>
        </xdr:cNvPr>
        <xdr:cNvSpPr/>
      </xdr:nvSpPr>
      <xdr:spPr>
        <a:xfrm>
          <a:off x="1566654" y="98147"/>
          <a:ext cx="1649647"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5</xdr:col>
      <xdr:colOff>439547</xdr:colOff>
      <xdr:row>0</xdr:row>
      <xdr:rowOff>98147</xdr:rowOff>
    </xdr:from>
    <xdr:to>
      <xdr:col>9</xdr:col>
      <xdr:colOff>231129</xdr:colOff>
      <xdr:row>2</xdr:row>
      <xdr:rowOff>137572</xdr:rowOff>
    </xdr:to>
    <xdr:sp macro="GoEnergy" textlink="">
      <xdr:nvSpPr>
        <xdr:cNvPr id="6" name="Parallelogram 5">
          <a:extLst>
            <a:ext uri="{FF2B5EF4-FFF2-40B4-BE49-F238E27FC236}">
              <a16:creationId xmlns:a16="http://schemas.microsoft.com/office/drawing/2014/main" id="{00000000-0008-0000-0000-000006000000}"/>
            </a:ext>
          </a:extLst>
        </xdr:cNvPr>
        <xdr:cNvSpPr/>
      </xdr:nvSpPr>
      <xdr:spPr>
        <a:xfrm>
          <a:off x="2904708" y="98147"/>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7</xdr:col>
      <xdr:colOff>954451</xdr:colOff>
      <xdr:row>0</xdr:row>
      <xdr:rowOff>98147</xdr:rowOff>
    </xdr:from>
    <xdr:to>
      <xdr:col>11</xdr:col>
      <xdr:colOff>520746</xdr:colOff>
      <xdr:row>2</xdr:row>
      <xdr:rowOff>137572</xdr:rowOff>
    </xdr:to>
    <xdr:sp macro="GoChiller" textlink="">
      <xdr:nvSpPr>
        <xdr:cNvPr id="7" name="Parallelogram 6">
          <a:extLst>
            <a:ext uri="{FF2B5EF4-FFF2-40B4-BE49-F238E27FC236}">
              <a16:creationId xmlns:a16="http://schemas.microsoft.com/office/drawing/2014/main" id="{00000000-0008-0000-0000-000007000000}"/>
            </a:ext>
          </a:extLst>
        </xdr:cNvPr>
        <xdr:cNvSpPr/>
      </xdr:nvSpPr>
      <xdr:spPr>
        <a:xfrm>
          <a:off x="4232412" y="98147"/>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11</xdr:col>
      <xdr:colOff>210423</xdr:colOff>
      <xdr:row>0</xdr:row>
      <xdr:rowOff>98147</xdr:rowOff>
    </xdr:from>
    <xdr:to>
      <xdr:col>13</xdr:col>
      <xdr:colOff>825103</xdr:colOff>
      <xdr:row>2</xdr:row>
      <xdr:rowOff>137572</xdr:rowOff>
    </xdr:to>
    <xdr:sp macro="GoPump" textlink="">
      <xdr:nvSpPr>
        <xdr:cNvPr id="8" name="Parallelogram 7">
          <a:extLst>
            <a:ext uri="{FF2B5EF4-FFF2-40B4-BE49-F238E27FC236}">
              <a16:creationId xmlns:a16="http://schemas.microsoft.com/office/drawing/2014/main" id="{00000000-0008-0000-0000-000008000000}"/>
            </a:ext>
          </a:extLst>
        </xdr:cNvPr>
        <xdr:cNvSpPr/>
      </xdr:nvSpPr>
      <xdr:spPr>
        <a:xfrm>
          <a:off x="5560389" y="98147"/>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13</xdr:col>
      <xdr:colOff>515942</xdr:colOff>
      <xdr:row>0</xdr:row>
      <xdr:rowOff>98147</xdr:rowOff>
    </xdr:from>
    <xdr:to>
      <xdr:col>16</xdr:col>
      <xdr:colOff>271404</xdr:colOff>
      <xdr:row>2</xdr:row>
      <xdr:rowOff>137572</xdr:rowOff>
    </xdr:to>
    <xdr:sp macro="GoFinancials" textlink="">
      <xdr:nvSpPr>
        <xdr:cNvPr id="9" name="Parallelogram 8">
          <a:extLst>
            <a:ext uri="{FF2B5EF4-FFF2-40B4-BE49-F238E27FC236}">
              <a16:creationId xmlns:a16="http://schemas.microsoft.com/office/drawing/2014/main" id="{00000000-0008-0000-0000-000009000000}"/>
            </a:ext>
          </a:extLst>
        </xdr:cNvPr>
        <xdr:cNvSpPr/>
      </xdr:nvSpPr>
      <xdr:spPr>
        <a:xfrm>
          <a:off x="6899688" y="98147"/>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9</xdr:col>
      <xdr:colOff>838199</xdr:colOff>
      <xdr:row>11</xdr:row>
      <xdr:rowOff>19049</xdr:rowOff>
    </xdr:from>
    <xdr:to>
      <xdr:col>9</xdr:col>
      <xdr:colOff>975359</xdr:colOff>
      <xdr:row>12</xdr:row>
      <xdr:rowOff>25399</xdr:rowOff>
    </xdr:to>
    <xdr:sp macro="InfoClick" textlink="">
      <xdr:nvSpPr>
        <xdr:cNvPr id="4" name="Oval 3">
          <a:extLst>
            <a:ext uri="{FF2B5EF4-FFF2-40B4-BE49-F238E27FC236}">
              <a16:creationId xmlns:a16="http://schemas.microsoft.com/office/drawing/2014/main" id="{00000000-0008-0000-0000-000004000000}"/>
            </a:ext>
          </a:extLst>
        </xdr:cNvPr>
        <xdr:cNvSpPr>
          <a:spLocks noChangeAspect="1"/>
        </xdr:cNvSpPr>
      </xdr:nvSpPr>
      <xdr:spPr>
        <a:xfrm>
          <a:off x="5153024" y="2657474"/>
          <a:ext cx="13716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16</xdr:row>
      <xdr:rowOff>19049</xdr:rowOff>
    </xdr:from>
    <xdr:to>
      <xdr:col>9</xdr:col>
      <xdr:colOff>975359</xdr:colOff>
      <xdr:row>17</xdr:row>
      <xdr:rowOff>25399</xdr:rowOff>
    </xdr:to>
    <xdr:sp macro="InfoClick" textlink="">
      <xdr:nvSpPr>
        <xdr:cNvPr id="10" name="Oval 9">
          <a:extLst>
            <a:ext uri="{FF2B5EF4-FFF2-40B4-BE49-F238E27FC236}">
              <a16:creationId xmlns:a16="http://schemas.microsoft.com/office/drawing/2014/main" id="{00000000-0008-0000-0000-00000A000000}"/>
            </a:ext>
          </a:extLst>
        </xdr:cNvPr>
        <xdr:cNvSpPr>
          <a:spLocks noChangeAspect="1"/>
        </xdr:cNvSpPr>
      </xdr:nvSpPr>
      <xdr:spPr>
        <a:xfrm>
          <a:off x="3562349" y="23812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18</xdr:row>
      <xdr:rowOff>0</xdr:rowOff>
    </xdr:from>
    <xdr:to>
      <xdr:col>9</xdr:col>
      <xdr:colOff>975359</xdr:colOff>
      <xdr:row>18</xdr:row>
      <xdr:rowOff>139065</xdr:rowOff>
    </xdr:to>
    <xdr:sp macro="InfoClick" textlink="">
      <xdr:nvSpPr>
        <xdr:cNvPr id="11" name="Oval 10">
          <a:extLst>
            <a:ext uri="{FF2B5EF4-FFF2-40B4-BE49-F238E27FC236}">
              <a16:creationId xmlns:a16="http://schemas.microsoft.com/office/drawing/2014/main" id="{00000000-0008-0000-0000-00000B000000}"/>
            </a:ext>
          </a:extLst>
        </xdr:cNvPr>
        <xdr:cNvSpPr>
          <a:spLocks noChangeAspect="1"/>
        </xdr:cNvSpPr>
      </xdr:nvSpPr>
      <xdr:spPr>
        <a:xfrm>
          <a:off x="3562349" y="270509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571499</xdr:colOff>
      <xdr:row>8</xdr:row>
      <xdr:rowOff>64769</xdr:rowOff>
    </xdr:from>
    <xdr:to>
      <xdr:col>3</xdr:col>
      <xdr:colOff>708659</xdr:colOff>
      <xdr:row>8</xdr:row>
      <xdr:rowOff>238759</xdr:rowOff>
    </xdr:to>
    <xdr:sp macro="InfoClick" textlink="">
      <xdr:nvSpPr>
        <xdr:cNvPr id="13" name="Oval 12">
          <a:extLst>
            <a:ext uri="{FF2B5EF4-FFF2-40B4-BE49-F238E27FC236}">
              <a16:creationId xmlns:a16="http://schemas.microsoft.com/office/drawing/2014/main" id="{00000000-0008-0000-0000-00000D000000}"/>
            </a:ext>
          </a:extLst>
        </xdr:cNvPr>
        <xdr:cNvSpPr>
          <a:spLocks noChangeAspect="1"/>
        </xdr:cNvSpPr>
      </xdr:nvSpPr>
      <xdr:spPr>
        <a:xfrm>
          <a:off x="2194559" y="234314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34</xdr:row>
      <xdr:rowOff>19049</xdr:rowOff>
    </xdr:from>
    <xdr:to>
      <xdr:col>9</xdr:col>
      <xdr:colOff>975359</xdr:colOff>
      <xdr:row>35</xdr:row>
      <xdr:rowOff>253</xdr:rowOff>
    </xdr:to>
    <xdr:sp macro="InfoClick" textlink="">
      <xdr:nvSpPr>
        <xdr:cNvPr id="14" name="Oval 13">
          <a:extLst>
            <a:ext uri="{FF2B5EF4-FFF2-40B4-BE49-F238E27FC236}">
              <a16:creationId xmlns:a16="http://schemas.microsoft.com/office/drawing/2014/main" id="{00000000-0008-0000-0000-00000E000000}"/>
            </a:ext>
          </a:extLst>
        </xdr:cNvPr>
        <xdr:cNvSpPr>
          <a:spLocks noChangeAspect="1"/>
        </xdr:cNvSpPr>
      </xdr:nvSpPr>
      <xdr:spPr>
        <a:xfrm>
          <a:off x="3562349" y="57816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43</xdr:row>
      <xdr:rowOff>19049</xdr:rowOff>
    </xdr:from>
    <xdr:to>
      <xdr:col>9</xdr:col>
      <xdr:colOff>975359</xdr:colOff>
      <xdr:row>44</xdr:row>
      <xdr:rowOff>253</xdr:rowOff>
    </xdr:to>
    <xdr:sp macro="InfoClick"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3562349" y="70770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45</xdr:row>
      <xdr:rowOff>21895</xdr:rowOff>
    </xdr:from>
    <xdr:to>
      <xdr:col>9</xdr:col>
      <xdr:colOff>975359</xdr:colOff>
      <xdr:row>46</xdr:row>
      <xdr:rowOff>1829</xdr:rowOff>
    </xdr:to>
    <xdr:sp macro="InfoClick" textlink="">
      <xdr:nvSpPr>
        <xdr:cNvPr id="16" name="Oval 15">
          <a:extLst>
            <a:ext uri="{FF2B5EF4-FFF2-40B4-BE49-F238E27FC236}">
              <a16:creationId xmlns:a16="http://schemas.microsoft.com/office/drawing/2014/main" id="{00000000-0008-0000-0000-000010000000}"/>
            </a:ext>
          </a:extLst>
        </xdr:cNvPr>
        <xdr:cNvSpPr>
          <a:spLocks noChangeAspect="1"/>
        </xdr:cNvSpPr>
      </xdr:nvSpPr>
      <xdr:spPr>
        <a:xfrm>
          <a:off x="5152900" y="900260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16</xdr:col>
      <xdr:colOff>84942</xdr:colOff>
      <xdr:row>23</xdr:row>
      <xdr:rowOff>134333</xdr:rowOff>
    </xdr:from>
    <xdr:to>
      <xdr:col>24</xdr:col>
      <xdr:colOff>188536</xdr:colOff>
      <xdr:row>37</xdr:row>
      <xdr:rowOff>56561</xdr:rowOff>
    </xdr:to>
    <xdr:graphicFrame macro="">
      <xdr:nvGraphicFramePr>
        <xdr:cNvPr id="20" name="ChartEnergyCosts" hidden="1">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161925</xdr:colOff>
      <xdr:row>23</xdr:row>
      <xdr:rowOff>40141</xdr:rowOff>
    </xdr:from>
    <xdr:to>
      <xdr:col>15</xdr:col>
      <xdr:colOff>595083</xdr:colOff>
      <xdr:row>26</xdr:row>
      <xdr:rowOff>99634</xdr:rowOff>
    </xdr:to>
    <xdr:pic macro="ShowCostChart">
      <xdr:nvPicPr>
        <xdr:cNvPr id="30" name="ChartView">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572250" y="6136141"/>
          <a:ext cx="628738" cy="538918"/>
        </a:xfrm>
        <a:prstGeom prst="rect">
          <a:avLst/>
        </a:prstGeom>
      </xdr:spPr>
    </xdr:pic>
    <xdr:clientData fPrintsWithSheet="0"/>
  </xdr:twoCellAnchor>
  <xdr:twoCellAnchor editAs="oneCell">
    <xdr:from>
      <xdr:col>14</xdr:col>
      <xdr:colOff>152400</xdr:colOff>
      <xdr:row>23</xdr:row>
      <xdr:rowOff>57830</xdr:rowOff>
    </xdr:from>
    <xdr:to>
      <xdr:col>15</xdr:col>
      <xdr:colOff>571585</xdr:colOff>
      <xdr:row>26</xdr:row>
      <xdr:rowOff>100992</xdr:rowOff>
    </xdr:to>
    <xdr:pic macro="HideCostChart">
      <xdr:nvPicPr>
        <xdr:cNvPr id="31" name="ChartHide" hidden="1">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62725" y="6153830"/>
          <a:ext cx="609685" cy="522587"/>
        </a:xfrm>
        <a:prstGeom prst="rect">
          <a:avLst/>
        </a:prstGeom>
      </xdr:spPr>
    </xdr:pic>
    <xdr:clientData fPrintsWithSheet="0"/>
  </xdr:twoCellAnchor>
  <xdr:twoCellAnchor>
    <xdr:from>
      <xdr:col>16</xdr:col>
      <xdr:colOff>84943</xdr:colOff>
      <xdr:row>37</xdr:row>
      <xdr:rowOff>227224</xdr:rowOff>
    </xdr:from>
    <xdr:to>
      <xdr:col>24</xdr:col>
      <xdr:colOff>197964</xdr:colOff>
      <xdr:row>49</xdr:row>
      <xdr:rowOff>113120</xdr:rowOff>
    </xdr:to>
    <xdr:graphicFrame macro="">
      <xdr:nvGraphicFramePr>
        <xdr:cNvPr id="34" name="ChartFinancialResults" hidden="1">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152400</xdr:colOff>
      <xdr:row>37</xdr:row>
      <xdr:rowOff>383041</xdr:rowOff>
    </xdr:from>
    <xdr:to>
      <xdr:col>15</xdr:col>
      <xdr:colOff>596988</xdr:colOff>
      <xdr:row>41</xdr:row>
      <xdr:rowOff>20259</xdr:rowOff>
    </xdr:to>
    <xdr:pic macro="ShowFinancialChart">
      <xdr:nvPicPr>
        <xdr:cNvPr id="33" name="ChartView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562725" y="8955541"/>
          <a:ext cx="628738" cy="538918"/>
        </a:xfrm>
        <a:prstGeom prst="rect">
          <a:avLst/>
        </a:prstGeom>
      </xdr:spPr>
    </xdr:pic>
    <xdr:clientData fPrintsWithSheet="0"/>
  </xdr:twoCellAnchor>
  <xdr:twoCellAnchor editAs="oneCell">
    <xdr:from>
      <xdr:col>14</xdr:col>
      <xdr:colOff>142875</xdr:colOff>
      <xdr:row>37</xdr:row>
      <xdr:rowOff>400730</xdr:rowOff>
    </xdr:from>
    <xdr:to>
      <xdr:col>15</xdr:col>
      <xdr:colOff>556980</xdr:colOff>
      <xdr:row>41</xdr:row>
      <xdr:rowOff>21617</xdr:rowOff>
    </xdr:to>
    <xdr:pic macro="HideFinanicalChart">
      <xdr:nvPicPr>
        <xdr:cNvPr id="36" name="ChartHide2" hidden="1">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53200" y="8973230"/>
          <a:ext cx="609685" cy="522587"/>
        </a:xfrm>
        <a:prstGeom prst="rect">
          <a:avLst/>
        </a:prstGeom>
      </xdr:spPr>
    </xdr:pic>
    <xdr:clientData fPrintsWithSheet="0"/>
  </xdr:twoCellAnchor>
  <xdr:twoCellAnchor editAs="absolute">
    <xdr:from>
      <xdr:col>14</xdr:col>
      <xdr:colOff>133741</xdr:colOff>
      <xdr:row>3</xdr:row>
      <xdr:rowOff>97048</xdr:rowOff>
    </xdr:from>
    <xdr:to>
      <xdr:col>15</xdr:col>
      <xdr:colOff>761357</xdr:colOff>
      <xdr:row>3</xdr:row>
      <xdr:rowOff>371368</xdr:rowOff>
    </xdr:to>
    <xdr:pic macro="HomePDF">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99461" y="676168"/>
          <a:ext cx="818116" cy="274320"/>
        </a:xfrm>
        <a:prstGeom prst="rect">
          <a:avLst/>
        </a:prstGeom>
      </xdr:spPr>
    </xdr:pic>
    <xdr:clientData fPrintsWithSheet="0"/>
  </xdr:twoCellAnchor>
  <xdr:twoCellAnchor>
    <xdr:from>
      <xdr:col>0</xdr:col>
      <xdr:colOff>693420</xdr:colOff>
      <xdr:row>10</xdr:row>
      <xdr:rowOff>80010</xdr:rowOff>
    </xdr:from>
    <xdr:to>
      <xdr:col>13</xdr:col>
      <xdr:colOff>1129665</xdr:colOff>
      <xdr:row>10</xdr:row>
      <xdr:rowOff>308610</xdr:rowOff>
    </xdr:to>
    <xdr:sp macro="" textlink="">
      <xdr:nvSpPr>
        <xdr:cNvPr id="37" name="Rounded Rectangle 36">
          <a:extLst>
            <a:ext uri="{FF2B5EF4-FFF2-40B4-BE49-F238E27FC236}">
              <a16:creationId xmlns:a16="http://schemas.microsoft.com/office/drawing/2014/main" id="{00000000-0008-0000-0000-000025000000}"/>
            </a:ext>
          </a:extLst>
        </xdr:cNvPr>
        <xdr:cNvSpPr/>
      </xdr:nvSpPr>
      <xdr:spPr>
        <a:xfrm>
          <a:off x="693420" y="287655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DATA: CHILLED WATER PLANT</a:t>
          </a:r>
        </a:p>
      </xdr:txBody>
    </xdr:sp>
    <xdr:clientData/>
  </xdr:twoCellAnchor>
  <xdr:twoCellAnchor editAs="oneCell">
    <xdr:from>
      <xdr:col>0</xdr:col>
      <xdr:colOff>688154</xdr:colOff>
      <xdr:row>2</xdr:row>
      <xdr:rowOff>104775</xdr:rowOff>
    </xdr:from>
    <xdr:to>
      <xdr:col>13</xdr:col>
      <xdr:colOff>1120140</xdr:colOff>
      <xdr:row>4</xdr:row>
      <xdr:rowOff>467238</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38" r="138"/>
        <a:stretch/>
      </xdr:blipFill>
      <xdr:spPr>
        <a:xfrm>
          <a:off x="688154" y="440055"/>
          <a:ext cx="6954706" cy="1109223"/>
        </a:xfrm>
        <a:prstGeom prst="rect">
          <a:avLst/>
        </a:prstGeom>
      </xdr:spPr>
    </xdr:pic>
    <xdr:clientData/>
  </xdr:twoCellAnchor>
  <xdr:twoCellAnchor>
    <xdr:from>
      <xdr:col>1</xdr:col>
      <xdr:colOff>0</xdr:colOff>
      <xdr:row>22</xdr:row>
      <xdr:rowOff>114300</xdr:rowOff>
    </xdr:from>
    <xdr:to>
      <xdr:col>14</xdr:col>
      <xdr:colOff>9525</xdr:colOff>
      <xdr:row>22</xdr:row>
      <xdr:rowOff>342900</xdr:rowOff>
    </xdr:to>
    <xdr:sp macro="" textlink="">
      <xdr:nvSpPr>
        <xdr:cNvPr id="42" name="Rounded Rectangle 41">
          <a:extLst>
            <a:ext uri="{FF2B5EF4-FFF2-40B4-BE49-F238E27FC236}">
              <a16:creationId xmlns:a16="http://schemas.microsoft.com/office/drawing/2014/main" id="{00000000-0008-0000-0000-00002A000000}"/>
            </a:ext>
          </a:extLst>
        </xdr:cNvPr>
        <xdr:cNvSpPr/>
      </xdr:nvSpPr>
      <xdr:spPr>
        <a:xfrm>
          <a:off x="695325" y="582930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ANNUAL ENERGY COSTS</a:t>
          </a:r>
        </a:p>
      </xdr:txBody>
    </xdr:sp>
    <xdr:clientData/>
  </xdr:twoCellAnchor>
  <xdr:twoCellAnchor>
    <xdr:from>
      <xdr:col>1</xdr:col>
      <xdr:colOff>0</xdr:colOff>
      <xdr:row>32</xdr:row>
      <xdr:rowOff>114300</xdr:rowOff>
    </xdr:from>
    <xdr:to>
      <xdr:col>14</xdr:col>
      <xdr:colOff>9525</xdr:colOff>
      <xdr:row>32</xdr:row>
      <xdr:rowOff>342900</xdr:rowOff>
    </xdr:to>
    <xdr:sp macro="" textlink="">
      <xdr:nvSpPr>
        <xdr:cNvPr id="43" name="Rounded Rectangle 42">
          <a:extLst>
            <a:ext uri="{FF2B5EF4-FFF2-40B4-BE49-F238E27FC236}">
              <a16:creationId xmlns:a16="http://schemas.microsoft.com/office/drawing/2014/main" id="{00000000-0008-0000-0000-00002B000000}"/>
            </a:ext>
          </a:extLst>
        </xdr:cNvPr>
        <xdr:cNvSpPr/>
      </xdr:nvSpPr>
      <xdr:spPr>
        <a:xfrm>
          <a:off x="695325" y="7667625"/>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FINANCIALS</a:t>
          </a:r>
        </a:p>
      </xdr:txBody>
    </xdr:sp>
    <xdr:clientData/>
  </xdr:twoCellAnchor>
  <xdr:twoCellAnchor>
    <xdr:from>
      <xdr:col>1</xdr:col>
      <xdr:colOff>0</xdr:colOff>
      <xdr:row>37</xdr:row>
      <xdr:rowOff>95250</xdr:rowOff>
    </xdr:from>
    <xdr:to>
      <xdr:col>14</xdr:col>
      <xdr:colOff>9525</xdr:colOff>
      <xdr:row>37</xdr:row>
      <xdr:rowOff>323850</xdr:rowOff>
    </xdr:to>
    <xdr:sp macro="" textlink="">
      <xdr:nvSpPr>
        <xdr:cNvPr id="44" name="Rounded Rectangle 43">
          <a:extLst>
            <a:ext uri="{FF2B5EF4-FFF2-40B4-BE49-F238E27FC236}">
              <a16:creationId xmlns:a16="http://schemas.microsoft.com/office/drawing/2014/main" id="{00000000-0008-0000-0000-00002C000000}"/>
            </a:ext>
          </a:extLst>
        </xdr:cNvPr>
        <xdr:cNvSpPr/>
      </xdr:nvSpPr>
      <xdr:spPr>
        <a:xfrm>
          <a:off x="695325" y="866775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FINANCIAL ANALYSIS RESULTS</a:t>
          </a:r>
        </a:p>
      </xdr:txBody>
    </xdr:sp>
    <xdr:clientData/>
  </xdr:twoCellAnchor>
  <xdr:twoCellAnchor>
    <xdr:from>
      <xdr:col>1</xdr:col>
      <xdr:colOff>0</xdr:colOff>
      <xdr:row>41</xdr:row>
      <xdr:rowOff>104775</xdr:rowOff>
    </xdr:from>
    <xdr:to>
      <xdr:col>14</xdr:col>
      <xdr:colOff>9525</xdr:colOff>
      <xdr:row>41</xdr:row>
      <xdr:rowOff>333375</xdr:rowOff>
    </xdr:to>
    <xdr:sp macro="" textlink="">
      <xdr:nvSpPr>
        <xdr:cNvPr id="45" name="Rounded Rectangle 44">
          <a:extLst>
            <a:ext uri="{FF2B5EF4-FFF2-40B4-BE49-F238E27FC236}">
              <a16:creationId xmlns:a16="http://schemas.microsoft.com/office/drawing/2014/main" id="{00000000-0008-0000-0000-00002D000000}"/>
            </a:ext>
          </a:extLst>
        </xdr:cNvPr>
        <xdr:cNvSpPr/>
      </xdr:nvSpPr>
      <xdr:spPr>
        <a:xfrm>
          <a:off x="695325" y="9572625"/>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GREENHOUSE GAS EQUIVALENTS</a:t>
          </a:r>
        </a:p>
      </xdr:txBody>
    </xdr:sp>
    <xdr:clientData/>
  </xdr:twoCellAnchor>
  <xdr:twoCellAnchor>
    <xdr:from>
      <xdr:col>1</xdr:col>
      <xdr:colOff>0</xdr:colOff>
      <xdr:row>46</xdr:row>
      <xdr:rowOff>76200</xdr:rowOff>
    </xdr:from>
    <xdr:to>
      <xdr:col>14</xdr:col>
      <xdr:colOff>9525</xdr:colOff>
      <xdr:row>46</xdr:row>
      <xdr:rowOff>304800</xdr:rowOff>
    </xdr:to>
    <xdr:sp macro="" textlink="">
      <xdr:nvSpPr>
        <xdr:cNvPr id="46" name="Rounded Rectangle 45">
          <a:extLst>
            <a:ext uri="{FF2B5EF4-FFF2-40B4-BE49-F238E27FC236}">
              <a16:creationId xmlns:a16="http://schemas.microsoft.com/office/drawing/2014/main" id="{00000000-0008-0000-0000-00002E000000}"/>
            </a:ext>
          </a:extLst>
        </xdr:cNvPr>
        <xdr:cNvSpPr/>
      </xdr:nvSpPr>
      <xdr:spPr>
        <a:xfrm>
          <a:off x="695325" y="1055370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DISCLAIMER</a:t>
          </a:r>
        </a:p>
      </xdr:txBody>
    </xdr:sp>
    <xdr:clientData/>
  </xdr:twoCellAnchor>
  <xdr:twoCellAnchor editAs="oneCell">
    <xdr:from>
      <xdr:col>15</xdr:col>
      <xdr:colOff>0</xdr:colOff>
      <xdr:row>11</xdr:row>
      <xdr:rowOff>0</xdr:rowOff>
    </xdr:from>
    <xdr:to>
      <xdr:col>15</xdr:col>
      <xdr:colOff>635088</xdr:colOff>
      <xdr:row>14</xdr:row>
      <xdr:rowOff>58223</xdr:rowOff>
    </xdr:to>
    <xdr:pic macro="ShowPieCharts">
      <xdr:nvPicPr>
        <xdr:cNvPr id="40" name="ChartView3">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607969" y="2607469"/>
          <a:ext cx="628738" cy="553205"/>
        </a:xfrm>
        <a:prstGeom prst="rect">
          <a:avLst/>
        </a:prstGeom>
      </xdr:spPr>
    </xdr:pic>
    <xdr:clientData fPrintsWithSheet="0"/>
  </xdr:twoCellAnchor>
  <xdr:twoCellAnchor>
    <xdr:from>
      <xdr:col>16</xdr:col>
      <xdr:colOff>82240</xdr:colOff>
      <xdr:row>10</xdr:row>
      <xdr:rowOff>15929</xdr:rowOff>
    </xdr:from>
    <xdr:to>
      <xdr:col>24</xdr:col>
      <xdr:colOff>179110</xdr:colOff>
      <xdr:row>22</xdr:row>
      <xdr:rowOff>328637</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8746180" y="2888669"/>
          <a:ext cx="5027010" cy="2720628"/>
          <a:chOff x="7362264" y="1410153"/>
          <a:chExt cx="4634552" cy="2739106"/>
        </a:xfrm>
      </xdr:grpSpPr>
      <xdr:graphicFrame macro="">
        <xdr:nvGraphicFramePr>
          <xdr:cNvPr id="18" name="PieChart1" hidden="1">
            <a:extLst>
              <a:ext uri="{FF2B5EF4-FFF2-40B4-BE49-F238E27FC236}">
                <a16:creationId xmlns:a16="http://schemas.microsoft.com/office/drawing/2014/main" id="{00000000-0008-0000-0000-000012000000}"/>
              </a:ext>
            </a:extLst>
          </xdr:cNvPr>
          <xdr:cNvGraphicFramePr/>
        </xdr:nvGraphicFramePr>
        <xdr:xfrm>
          <a:off x="7362264" y="1413583"/>
          <a:ext cx="2314118" cy="2728336"/>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8" name="PieChart2" hidden="1">
            <a:extLst>
              <a:ext uri="{FF2B5EF4-FFF2-40B4-BE49-F238E27FC236}">
                <a16:creationId xmlns:a16="http://schemas.microsoft.com/office/drawing/2014/main" id="{00000000-0008-0000-0000-000030000000}"/>
              </a:ext>
            </a:extLst>
          </xdr:cNvPr>
          <xdr:cNvGraphicFramePr>
            <a:graphicFrameLocks/>
          </xdr:cNvGraphicFramePr>
        </xdr:nvGraphicFramePr>
        <xdr:xfrm>
          <a:off x="9761707" y="1410153"/>
          <a:ext cx="2235109" cy="2739106"/>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editAs="oneCell">
    <xdr:from>
      <xdr:col>14</xdr:col>
      <xdr:colOff>137984</xdr:colOff>
      <xdr:row>3</xdr:row>
      <xdr:rowOff>392862</xdr:rowOff>
    </xdr:from>
    <xdr:to>
      <xdr:col>15</xdr:col>
      <xdr:colOff>757114</xdr:colOff>
      <xdr:row>4</xdr:row>
      <xdr:rowOff>164262</xdr:rowOff>
    </xdr:to>
    <xdr:pic>
      <xdr:nvPicPr>
        <xdr:cNvPr id="17" name="Picture 16">
          <a:hlinkClick xmlns:r="http://schemas.openxmlformats.org/officeDocument/2006/relationships" r:id="rId10"/>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803704" y="971982"/>
          <a:ext cx="809630" cy="274320"/>
        </a:xfrm>
        <a:prstGeom prst="rect">
          <a:avLst/>
        </a:prstGeom>
      </xdr:spPr>
    </xdr:pic>
    <xdr:clientData fPrintsWithSheet="0"/>
  </xdr:twoCellAnchor>
  <xdr:twoCellAnchor>
    <xdr:from>
      <xdr:col>24</xdr:col>
      <xdr:colOff>246547</xdr:colOff>
      <xdr:row>10</xdr:row>
      <xdr:rowOff>14504</xdr:rowOff>
    </xdr:from>
    <xdr:to>
      <xdr:col>26</xdr:col>
      <xdr:colOff>578611</xdr:colOff>
      <xdr:row>22</xdr:row>
      <xdr:rowOff>326312</xdr:rowOff>
    </xdr:to>
    <xdr:graphicFrame macro="">
      <xdr:nvGraphicFramePr>
        <xdr:cNvPr id="35" name="PieChart3" hidden="1">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5</xdr:col>
      <xdr:colOff>599170</xdr:colOff>
      <xdr:row>39</xdr:row>
      <xdr:rowOff>12470</xdr:rowOff>
    </xdr:from>
    <xdr:to>
      <xdr:col>5</xdr:col>
      <xdr:colOff>746490</xdr:colOff>
      <xdr:row>39</xdr:row>
      <xdr:rowOff>149630</xdr:rowOff>
    </xdr:to>
    <xdr:sp macro="InfoClick" textlink="">
      <xdr:nvSpPr>
        <xdr:cNvPr id="38" name="Oval 37">
          <a:extLst>
            <a:ext uri="{FF2B5EF4-FFF2-40B4-BE49-F238E27FC236}">
              <a16:creationId xmlns:a16="http://schemas.microsoft.com/office/drawing/2014/main" id="{00000000-0008-0000-0000-000026000000}"/>
            </a:ext>
          </a:extLst>
        </xdr:cNvPr>
        <xdr:cNvSpPr>
          <a:spLocks noChangeAspect="1"/>
        </xdr:cNvSpPr>
      </xdr:nvSpPr>
      <xdr:spPr>
        <a:xfrm>
          <a:off x="3050604" y="7817957"/>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599907</xdr:colOff>
      <xdr:row>40</xdr:row>
      <xdr:rowOff>14041</xdr:rowOff>
    </xdr:from>
    <xdr:to>
      <xdr:col>5</xdr:col>
      <xdr:colOff>747227</xdr:colOff>
      <xdr:row>40</xdr:row>
      <xdr:rowOff>151201</xdr:rowOff>
    </xdr:to>
    <xdr:sp macro="InfoClick" textlink="">
      <xdr:nvSpPr>
        <xdr:cNvPr id="41" name="Oval 40">
          <a:extLst>
            <a:ext uri="{FF2B5EF4-FFF2-40B4-BE49-F238E27FC236}">
              <a16:creationId xmlns:a16="http://schemas.microsoft.com/office/drawing/2014/main" id="{00000000-0008-0000-0000-000029000000}"/>
            </a:ext>
          </a:extLst>
        </xdr:cNvPr>
        <xdr:cNvSpPr>
          <a:spLocks noChangeAspect="1"/>
        </xdr:cNvSpPr>
      </xdr:nvSpPr>
      <xdr:spPr>
        <a:xfrm>
          <a:off x="3051341" y="79799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35</xdr:row>
      <xdr:rowOff>14375</xdr:rowOff>
    </xdr:from>
    <xdr:to>
      <xdr:col>9</xdr:col>
      <xdr:colOff>976146</xdr:colOff>
      <xdr:row>35</xdr:row>
      <xdr:rowOff>151535</xdr:rowOff>
    </xdr:to>
    <xdr:sp macro="InfoClick" textlink="">
      <xdr:nvSpPr>
        <xdr:cNvPr id="55" name="Oval 54">
          <a:extLst>
            <a:ext uri="{FF2B5EF4-FFF2-40B4-BE49-F238E27FC236}">
              <a16:creationId xmlns:a16="http://schemas.microsoft.com/office/drawing/2014/main" id="{00000000-0008-0000-0000-000037000000}"/>
            </a:ext>
          </a:extLst>
        </xdr:cNvPr>
        <xdr:cNvSpPr>
          <a:spLocks noChangeAspect="1"/>
        </xdr:cNvSpPr>
      </xdr:nvSpPr>
      <xdr:spPr>
        <a:xfrm>
          <a:off x="5153687" y="69367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840557</xdr:colOff>
      <xdr:row>36</xdr:row>
      <xdr:rowOff>10997</xdr:rowOff>
    </xdr:from>
    <xdr:to>
      <xdr:col>9</xdr:col>
      <xdr:colOff>977717</xdr:colOff>
      <xdr:row>36</xdr:row>
      <xdr:rowOff>135457</xdr:rowOff>
    </xdr:to>
    <xdr:sp macro="InfoClick" textlink="">
      <xdr:nvSpPr>
        <xdr:cNvPr id="56" name="Oval 55">
          <a:extLst>
            <a:ext uri="{FF2B5EF4-FFF2-40B4-BE49-F238E27FC236}">
              <a16:creationId xmlns:a16="http://schemas.microsoft.com/office/drawing/2014/main" id="{00000000-0008-0000-0000-000038000000}"/>
            </a:ext>
          </a:extLst>
        </xdr:cNvPr>
        <xdr:cNvSpPr>
          <a:spLocks noChangeAspect="1"/>
        </xdr:cNvSpPr>
      </xdr:nvSpPr>
      <xdr:spPr>
        <a:xfrm>
          <a:off x="4205926" y="715651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726514</xdr:colOff>
      <xdr:row>23</xdr:row>
      <xdr:rowOff>9426</xdr:rowOff>
    </xdr:from>
    <xdr:to>
      <xdr:col>3</xdr:col>
      <xdr:colOff>2902</xdr:colOff>
      <xdr:row>23</xdr:row>
      <xdr:rowOff>137696</xdr:rowOff>
    </xdr:to>
    <xdr:sp macro="InfoClick" textlink="">
      <xdr:nvSpPr>
        <xdr:cNvPr id="57" name="Oval 56">
          <a:extLst>
            <a:ext uri="{FF2B5EF4-FFF2-40B4-BE49-F238E27FC236}">
              <a16:creationId xmlns:a16="http://schemas.microsoft.com/office/drawing/2014/main" id="{00000000-0008-0000-0000-000039000000}"/>
            </a:ext>
          </a:extLst>
        </xdr:cNvPr>
        <xdr:cNvSpPr>
          <a:spLocks noChangeAspect="1"/>
        </xdr:cNvSpPr>
      </xdr:nvSpPr>
      <xdr:spPr>
        <a:xfrm>
          <a:off x="1415646" y="4911364"/>
          <a:ext cx="136185"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687506</xdr:colOff>
      <xdr:row>23</xdr:row>
      <xdr:rowOff>9425</xdr:rowOff>
    </xdr:from>
    <xdr:to>
      <xdr:col>4</xdr:col>
      <xdr:colOff>23078</xdr:colOff>
      <xdr:row>23</xdr:row>
      <xdr:rowOff>137695</xdr:rowOff>
    </xdr:to>
    <xdr:sp macro="InfoClick" textlink="">
      <xdr:nvSpPr>
        <xdr:cNvPr id="58" name="Oval 57">
          <a:extLst>
            <a:ext uri="{FF2B5EF4-FFF2-40B4-BE49-F238E27FC236}">
              <a16:creationId xmlns:a16="http://schemas.microsoft.com/office/drawing/2014/main" id="{00000000-0008-0000-0000-00003A000000}"/>
            </a:ext>
          </a:extLst>
        </xdr:cNvPr>
        <xdr:cNvSpPr>
          <a:spLocks noChangeAspect="1"/>
        </xdr:cNvSpPr>
      </xdr:nvSpPr>
      <xdr:spPr>
        <a:xfrm>
          <a:off x="2254306" y="491136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852909</xdr:colOff>
      <xdr:row>23</xdr:row>
      <xdr:rowOff>5795</xdr:rowOff>
    </xdr:from>
    <xdr:to>
      <xdr:col>8</xdr:col>
      <xdr:colOff>21383</xdr:colOff>
      <xdr:row>23</xdr:row>
      <xdr:rowOff>137875</xdr:rowOff>
    </xdr:to>
    <xdr:sp macro="InfoClick" textlink="">
      <xdr:nvSpPr>
        <xdr:cNvPr id="59" name="Oval 58">
          <a:extLst>
            <a:ext uri="{FF2B5EF4-FFF2-40B4-BE49-F238E27FC236}">
              <a16:creationId xmlns:a16="http://schemas.microsoft.com/office/drawing/2014/main" id="{00000000-0008-0000-0000-00003B000000}"/>
            </a:ext>
          </a:extLst>
        </xdr:cNvPr>
        <xdr:cNvSpPr>
          <a:spLocks noChangeAspect="1"/>
        </xdr:cNvSpPr>
      </xdr:nvSpPr>
      <xdr:spPr>
        <a:xfrm>
          <a:off x="3251868" y="490773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862281</xdr:colOff>
      <xdr:row>23</xdr:row>
      <xdr:rowOff>2165</xdr:rowOff>
    </xdr:from>
    <xdr:to>
      <xdr:col>10</xdr:col>
      <xdr:colOff>24104</xdr:colOff>
      <xdr:row>23</xdr:row>
      <xdr:rowOff>139325</xdr:rowOff>
    </xdr:to>
    <xdr:sp macro="InfoClick" textlink="">
      <xdr:nvSpPr>
        <xdr:cNvPr id="60" name="Oval 59">
          <a:extLst>
            <a:ext uri="{FF2B5EF4-FFF2-40B4-BE49-F238E27FC236}">
              <a16:creationId xmlns:a16="http://schemas.microsoft.com/office/drawing/2014/main" id="{00000000-0008-0000-0000-00003C000000}"/>
            </a:ext>
          </a:extLst>
        </xdr:cNvPr>
        <xdr:cNvSpPr>
          <a:spLocks noChangeAspect="1"/>
        </xdr:cNvSpPr>
      </xdr:nvSpPr>
      <xdr:spPr>
        <a:xfrm>
          <a:off x="4288437" y="490410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832647</xdr:colOff>
      <xdr:row>23</xdr:row>
      <xdr:rowOff>5036</xdr:rowOff>
    </xdr:from>
    <xdr:to>
      <xdr:col>12</xdr:col>
      <xdr:colOff>20776</xdr:colOff>
      <xdr:row>23</xdr:row>
      <xdr:rowOff>135846</xdr:rowOff>
    </xdr:to>
    <xdr:sp macro="InfoClick" textlink="">
      <xdr:nvSpPr>
        <xdr:cNvPr id="61" name="Oval 60">
          <a:extLst>
            <a:ext uri="{FF2B5EF4-FFF2-40B4-BE49-F238E27FC236}">
              <a16:creationId xmlns:a16="http://schemas.microsoft.com/office/drawing/2014/main" id="{00000000-0008-0000-0000-00003D000000}"/>
            </a:ext>
          </a:extLst>
        </xdr:cNvPr>
        <xdr:cNvSpPr>
          <a:spLocks noChangeAspect="1"/>
        </xdr:cNvSpPr>
      </xdr:nvSpPr>
      <xdr:spPr>
        <a:xfrm>
          <a:off x="5299001" y="49069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13</xdr:col>
      <xdr:colOff>803011</xdr:colOff>
      <xdr:row>23</xdr:row>
      <xdr:rowOff>20910</xdr:rowOff>
    </xdr:from>
    <xdr:to>
      <xdr:col>13</xdr:col>
      <xdr:colOff>940171</xdr:colOff>
      <xdr:row>24</xdr:row>
      <xdr:rowOff>844</xdr:rowOff>
    </xdr:to>
    <xdr:sp macro="InfoClick" textlink="">
      <xdr:nvSpPr>
        <xdr:cNvPr id="62" name="Oval 61">
          <a:extLst>
            <a:ext uri="{FF2B5EF4-FFF2-40B4-BE49-F238E27FC236}">
              <a16:creationId xmlns:a16="http://schemas.microsoft.com/office/drawing/2014/main" id="{00000000-0008-0000-0000-00003E000000}"/>
            </a:ext>
          </a:extLst>
        </xdr:cNvPr>
        <xdr:cNvSpPr>
          <a:spLocks noChangeAspect="1"/>
        </xdr:cNvSpPr>
      </xdr:nvSpPr>
      <xdr:spPr>
        <a:xfrm>
          <a:off x="6270557" y="4922848"/>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15</xdr:col>
      <xdr:colOff>9525</xdr:colOff>
      <xdr:row>11</xdr:row>
      <xdr:rowOff>10205</xdr:rowOff>
    </xdr:from>
    <xdr:to>
      <xdr:col>15</xdr:col>
      <xdr:colOff>634450</xdr:colOff>
      <xdr:row>14</xdr:row>
      <xdr:rowOff>59717</xdr:rowOff>
    </xdr:to>
    <xdr:pic macro="HidePieCharts">
      <xdr:nvPicPr>
        <xdr:cNvPr id="54" name="ChartHide3" hidden="1">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0" y="2591480"/>
          <a:ext cx="609685" cy="522587"/>
        </a:xfrm>
        <a:prstGeom prst="rect">
          <a:avLst/>
        </a:prstGeom>
      </xdr:spPr>
    </xdr:pic>
    <xdr:clientData fPrintsWithSheet="0"/>
  </xdr:twoCellAnchor>
  <xdr:oneCellAnchor>
    <xdr:from>
      <xdr:col>5</xdr:col>
      <xdr:colOff>687506</xdr:colOff>
      <xdr:row>23</xdr:row>
      <xdr:rowOff>9425</xdr:rowOff>
    </xdr:from>
    <xdr:ext cx="144562" cy="137160"/>
    <xdr:sp macro="InfoClick" textlink="">
      <xdr:nvSpPr>
        <xdr:cNvPr id="63" name="Oval 62">
          <a:extLst>
            <a:ext uri="{FF2B5EF4-FFF2-40B4-BE49-F238E27FC236}">
              <a16:creationId xmlns:a16="http://schemas.microsoft.com/office/drawing/2014/main" id="{00000000-0008-0000-0000-00003F000000}"/>
            </a:ext>
          </a:extLst>
        </xdr:cNvPr>
        <xdr:cNvSpPr>
          <a:spLocks noChangeAspect="1"/>
        </xdr:cNvSpPr>
      </xdr:nvSpPr>
      <xdr:spPr>
        <a:xfrm>
          <a:off x="2268656" y="4914800"/>
          <a:ext cx="14456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9</xdr:col>
      <xdr:colOff>837335</xdr:colOff>
      <xdr:row>44</xdr:row>
      <xdr:rowOff>22143</xdr:rowOff>
    </xdr:from>
    <xdr:to>
      <xdr:col>9</xdr:col>
      <xdr:colOff>974495</xdr:colOff>
      <xdr:row>45</xdr:row>
      <xdr:rowOff>2077</xdr:rowOff>
    </xdr:to>
    <xdr:sp macro="InfoClick" textlink="">
      <xdr:nvSpPr>
        <xdr:cNvPr id="68" name="Oval 67">
          <a:extLst>
            <a:ext uri="{FF2B5EF4-FFF2-40B4-BE49-F238E27FC236}">
              <a16:creationId xmlns:a16="http://schemas.microsoft.com/office/drawing/2014/main" id="{00000000-0008-0000-0000-000044000000}"/>
            </a:ext>
          </a:extLst>
        </xdr:cNvPr>
        <xdr:cNvSpPr>
          <a:spLocks noChangeAspect="1"/>
        </xdr:cNvSpPr>
      </xdr:nvSpPr>
      <xdr:spPr>
        <a:xfrm>
          <a:off x="5152036" y="884204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775741</xdr:colOff>
      <xdr:row>0</xdr:row>
      <xdr:rowOff>98147</xdr:rowOff>
    </xdr:from>
    <xdr:to>
      <xdr:col>19</xdr:col>
      <xdr:colOff>96863</xdr:colOff>
      <xdr:row>2</xdr:row>
      <xdr:rowOff>137572</xdr:rowOff>
    </xdr:to>
    <xdr:sp macro="GoResults" textlink="">
      <xdr:nvSpPr>
        <xdr:cNvPr id="12" name="Parallelogram 11">
          <a:extLst>
            <a:ext uri="{FF2B5EF4-FFF2-40B4-BE49-F238E27FC236}">
              <a16:creationId xmlns:a16="http://schemas.microsoft.com/office/drawing/2014/main" id="{7E6EEF67-7748-40DD-ABC1-6AEF2A0A0CB2}"/>
            </a:ext>
          </a:extLst>
        </xdr:cNvPr>
        <xdr:cNvSpPr/>
      </xdr:nvSpPr>
      <xdr:spPr>
        <a:xfrm>
          <a:off x="8631961" y="98147"/>
          <a:ext cx="1896682"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mc:AlternateContent xmlns:mc="http://schemas.openxmlformats.org/markup-compatibility/2006">
    <mc:Choice xmlns:a14="http://schemas.microsoft.com/office/drawing/2010/main" Requires="a14">
      <xdr:twoCellAnchor editAs="oneCell">
        <xdr:from>
          <xdr:col>11</xdr:col>
          <xdr:colOff>106680</xdr:colOff>
          <xdr:row>4</xdr:row>
          <xdr:rowOff>518160</xdr:rowOff>
        </xdr:from>
        <xdr:to>
          <xdr:col>13</xdr:col>
          <xdr:colOff>838200</xdr:colOff>
          <xdr:row>6</xdr:row>
          <xdr:rowOff>22860</xdr:rowOff>
        </xdr:to>
        <xdr:sp macro="" textlink="">
          <xdr:nvSpPr>
            <xdr:cNvPr id="1025" name="SaveSettingsCheckBox"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Save Settings</a:t>
              </a:r>
            </a:p>
          </xdr:txBody>
        </xdr:sp>
        <xdr:clientData fLocksWithSheet="0"/>
      </xdr:twoCellAnchor>
    </mc:Choice>
    <mc:Fallback/>
  </mc:AlternateContent>
  <xdr:twoCellAnchor>
    <xdr:from>
      <xdr:col>16</xdr:col>
      <xdr:colOff>101600</xdr:colOff>
      <xdr:row>3</xdr:row>
      <xdr:rowOff>101600</xdr:rowOff>
    </xdr:from>
    <xdr:to>
      <xdr:col>16</xdr:col>
      <xdr:colOff>355600</xdr:colOff>
      <xdr:row>3</xdr:row>
      <xdr:rowOff>355600</xdr:rowOff>
    </xdr:to>
    <xdr:sp macro="ShowAboutForm" textlink="">
      <xdr:nvSpPr>
        <xdr:cNvPr id="23" name="AboutButton">
          <a:extLst>
            <a:ext uri="{FF2B5EF4-FFF2-40B4-BE49-F238E27FC236}">
              <a16:creationId xmlns:a16="http://schemas.microsoft.com/office/drawing/2014/main" id="{BEBA4342-A5BF-D226-1B48-337844B24B60}"/>
            </a:ext>
          </a:extLst>
        </xdr:cNvPr>
        <xdr:cNvSpPr>
          <a:spLocks/>
        </xdr:cNvSpPr>
      </xdr:nvSpPr>
      <xdr:spPr>
        <a:xfrm>
          <a:off x="8765540" y="680720"/>
          <a:ext cx="254000" cy="254000"/>
        </a:xfrm>
        <a:prstGeom prst="ellipse">
          <a:avLst/>
        </a:prstGeom>
        <a:solidFill>
          <a:srgbClr val="3B7898"/>
        </a:solidFill>
        <a:ln w="25400" cap="flat" cmpd="sng" algn="ctr">
          <a:noFill/>
          <a:prstDash val="solid"/>
        </a:ln>
        <a:effectLst>
          <a:outerShdw blurRad="63500" dist="37357" dir="2700000" rotWithShape="0">
            <a:scrgbClr r="0" g="0" b="0"/>
          </a:outerShdw>
        </a:effectLst>
        <a:scene3d>
          <a:camera prst="orthographicFront"/>
          <a:lightRig rig="threePt" dir="t"/>
        </a:scene3d>
        <a:sp3d>
          <a:bevelT w="50800" h="508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200" b="1">
              <a:solidFill>
                <a:srgbClr val="FFFFFF"/>
              </a:solidFill>
              <a:latin typeface="HelveticaNeueLT Std Lt"/>
            </a:rPr>
            <a:t>i</a:t>
          </a:r>
        </a:p>
      </xdr:txBody>
    </xdr:sp>
    <xdr:clientData/>
  </xdr:twoCellAnchor>
  <xdr:twoCellAnchor editAs="oneCell">
    <xdr:from>
      <xdr:col>0</xdr:col>
      <xdr:colOff>617220</xdr:colOff>
      <xdr:row>52</xdr:row>
      <xdr:rowOff>76200</xdr:rowOff>
    </xdr:from>
    <xdr:to>
      <xdr:col>3</xdr:col>
      <xdr:colOff>657708</xdr:colOff>
      <xdr:row>56</xdr:row>
      <xdr:rowOff>45720</xdr:rowOff>
    </xdr:to>
    <xdr:pic>
      <xdr:nvPicPr>
        <xdr:cNvPr id="21" name="HdrFeedback">
          <a:hlinkClick xmlns:r="http://schemas.openxmlformats.org/officeDocument/2006/relationships" r:id="rId13"/>
          <a:extLst>
            <a:ext uri="{FF2B5EF4-FFF2-40B4-BE49-F238E27FC236}">
              <a16:creationId xmlns:a16="http://schemas.microsoft.com/office/drawing/2014/main" id="{A960BBB4-FCA3-498E-93EB-E73DF3A62F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17220" y="11163300"/>
          <a:ext cx="1663548" cy="64008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0.2329</cdr:x>
      <cdr:y>0.12462</cdr:y>
    </cdr:from>
    <cdr:to>
      <cdr:x>0.76196</cdr:x>
      <cdr:y>0.24924</cdr:y>
    </cdr:to>
    <cdr:sp macro="" textlink="">
      <cdr:nvSpPr>
        <cdr:cNvPr id="2" name="LegendSpare"/>
        <cdr:cNvSpPr txBox="1"/>
      </cdr:nvSpPr>
      <cdr:spPr>
        <a:xfrm xmlns:a="http://schemas.openxmlformats.org/drawingml/2006/main">
          <a:off x="587363" y="297306"/>
          <a:ext cx="1334255" cy="2973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0.06901</cdr:x>
      <cdr:y>0.02502</cdr:y>
    </cdr:from>
    <cdr:to>
      <cdr:x>0.87218</cdr:x>
      <cdr:y>0.16318</cdr:y>
    </cdr:to>
    <cdr:sp macro="" textlink="">
      <cdr:nvSpPr>
        <cdr:cNvPr id="3" name="LegendTitle"/>
        <cdr:cNvSpPr txBox="1"/>
      </cdr:nvSpPr>
      <cdr:spPr>
        <a:xfrm xmlns:a="http://schemas.openxmlformats.org/drawingml/2006/main">
          <a:off x="93302" y="59918"/>
          <a:ext cx="1085923" cy="3309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r>
            <a:rPr lang="en-US" sz="1500" b="0" i="0" baseline="0">
              <a:effectLst/>
              <a:latin typeface="Arial" pitchFamily="34" charset="0"/>
              <a:ea typeface="+mn-ea"/>
              <a:cs typeface="Arial" pitchFamily="34" charset="0"/>
            </a:rPr>
            <a:t>Legend</a:t>
          </a:r>
          <a:endParaRPr lang="en-US" sz="1500"/>
        </a:p>
      </cdr:txBody>
    </cdr:sp>
  </cdr:relSizeAnchor>
  <cdr:relSizeAnchor xmlns:cdr="http://schemas.openxmlformats.org/drawingml/2006/chartDrawing">
    <cdr:from>
      <cdr:x>0.04999</cdr:x>
      <cdr:y>0.32113</cdr:y>
    </cdr:from>
    <cdr:to>
      <cdr:x>0.13108</cdr:x>
      <cdr:y>0.37079</cdr:y>
    </cdr:to>
    <cdr:sp macro="" textlink="">
      <cdr:nvSpPr>
        <cdr:cNvPr id="4" name="Rounded Rectangle 3"/>
        <cdr:cNvSpPr/>
      </cdr:nvSpPr>
      <cdr:spPr>
        <a:xfrm xmlns:a="http://schemas.openxmlformats.org/drawingml/2006/main">
          <a:off x="77044" y="778648"/>
          <a:ext cx="124996" cy="120405"/>
        </a:xfrm>
        <a:prstGeom xmlns:a="http://schemas.openxmlformats.org/drawingml/2006/main" prst="roundRect">
          <a:avLst/>
        </a:prstGeom>
        <a:solidFill xmlns:a="http://schemas.openxmlformats.org/drawingml/2006/main">
          <a:srgbClr val="0099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0.09815</cdr:x>
      <cdr:y>0.30285</cdr:y>
    </cdr:from>
    <cdr:to>
      <cdr:x>0.84251</cdr:x>
      <cdr:y>0.37345</cdr:y>
    </cdr:to>
    <cdr:sp macro="" textlink="">
      <cdr:nvSpPr>
        <cdr:cNvPr id="5" name="LegendCompressor"/>
        <cdr:cNvSpPr txBox="1"/>
      </cdr:nvSpPr>
      <cdr:spPr>
        <a:xfrm xmlns:a="http://schemas.openxmlformats.org/drawingml/2006/main">
          <a:off x="151279" y="734336"/>
          <a:ext cx="1147279" cy="1711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latin typeface="Arial" pitchFamily="34" charset="0"/>
              <a:cs typeface="Arial" pitchFamily="34" charset="0"/>
            </a:rPr>
            <a:t>Compressor</a:t>
          </a:r>
        </a:p>
      </cdr:txBody>
    </cdr:sp>
  </cdr:relSizeAnchor>
  <cdr:relSizeAnchor xmlns:cdr="http://schemas.openxmlformats.org/drawingml/2006/chartDrawing">
    <cdr:from>
      <cdr:x>0.04944</cdr:x>
      <cdr:y>0.44472</cdr:y>
    </cdr:from>
    <cdr:to>
      <cdr:x>0.13053</cdr:x>
      <cdr:y>0.49438</cdr:y>
    </cdr:to>
    <cdr:sp macro="" textlink="">
      <cdr:nvSpPr>
        <cdr:cNvPr id="6" name="Rounded Rectangle 5"/>
        <cdr:cNvSpPr/>
      </cdr:nvSpPr>
      <cdr:spPr>
        <a:xfrm xmlns:a="http://schemas.openxmlformats.org/drawingml/2006/main">
          <a:off x="76196" y="1078320"/>
          <a:ext cx="124996" cy="120404"/>
        </a:xfrm>
        <a:prstGeom xmlns:a="http://schemas.openxmlformats.org/drawingml/2006/main" prst="roundRect">
          <a:avLst/>
        </a:prstGeom>
        <a:solidFill xmlns:a="http://schemas.openxmlformats.org/drawingml/2006/main">
          <a:srgbClr val="005BE2"/>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0.09612</cdr:x>
      <cdr:y>0.41995</cdr:y>
    </cdr:from>
    <cdr:to>
      <cdr:x>0.94556</cdr:x>
      <cdr:y>0.58529</cdr:y>
    </cdr:to>
    <cdr:sp macro="" textlink="">
      <cdr:nvSpPr>
        <cdr:cNvPr id="7" name="LegendCondenserPump"/>
        <cdr:cNvSpPr txBox="1"/>
      </cdr:nvSpPr>
      <cdr:spPr>
        <a:xfrm xmlns:a="http://schemas.openxmlformats.org/drawingml/2006/main">
          <a:off x="148152" y="1018270"/>
          <a:ext cx="1309238" cy="40090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Condenser Pump</a:t>
          </a:r>
        </a:p>
      </cdr:txBody>
    </cdr:sp>
  </cdr:relSizeAnchor>
  <cdr:relSizeAnchor xmlns:cdr="http://schemas.openxmlformats.org/drawingml/2006/chartDrawing">
    <cdr:from>
      <cdr:x>0.04735</cdr:x>
      <cdr:y>0.56058</cdr:y>
    </cdr:from>
    <cdr:to>
      <cdr:x>0.12844</cdr:x>
      <cdr:y>0.61023</cdr:y>
    </cdr:to>
    <cdr:sp macro="" textlink="">
      <cdr:nvSpPr>
        <cdr:cNvPr id="8" name="Rounded Rectangle 7"/>
        <cdr:cNvSpPr/>
      </cdr:nvSpPr>
      <cdr:spPr>
        <a:xfrm xmlns:a="http://schemas.openxmlformats.org/drawingml/2006/main">
          <a:off x="72973" y="1359247"/>
          <a:ext cx="124996" cy="120379"/>
        </a:xfrm>
        <a:prstGeom xmlns:a="http://schemas.openxmlformats.org/drawingml/2006/main" prst="roundRect">
          <a:avLst/>
        </a:prstGeom>
        <a:solidFill xmlns:a="http://schemas.openxmlformats.org/drawingml/2006/main">
          <a:srgbClr val="0033CC"/>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0.09574</cdr:x>
      <cdr:y>0.53819</cdr:y>
    </cdr:from>
    <cdr:to>
      <cdr:x>0.94553</cdr:x>
      <cdr:y>0.67415</cdr:y>
    </cdr:to>
    <cdr:sp macro="" textlink="">
      <cdr:nvSpPr>
        <cdr:cNvPr id="9" name="LegendCoolingTowerFan"/>
        <cdr:cNvSpPr txBox="1"/>
      </cdr:nvSpPr>
      <cdr:spPr>
        <a:xfrm xmlns:a="http://schemas.openxmlformats.org/drawingml/2006/main">
          <a:off x="147557" y="1304968"/>
          <a:ext cx="1309778" cy="3296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Cooling Tower Fan</a:t>
          </a:r>
        </a:p>
      </cdr:txBody>
    </cdr:sp>
  </cdr:relSizeAnchor>
  <cdr:relSizeAnchor xmlns:cdr="http://schemas.openxmlformats.org/drawingml/2006/chartDrawing">
    <cdr:from>
      <cdr:x>0.0497</cdr:x>
      <cdr:y>0.67489</cdr:y>
    </cdr:from>
    <cdr:to>
      <cdr:x>0.13078</cdr:x>
      <cdr:y>0.72455</cdr:y>
    </cdr:to>
    <cdr:sp macro="" textlink="">
      <cdr:nvSpPr>
        <cdr:cNvPr id="10" name="Rounded Rectangle 9"/>
        <cdr:cNvSpPr/>
      </cdr:nvSpPr>
      <cdr:spPr>
        <a:xfrm xmlns:a="http://schemas.openxmlformats.org/drawingml/2006/main">
          <a:off x="76596" y="1636409"/>
          <a:ext cx="124977" cy="120405"/>
        </a:xfrm>
        <a:prstGeom xmlns:a="http://schemas.openxmlformats.org/drawingml/2006/main" prst="roundRect">
          <a:avLst/>
        </a:prstGeom>
        <a:solidFill xmlns:a="http://schemas.openxmlformats.org/drawingml/2006/main">
          <a:srgbClr val="66CC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0.09912</cdr:x>
      <cdr:y>0.65907</cdr:y>
    </cdr:from>
    <cdr:to>
      <cdr:x>0.84349</cdr:x>
      <cdr:y>0.78638</cdr:y>
    </cdr:to>
    <cdr:sp macro="" textlink="">
      <cdr:nvSpPr>
        <cdr:cNvPr id="11" name="LegendChillerControls"/>
        <cdr:cNvSpPr txBox="1"/>
      </cdr:nvSpPr>
      <cdr:spPr>
        <a:xfrm xmlns:a="http://schemas.openxmlformats.org/drawingml/2006/main">
          <a:off x="152774" y="1598064"/>
          <a:ext cx="1147295" cy="3086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Chiller Controls</a:t>
          </a:r>
        </a:p>
      </cdr:txBody>
    </cdr:sp>
  </cdr:relSizeAnchor>
  <cdr:relSizeAnchor xmlns:cdr="http://schemas.openxmlformats.org/drawingml/2006/chartDrawing">
    <cdr:from>
      <cdr:x>0.05041</cdr:x>
      <cdr:y>0.79827</cdr:y>
    </cdr:from>
    <cdr:to>
      <cdr:x>0.13151</cdr:x>
      <cdr:y>0.84793</cdr:y>
    </cdr:to>
    <cdr:sp macro="" textlink="">
      <cdr:nvSpPr>
        <cdr:cNvPr id="12" name="Rounded Rectangle 11"/>
        <cdr:cNvSpPr/>
      </cdr:nvSpPr>
      <cdr:spPr>
        <a:xfrm xmlns:a="http://schemas.openxmlformats.org/drawingml/2006/main">
          <a:off x="77703" y="1935577"/>
          <a:ext cx="124993" cy="120404"/>
        </a:xfrm>
        <a:prstGeom xmlns:a="http://schemas.openxmlformats.org/drawingml/2006/main" prst="roundRect">
          <a:avLst/>
        </a:prstGeom>
        <a:solidFill xmlns:a="http://schemas.openxmlformats.org/drawingml/2006/main">
          <a:srgbClr val="000099"/>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0.09814</cdr:x>
      <cdr:y>0.77306</cdr:y>
    </cdr:from>
    <cdr:to>
      <cdr:x>0.94737</cdr:x>
      <cdr:y>0.95798</cdr:y>
    </cdr:to>
    <cdr:sp macro="" textlink="">
      <cdr:nvSpPr>
        <cdr:cNvPr id="13" name="LegendTransOilPump"/>
        <cdr:cNvSpPr txBox="1"/>
      </cdr:nvSpPr>
      <cdr:spPr>
        <a:xfrm xmlns:a="http://schemas.openxmlformats.org/drawingml/2006/main">
          <a:off x="151268" y="1874460"/>
          <a:ext cx="1308915" cy="4483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a:latin typeface="Arial" pitchFamily="34" charset="0"/>
              <a:cs typeface="Arial" pitchFamily="34" charset="0"/>
            </a:rPr>
            <a:t>Transmission Oil Pump and Heater</a:t>
          </a:r>
        </a:p>
      </cdr:txBody>
    </cdr:sp>
  </cdr:relSizeAnchor>
  <cdr:relSizeAnchor xmlns:cdr="http://schemas.openxmlformats.org/drawingml/2006/chartDrawing">
    <cdr:from>
      <cdr:x>0.0486</cdr:x>
      <cdr:y>0.21517</cdr:y>
    </cdr:from>
    <cdr:to>
      <cdr:x>0.1297</cdr:x>
      <cdr:y>0.26482</cdr:y>
    </cdr:to>
    <cdr:sp macro="" textlink="">
      <cdr:nvSpPr>
        <cdr:cNvPr id="14" name="Rounded Rectangle 13"/>
        <cdr:cNvSpPr/>
      </cdr:nvSpPr>
      <cdr:spPr>
        <a:xfrm xmlns:a="http://schemas.openxmlformats.org/drawingml/2006/main">
          <a:off x="74907" y="521719"/>
          <a:ext cx="124996" cy="120404"/>
        </a:xfrm>
        <a:prstGeom xmlns:a="http://schemas.openxmlformats.org/drawingml/2006/main" prst="roundRect">
          <a:avLst/>
        </a:prstGeom>
        <a:solidFill xmlns:a="http://schemas.openxmlformats.org/drawingml/2006/main">
          <a:srgbClr val="33CC33"/>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0.09956</cdr:x>
      <cdr:y>0.19473</cdr:y>
    </cdr:from>
    <cdr:to>
      <cdr:x>0.84393</cdr:x>
      <cdr:y>0.26532</cdr:y>
    </cdr:to>
    <cdr:sp macro="" textlink="">
      <cdr:nvSpPr>
        <cdr:cNvPr id="15" name="LegendPump"/>
        <cdr:cNvSpPr txBox="1"/>
      </cdr:nvSpPr>
      <cdr:spPr>
        <a:xfrm xmlns:a="http://schemas.openxmlformats.org/drawingml/2006/main">
          <a:off x="153455" y="472169"/>
          <a:ext cx="1147295" cy="1711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Pump</a:t>
          </a:r>
        </a:p>
      </cdr:txBody>
    </cdr:sp>
  </cdr:relSizeAnchor>
  <cdr:relSizeAnchor xmlns:cdr="http://schemas.openxmlformats.org/drawingml/2006/chartDrawing">
    <cdr:from>
      <cdr:x>0.84369</cdr:x>
      <cdr:y>0.39621</cdr:y>
    </cdr:from>
    <cdr:to>
      <cdr:x>0.94254</cdr:x>
      <cdr:y>0.8244</cdr:y>
    </cdr:to>
    <cdr:sp macro="" textlink="">
      <cdr:nvSpPr>
        <cdr:cNvPr id="17" name="LegendChillerVertical"/>
        <cdr:cNvSpPr txBox="1"/>
      </cdr:nvSpPr>
      <cdr:spPr>
        <a:xfrm xmlns:a="http://schemas.openxmlformats.org/drawingml/2006/main">
          <a:off x="1298177" y="948964"/>
          <a:ext cx="152101" cy="10255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900" b="1">
              <a:latin typeface="Arial" pitchFamily="34" charset="0"/>
              <a:cs typeface="Arial" pitchFamily="34" charset="0"/>
            </a:rPr>
            <a:t>C</a:t>
          </a:r>
        </a:p>
        <a:p xmlns:a="http://schemas.openxmlformats.org/drawingml/2006/main">
          <a:pPr algn="ctr"/>
          <a:r>
            <a:rPr lang="en-US" sz="900" b="1">
              <a:latin typeface="Arial" pitchFamily="34" charset="0"/>
              <a:cs typeface="Arial" pitchFamily="34" charset="0"/>
            </a:rPr>
            <a:t>H</a:t>
          </a:r>
        </a:p>
        <a:p xmlns:a="http://schemas.openxmlformats.org/drawingml/2006/main">
          <a:pPr algn="ctr"/>
          <a:r>
            <a:rPr lang="en-US" sz="900" b="1">
              <a:latin typeface="Arial" pitchFamily="34" charset="0"/>
              <a:cs typeface="Arial" pitchFamily="34" charset="0"/>
            </a:rPr>
            <a:t>I</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E</a:t>
          </a:r>
        </a:p>
        <a:p xmlns:a="http://schemas.openxmlformats.org/drawingml/2006/main">
          <a:pPr algn="ctr"/>
          <a:r>
            <a:rPr lang="en-US" sz="900" b="1">
              <a:latin typeface="Arial" pitchFamily="34" charset="0"/>
              <a:cs typeface="Arial" pitchFamily="34" charset="0"/>
            </a:rPr>
            <a:t>R</a:t>
          </a:r>
        </a:p>
      </cdr:txBody>
    </cdr:sp>
  </cdr:relSizeAnchor>
  <cdr:relSizeAnchor xmlns:cdr="http://schemas.openxmlformats.org/drawingml/2006/chartDrawing">
    <cdr:from>
      <cdr:x>0.81441</cdr:x>
      <cdr:y>0.80393</cdr:y>
    </cdr:from>
    <cdr:to>
      <cdr:x>0.92316</cdr:x>
      <cdr:y>0.879</cdr:y>
    </cdr:to>
    <cdr:sp macro="" textlink="">
      <cdr:nvSpPr>
        <cdr:cNvPr id="21" name="Left-Up Arrow 20"/>
        <cdr:cNvSpPr/>
      </cdr:nvSpPr>
      <cdr:spPr>
        <a:xfrm xmlns:a="http://schemas.openxmlformats.org/drawingml/2006/main">
          <a:off x="1253123" y="1925508"/>
          <a:ext cx="167337" cy="17981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xc</a:t>
          </a:r>
        </a:p>
      </cdr:txBody>
    </cdr:sp>
  </cdr:relSizeAnchor>
  <cdr:relSizeAnchor xmlns:cdr="http://schemas.openxmlformats.org/drawingml/2006/chartDrawing">
    <cdr:from>
      <cdr:x>0.81081</cdr:x>
      <cdr:y>0.32661</cdr:y>
    </cdr:from>
    <cdr:to>
      <cdr:x>0.91889</cdr:x>
      <cdr:y>0.40425</cdr:y>
    </cdr:to>
    <cdr:sp macro="" textlink="">
      <cdr:nvSpPr>
        <cdr:cNvPr id="24" name="Left-Up Arrow 23"/>
        <cdr:cNvSpPr/>
      </cdr:nvSpPr>
      <cdr:spPr>
        <a:xfrm xmlns:a="http://schemas.openxmlformats.org/drawingml/2006/main" rot="16200000">
          <a:off x="1238870" y="802772"/>
          <a:ext cx="188245" cy="16658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a:t>xc</a:t>
          </a: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59330</xdr:rowOff>
    </xdr:from>
    <xdr:to>
      <xdr:col>2</xdr:col>
      <xdr:colOff>556895</xdr:colOff>
      <xdr:row>2</xdr:row>
      <xdr:rowOff>136881</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65680"/>
          <a:ext cx="1247775" cy="442041"/>
        </a:xfrm>
        <a:prstGeom prst="rect">
          <a:avLst/>
        </a:prstGeom>
      </xdr:spPr>
    </xdr:pic>
    <xdr:clientData/>
  </xdr:twoCellAnchor>
  <xdr:twoCellAnchor editAs="oneCell">
    <xdr:from>
      <xdr:col>4</xdr:col>
      <xdr:colOff>1333500</xdr:colOff>
      <xdr:row>19</xdr:row>
      <xdr:rowOff>19050</xdr:rowOff>
    </xdr:from>
    <xdr:to>
      <xdr:col>4</xdr:col>
      <xdr:colOff>1470660</xdr:colOff>
      <xdr:row>19</xdr:row>
      <xdr:rowOff>162560</xdr:rowOff>
    </xdr:to>
    <xdr:sp macro="InfoClick" textlink="">
      <xdr:nvSpPr>
        <xdr:cNvPr id="11" name="Oval 10">
          <a:extLst>
            <a:ext uri="{FF2B5EF4-FFF2-40B4-BE49-F238E27FC236}">
              <a16:creationId xmlns:a16="http://schemas.microsoft.com/office/drawing/2014/main" id="{00000000-0008-0000-0100-00000B000000}"/>
            </a:ext>
          </a:extLst>
        </xdr:cNvPr>
        <xdr:cNvSpPr>
          <a:spLocks noChangeAspect="1"/>
        </xdr:cNvSpPr>
      </xdr:nvSpPr>
      <xdr:spPr>
        <a:xfrm>
          <a:off x="3638550" y="35242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1400175</xdr:colOff>
      <xdr:row>8</xdr:row>
      <xdr:rowOff>38100</xdr:rowOff>
    </xdr:from>
    <xdr:to>
      <xdr:col>4</xdr:col>
      <xdr:colOff>1548765</xdr:colOff>
      <xdr:row>8</xdr:row>
      <xdr:rowOff>185420</xdr:rowOff>
    </xdr:to>
    <xdr:sp macro="InfoClick" textlink="">
      <xdr:nvSpPr>
        <xdr:cNvPr id="17" name="Oval 16">
          <a:extLst>
            <a:ext uri="{FF2B5EF4-FFF2-40B4-BE49-F238E27FC236}">
              <a16:creationId xmlns:a16="http://schemas.microsoft.com/office/drawing/2014/main" id="{00000000-0008-0000-0100-000011000000}"/>
            </a:ext>
          </a:extLst>
        </xdr:cNvPr>
        <xdr:cNvSpPr>
          <a:spLocks noChangeAspect="1"/>
        </xdr:cNvSpPr>
      </xdr:nvSpPr>
      <xdr:spPr>
        <a:xfrm>
          <a:off x="3705225" y="1495425"/>
          <a:ext cx="13716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1295400</xdr:colOff>
      <xdr:row>19</xdr:row>
      <xdr:rowOff>28575</xdr:rowOff>
    </xdr:from>
    <xdr:to>
      <xdr:col>5</xdr:col>
      <xdr:colOff>1432560</xdr:colOff>
      <xdr:row>20</xdr:row>
      <xdr:rowOff>635</xdr:rowOff>
    </xdr:to>
    <xdr:sp macro="InfoClick" textlink="">
      <xdr:nvSpPr>
        <xdr:cNvPr id="18" name="Oval 17">
          <a:extLst>
            <a:ext uri="{FF2B5EF4-FFF2-40B4-BE49-F238E27FC236}">
              <a16:creationId xmlns:a16="http://schemas.microsoft.com/office/drawing/2014/main" id="{00000000-0008-0000-0100-000012000000}"/>
            </a:ext>
          </a:extLst>
        </xdr:cNvPr>
        <xdr:cNvSpPr>
          <a:spLocks noChangeAspect="1"/>
        </xdr:cNvSpPr>
      </xdr:nvSpPr>
      <xdr:spPr>
        <a:xfrm>
          <a:off x="5105400" y="35337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2</xdr:col>
      <xdr:colOff>762000</xdr:colOff>
      <xdr:row>0</xdr:row>
      <xdr:rowOff>101600</xdr:rowOff>
    </xdr:from>
    <xdr:to>
      <xdr:col>4</xdr:col>
      <xdr:colOff>896537</xdr:colOff>
      <xdr:row>2</xdr:row>
      <xdr:rowOff>96575</xdr:rowOff>
    </xdr:to>
    <xdr:sp macro="GoHome" textlink="">
      <xdr:nvSpPr>
        <xdr:cNvPr id="24" name="Parallelogram 23">
          <a:extLst>
            <a:ext uri="{FF2B5EF4-FFF2-40B4-BE49-F238E27FC236}">
              <a16:creationId xmlns:a16="http://schemas.microsoft.com/office/drawing/2014/main" id="{00000000-0008-0000-0100-000018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4</xdr:col>
      <xdr:colOff>595104</xdr:colOff>
      <xdr:row>0</xdr:row>
      <xdr:rowOff>101600</xdr:rowOff>
    </xdr:from>
    <xdr:to>
      <xdr:col>5</xdr:col>
      <xdr:colOff>707361</xdr:colOff>
      <xdr:row>2</xdr:row>
      <xdr:rowOff>96575</xdr:rowOff>
    </xdr:to>
    <xdr:sp macro="GoEnergy" textlink="">
      <xdr:nvSpPr>
        <xdr:cNvPr id="25" name="Parallelogram 24">
          <a:extLst>
            <a:ext uri="{FF2B5EF4-FFF2-40B4-BE49-F238E27FC236}">
              <a16:creationId xmlns:a16="http://schemas.microsoft.com/office/drawing/2014/main" id="{00000000-0008-0000-0100-000019000000}"/>
            </a:ext>
          </a:extLst>
        </xdr:cNvPr>
        <xdr:cNvSpPr/>
      </xdr:nvSpPr>
      <xdr:spPr>
        <a:xfrm>
          <a:off x="2900154" y="95250"/>
          <a:ext cx="1642607"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5</xdr:col>
      <xdr:colOff>379758</xdr:colOff>
      <xdr:row>0</xdr:row>
      <xdr:rowOff>101600</xdr:rowOff>
    </xdr:from>
    <xdr:to>
      <xdr:col>6</xdr:col>
      <xdr:colOff>568353</xdr:colOff>
      <xdr:row>2</xdr:row>
      <xdr:rowOff>96575</xdr:rowOff>
    </xdr:to>
    <xdr:sp macro="GoChiller" textlink="">
      <xdr:nvSpPr>
        <xdr:cNvPr id="26" name="Parallelogram 25">
          <a:extLst>
            <a:ext uri="{FF2B5EF4-FFF2-40B4-BE49-F238E27FC236}">
              <a16:creationId xmlns:a16="http://schemas.microsoft.com/office/drawing/2014/main" id="{00000000-0008-0000-0100-00001A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6</xdr:col>
      <xdr:colOff>251045</xdr:colOff>
      <xdr:row>0</xdr:row>
      <xdr:rowOff>101600</xdr:rowOff>
    </xdr:from>
    <xdr:to>
      <xdr:col>7</xdr:col>
      <xdr:colOff>1092420</xdr:colOff>
      <xdr:row>2</xdr:row>
      <xdr:rowOff>96575</xdr:rowOff>
    </xdr:to>
    <xdr:sp macro="GoPump" textlink="">
      <xdr:nvSpPr>
        <xdr:cNvPr id="27" name="Parallelogram 26">
          <a:extLst>
            <a:ext uri="{FF2B5EF4-FFF2-40B4-BE49-F238E27FC236}">
              <a16:creationId xmlns:a16="http://schemas.microsoft.com/office/drawing/2014/main" id="{00000000-0008-0000-0100-00001B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7</xdr:col>
      <xdr:colOff>761034</xdr:colOff>
      <xdr:row>0</xdr:row>
      <xdr:rowOff>101600</xdr:rowOff>
    </xdr:from>
    <xdr:to>
      <xdr:col>9</xdr:col>
      <xdr:colOff>287959</xdr:colOff>
      <xdr:row>2</xdr:row>
      <xdr:rowOff>96575</xdr:rowOff>
    </xdr:to>
    <xdr:sp macro="GoFinancials" textlink="">
      <xdr:nvSpPr>
        <xdr:cNvPr id="28" name="Parallelogram 27">
          <a:extLst>
            <a:ext uri="{FF2B5EF4-FFF2-40B4-BE49-F238E27FC236}">
              <a16:creationId xmlns:a16="http://schemas.microsoft.com/office/drawing/2014/main" id="{00000000-0008-0000-0100-00001C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7</xdr:col>
      <xdr:colOff>47625</xdr:colOff>
      <xdr:row>3</xdr:row>
      <xdr:rowOff>114299</xdr:rowOff>
    </xdr:from>
    <xdr:to>
      <xdr:col>13</xdr:col>
      <xdr:colOff>59735</xdr:colOff>
      <xdr:row>18</xdr:row>
      <xdr:rowOff>142933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43625" y="666749"/>
          <a:ext cx="4752385" cy="3542089"/>
        </a:xfrm>
        <a:prstGeom prst="rect">
          <a:avLst/>
        </a:prstGeom>
      </xdr:spPr>
    </xdr:pic>
    <xdr:clientData/>
  </xdr:twoCellAnchor>
  <xdr:twoCellAnchor editAs="oneCell">
    <xdr:from>
      <xdr:col>3</xdr:col>
      <xdr:colOff>424010</xdr:colOff>
      <xdr:row>30</xdr:row>
      <xdr:rowOff>36332</xdr:rowOff>
    </xdr:from>
    <xdr:to>
      <xdr:col>3</xdr:col>
      <xdr:colOff>554820</xdr:colOff>
      <xdr:row>30</xdr:row>
      <xdr:rowOff>173492</xdr:rowOff>
    </xdr:to>
    <xdr:sp macro="InfoClick" textlink="">
      <xdr:nvSpPr>
        <xdr:cNvPr id="20" name="Oval 19">
          <a:extLst>
            <a:ext uri="{FF2B5EF4-FFF2-40B4-BE49-F238E27FC236}">
              <a16:creationId xmlns:a16="http://schemas.microsoft.com/office/drawing/2014/main" id="{00000000-0008-0000-0100-000014000000}"/>
            </a:ext>
          </a:extLst>
        </xdr:cNvPr>
        <xdr:cNvSpPr>
          <a:spLocks noChangeAspect="1"/>
        </xdr:cNvSpPr>
      </xdr:nvSpPr>
      <xdr:spPr>
        <a:xfrm>
          <a:off x="2101981" y="5475598"/>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8</xdr:col>
      <xdr:colOff>1015753</xdr:colOff>
      <xdr:row>0</xdr:row>
      <xdr:rowOff>101600</xdr:rowOff>
    </xdr:from>
    <xdr:to>
      <xdr:col>11</xdr:col>
      <xdr:colOff>565538</xdr:colOff>
      <xdr:row>2</xdr:row>
      <xdr:rowOff>96575</xdr:rowOff>
    </xdr:to>
    <xdr:sp macro="GoResults" textlink="">
      <xdr:nvSpPr>
        <xdr:cNvPr id="2" name="Parallelogram 1">
          <a:extLst>
            <a:ext uri="{FF2B5EF4-FFF2-40B4-BE49-F238E27FC236}">
              <a16:creationId xmlns:a16="http://schemas.microsoft.com/office/drawing/2014/main" id="{D34FF3DE-F020-4F99-94A2-118BF5D92651}"/>
            </a:ext>
          </a:extLst>
        </xdr:cNvPr>
        <xdr:cNvSpPr/>
      </xdr:nvSpPr>
      <xdr:spPr>
        <a:xfrm>
          <a:off x="8620513" y="101600"/>
          <a:ext cx="1873885" cy="34549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114300</xdr:colOff>
      <xdr:row>0</xdr:row>
      <xdr:rowOff>75804</xdr:rowOff>
    </xdr:from>
    <xdr:to>
      <xdr:col>2</xdr:col>
      <xdr:colOff>171109</xdr:colOff>
      <xdr:row>1</xdr:row>
      <xdr:rowOff>171450</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75804"/>
          <a:ext cx="1237909" cy="438546"/>
        </a:xfrm>
        <a:prstGeom prst="rect">
          <a:avLst/>
        </a:prstGeom>
      </xdr:spPr>
    </xdr:pic>
    <xdr:clientData/>
  </xdr:twoCellAnchor>
  <xdr:twoCellAnchor editAs="absolute">
    <xdr:from>
      <xdr:col>2</xdr:col>
      <xdr:colOff>381000</xdr:colOff>
      <xdr:row>0</xdr:row>
      <xdr:rowOff>95250</xdr:rowOff>
    </xdr:from>
    <xdr:to>
      <xdr:col>4</xdr:col>
      <xdr:colOff>247567</xdr:colOff>
      <xdr:row>1</xdr:row>
      <xdr:rowOff>115625</xdr:rowOff>
    </xdr:to>
    <xdr:sp macro="GoHome" textlink="">
      <xdr:nvSpPr>
        <xdr:cNvPr id="14" name="Parallelogram 13">
          <a:extLst>
            <a:ext uri="{FF2B5EF4-FFF2-40B4-BE49-F238E27FC236}">
              <a16:creationId xmlns:a16="http://schemas.microsoft.com/office/drawing/2014/main" id="{00000000-0008-0000-0200-00000E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3</xdr:col>
      <xdr:colOff>817989</xdr:colOff>
      <xdr:row>0</xdr:row>
      <xdr:rowOff>95250</xdr:rowOff>
    </xdr:from>
    <xdr:to>
      <xdr:col>5</xdr:col>
      <xdr:colOff>704579</xdr:colOff>
      <xdr:row>1</xdr:row>
      <xdr:rowOff>115625</xdr:rowOff>
    </xdr:to>
    <xdr:sp macro="GoEnergy" textlink="">
      <xdr:nvSpPr>
        <xdr:cNvPr id="21" name="Parallelogram 20">
          <a:extLst>
            <a:ext uri="{FF2B5EF4-FFF2-40B4-BE49-F238E27FC236}">
              <a16:creationId xmlns:a16="http://schemas.microsoft.com/office/drawing/2014/main" id="{00000000-0008-0000-0200-000015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5</xdr:col>
      <xdr:colOff>401106</xdr:colOff>
      <xdr:row>0</xdr:row>
      <xdr:rowOff>95250</xdr:rowOff>
    </xdr:from>
    <xdr:to>
      <xdr:col>7</xdr:col>
      <xdr:colOff>282995</xdr:colOff>
      <xdr:row>1</xdr:row>
      <xdr:rowOff>115625</xdr:rowOff>
    </xdr:to>
    <xdr:sp macro="GoChiller" textlink="">
      <xdr:nvSpPr>
        <xdr:cNvPr id="22" name="Parallelogram 21">
          <a:extLst>
            <a:ext uri="{FF2B5EF4-FFF2-40B4-BE49-F238E27FC236}">
              <a16:creationId xmlns:a16="http://schemas.microsoft.com/office/drawing/2014/main" id="{00000000-0008-0000-0200-000016000000}"/>
            </a:ext>
          </a:extLst>
        </xdr:cNvPr>
        <xdr:cNvSpPr/>
      </xdr:nvSpPr>
      <xdr:spPr>
        <a:xfrm>
          <a:off x="4227858" y="95250"/>
          <a:ext cx="164592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6</xdr:col>
      <xdr:colOff>784203</xdr:colOff>
      <xdr:row>0</xdr:row>
      <xdr:rowOff>95250</xdr:rowOff>
    </xdr:from>
    <xdr:to>
      <xdr:col>8</xdr:col>
      <xdr:colOff>739818</xdr:colOff>
      <xdr:row>1</xdr:row>
      <xdr:rowOff>115625</xdr:rowOff>
    </xdr:to>
    <xdr:sp macro="GoPump" textlink="">
      <xdr:nvSpPr>
        <xdr:cNvPr id="23" name="Parallelogram 22">
          <a:extLst>
            <a:ext uri="{FF2B5EF4-FFF2-40B4-BE49-F238E27FC236}">
              <a16:creationId xmlns:a16="http://schemas.microsoft.com/office/drawing/2014/main" id="{00000000-0008-0000-0200-000017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8</xdr:col>
      <xdr:colOff>437577</xdr:colOff>
      <xdr:row>0</xdr:row>
      <xdr:rowOff>95250</xdr:rowOff>
    </xdr:from>
    <xdr:to>
      <xdr:col>9</xdr:col>
      <xdr:colOff>470144</xdr:colOff>
      <xdr:row>1</xdr:row>
      <xdr:rowOff>115625</xdr:rowOff>
    </xdr:to>
    <xdr:sp macro="GoFinancials" textlink="">
      <xdr:nvSpPr>
        <xdr:cNvPr id="24" name="Parallelogram 23">
          <a:extLst>
            <a:ext uri="{FF2B5EF4-FFF2-40B4-BE49-F238E27FC236}">
              <a16:creationId xmlns:a16="http://schemas.microsoft.com/office/drawing/2014/main" id="{00000000-0008-0000-0200-000018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4</xdr:col>
      <xdr:colOff>716928</xdr:colOff>
      <xdr:row>14</xdr:row>
      <xdr:rowOff>28575</xdr:rowOff>
    </xdr:from>
    <xdr:to>
      <xdr:col>4</xdr:col>
      <xdr:colOff>854088</xdr:colOff>
      <xdr:row>14</xdr:row>
      <xdr:rowOff>173355</xdr:rowOff>
    </xdr:to>
    <xdr:sp macro="InfoClick" textlink="">
      <xdr:nvSpPr>
        <xdr:cNvPr id="13" name="Oval 12">
          <a:extLst>
            <a:ext uri="{FF2B5EF4-FFF2-40B4-BE49-F238E27FC236}">
              <a16:creationId xmlns:a16="http://schemas.microsoft.com/office/drawing/2014/main" id="{00000000-0008-0000-0200-00000D000000}"/>
            </a:ext>
          </a:extLst>
        </xdr:cNvPr>
        <xdr:cNvSpPr>
          <a:spLocks noChangeAspect="1"/>
        </xdr:cNvSpPr>
      </xdr:nvSpPr>
      <xdr:spPr>
        <a:xfrm>
          <a:off x="3669678" y="26574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2</xdr:col>
      <xdr:colOff>571500</xdr:colOff>
      <xdr:row>17</xdr:row>
      <xdr:rowOff>19050</xdr:rowOff>
    </xdr:from>
    <xdr:ext cx="137160" cy="137160"/>
    <xdr:sp macro="InfoClick" textlink="">
      <xdr:nvSpPr>
        <xdr:cNvPr id="12" name="Oval 11">
          <a:extLst>
            <a:ext uri="{FF2B5EF4-FFF2-40B4-BE49-F238E27FC236}">
              <a16:creationId xmlns:a16="http://schemas.microsoft.com/office/drawing/2014/main" id="{00000000-0008-0000-0200-00000C000000}"/>
            </a:ext>
          </a:extLst>
        </xdr:cNvPr>
        <xdr:cNvSpPr>
          <a:spLocks noChangeAspect="1"/>
        </xdr:cNvSpPr>
      </xdr:nvSpPr>
      <xdr:spPr>
        <a:xfrm>
          <a:off x="1476375" y="32194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4</xdr:col>
      <xdr:colOff>657225</xdr:colOff>
      <xdr:row>6</xdr:row>
      <xdr:rowOff>47625</xdr:rowOff>
    </xdr:from>
    <xdr:to>
      <xdr:col>4</xdr:col>
      <xdr:colOff>779145</xdr:colOff>
      <xdr:row>7</xdr:row>
      <xdr:rowOff>19051</xdr:rowOff>
    </xdr:to>
    <xdr:sp macro="InfoClick" textlink="">
      <xdr:nvSpPr>
        <xdr:cNvPr id="18" name="Oval 17">
          <a:extLst>
            <a:ext uri="{FF2B5EF4-FFF2-40B4-BE49-F238E27FC236}">
              <a16:creationId xmlns:a16="http://schemas.microsoft.com/office/drawing/2014/main" id="{00000000-0008-0000-0200-000012000000}"/>
            </a:ext>
          </a:extLst>
        </xdr:cNvPr>
        <xdr:cNvSpPr>
          <a:spLocks noChangeAspect="1"/>
        </xdr:cNvSpPr>
      </xdr:nvSpPr>
      <xdr:spPr>
        <a:xfrm>
          <a:off x="3609975" y="11811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9</xdr:col>
      <xdr:colOff>167903</xdr:colOff>
      <xdr:row>0</xdr:row>
      <xdr:rowOff>95250</xdr:rowOff>
    </xdr:from>
    <xdr:to>
      <xdr:col>10</xdr:col>
      <xdr:colOff>1154626</xdr:colOff>
      <xdr:row>1</xdr:row>
      <xdr:rowOff>115625</xdr:rowOff>
    </xdr:to>
    <xdr:sp macro="GoResults" textlink="">
      <xdr:nvSpPr>
        <xdr:cNvPr id="2" name="Parallelogram 1">
          <a:extLst>
            <a:ext uri="{FF2B5EF4-FFF2-40B4-BE49-F238E27FC236}">
              <a16:creationId xmlns:a16="http://schemas.microsoft.com/office/drawing/2014/main" id="{75817471-EF1D-478E-A125-90C54D95AC05}"/>
            </a:ext>
          </a:extLst>
        </xdr:cNvPr>
        <xdr:cNvSpPr/>
      </xdr:nvSpPr>
      <xdr:spPr>
        <a:xfrm>
          <a:off x="8649294" y="95250"/>
          <a:ext cx="1861367" cy="371558"/>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oneCell">
    <xdr:from>
      <xdr:col>10</xdr:col>
      <xdr:colOff>1058333</xdr:colOff>
      <xdr:row>17</xdr:row>
      <xdr:rowOff>431800</xdr:rowOff>
    </xdr:from>
    <xdr:to>
      <xdr:col>26</xdr:col>
      <xdr:colOff>582509</xdr:colOff>
      <xdr:row>34</xdr:row>
      <xdr:rowOff>11225</xdr:rowOff>
    </xdr:to>
    <xdr:pic>
      <xdr:nvPicPr>
        <xdr:cNvPr id="3" name="Picture 2">
          <a:extLst>
            <a:ext uri="{FF2B5EF4-FFF2-40B4-BE49-F238E27FC236}">
              <a16:creationId xmlns:a16="http://schemas.microsoft.com/office/drawing/2014/main" id="{85D3F3E5-8D5A-4BCA-AB8A-837235CEAFF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21064"/>
        <a:stretch/>
      </xdr:blipFill>
      <xdr:spPr>
        <a:xfrm>
          <a:off x="10408073" y="4965700"/>
          <a:ext cx="6862236" cy="4380025"/>
        </a:xfrm>
        <a:prstGeom prst="rect">
          <a:avLst/>
        </a:prstGeom>
      </xdr:spPr>
    </xdr:pic>
    <xdr:clientData/>
  </xdr:twoCellAnchor>
  <xdr:twoCellAnchor editAs="oneCell">
    <xdr:from>
      <xdr:col>4</xdr:col>
      <xdr:colOff>657225</xdr:colOff>
      <xdr:row>5</xdr:row>
      <xdr:rowOff>47625</xdr:rowOff>
    </xdr:from>
    <xdr:to>
      <xdr:col>4</xdr:col>
      <xdr:colOff>779145</xdr:colOff>
      <xdr:row>6</xdr:row>
      <xdr:rowOff>19051</xdr:rowOff>
    </xdr:to>
    <xdr:sp macro="InfoClick" textlink="">
      <xdr:nvSpPr>
        <xdr:cNvPr id="4" name="InfoOval_KW1">
          <a:extLst>
            <a:ext uri="{FF2B5EF4-FFF2-40B4-BE49-F238E27FC236}">
              <a16:creationId xmlns:a16="http://schemas.microsoft.com/office/drawing/2014/main" id="{D3203CEC-CD27-F321-237B-89FBBA9ADA99}"/>
            </a:ext>
          </a:extLst>
        </xdr:cNvPr>
        <xdr:cNvSpPr>
          <a:spLocks noChangeAspect="1"/>
        </xdr:cNvSpPr>
      </xdr:nvSpPr>
      <xdr:spPr>
        <a:xfrm>
          <a:off x="3689985" y="133540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7</xdr:row>
      <xdr:rowOff>47625</xdr:rowOff>
    </xdr:from>
    <xdr:to>
      <xdr:col>4</xdr:col>
      <xdr:colOff>779145</xdr:colOff>
      <xdr:row>8</xdr:row>
      <xdr:rowOff>19051</xdr:rowOff>
    </xdr:to>
    <xdr:sp macro="InfoClick" textlink="">
      <xdr:nvSpPr>
        <xdr:cNvPr id="5" name="InfoOval_KW3">
          <a:extLst>
            <a:ext uri="{FF2B5EF4-FFF2-40B4-BE49-F238E27FC236}">
              <a16:creationId xmlns:a16="http://schemas.microsoft.com/office/drawing/2014/main" id="{0C9D677C-F24A-D95B-DE4E-33D0766BEF70}"/>
            </a:ext>
          </a:extLst>
        </xdr:cNvPr>
        <xdr:cNvSpPr>
          <a:spLocks noChangeAspect="1"/>
        </xdr:cNvSpPr>
      </xdr:nvSpPr>
      <xdr:spPr>
        <a:xfrm>
          <a:off x="3689985" y="16859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8</xdr:row>
      <xdr:rowOff>47625</xdr:rowOff>
    </xdr:from>
    <xdr:to>
      <xdr:col>4</xdr:col>
      <xdr:colOff>779145</xdr:colOff>
      <xdr:row>9</xdr:row>
      <xdr:rowOff>19051</xdr:rowOff>
    </xdr:to>
    <xdr:sp macro="InfoClick" textlink="">
      <xdr:nvSpPr>
        <xdr:cNvPr id="6" name="InfoOval_KW4">
          <a:extLst>
            <a:ext uri="{FF2B5EF4-FFF2-40B4-BE49-F238E27FC236}">
              <a16:creationId xmlns:a16="http://schemas.microsoft.com/office/drawing/2014/main" id="{1BF8D849-BF93-C2F3-5F02-C57EFDDFFD59}"/>
            </a:ext>
          </a:extLst>
        </xdr:cNvPr>
        <xdr:cNvSpPr>
          <a:spLocks noChangeAspect="1"/>
        </xdr:cNvSpPr>
      </xdr:nvSpPr>
      <xdr:spPr>
        <a:xfrm>
          <a:off x="3689985" y="186118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9</xdr:row>
      <xdr:rowOff>116205</xdr:rowOff>
    </xdr:from>
    <xdr:to>
      <xdr:col>4</xdr:col>
      <xdr:colOff>779145</xdr:colOff>
      <xdr:row>10</xdr:row>
      <xdr:rowOff>19051</xdr:rowOff>
    </xdr:to>
    <xdr:sp macro="InfoClick" textlink="">
      <xdr:nvSpPr>
        <xdr:cNvPr id="7" name="InfoOval_KW5">
          <a:extLst>
            <a:ext uri="{FF2B5EF4-FFF2-40B4-BE49-F238E27FC236}">
              <a16:creationId xmlns:a16="http://schemas.microsoft.com/office/drawing/2014/main" id="{9E47DD92-6652-8DB0-049D-723F61B86CC8}"/>
            </a:ext>
          </a:extLst>
        </xdr:cNvPr>
        <xdr:cNvSpPr>
          <a:spLocks noChangeAspect="1"/>
        </xdr:cNvSpPr>
      </xdr:nvSpPr>
      <xdr:spPr>
        <a:xfrm>
          <a:off x="3689985" y="21050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10</xdr:row>
      <xdr:rowOff>215265</xdr:rowOff>
    </xdr:from>
    <xdr:to>
      <xdr:col>4</xdr:col>
      <xdr:colOff>779145</xdr:colOff>
      <xdr:row>11</xdr:row>
      <xdr:rowOff>19051</xdr:rowOff>
    </xdr:to>
    <xdr:sp macro="InfoClick" textlink="">
      <xdr:nvSpPr>
        <xdr:cNvPr id="8" name="InfoOval_KW6">
          <a:extLst>
            <a:ext uri="{FF2B5EF4-FFF2-40B4-BE49-F238E27FC236}">
              <a16:creationId xmlns:a16="http://schemas.microsoft.com/office/drawing/2014/main" id="{43551A7A-FFC8-2C1B-B17D-922D61AD669C}"/>
            </a:ext>
          </a:extLst>
        </xdr:cNvPr>
        <xdr:cNvSpPr>
          <a:spLocks noChangeAspect="1"/>
        </xdr:cNvSpPr>
      </xdr:nvSpPr>
      <xdr:spPr>
        <a:xfrm>
          <a:off x="3689985" y="24479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716928</xdr:colOff>
      <xdr:row>12</xdr:row>
      <xdr:rowOff>33697</xdr:rowOff>
    </xdr:from>
    <xdr:to>
      <xdr:col>4</xdr:col>
      <xdr:colOff>854088</xdr:colOff>
      <xdr:row>12</xdr:row>
      <xdr:rowOff>178477</xdr:rowOff>
    </xdr:to>
    <xdr:sp macro="InfoClick" textlink="">
      <xdr:nvSpPr>
        <xdr:cNvPr id="9" name="InfoOval_METHOD">
          <a:extLst>
            <a:ext uri="{FF2B5EF4-FFF2-40B4-BE49-F238E27FC236}">
              <a16:creationId xmlns:a16="http://schemas.microsoft.com/office/drawing/2014/main" id="{73E1D27D-E29D-4905-17E6-D2E7143FCA85}"/>
            </a:ext>
          </a:extLst>
        </xdr:cNvPr>
        <xdr:cNvSpPr>
          <a:spLocks noChangeAspect="1"/>
        </xdr:cNvSpPr>
      </xdr:nvSpPr>
      <xdr:spPr>
        <a:xfrm>
          <a:off x="3756461" y="2988564"/>
          <a:ext cx="137160" cy="1447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114301</xdr:colOff>
      <xdr:row>0</xdr:row>
      <xdr:rowOff>69054</xdr:rowOff>
    </xdr:from>
    <xdr:to>
      <xdr:col>2</xdr:col>
      <xdr:colOff>447676</xdr:colOff>
      <xdr:row>2</xdr:row>
      <xdr:rowOff>183871</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1" y="69054"/>
          <a:ext cx="1238250" cy="438667"/>
        </a:xfrm>
        <a:prstGeom prst="rect">
          <a:avLst/>
        </a:prstGeom>
      </xdr:spPr>
    </xdr:pic>
    <xdr:clientData/>
  </xdr:twoCellAnchor>
  <xdr:twoCellAnchor editAs="oneCell">
    <xdr:from>
      <xdr:col>4</xdr:col>
      <xdr:colOff>704850</xdr:colOff>
      <xdr:row>12</xdr:row>
      <xdr:rowOff>28575</xdr:rowOff>
    </xdr:from>
    <xdr:to>
      <xdr:col>4</xdr:col>
      <xdr:colOff>842010</xdr:colOff>
      <xdr:row>12</xdr:row>
      <xdr:rowOff>165735</xdr:rowOff>
    </xdr:to>
    <xdr:sp macro="InfoClick" textlink="">
      <xdr:nvSpPr>
        <xdr:cNvPr id="23" name="Oval 22">
          <a:extLst>
            <a:ext uri="{FF2B5EF4-FFF2-40B4-BE49-F238E27FC236}">
              <a16:creationId xmlns:a16="http://schemas.microsoft.com/office/drawing/2014/main" id="{00000000-0008-0000-0300-000017000000}"/>
            </a:ext>
          </a:extLst>
        </xdr:cNvPr>
        <xdr:cNvSpPr>
          <a:spLocks noChangeAspect="1"/>
        </xdr:cNvSpPr>
      </xdr:nvSpPr>
      <xdr:spPr>
        <a:xfrm>
          <a:off x="2943225" y="22098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2</xdr:col>
      <xdr:colOff>657225</xdr:colOff>
      <xdr:row>0</xdr:row>
      <xdr:rowOff>95250</xdr:rowOff>
    </xdr:from>
    <xdr:to>
      <xdr:col>5</xdr:col>
      <xdr:colOff>125647</xdr:colOff>
      <xdr:row>2</xdr:row>
      <xdr:rowOff>134675</xdr:rowOff>
    </xdr:to>
    <xdr:sp macro="GoHome" textlink="">
      <xdr:nvSpPr>
        <xdr:cNvPr id="31" name="Parallelogram 30">
          <a:extLst>
            <a:ext uri="{FF2B5EF4-FFF2-40B4-BE49-F238E27FC236}">
              <a16:creationId xmlns:a16="http://schemas.microsoft.com/office/drawing/2014/main" id="{00000000-0008-0000-0300-00001F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4</xdr:col>
      <xdr:colOff>661779</xdr:colOff>
      <xdr:row>0</xdr:row>
      <xdr:rowOff>95250</xdr:rowOff>
    </xdr:from>
    <xdr:to>
      <xdr:col>6</xdr:col>
      <xdr:colOff>742286</xdr:colOff>
      <xdr:row>2</xdr:row>
      <xdr:rowOff>134675</xdr:rowOff>
    </xdr:to>
    <xdr:sp macro="GoEnergy" textlink="">
      <xdr:nvSpPr>
        <xdr:cNvPr id="32" name="Parallelogram 31">
          <a:extLst>
            <a:ext uri="{FF2B5EF4-FFF2-40B4-BE49-F238E27FC236}">
              <a16:creationId xmlns:a16="http://schemas.microsoft.com/office/drawing/2014/main" id="{00000000-0008-0000-0300-000020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6</xdr:col>
      <xdr:colOff>427383</xdr:colOff>
      <xdr:row>0</xdr:row>
      <xdr:rowOff>95250</xdr:rowOff>
    </xdr:from>
    <xdr:to>
      <xdr:col>7</xdr:col>
      <xdr:colOff>1248438</xdr:colOff>
      <xdr:row>2</xdr:row>
      <xdr:rowOff>134675</xdr:rowOff>
    </xdr:to>
    <xdr:sp macro="GoChiller" textlink="">
      <xdr:nvSpPr>
        <xdr:cNvPr id="33" name="Parallelogram 32">
          <a:extLst>
            <a:ext uri="{FF2B5EF4-FFF2-40B4-BE49-F238E27FC236}">
              <a16:creationId xmlns:a16="http://schemas.microsoft.com/office/drawing/2014/main" id="{00000000-0008-0000-0300-000021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7</xdr:col>
      <xdr:colOff>940020</xdr:colOff>
      <xdr:row>0</xdr:row>
      <xdr:rowOff>95250</xdr:rowOff>
    </xdr:from>
    <xdr:to>
      <xdr:col>9</xdr:col>
      <xdr:colOff>231360</xdr:colOff>
      <xdr:row>2</xdr:row>
      <xdr:rowOff>134675</xdr:rowOff>
    </xdr:to>
    <xdr:sp macro="GoPump" textlink="">
      <xdr:nvSpPr>
        <xdr:cNvPr id="34" name="Parallelogram 33">
          <a:extLst>
            <a:ext uri="{FF2B5EF4-FFF2-40B4-BE49-F238E27FC236}">
              <a16:creationId xmlns:a16="http://schemas.microsoft.com/office/drawing/2014/main" id="{00000000-0008-0000-0300-000022000000}"/>
            </a:ext>
          </a:extLst>
        </xdr:cNvPr>
        <xdr:cNvSpPr/>
      </xdr:nvSpPr>
      <xdr:spPr>
        <a:xfrm>
          <a:off x="5565360" y="95250"/>
          <a:ext cx="164592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8</xdr:col>
      <xdr:colOff>852474</xdr:colOff>
      <xdr:row>0</xdr:row>
      <xdr:rowOff>95250</xdr:rowOff>
    </xdr:from>
    <xdr:to>
      <xdr:col>10</xdr:col>
      <xdr:colOff>919149</xdr:colOff>
      <xdr:row>2</xdr:row>
      <xdr:rowOff>134675</xdr:rowOff>
    </xdr:to>
    <xdr:sp macro="GoFinancials" textlink="">
      <xdr:nvSpPr>
        <xdr:cNvPr id="35" name="Parallelogram 34">
          <a:extLst>
            <a:ext uri="{FF2B5EF4-FFF2-40B4-BE49-F238E27FC236}">
              <a16:creationId xmlns:a16="http://schemas.microsoft.com/office/drawing/2014/main" id="{00000000-0008-0000-0300-000023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6</xdr:col>
      <xdr:colOff>382904</xdr:colOff>
      <xdr:row>3</xdr:row>
      <xdr:rowOff>229979</xdr:rowOff>
    </xdr:from>
    <xdr:to>
      <xdr:col>8</xdr:col>
      <xdr:colOff>541020</xdr:colOff>
      <xdr:row>6</xdr:row>
      <xdr:rowOff>84673</xdr:rowOff>
    </xdr:to>
    <xdr:pic>
      <xdr:nvPicPr>
        <xdr:cNvPr id="25" name="PumpAffinityLaw">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76724" y="809099"/>
          <a:ext cx="2466976" cy="1150094"/>
        </a:xfrm>
        <a:prstGeom prst="rect">
          <a:avLst/>
        </a:prstGeom>
      </xdr:spPr>
    </xdr:pic>
    <xdr:clientData/>
  </xdr:twoCellAnchor>
  <xdr:oneCellAnchor>
    <xdr:from>
      <xdr:col>5</xdr:col>
      <xdr:colOff>552450</xdr:colOff>
      <xdr:row>5</xdr:row>
      <xdr:rowOff>28575</xdr:rowOff>
    </xdr:from>
    <xdr:ext cx="137160" cy="137160"/>
    <xdr:sp macro="InfoClick" textlink="">
      <xdr:nvSpPr>
        <xdr:cNvPr id="27" name="Oval 26">
          <a:extLst>
            <a:ext uri="{FF2B5EF4-FFF2-40B4-BE49-F238E27FC236}">
              <a16:creationId xmlns:a16="http://schemas.microsoft.com/office/drawing/2014/main" id="{00000000-0008-0000-0300-00001B000000}"/>
            </a:ext>
          </a:extLst>
        </xdr:cNvPr>
        <xdr:cNvSpPr>
          <a:spLocks noChangeAspect="1"/>
        </xdr:cNvSpPr>
      </xdr:nvSpPr>
      <xdr:spPr>
        <a:xfrm>
          <a:off x="3638550" y="34861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2</xdr:col>
      <xdr:colOff>561975</xdr:colOff>
      <xdr:row>6</xdr:row>
      <xdr:rowOff>47625</xdr:rowOff>
    </xdr:from>
    <xdr:ext cx="137160" cy="137160"/>
    <xdr:sp macro="InfoClick" textlink="">
      <xdr:nvSpPr>
        <xdr:cNvPr id="28" name="Oval 27">
          <a:extLst>
            <a:ext uri="{FF2B5EF4-FFF2-40B4-BE49-F238E27FC236}">
              <a16:creationId xmlns:a16="http://schemas.microsoft.com/office/drawing/2014/main" id="{00000000-0008-0000-0300-00001C000000}"/>
            </a:ext>
          </a:extLst>
        </xdr:cNvPr>
        <xdr:cNvSpPr>
          <a:spLocks noChangeAspect="1"/>
        </xdr:cNvSpPr>
      </xdr:nvSpPr>
      <xdr:spPr>
        <a:xfrm>
          <a:off x="1466850" y="122872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5</xdr:col>
      <xdr:colOff>548698</xdr:colOff>
      <xdr:row>4</xdr:row>
      <xdr:rowOff>27005</xdr:rowOff>
    </xdr:from>
    <xdr:ext cx="137160" cy="137160"/>
    <xdr:sp macro="InfoClick" textlink="">
      <xdr:nvSpPr>
        <xdr:cNvPr id="12" name="Oval 11">
          <a:extLst>
            <a:ext uri="{FF2B5EF4-FFF2-40B4-BE49-F238E27FC236}">
              <a16:creationId xmlns:a16="http://schemas.microsoft.com/office/drawing/2014/main" id="{00000000-0008-0000-0300-00000C000000}"/>
            </a:ext>
          </a:extLst>
        </xdr:cNvPr>
        <xdr:cNvSpPr>
          <a:spLocks noChangeAspect="1"/>
        </xdr:cNvSpPr>
      </xdr:nvSpPr>
      <xdr:spPr>
        <a:xfrm>
          <a:off x="3636642" y="850457"/>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absolute">
    <xdr:from>
      <xdr:col>10</xdr:col>
      <xdr:colOff>603003</xdr:colOff>
      <xdr:row>0</xdr:row>
      <xdr:rowOff>95250</xdr:rowOff>
    </xdr:from>
    <xdr:to>
      <xdr:col>12</xdr:col>
      <xdr:colOff>585858</xdr:colOff>
      <xdr:row>2</xdr:row>
      <xdr:rowOff>134675</xdr:rowOff>
    </xdr:to>
    <xdr:sp macro="GoResults" textlink="">
      <xdr:nvSpPr>
        <xdr:cNvPr id="2" name="Parallelogram 1">
          <a:extLst>
            <a:ext uri="{FF2B5EF4-FFF2-40B4-BE49-F238E27FC236}">
              <a16:creationId xmlns:a16="http://schemas.microsoft.com/office/drawing/2014/main" id="{9BE1B7F5-6334-43B7-A602-C39B2640E6AE}"/>
            </a:ext>
          </a:extLst>
        </xdr:cNvPr>
        <xdr:cNvSpPr/>
      </xdr:nvSpPr>
      <xdr:spPr>
        <a:xfrm>
          <a:off x="8619243"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oneCellAnchor>
    <xdr:from>
      <xdr:col>8</xdr:col>
      <xdr:colOff>579120</xdr:colOff>
      <xdr:row>4</xdr:row>
      <xdr:rowOff>5189</xdr:rowOff>
    </xdr:from>
    <xdr:ext cx="137160" cy="137160"/>
    <xdr:sp macro="InfoClick" textlink="">
      <xdr:nvSpPr>
        <xdr:cNvPr id="3" name="InfoOval_AffinityLaw">
          <a:extLst>
            <a:ext uri="{FF2B5EF4-FFF2-40B4-BE49-F238E27FC236}">
              <a16:creationId xmlns:a16="http://schemas.microsoft.com/office/drawing/2014/main" id="{E9BEB230-39F0-D86E-2EA5-8C7FBFA17FBA}"/>
            </a:ext>
          </a:extLst>
        </xdr:cNvPr>
        <xdr:cNvSpPr>
          <a:spLocks noChangeAspect="1"/>
        </xdr:cNvSpPr>
      </xdr:nvSpPr>
      <xdr:spPr>
        <a:xfrm>
          <a:off x="6781800" y="8281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6.xml><?xml version="1.0" encoding="utf-8"?>
<xdr:wsDr xmlns:xdr="http://schemas.openxmlformats.org/drawingml/2006/spreadsheetDrawing" xmlns:a="http://schemas.openxmlformats.org/drawingml/2006/main">
  <xdr:twoCellAnchor editAs="absolute">
    <xdr:from>
      <xdr:col>0</xdr:col>
      <xdr:colOff>114301</xdr:colOff>
      <xdr:row>0</xdr:row>
      <xdr:rowOff>62306</xdr:rowOff>
    </xdr:from>
    <xdr:to>
      <xdr:col>0</xdr:col>
      <xdr:colOff>1371601</xdr:colOff>
      <xdr:row>2</xdr:row>
      <xdr:rowOff>145772</xdr:rowOff>
    </xdr:to>
    <xdr:pic>
      <xdr:nvPicPr>
        <xdr:cNvPr id="13" name="Picture 12">
          <a:hlinkClick xmlns:r="http://schemas.openxmlformats.org/officeDocument/2006/relationships" r:id="rId1"/>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14301" y="62306"/>
          <a:ext cx="1257300" cy="445416"/>
        </a:xfrm>
        <a:prstGeom prst="rect">
          <a:avLst/>
        </a:prstGeom>
      </xdr:spPr>
    </xdr:pic>
    <xdr:clientData/>
  </xdr:twoCellAnchor>
  <xdr:twoCellAnchor editAs="absolute">
    <xdr:from>
      <xdr:col>0</xdr:col>
      <xdr:colOff>1562100</xdr:colOff>
      <xdr:row>0</xdr:row>
      <xdr:rowOff>95250</xdr:rowOff>
    </xdr:from>
    <xdr:to>
      <xdr:col>1</xdr:col>
      <xdr:colOff>776069</xdr:colOff>
      <xdr:row>2</xdr:row>
      <xdr:rowOff>96575</xdr:rowOff>
    </xdr:to>
    <xdr:sp macro="GoHome" textlink="">
      <xdr:nvSpPr>
        <xdr:cNvPr id="14" name="Parallelogram 13">
          <a:extLst>
            <a:ext uri="{FF2B5EF4-FFF2-40B4-BE49-F238E27FC236}">
              <a16:creationId xmlns:a16="http://schemas.microsoft.com/office/drawing/2014/main" id="{00000000-0008-0000-0400-00000E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1</xdr:col>
      <xdr:colOff>461754</xdr:colOff>
      <xdr:row>0</xdr:row>
      <xdr:rowOff>95250</xdr:rowOff>
    </xdr:from>
    <xdr:to>
      <xdr:col>3</xdr:col>
      <xdr:colOff>430683</xdr:colOff>
      <xdr:row>2</xdr:row>
      <xdr:rowOff>96575</xdr:rowOff>
    </xdr:to>
    <xdr:sp macro="GoEnergy" textlink="">
      <xdr:nvSpPr>
        <xdr:cNvPr id="15" name="Parallelogram 14">
          <a:extLst>
            <a:ext uri="{FF2B5EF4-FFF2-40B4-BE49-F238E27FC236}">
              <a16:creationId xmlns:a16="http://schemas.microsoft.com/office/drawing/2014/main" id="{00000000-0008-0000-0400-00000F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3</xdr:col>
      <xdr:colOff>115780</xdr:colOff>
      <xdr:row>0</xdr:row>
      <xdr:rowOff>95250</xdr:rowOff>
    </xdr:from>
    <xdr:to>
      <xdr:col>5</xdr:col>
      <xdr:colOff>47200</xdr:colOff>
      <xdr:row>2</xdr:row>
      <xdr:rowOff>96575</xdr:rowOff>
    </xdr:to>
    <xdr:sp macro="GoChiller" textlink="">
      <xdr:nvSpPr>
        <xdr:cNvPr id="16" name="Parallelogram 15">
          <a:extLst>
            <a:ext uri="{FF2B5EF4-FFF2-40B4-BE49-F238E27FC236}">
              <a16:creationId xmlns:a16="http://schemas.microsoft.com/office/drawing/2014/main" id="{00000000-0008-0000-0400-000010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4</xdr:col>
      <xdr:colOff>596032</xdr:colOff>
      <xdr:row>0</xdr:row>
      <xdr:rowOff>95250</xdr:rowOff>
    </xdr:from>
    <xdr:to>
      <xdr:col>6</xdr:col>
      <xdr:colOff>527452</xdr:colOff>
      <xdr:row>2</xdr:row>
      <xdr:rowOff>96575</xdr:rowOff>
    </xdr:to>
    <xdr:sp macro="GoPump" textlink="">
      <xdr:nvSpPr>
        <xdr:cNvPr id="17" name="Parallelogram 16">
          <a:extLst>
            <a:ext uri="{FF2B5EF4-FFF2-40B4-BE49-F238E27FC236}">
              <a16:creationId xmlns:a16="http://schemas.microsoft.com/office/drawing/2014/main" id="{00000000-0008-0000-0400-000011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6</xdr:col>
      <xdr:colOff>211306</xdr:colOff>
      <xdr:row>0</xdr:row>
      <xdr:rowOff>95250</xdr:rowOff>
    </xdr:from>
    <xdr:to>
      <xdr:col>8</xdr:col>
      <xdr:colOff>341293</xdr:colOff>
      <xdr:row>2</xdr:row>
      <xdr:rowOff>96575</xdr:rowOff>
    </xdr:to>
    <xdr:sp macro="GoFinancials" textlink="">
      <xdr:nvSpPr>
        <xdr:cNvPr id="18" name="Parallelogram 17">
          <a:extLst>
            <a:ext uri="{FF2B5EF4-FFF2-40B4-BE49-F238E27FC236}">
              <a16:creationId xmlns:a16="http://schemas.microsoft.com/office/drawing/2014/main" id="{00000000-0008-0000-0400-000012000000}"/>
            </a:ext>
          </a:extLst>
        </xdr:cNvPr>
        <xdr:cNvSpPr/>
      </xdr:nvSpPr>
      <xdr:spPr>
        <a:xfrm>
          <a:off x="6895134" y="95250"/>
          <a:ext cx="182880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xdr:from>
      <xdr:col>20</xdr:col>
      <xdr:colOff>0</xdr:colOff>
      <xdr:row>97</xdr:row>
      <xdr:rowOff>126310</xdr:rowOff>
    </xdr:from>
    <xdr:to>
      <xdr:col>20</xdr:col>
      <xdr:colOff>0</xdr:colOff>
      <xdr:row>111</xdr:row>
      <xdr:rowOff>124240</xdr:rowOff>
    </xdr:to>
    <xdr:graphicFrame macro="">
      <xdr:nvGraphicFramePr>
        <xdr:cNvPr id="40" name="Chart 39">
          <a:extLst>
            <a:ext uri="{FF2B5EF4-FFF2-40B4-BE49-F238E27FC236}">
              <a16:creationId xmlns:a16="http://schemas.microsoft.com/office/drawing/2014/main" i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47</xdr:row>
      <xdr:rowOff>124239</xdr:rowOff>
    </xdr:from>
    <xdr:to>
      <xdr:col>12</xdr:col>
      <xdr:colOff>2898</xdr:colOff>
      <xdr:row>59</xdr:row>
      <xdr:rowOff>134471</xdr:rowOff>
    </xdr:to>
    <xdr:graphicFrame macro="">
      <xdr:nvGraphicFramePr>
        <xdr:cNvPr id="54" name="Chart 53" title="10 year Cash Flow">
          <a:extLst>
            <a:ext uri="{FF2B5EF4-FFF2-40B4-BE49-F238E27FC236}">
              <a16:creationId xmlns:a16="http://schemas.microsoft.com/office/drawing/2014/main" id="{00000000-0008-0000-04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19049</xdr:colOff>
      <xdr:row>79</xdr:row>
      <xdr:rowOff>126310</xdr:rowOff>
    </xdr:from>
    <xdr:to>
      <xdr:col>11</xdr:col>
      <xdr:colOff>815010</xdr:colOff>
      <xdr:row>93</xdr:row>
      <xdr:rowOff>140805</xdr:rowOff>
    </xdr:to>
    <xdr:graphicFrame macro="">
      <xdr:nvGraphicFramePr>
        <xdr:cNvPr id="55" name="Chart 54">
          <a:extLst>
            <a:ext uri="{FF2B5EF4-FFF2-40B4-BE49-F238E27FC236}">
              <a16:creationId xmlns:a16="http://schemas.microsoft.com/office/drawing/2014/main" id="{00000000-0008-0000-04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62</xdr:row>
      <xdr:rowOff>92352</xdr:rowOff>
    </xdr:from>
    <xdr:to>
      <xdr:col>11</xdr:col>
      <xdr:colOff>816251</xdr:colOff>
      <xdr:row>76</xdr:row>
      <xdr:rowOff>16566</xdr:rowOff>
    </xdr:to>
    <xdr:graphicFrame macro="">
      <xdr:nvGraphicFramePr>
        <xdr:cNvPr id="56" name="Chart 55">
          <a:extLst>
            <a:ext uri="{FF2B5EF4-FFF2-40B4-BE49-F238E27FC236}">
              <a16:creationId xmlns:a16="http://schemas.microsoft.com/office/drawing/2014/main" id="{00000000-0008-0000-04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97</xdr:row>
      <xdr:rowOff>126310</xdr:rowOff>
    </xdr:from>
    <xdr:to>
      <xdr:col>12</xdr:col>
      <xdr:colOff>4358</xdr:colOff>
      <xdr:row>111</xdr:row>
      <xdr:rowOff>124240</xdr:rowOff>
    </xdr:to>
    <xdr:graphicFrame macro="">
      <xdr:nvGraphicFramePr>
        <xdr:cNvPr id="57" name="Chart 56">
          <a:extLst>
            <a:ext uri="{FF2B5EF4-FFF2-40B4-BE49-F238E27FC236}">
              <a16:creationId xmlns:a16="http://schemas.microsoft.com/office/drawing/2014/main" id="{00000000-0008-0000-04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2314574</xdr:colOff>
      <xdr:row>3</xdr:row>
      <xdr:rowOff>85724</xdr:rowOff>
    </xdr:from>
    <xdr:to>
      <xdr:col>12</xdr:col>
      <xdr:colOff>9522</xdr:colOff>
      <xdr:row>7</xdr:row>
      <xdr:rowOff>295275</xdr:rowOff>
    </xdr:to>
    <xdr:sp macro="" textlink="">
      <xdr:nvSpPr>
        <xdr:cNvPr id="58" name="Rounded Rectangle 57">
          <a:extLst>
            <a:ext uri="{FF2B5EF4-FFF2-40B4-BE49-F238E27FC236}">
              <a16:creationId xmlns:a16="http://schemas.microsoft.com/office/drawing/2014/main" id="{00000000-0008-0000-0400-00003A000000}"/>
            </a:ext>
          </a:extLst>
        </xdr:cNvPr>
        <xdr:cNvSpPr/>
      </xdr:nvSpPr>
      <xdr:spPr>
        <a:xfrm>
          <a:off x="2314574" y="638174"/>
          <a:ext cx="8982073" cy="971551"/>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800" spc="100" baseline="0">
              <a:solidFill>
                <a:schemeClr val="bg1"/>
              </a:solidFill>
              <a:effectLst>
                <a:outerShdw blurRad="25400" dist="25400" dir="2700000" algn="tl" rotWithShape="0">
                  <a:prstClr val="black">
                    <a:alpha val="80000"/>
                  </a:prstClr>
                </a:outerShdw>
              </a:effectLst>
              <a:latin typeface="HelveticaNeueLT Std Lt"/>
            </a:rPr>
            <a:t>FINANCIAL ANALYSIS OF EFFICIENCY IMPROVEMENTS
Simulating Streams of Cash Inflows and Outflows
*Sample Analysis*</a:t>
          </a:r>
          <a:endParaRPr lang="en-US" sz="1100" i="0" spc="100" baseline="0">
            <a:solidFill>
              <a:schemeClr val="bg1"/>
            </a:solidFill>
            <a:effectLst>
              <a:outerShdw blurRad="25400" dist="25400" dir="2700000" algn="tl" rotWithShape="0">
                <a:prstClr val="black">
                  <a:alpha val="80000"/>
                </a:prstClr>
              </a:outerShdw>
            </a:effectLst>
            <a:latin typeface="HelveticaNeueLT Std Lt"/>
          </a:endParaRPr>
        </a:p>
      </xdr:txBody>
    </xdr:sp>
    <xdr:clientData/>
  </xdr:twoCellAnchor>
  <xdr:twoCellAnchor>
    <xdr:from>
      <xdr:col>1</xdr:col>
      <xdr:colOff>0</xdr:colOff>
      <xdr:row>95</xdr:row>
      <xdr:rowOff>142874</xdr:rowOff>
    </xdr:from>
    <xdr:to>
      <xdr:col>12</xdr:col>
      <xdr:colOff>4142</xdr:colOff>
      <xdr:row>97</xdr:row>
      <xdr:rowOff>56733</xdr:rowOff>
    </xdr:to>
    <xdr:sp macro="" textlink="">
      <xdr:nvSpPr>
        <xdr:cNvPr id="59" name="Rounded Rectangle 58">
          <a:extLst>
            <a:ext uri="{FF2B5EF4-FFF2-40B4-BE49-F238E27FC236}">
              <a16:creationId xmlns:a16="http://schemas.microsoft.com/office/drawing/2014/main" id="{00000000-0008-0000-0400-00003B000000}"/>
            </a:ext>
          </a:extLst>
        </xdr:cNvPr>
        <xdr:cNvSpPr/>
      </xdr:nvSpPr>
      <xdr:spPr>
        <a:xfrm>
          <a:off x="2352675" y="18697574"/>
          <a:ext cx="8938592" cy="294859"/>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PRESENT VALUE</a:t>
          </a:r>
        </a:p>
      </xdr:txBody>
    </xdr:sp>
    <xdr:clientData/>
  </xdr:twoCellAnchor>
  <xdr:twoCellAnchor>
    <xdr:from>
      <xdr:col>1</xdr:col>
      <xdr:colOff>0</xdr:colOff>
      <xdr:row>77</xdr:row>
      <xdr:rowOff>133351</xdr:rowOff>
    </xdr:from>
    <xdr:to>
      <xdr:col>12</xdr:col>
      <xdr:colOff>0</xdr:colOff>
      <xdr:row>79</xdr:row>
      <xdr:rowOff>61289</xdr:rowOff>
    </xdr:to>
    <xdr:sp macro="" textlink="">
      <xdr:nvSpPr>
        <xdr:cNvPr id="60" name="Rounded Rectangle 59">
          <a:extLst>
            <a:ext uri="{FF2B5EF4-FFF2-40B4-BE49-F238E27FC236}">
              <a16:creationId xmlns:a16="http://schemas.microsoft.com/office/drawing/2014/main" id="{00000000-0008-0000-0400-00003C000000}"/>
            </a:ext>
          </a:extLst>
        </xdr:cNvPr>
        <xdr:cNvSpPr/>
      </xdr:nvSpPr>
      <xdr:spPr>
        <a:xfrm>
          <a:off x="2352675" y="15420976"/>
          <a:ext cx="8934450" cy="30893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PRESENT VALUE</a:t>
          </a:r>
        </a:p>
      </xdr:txBody>
    </xdr:sp>
    <xdr:clientData/>
  </xdr:twoCellAnchor>
  <xdr:twoCellAnchor>
    <xdr:from>
      <xdr:col>1</xdr:col>
      <xdr:colOff>0</xdr:colOff>
      <xdr:row>60</xdr:row>
      <xdr:rowOff>104775</xdr:rowOff>
    </xdr:from>
    <xdr:to>
      <xdr:col>12</xdr:col>
      <xdr:colOff>3728</xdr:colOff>
      <xdr:row>62</xdr:row>
      <xdr:rowOff>14907</xdr:rowOff>
    </xdr:to>
    <xdr:sp macro="" textlink="">
      <xdr:nvSpPr>
        <xdr:cNvPr id="61" name="Rounded Rectangle 60">
          <a:extLst>
            <a:ext uri="{FF2B5EF4-FFF2-40B4-BE49-F238E27FC236}">
              <a16:creationId xmlns:a16="http://schemas.microsoft.com/office/drawing/2014/main" id="{00000000-0008-0000-0400-00003D000000}"/>
            </a:ext>
          </a:extLst>
        </xdr:cNvPr>
        <xdr:cNvSpPr/>
      </xdr:nvSpPr>
      <xdr:spPr>
        <a:xfrm>
          <a:off x="2352675" y="12258675"/>
          <a:ext cx="8938178" cy="291132"/>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CASH FLOW</a:t>
          </a:r>
        </a:p>
      </xdr:txBody>
    </xdr:sp>
    <xdr:clientData/>
  </xdr:twoCellAnchor>
  <xdr:twoCellAnchor>
    <xdr:from>
      <xdr:col>1</xdr:col>
      <xdr:colOff>9525</xdr:colOff>
      <xdr:row>45</xdr:row>
      <xdr:rowOff>180975</xdr:rowOff>
    </xdr:from>
    <xdr:to>
      <xdr:col>12</xdr:col>
      <xdr:colOff>1</xdr:colOff>
      <xdr:row>47</xdr:row>
      <xdr:rowOff>51350</xdr:rowOff>
    </xdr:to>
    <xdr:sp macro="" textlink="">
      <xdr:nvSpPr>
        <xdr:cNvPr id="62" name="Rounded Rectangle 61">
          <a:extLst>
            <a:ext uri="{FF2B5EF4-FFF2-40B4-BE49-F238E27FC236}">
              <a16:creationId xmlns:a16="http://schemas.microsoft.com/office/drawing/2014/main" id="{00000000-0008-0000-0400-00003E000000}"/>
            </a:ext>
          </a:extLst>
        </xdr:cNvPr>
        <xdr:cNvSpPr/>
      </xdr:nvSpPr>
      <xdr:spPr>
        <a:xfrm>
          <a:off x="2362200" y="9439275"/>
          <a:ext cx="8924926" cy="28947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CASH FLOW</a:t>
          </a:r>
        </a:p>
      </xdr:txBody>
    </xdr:sp>
    <xdr:clientData/>
  </xdr:twoCellAnchor>
  <xdr:twoCellAnchor>
    <xdr:from>
      <xdr:col>1</xdr:col>
      <xdr:colOff>0</xdr:colOff>
      <xdr:row>23</xdr:row>
      <xdr:rowOff>77856</xdr:rowOff>
    </xdr:from>
    <xdr:to>
      <xdr:col>12</xdr:col>
      <xdr:colOff>11597</xdr:colOff>
      <xdr:row>24</xdr:row>
      <xdr:rowOff>135834</xdr:rowOff>
    </xdr:to>
    <xdr:sp macro="" textlink="">
      <xdr:nvSpPr>
        <xdr:cNvPr id="63" name="Rounded Rectangle 62">
          <a:extLst>
            <a:ext uri="{FF2B5EF4-FFF2-40B4-BE49-F238E27FC236}">
              <a16:creationId xmlns:a16="http://schemas.microsoft.com/office/drawing/2014/main" id="{00000000-0008-0000-0400-00003F000000}"/>
            </a:ext>
          </a:extLst>
        </xdr:cNvPr>
        <xdr:cNvSpPr/>
      </xdr:nvSpPr>
      <xdr:spPr>
        <a:xfrm>
          <a:off x="2381250" y="5249931"/>
          <a:ext cx="8946047" cy="24847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INFLOWS</a:t>
          </a:r>
        </a:p>
      </xdr:txBody>
    </xdr:sp>
    <xdr:clientData/>
  </xdr:twoCellAnchor>
  <xdr:twoCellAnchor>
    <xdr:from>
      <xdr:col>1</xdr:col>
      <xdr:colOff>2071</xdr:colOff>
      <xdr:row>15</xdr:row>
      <xdr:rowOff>64601</xdr:rowOff>
    </xdr:from>
    <xdr:to>
      <xdr:col>11</xdr:col>
      <xdr:colOff>892868</xdr:colOff>
      <xdr:row>16</xdr:row>
      <xdr:rowOff>122579</xdr:rowOff>
    </xdr:to>
    <xdr:sp macro="" textlink="">
      <xdr:nvSpPr>
        <xdr:cNvPr id="64" name="Rounded Rectangle 63">
          <a:extLst>
            <a:ext uri="{FF2B5EF4-FFF2-40B4-BE49-F238E27FC236}">
              <a16:creationId xmlns:a16="http://schemas.microsoft.com/office/drawing/2014/main" id="{00000000-0008-0000-0400-000040000000}"/>
            </a:ext>
          </a:extLst>
        </xdr:cNvPr>
        <xdr:cNvSpPr/>
      </xdr:nvSpPr>
      <xdr:spPr>
        <a:xfrm>
          <a:off x="2383321" y="3693626"/>
          <a:ext cx="8929897" cy="24847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OUTFLOWS</a:t>
          </a:r>
        </a:p>
      </xdr:txBody>
    </xdr:sp>
    <xdr:clientData/>
  </xdr:twoCellAnchor>
  <xdr:twoCellAnchor editAs="absolute">
    <xdr:from>
      <xdr:col>12</xdr:col>
      <xdr:colOff>814746</xdr:colOff>
      <xdr:row>3</xdr:row>
      <xdr:rowOff>105042</xdr:rowOff>
    </xdr:from>
    <xdr:to>
      <xdr:col>14</xdr:col>
      <xdr:colOff>453889</xdr:colOff>
      <xdr:row>5</xdr:row>
      <xdr:rowOff>173900</xdr:rowOff>
    </xdr:to>
    <xdr:pic macro="FinancialsPDF">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597171" y="657492"/>
          <a:ext cx="1296493" cy="449858"/>
        </a:xfrm>
        <a:prstGeom prst="rect">
          <a:avLst/>
        </a:prstGeom>
      </xdr:spPr>
    </xdr:pic>
    <xdr:clientData fPrintsWithSheet="0"/>
  </xdr:twoCellAnchor>
  <xdr:twoCellAnchor editAs="oneCell">
    <xdr:from>
      <xdr:col>12</xdr:col>
      <xdr:colOff>810706</xdr:colOff>
      <xdr:row>6</xdr:row>
      <xdr:rowOff>37718</xdr:rowOff>
    </xdr:from>
    <xdr:to>
      <xdr:col>14</xdr:col>
      <xdr:colOff>440543</xdr:colOff>
      <xdr:row>7</xdr:row>
      <xdr:rowOff>292241</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386821" y="1150081"/>
          <a:ext cx="1270101" cy="443059"/>
        </a:xfrm>
        <a:prstGeom prst="rect">
          <a:avLst/>
        </a:prstGeom>
      </xdr:spPr>
    </xdr:pic>
    <xdr:clientData fPrintsWithSheet="0"/>
  </xdr:twoCellAnchor>
  <xdr:twoCellAnchor editAs="oneCell">
    <xdr:from>
      <xdr:col>1</xdr:col>
      <xdr:colOff>28280</xdr:colOff>
      <xdr:row>8</xdr:row>
      <xdr:rowOff>28280</xdr:rowOff>
    </xdr:from>
    <xdr:to>
      <xdr:col>1</xdr:col>
      <xdr:colOff>165440</xdr:colOff>
      <xdr:row>8</xdr:row>
      <xdr:rowOff>165440</xdr:rowOff>
    </xdr:to>
    <xdr:sp macro="InfoClick" textlink="">
      <xdr:nvSpPr>
        <xdr:cNvPr id="23" name="Oval 22">
          <a:extLst>
            <a:ext uri="{FF2B5EF4-FFF2-40B4-BE49-F238E27FC236}">
              <a16:creationId xmlns:a16="http://schemas.microsoft.com/office/drawing/2014/main" id="{00000000-0008-0000-0400-000017000000}"/>
            </a:ext>
          </a:extLst>
        </xdr:cNvPr>
        <xdr:cNvSpPr>
          <a:spLocks noChangeAspect="1"/>
        </xdr:cNvSpPr>
      </xdr:nvSpPr>
      <xdr:spPr>
        <a:xfrm>
          <a:off x="2356701" y="178166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20424</xdr:colOff>
      <xdr:row>11</xdr:row>
      <xdr:rowOff>29851</xdr:rowOff>
    </xdr:from>
    <xdr:to>
      <xdr:col>1</xdr:col>
      <xdr:colOff>157584</xdr:colOff>
      <xdr:row>11</xdr:row>
      <xdr:rowOff>167011</xdr:rowOff>
    </xdr:to>
    <xdr:sp macro="InfoClick" textlink="">
      <xdr:nvSpPr>
        <xdr:cNvPr id="24" name="Oval 23">
          <a:extLst>
            <a:ext uri="{FF2B5EF4-FFF2-40B4-BE49-F238E27FC236}">
              <a16:creationId xmlns:a16="http://schemas.microsoft.com/office/drawing/2014/main" id="{00000000-0008-0000-0400-000018000000}"/>
            </a:ext>
          </a:extLst>
        </xdr:cNvPr>
        <xdr:cNvSpPr>
          <a:spLocks noChangeAspect="1"/>
        </xdr:cNvSpPr>
      </xdr:nvSpPr>
      <xdr:spPr>
        <a:xfrm>
          <a:off x="2348845" y="234884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0</xdr:colOff>
      <xdr:row>17</xdr:row>
      <xdr:rowOff>28280</xdr:rowOff>
    </xdr:from>
    <xdr:to>
      <xdr:col>1</xdr:col>
      <xdr:colOff>137160</xdr:colOff>
      <xdr:row>17</xdr:row>
      <xdr:rowOff>165440</xdr:rowOff>
    </xdr:to>
    <xdr:sp macro="InfoClick" textlink="">
      <xdr:nvSpPr>
        <xdr:cNvPr id="25" name="Oval 24">
          <a:extLst>
            <a:ext uri="{FF2B5EF4-FFF2-40B4-BE49-F238E27FC236}">
              <a16:creationId xmlns:a16="http://schemas.microsoft.com/office/drawing/2014/main" id="{00000000-0008-0000-0400-000019000000}"/>
            </a:ext>
          </a:extLst>
        </xdr:cNvPr>
        <xdr:cNvSpPr>
          <a:spLocks noChangeAspect="1"/>
        </xdr:cNvSpPr>
      </xdr:nvSpPr>
      <xdr:spPr>
        <a:xfrm>
          <a:off x="2328421" y="366702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28281</xdr:colOff>
      <xdr:row>25</xdr:row>
      <xdr:rowOff>18854</xdr:rowOff>
    </xdr:from>
    <xdr:to>
      <xdr:col>2</xdr:col>
      <xdr:colOff>165441</xdr:colOff>
      <xdr:row>25</xdr:row>
      <xdr:rowOff>156014</xdr:rowOff>
    </xdr:to>
    <xdr:sp macro="InfoClick" textlink="">
      <xdr:nvSpPr>
        <xdr:cNvPr id="28" name="Oval 27">
          <a:extLst>
            <a:ext uri="{FF2B5EF4-FFF2-40B4-BE49-F238E27FC236}">
              <a16:creationId xmlns:a16="http://schemas.microsoft.com/office/drawing/2014/main" id="{00000000-0008-0000-0400-00001C000000}"/>
            </a:ext>
          </a:extLst>
        </xdr:cNvPr>
        <xdr:cNvSpPr>
          <a:spLocks noChangeAspect="1"/>
        </xdr:cNvSpPr>
      </xdr:nvSpPr>
      <xdr:spPr>
        <a:xfrm>
          <a:off x="3167407" y="518474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8</xdr:col>
      <xdr:colOff>25147</xdr:colOff>
      <xdr:row>0</xdr:row>
      <xdr:rowOff>95250</xdr:rowOff>
    </xdr:from>
    <xdr:to>
      <xdr:col>10</xdr:col>
      <xdr:colOff>193234</xdr:colOff>
      <xdr:row>2</xdr:row>
      <xdr:rowOff>96575</xdr:rowOff>
    </xdr:to>
    <xdr:sp macro="GoResults" textlink="">
      <xdr:nvSpPr>
        <xdr:cNvPr id="2" name="Parallelogram 1">
          <a:extLst>
            <a:ext uri="{FF2B5EF4-FFF2-40B4-BE49-F238E27FC236}">
              <a16:creationId xmlns:a16="http://schemas.microsoft.com/office/drawing/2014/main" id="{EBE76751-1CDA-42B1-AFD3-6DB89C39F59C}"/>
            </a:ext>
          </a:extLst>
        </xdr:cNvPr>
        <xdr:cNvSpPr/>
      </xdr:nvSpPr>
      <xdr:spPr>
        <a:xfrm>
          <a:off x="8681467" y="95250"/>
          <a:ext cx="1874967" cy="35184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oneCell">
    <xdr:from>
      <xdr:col>0</xdr:col>
      <xdr:colOff>2311400</xdr:colOff>
      <xdr:row>32</xdr:row>
      <xdr:rowOff>22860</xdr:rowOff>
    </xdr:from>
    <xdr:to>
      <xdr:col>0</xdr:col>
      <xdr:colOff>2448560</xdr:colOff>
      <xdr:row>32</xdr:row>
      <xdr:rowOff>160020</xdr:rowOff>
    </xdr:to>
    <xdr:sp macro="InfoClick" textlink="">
      <xdr:nvSpPr>
        <xdr:cNvPr id="3" name="InfoOval_PV">
          <a:extLst>
            <a:ext uri="{FF2B5EF4-FFF2-40B4-BE49-F238E27FC236}">
              <a16:creationId xmlns:a16="http://schemas.microsoft.com/office/drawing/2014/main" id="{688811D0-DA57-01F5-A0C9-5B469B7DFDAC}"/>
            </a:ext>
          </a:extLst>
        </xdr:cNvPr>
        <xdr:cNvSpPr>
          <a:spLocks noChangeAspect="1"/>
        </xdr:cNvSpPr>
      </xdr:nvSpPr>
      <xdr:spPr>
        <a:xfrm>
          <a:off x="2311400" y="64770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39</xdr:row>
      <xdr:rowOff>22860</xdr:rowOff>
    </xdr:from>
    <xdr:to>
      <xdr:col>0</xdr:col>
      <xdr:colOff>2448560</xdr:colOff>
      <xdr:row>39</xdr:row>
      <xdr:rowOff>160020</xdr:rowOff>
    </xdr:to>
    <xdr:sp macro="InfoClick" textlink="">
      <xdr:nvSpPr>
        <xdr:cNvPr id="4" name="InfoOval_NPV">
          <a:extLst>
            <a:ext uri="{FF2B5EF4-FFF2-40B4-BE49-F238E27FC236}">
              <a16:creationId xmlns:a16="http://schemas.microsoft.com/office/drawing/2014/main" id="{CB8109CA-1F4B-9473-D14D-5E96261675F4}"/>
            </a:ext>
          </a:extLst>
        </xdr:cNvPr>
        <xdr:cNvSpPr>
          <a:spLocks noChangeAspect="1"/>
        </xdr:cNvSpPr>
      </xdr:nvSpPr>
      <xdr:spPr>
        <a:xfrm>
          <a:off x="2311400" y="778002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40</xdr:row>
      <xdr:rowOff>22860</xdr:rowOff>
    </xdr:from>
    <xdr:to>
      <xdr:col>0</xdr:col>
      <xdr:colOff>2448560</xdr:colOff>
      <xdr:row>40</xdr:row>
      <xdr:rowOff>160020</xdr:rowOff>
    </xdr:to>
    <xdr:sp macro="InfoClick" textlink="">
      <xdr:nvSpPr>
        <xdr:cNvPr id="5" name="InfoOval_SPP">
          <a:extLst>
            <a:ext uri="{FF2B5EF4-FFF2-40B4-BE49-F238E27FC236}">
              <a16:creationId xmlns:a16="http://schemas.microsoft.com/office/drawing/2014/main" id="{BDC3BE30-7C67-C5AF-971B-6EB8101686B3}"/>
            </a:ext>
          </a:extLst>
        </xdr:cNvPr>
        <xdr:cNvSpPr>
          <a:spLocks noChangeAspect="1"/>
        </xdr:cNvSpPr>
      </xdr:nvSpPr>
      <xdr:spPr>
        <a:xfrm>
          <a:off x="2311400" y="79629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41</xdr:row>
      <xdr:rowOff>22860</xdr:rowOff>
    </xdr:from>
    <xdr:to>
      <xdr:col>0</xdr:col>
      <xdr:colOff>2448560</xdr:colOff>
      <xdr:row>41</xdr:row>
      <xdr:rowOff>160020</xdr:rowOff>
    </xdr:to>
    <xdr:sp macro="InfoClick" textlink="">
      <xdr:nvSpPr>
        <xdr:cNvPr id="6" name="InfoOval_ROI">
          <a:extLst>
            <a:ext uri="{FF2B5EF4-FFF2-40B4-BE49-F238E27FC236}">
              <a16:creationId xmlns:a16="http://schemas.microsoft.com/office/drawing/2014/main" id="{1F4397BB-F44A-7F4A-0414-36543A9AE16B}"/>
            </a:ext>
          </a:extLst>
        </xdr:cNvPr>
        <xdr:cNvSpPr>
          <a:spLocks noChangeAspect="1"/>
        </xdr:cNvSpPr>
      </xdr:nvSpPr>
      <xdr:spPr>
        <a:xfrm>
          <a:off x="2311400" y="814578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42</xdr:row>
      <xdr:rowOff>22860</xdr:rowOff>
    </xdr:from>
    <xdr:to>
      <xdr:col>0</xdr:col>
      <xdr:colOff>2448560</xdr:colOff>
      <xdr:row>42</xdr:row>
      <xdr:rowOff>160020</xdr:rowOff>
    </xdr:to>
    <xdr:sp macro="InfoClick" textlink="">
      <xdr:nvSpPr>
        <xdr:cNvPr id="7" name="InfoOval_IRR">
          <a:extLst>
            <a:ext uri="{FF2B5EF4-FFF2-40B4-BE49-F238E27FC236}">
              <a16:creationId xmlns:a16="http://schemas.microsoft.com/office/drawing/2014/main" id="{51872122-CC3A-C2EB-3A5D-5230BF148C1A}"/>
            </a:ext>
          </a:extLst>
        </xdr:cNvPr>
        <xdr:cNvSpPr>
          <a:spLocks noChangeAspect="1"/>
        </xdr:cNvSpPr>
      </xdr:nvSpPr>
      <xdr:spPr>
        <a:xfrm>
          <a:off x="2311400" y="832866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43</xdr:row>
      <xdr:rowOff>22860</xdr:rowOff>
    </xdr:from>
    <xdr:to>
      <xdr:col>0</xdr:col>
      <xdr:colOff>2448560</xdr:colOff>
      <xdr:row>43</xdr:row>
      <xdr:rowOff>160020</xdr:rowOff>
    </xdr:to>
    <xdr:sp macro="InfoClick" textlink="">
      <xdr:nvSpPr>
        <xdr:cNvPr id="8" name="InfoOval_MIRR">
          <a:extLst>
            <a:ext uri="{FF2B5EF4-FFF2-40B4-BE49-F238E27FC236}">
              <a16:creationId xmlns:a16="http://schemas.microsoft.com/office/drawing/2014/main" id="{CBD87200-2526-DFF8-5FF1-72806C64DCCF}"/>
            </a:ext>
          </a:extLst>
        </xdr:cNvPr>
        <xdr:cNvSpPr>
          <a:spLocks noChangeAspect="1"/>
        </xdr:cNvSpPr>
      </xdr:nvSpPr>
      <xdr:spPr>
        <a:xfrm>
          <a:off x="2311400" y="851154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44</xdr:row>
      <xdr:rowOff>26670</xdr:rowOff>
    </xdr:from>
    <xdr:to>
      <xdr:col>0</xdr:col>
      <xdr:colOff>2448560</xdr:colOff>
      <xdr:row>44</xdr:row>
      <xdr:rowOff>163830</xdr:rowOff>
    </xdr:to>
    <xdr:sp macro="InfoClick" textlink="">
      <xdr:nvSpPr>
        <xdr:cNvPr id="9" name="InfoOval_SIR">
          <a:extLst>
            <a:ext uri="{FF2B5EF4-FFF2-40B4-BE49-F238E27FC236}">
              <a16:creationId xmlns:a16="http://schemas.microsoft.com/office/drawing/2014/main" id="{246224AF-517A-95B3-7FD9-F7CAAEB0A1F7}"/>
            </a:ext>
          </a:extLst>
        </xdr:cNvPr>
        <xdr:cNvSpPr>
          <a:spLocks noChangeAspect="1"/>
        </xdr:cNvSpPr>
      </xdr:nvSpPr>
      <xdr:spPr>
        <a:xfrm>
          <a:off x="2311400" y="869823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46</xdr:row>
      <xdr:rowOff>64516</xdr:rowOff>
    </xdr:from>
    <xdr:to>
      <xdr:col>0</xdr:col>
      <xdr:colOff>2448560</xdr:colOff>
      <xdr:row>46</xdr:row>
      <xdr:rowOff>201676</xdr:rowOff>
    </xdr:to>
    <xdr:sp macro="InfoClick" textlink="">
      <xdr:nvSpPr>
        <xdr:cNvPr id="10" name="InfoOval_CASHFLOW">
          <a:extLst>
            <a:ext uri="{FF2B5EF4-FFF2-40B4-BE49-F238E27FC236}">
              <a16:creationId xmlns:a16="http://schemas.microsoft.com/office/drawing/2014/main" id="{8DC7C6E9-08D4-61AE-56D5-D94FC7BDE993}"/>
            </a:ext>
          </a:extLst>
        </xdr:cNvPr>
        <xdr:cNvSpPr>
          <a:spLocks noChangeAspect="1"/>
        </xdr:cNvSpPr>
      </xdr:nvSpPr>
      <xdr:spPr>
        <a:xfrm>
          <a:off x="2311400" y="94286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60</xdr:row>
      <xdr:rowOff>177528</xdr:rowOff>
    </xdr:from>
    <xdr:to>
      <xdr:col>0</xdr:col>
      <xdr:colOff>2448560</xdr:colOff>
      <xdr:row>61</xdr:row>
      <xdr:rowOff>128421</xdr:rowOff>
    </xdr:to>
    <xdr:sp macro="InfoClick" textlink="">
      <xdr:nvSpPr>
        <xdr:cNvPr id="11" name="InfoOval_CUMCASH">
          <a:extLst>
            <a:ext uri="{FF2B5EF4-FFF2-40B4-BE49-F238E27FC236}">
              <a16:creationId xmlns:a16="http://schemas.microsoft.com/office/drawing/2014/main" id="{70E409DF-6988-592B-5077-503C079DE143}"/>
            </a:ext>
          </a:extLst>
        </xdr:cNvPr>
        <xdr:cNvSpPr>
          <a:spLocks noChangeAspect="1"/>
        </xdr:cNvSpPr>
      </xdr:nvSpPr>
      <xdr:spPr>
        <a:xfrm>
          <a:off x="2311400" y="12183261"/>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78</xdr:row>
      <xdr:rowOff>28740</xdr:rowOff>
    </xdr:from>
    <xdr:to>
      <xdr:col>0</xdr:col>
      <xdr:colOff>2448560</xdr:colOff>
      <xdr:row>78</xdr:row>
      <xdr:rowOff>165900</xdr:rowOff>
    </xdr:to>
    <xdr:sp macro="InfoClick" textlink="">
      <xdr:nvSpPr>
        <xdr:cNvPr id="12" name="InfoOval_PV10">
          <a:extLst>
            <a:ext uri="{FF2B5EF4-FFF2-40B4-BE49-F238E27FC236}">
              <a16:creationId xmlns:a16="http://schemas.microsoft.com/office/drawing/2014/main" id="{2171BA71-0056-CE9D-67FF-73F75A81E438}"/>
            </a:ext>
          </a:extLst>
        </xdr:cNvPr>
        <xdr:cNvSpPr>
          <a:spLocks noChangeAspect="1"/>
        </xdr:cNvSpPr>
      </xdr:nvSpPr>
      <xdr:spPr>
        <a:xfrm>
          <a:off x="2311400" y="1528567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96</xdr:row>
      <xdr:rowOff>31222</xdr:rowOff>
    </xdr:from>
    <xdr:to>
      <xdr:col>0</xdr:col>
      <xdr:colOff>2448560</xdr:colOff>
      <xdr:row>96</xdr:row>
      <xdr:rowOff>168382</xdr:rowOff>
    </xdr:to>
    <xdr:sp macro="InfoClick" textlink="">
      <xdr:nvSpPr>
        <xdr:cNvPr id="19" name="InfoOval_CUMPV">
          <a:extLst>
            <a:ext uri="{FF2B5EF4-FFF2-40B4-BE49-F238E27FC236}">
              <a16:creationId xmlns:a16="http://schemas.microsoft.com/office/drawing/2014/main" id="{A73EF439-DA06-C05F-7F4B-B4FC57BFF236}"/>
            </a:ext>
          </a:extLst>
        </xdr:cNvPr>
        <xdr:cNvSpPr>
          <a:spLocks noChangeAspect="1"/>
        </xdr:cNvSpPr>
      </xdr:nvSpPr>
      <xdr:spPr>
        <a:xfrm>
          <a:off x="2311400" y="1848008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2</xdr:col>
      <xdr:colOff>381000</xdr:colOff>
      <xdr:row>0</xdr:row>
      <xdr:rowOff>95250</xdr:rowOff>
    </xdr:from>
    <xdr:to>
      <xdr:col>2</xdr:col>
      <xdr:colOff>2030647</xdr:colOff>
      <xdr:row>0</xdr:row>
      <xdr:rowOff>458525</xdr:rowOff>
    </xdr:to>
    <xdr:sp macro="GoHome" textlink="">
      <xdr:nvSpPr>
        <xdr:cNvPr id="2" name="Parallelogram 1">
          <a:extLst>
            <a:ext uri="{FF2B5EF4-FFF2-40B4-BE49-F238E27FC236}">
              <a16:creationId xmlns:a16="http://schemas.microsoft.com/office/drawing/2014/main" id="{00000000-0008-0000-0500-000002000000}"/>
            </a:ext>
          </a:extLst>
        </xdr:cNvPr>
        <xdr:cNvSpPr/>
      </xdr:nvSpPr>
      <xdr:spPr>
        <a:xfrm>
          <a:off x="2428875" y="95250"/>
          <a:ext cx="1649647"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2</xdr:col>
      <xdr:colOff>1700004</xdr:colOff>
      <xdr:row>0</xdr:row>
      <xdr:rowOff>95250</xdr:rowOff>
    </xdr:from>
    <xdr:to>
      <xdr:col>2</xdr:col>
      <xdr:colOff>3342611</xdr:colOff>
      <xdr:row>0</xdr:row>
      <xdr:rowOff>458525</xdr:rowOff>
    </xdr:to>
    <xdr:sp macro="GoEnergy" textlink="">
      <xdr:nvSpPr>
        <xdr:cNvPr id="3" name="Parallelogram 2">
          <a:extLst>
            <a:ext uri="{FF2B5EF4-FFF2-40B4-BE49-F238E27FC236}">
              <a16:creationId xmlns:a16="http://schemas.microsoft.com/office/drawing/2014/main" id="{00000000-0008-0000-0500-000003000000}"/>
            </a:ext>
          </a:extLst>
        </xdr:cNvPr>
        <xdr:cNvSpPr/>
      </xdr:nvSpPr>
      <xdr:spPr>
        <a:xfrm>
          <a:off x="3747879" y="95250"/>
          <a:ext cx="1642607"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2</xdr:col>
      <xdr:colOff>3008658</xdr:colOff>
      <xdr:row>0</xdr:row>
      <xdr:rowOff>95250</xdr:rowOff>
    </xdr:from>
    <xdr:to>
      <xdr:col>2</xdr:col>
      <xdr:colOff>4654578</xdr:colOff>
      <xdr:row>0</xdr:row>
      <xdr:rowOff>458525</xdr:rowOff>
    </xdr:to>
    <xdr:sp macro="GoChiller" textlink="">
      <xdr:nvSpPr>
        <xdr:cNvPr id="4" name="Parallelogram 3">
          <a:extLst>
            <a:ext uri="{FF2B5EF4-FFF2-40B4-BE49-F238E27FC236}">
              <a16:creationId xmlns:a16="http://schemas.microsoft.com/office/drawing/2014/main" id="{00000000-0008-0000-0500-000004000000}"/>
            </a:ext>
          </a:extLst>
        </xdr:cNvPr>
        <xdr:cNvSpPr/>
      </xdr:nvSpPr>
      <xdr:spPr>
        <a:xfrm>
          <a:off x="5056533" y="95250"/>
          <a:ext cx="164592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2</xdr:col>
      <xdr:colOff>4327110</xdr:colOff>
      <xdr:row>0</xdr:row>
      <xdr:rowOff>95250</xdr:rowOff>
    </xdr:from>
    <xdr:to>
      <xdr:col>2</xdr:col>
      <xdr:colOff>5973030</xdr:colOff>
      <xdr:row>0</xdr:row>
      <xdr:rowOff>458525</xdr:rowOff>
    </xdr:to>
    <xdr:sp macro="GoPump" textlink="">
      <xdr:nvSpPr>
        <xdr:cNvPr id="5" name="Parallelogram 4">
          <a:extLst>
            <a:ext uri="{FF2B5EF4-FFF2-40B4-BE49-F238E27FC236}">
              <a16:creationId xmlns:a16="http://schemas.microsoft.com/office/drawing/2014/main" id="{00000000-0008-0000-0500-000005000000}"/>
            </a:ext>
          </a:extLst>
        </xdr:cNvPr>
        <xdr:cNvSpPr/>
      </xdr:nvSpPr>
      <xdr:spPr>
        <a:xfrm>
          <a:off x="6374985" y="95250"/>
          <a:ext cx="164592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2</xdr:col>
      <xdr:colOff>5637834</xdr:colOff>
      <xdr:row>0</xdr:row>
      <xdr:rowOff>95250</xdr:rowOff>
    </xdr:from>
    <xdr:to>
      <xdr:col>2</xdr:col>
      <xdr:colOff>7466634</xdr:colOff>
      <xdr:row>0</xdr:row>
      <xdr:rowOff>458525</xdr:rowOff>
    </xdr:to>
    <xdr:sp macro="GoFinancials" textlink="">
      <xdr:nvSpPr>
        <xdr:cNvPr id="6" name="Parallelogram 5">
          <a:extLst>
            <a:ext uri="{FF2B5EF4-FFF2-40B4-BE49-F238E27FC236}">
              <a16:creationId xmlns:a16="http://schemas.microsoft.com/office/drawing/2014/main" id="{00000000-0008-0000-0500-000006000000}"/>
            </a:ext>
          </a:extLst>
        </xdr:cNvPr>
        <xdr:cNvSpPr/>
      </xdr:nvSpPr>
      <xdr:spPr>
        <a:xfrm>
          <a:off x="7685709" y="95250"/>
          <a:ext cx="182880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114300</xdr:colOff>
      <xdr:row>0</xdr:row>
      <xdr:rowOff>68580</xdr:rowOff>
    </xdr:from>
    <xdr:to>
      <xdr:col>0</xdr:col>
      <xdr:colOff>1369695</xdr:colOff>
      <xdr:row>2</xdr:row>
      <xdr:rowOff>152917</xdr:rowOff>
    </xdr:to>
    <xdr:pic>
      <xdr:nvPicPr>
        <xdr:cNvPr id="2" name="Picture 1">
          <a:extLst>
            <a:ext uri="{FF2B5EF4-FFF2-40B4-BE49-F238E27FC236}">
              <a16:creationId xmlns:a16="http://schemas.microsoft.com/office/drawing/2014/main" id="{358DFFF9-5B1D-42A9-8C07-24AF852D40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68580"/>
          <a:ext cx="1255395" cy="450097"/>
        </a:xfrm>
        <a:prstGeom prst="rect">
          <a:avLst/>
        </a:prstGeom>
      </xdr:spPr>
    </xdr:pic>
    <xdr:clientData/>
  </xdr:twoCellAnchor>
  <xdr:twoCellAnchor editAs="absolute">
    <xdr:from>
      <xdr:col>0</xdr:col>
      <xdr:colOff>1578610</xdr:colOff>
      <xdr:row>0</xdr:row>
      <xdr:rowOff>95250</xdr:rowOff>
    </xdr:from>
    <xdr:to>
      <xdr:col>2</xdr:col>
      <xdr:colOff>429812</xdr:colOff>
      <xdr:row>2</xdr:row>
      <xdr:rowOff>104195</xdr:rowOff>
    </xdr:to>
    <xdr:sp macro="GoHome" textlink="">
      <xdr:nvSpPr>
        <xdr:cNvPr id="3" name="Parallelogram 2">
          <a:extLst>
            <a:ext uri="{FF2B5EF4-FFF2-40B4-BE49-F238E27FC236}">
              <a16:creationId xmlns:a16="http://schemas.microsoft.com/office/drawing/2014/main" id="{EA1EB84B-9630-40A0-888D-29E069E03890}"/>
            </a:ext>
          </a:extLst>
        </xdr:cNvPr>
        <xdr:cNvSpPr/>
      </xdr:nvSpPr>
      <xdr:spPr>
        <a:xfrm>
          <a:off x="1578610" y="95250"/>
          <a:ext cx="1708702"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2</xdr:col>
      <xdr:colOff>97790</xdr:colOff>
      <xdr:row>0</xdr:row>
      <xdr:rowOff>95250</xdr:rowOff>
    </xdr:from>
    <xdr:to>
      <xdr:col>4</xdr:col>
      <xdr:colOff>193537</xdr:colOff>
      <xdr:row>2</xdr:row>
      <xdr:rowOff>104195</xdr:rowOff>
    </xdr:to>
    <xdr:sp macro="GoEnergy" textlink="">
      <xdr:nvSpPr>
        <xdr:cNvPr id="4" name="Parallelogram 3">
          <a:extLst>
            <a:ext uri="{FF2B5EF4-FFF2-40B4-BE49-F238E27FC236}">
              <a16:creationId xmlns:a16="http://schemas.microsoft.com/office/drawing/2014/main" id="{AFFEDC79-ECFB-4C82-B31C-574E6AF18F2A}"/>
            </a:ext>
          </a:extLst>
        </xdr:cNvPr>
        <xdr:cNvSpPr/>
      </xdr:nvSpPr>
      <xdr:spPr>
        <a:xfrm>
          <a:off x="2955290" y="95250"/>
          <a:ext cx="1680707"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3</xdr:col>
      <xdr:colOff>588010</xdr:colOff>
      <xdr:row>0</xdr:row>
      <xdr:rowOff>95250</xdr:rowOff>
    </xdr:from>
    <xdr:to>
      <xdr:col>4</xdr:col>
      <xdr:colOff>1569085</xdr:colOff>
      <xdr:row>2</xdr:row>
      <xdr:rowOff>104195</xdr:rowOff>
    </xdr:to>
    <xdr:sp macro="GoChiller" textlink="">
      <xdr:nvSpPr>
        <xdr:cNvPr id="5" name="Parallelogram 4">
          <a:extLst>
            <a:ext uri="{FF2B5EF4-FFF2-40B4-BE49-F238E27FC236}">
              <a16:creationId xmlns:a16="http://schemas.microsoft.com/office/drawing/2014/main" id="{2CCF7308-18CA-4A3F-9B3E-DF6929C2D631}"/>
            </a:ext>
          </a:extLst>
        </xdr:cNvPr>
        <xdr:cNvSpPr/>
      </xdr:nvSpPr>
      <xdr:spPr>
        <a:xfrm>
          <a:off x="4321810" y="95250"/>
          <a:ext cx="16897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4</xdr:col>
      <xdr:colOff>1259840</xdr:colOff>
      <xdr:row>0</xdr:row>
      <xdr:rowOff>95250</xdr:rowOff>
    </xdr:from>
    <xdr:to>
      <xdr:col>6</xdr:col>
      <xdr:colOff>200660</xdr:colOff>
      <xdr:row>2</xdr:row>
      <xdr:rowOff>104195</xdr:rowOff>
    </xdr:to>
    <xdr:sp macro="GoPump" textlink="">
      <xdr:nvSpPr>
        <xdr:cNvPr id="6" name="Parallelogram 5">
          <a:extLst>
            <a:ext uri="{FF2B5EF4-FFF2-40B4-BE49-F238E27FC236}">
              <a16:creationId xmlns:a16="http://schemas.microsoft.com/office/drawing/2014/main" id="{3E13ADED-33E6-4C98-BAB2-7C9E71145CEC}"/>
            </a:ext>
          </a:extLst>
        </xdr:cNvPr>
        <xdr:cNvSpPr/>
      </xdr:nvSpPr>
      <xdr:spPr>
        <a:xfrm>
          <a:off x="5702300" y="95250"/>
          <a:ext cx="1668780" cy="37470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5</xdr:col>
      <xdr:colOff>760730</xdr:colOff>
      <xdr:row>0</xdr:row>
      <xdr:rowOff>95250</xdr:rowOff>
    </xdr:from>
    <xdr:to>
      <xdr:col>8</xdr:col>
      <xdr:colOff>286385</xdr:colOff>
      <xdr:row>2</xdr:row>
      <xdr:rowOff>104195</xdr:rowOff>
    </xdr:to>
    <xdr:sp macro="GoFinancials" textlink="">
      <xdr:nvSpPr>
        <xdr:cNvPr id="7" name="Parallelogram 6">
          <a:extLst>
            <a:ext uri="{FF2B5EF4-FFF2-40B4-BE49-F238E27FC236}">
              <a16:creationId xmlns:a16="http://schemas.microsoft.com/office/drawing/2014/main" id="{D1A8E5DA-A3FD-42BB-8548-4AAA598C40DD}"/>
            </a:ext>
          </a:extLst>
        </xdr:cNvPr>
        <xdr:cNvSpPr/>
      </xdr:nvSpPr>
      <xdr:spPr>
        <a:xfrm>
          <a:off x="7054850"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absolute">
    <xdr:from>
      <xdr:col>7</xdr:col>
      <xdr:colOff>709295</xdr:colOff>
      <xdr:row>0</xdr:row>
      <xdr:rowOff>95250</xdr:rowOff>
    </xdr:from>
    <xdr:to>
      <xdr:col>10</xdr:col>
      <xdr:colOff>372110</xdr:colOff>
      <xdr:row>2</xdr:row>
      <xdr:rowOff>104195</xdr:rowOff>
    </xdr:to>
    <xdr:sp macro="GoResults" textlink="">
      <xdr:nvSpPr>
        <xdr:cNvPr id="8" name="Parallelogram 7">
          <a:extLst>
            <a:ext uri="{FF2B5EF4-FFF2-40B4-BE49-F238E27FC236}">
              <a16:creationId xmlns:a16="http://schemas.microsoft.com/office/drawing/2014/main" id="{D4B65E72-FC32-4EBE-AC21-70440D42920B}"/>
            </a:ext>
          </a:extLst>
        </xdr:cNvPr>
        <xdr:cNvSpPr/>
      </xdr:nvSpPr>
      <xdr:spPr>
        <a:xfrm>
          <a:off x="8618855"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absolute">
    <xdr:from>
      <xdr:col>8</xdr:col>
      <xdr:colOff>241300</xdr:colOff>
      <xdr:row>3</xdr:row>
      <xdr:rowOff>22860</xdr:rowOff>
    </xdr:from>
    <xdr:to>
      <xdr:col>9</xdr:col>
      <xdr:colOff>320276</xdr:colOff>
      <xdr:row>4</xdr:row>
      <xdr:rowOff>114300</xdr:rowOff>
    </xdr:to>
    <xdr:pic macro="ResultsPDF">
      <xdr:nvPicPr>
        <xdr:cNvPr id="9" name="PDFButtonResults">
          <a:extLst>
            <a:ext uri="{FF2B5EF4-FFF2-40B4-BE49-F238E27FC236}">
              <a16:creationId xmlns:a16="http://schemas.microsoft.com/office/drawing/2014/main" id="{513F8279-797A-4A19-935D-6270E943AE3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90000" y="571500"/>
          <a:ext cx="818116" cy="274320"/>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518160</xdr:colOff>
          <xdr:row>7</xdr:row>
          <xdr:rowOff>205740</xdr:rowOff>
        </xdr:to>
        <xdr:sp macro="" textlink="">
          <xdr:nvSpPr>
            <xdr:cNvPr id="7172" name="SpinButtonExploreD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3</xdr:col>
      <xdr:colOff>624840</xdr:colOff>
      <xdr:row>0</xdr:row>
      <xdr:rowOff>63500</xdr:rowOff>
    </xdr:from>
    <xdr:to>
      <xdr:col>4</xdr:col>
      <xdr:colOff>18016</xdr:colOff>
      <xdr:row>1</xdr:row>
      <xdr:rowOff>154940</xdr:rowOff>
    </xdr:to>
    <xdr:pic macro="ConEdPDF">
      <xdr:nvPicPr>
        <xdr:cNvPr id="2" name="PDFButtonConEd">
          <a:extLst>
            <a:ext uri="{FF2B5EF4-FFF2-40B4-BE49-F238E27FC236}">
              <a16:creationId xmlns:a16="http://schemas.microsoft.com/office/drawing/2014/main" id="{43365B61-4124-4844-8598-9D15F672C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63500"/>
          <a:ext cx="818116" cy="27432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353060</xdr:colOff>
      <xdr:row>0</xdr:row>
      <xdr:rowOff>25400</xdr:rowOff>
    </xdr:from>
    <xdr:to>
      <xdr:col>5</xdr:col>
      <xdr:colOff>294876</xdr:colOff>
      <xdr:row>1</xdr:row>
      <xdr:rowOff>116840</xdr:rowOff>
    </xdr:to>
    <xdr:pic macro="ConEdSummaryPDF">
      <xdr:nvPicPr>
        <xdr:cNvPr id="2" name="PDFButtonConEdSummary">
          <a:extLst>
            <a:ext uri="{FF2B5EF4-FFF2-40B4-BE49-F238E27FC236}">
              <a16:creationId xmlns:a16="http://schemas.microsoft.com/office/drawing/2014/main" id="{C6BEA6DB-CF14-46B6-A00C-07BEBCE361F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00" y="25400"/>
          <a:ext cx="818116" cy="274320"/>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9</xdr:col>
      <xdr:colOff>838199</xdr:colOff>
      <xdr:row>11</xdr:row>
      <xdr:rowOff>19049</xdr:rowOff>
    </xdr:from>
    <xdr:to>
      <xdr:col>10</xdr:col>
      <xdr:colOff>137159</xdr:colOff>
      <xdr:row>12</xdr:row>
      <xdr:rowOff>10159</xdr:rowOff>
    </xdr:to>
    <xdr:sp macro="InfoClick" textlink="">
      <xdr:nvSpPr>
        <xdr:cNvPr id="2" name="Oval 1">
          <a:extLst>
            <a:ext uri="{FF2B5EF4-FFF2-40B4-BE49-F238E27FC236}">
              <a16:creationId xmlns:a16="http://schemas.microsoft.com/office/drawing/2014/main" id="{0DB8B620-DC20-4079-8F13-1E33387D9A0D}"/>
            </a:ext>
          </a:extLst>
        </xdr:cNvPr>
        <xdr:cNvSpPr>
          <a:spLocks noChangeAspect="1"/>
        </xdr:cNvSpPr>
      </xdr:nvSpPr>
      <xdr:spPr>
        <a:xfrm>
          <a:off x="5257799" y="267842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16</xdr:row>
      <xdr:rowOff>19049</xdr:rowOff>
    </xdr:from>
    <xdr:to>
      <xdr:col>10</xdr:col>
      <xdr:colOff>137159</xdr:colOff>
      <xdr:row>17</xdr:row>
      <xdr:rowOff>10159</xdr:rowOff>
    </xdr:to>
    <xdr:sp macro="InfoClick" textlink="">
      <xdr:nvSpPr>
        <xdr:cNvPr id="3" name="Oval 2">
          <a:extLst>
            <a:ext uri="{FF2B5EF4-FFF2-40B4-BE49-F238E27FC236}">
              <a16:creationId xmlns:a16="http://schemas.microsoft.com/office/drawing/2014/main" id="{89B7BC24-066B-4182-9DD7-69D0A08E7366}"/>
            </a:ext>
          </a:extLst>
        </xdr:cNvPr>
        <xdr:cNvSpPr>
          <a:spLocks noChangeAspect="1"/>
        </xdr:cNvSpPr>
      </xdr:nvSpPr>
      <xdr:spPr>
        <a:xfrm>
          <a:off x="5257799" y="351662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18</xdr:row>
      <xdr:rowOff>0</xdr:rowOff>
    </xdr:from>
    <xdr:to>
      <xdr:col>10</xdr:col>
      <xdr:colOff>137159</xdr:colOff>
      <xdr:row>18</xdr:row>
      <xdr:rowOff>139065</xdr:rowOff>
    </xdr:to>
    <xdr:sp macro="InfoClick" textlink="">
      <xdr:nvSpPr>
        <xdr:cNvPr id="4" name="Oval 3">
          <a:extLst>
            <a:ext uri="{FF2B5EF4-FFF2-40B4-BE49-F238E27FC236}">
              <a16:creationId xmlns:a16="http://schemas.microsoft.com/office/drawing/2014/main" id="{F43F23F2-0388-48D8-81B6-629724561B5B}"/>
            </a:ext>
          </a:extLst>
        </xdr:cNvPr>
        <xdr:cNvSpPr>
          <a:spLocks noChangeAspect="1"/>
        </xdr:cNvSpPr>
      </xdr:nvSpPr>
      <xdr:spPr>
        <a:xfrm>
          <a:off x="5257799" y="3832860"/>
          <a:ext cx="137160" cy="13906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571499</xdr:colOff>
      <xdr:row>8</xdr:row>
      <xdr:rowOff>19049</xdr:rowOff>
    </xdr:from>
    <xdr:to>
      <xdr:col>4</xdr:col>
      <xdr:colOff>99059</xdr:colOff>
      <xdr:row>9</xdr:row>
      <xdr:rowOff>10159</xdr:rowOff>
    </xdr:to>
    <xdr:sp macro="InfoClick" textlink="">
      <xdr:nvSpPr>
        <xdr:cNvPr id="5" name="Oval 4">
          <a:extLst>
            <a:ext uri="{FF2B5EF4-FFF2-40B4-BE49-F238E27FC236}">
              <a16:creationId xmlns:a16="http://schemas.microsoft.com/office/drawing/2014/main" id="{AF9C56E3-5A38-4A8C-B878-603DAB7D0B6E}"/>
            </a:ext>
          </a:extLst>
        </xdr:cNvPr>
        <xdr:cNvSpPr>
          <a:spLocks noChangeAspect="1"/>
        </xdr:cNvSpPr>
      </xdr:nvSpPr>
      <xdr:spPr>
        <a:xfrm>
          <a:off x="2194559" y="197738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34</xdr:row>
      <xdr:rowOff>19049</xdr:rowOff>
    </xdr:from>
    <xdr:to>
      <xdr:col>10</xdr:col>
      <xdr:colOff>137159</xdr:colOff>
      <xdr:row>34</xdr:row>
      <xdr:rowOff>167893</xdr:rowOff>
    </xdr:to>
    <xdr:sp macro="InfoClick" textlink="">
      <xdr:nvSpPr>
        <xdr:cNvPr id="6" name="Oval 5">
          <a:extLst>
            <a:ext uri="{FF2B5EF4-FFF2-40B4-BE49-F238E27FC236}">
              <a16:creationId xmlns:a16="http://schemas.microsoft.com/office/drawing/2014/main" id="{CA7AE1DC-FEF8-4783-A1E5-7D2E1A6FAEAF}"/>
            </a:ext>
          </a:extLst>
        </xdr:cNvPr>
        <xdr:cNvSpPr>
          <a:spLocks noChangeAspect="1"/>
        </xdr:cNvSpPr>
      </xdr:nvSpPr>
      <xdr:spPr>
        <a:xfrm>
          <a:off x="5257799" y="6945629"/>
          <a:ext cx="137160" cy="14884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43</xdr:row>
      <xdr:rowOff>19049</xdr:rowOff>
    </xdr:from>
    <xdr:to>
      <xdr:col>10</xdr:col>
      <xdr:colOff>137159</xdr:colOff>
      <xdr:row>43</xdr:row>
      <xdr:rowOff>167893</xdr:rowOff>
    </xdr:to>
    <xdr:sp macro="InfoClick" textlink="">
      <xdr:nvSpPr>
        <xdr:cNvPr id="7" name="Oval 6">
          <a:extLst>
            <a:ext uri="{FF2B5EF4-FFF2-40B4-BE49-F238E27FC236}">
              <a16:creationId xmlns:a16="http://schemas.microsoft.com/office/drawing/2014/main" id="{BC9B458B-9250-46F5-A929-00A99BA580C6}"/>
            </a:ext>
          </a:extLst>
        </xdr:cNvPr>
        <xdr:cNvSpPr>
          <a:spLocks noChangeAspect="1"/>
        </xdr:cNvSpPr>
      </xdr:nvSpPr>
      <xdr:spPr>
        <a:xfrm>
          <a:off x="5257799" y="8888729"/>
          <a:ext cx="137160" cy="14884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45</xdr:row>
      <xdr:rowOff>21895</xdr:rowOff>
    </xdr:from>
    <xdr:to>
      <xdr:col>10</xdr:col>
      <xdr:colOff>137159</xdr:colOff>
      <xdr:row>45</xdr:row>
      <xdr:rowOff>169469</xdr:rowOff>
    </xdr:to>
    <xdr:sp macro="InfoClick" textlink="">
      <xdr:nvSpPr>
        <xdr:cNvPr id="8" name="Oval 7">
          <a:extLst>
            <a:ext uri="{FF2B5EF4-FFF2-40B4-BE49-F238E27FC236}">
              <a16:creationId xmlns:a16="http://schemas.microsoft.com/office/drawing/2014/main" id="{7F1F5AE6-EC75-4D2C-90B3-5DD0CDA51861}"/>
            </a:ext>
          </a:extLst>
        </xdr:cNvPr>
        <xdr:cNvSpPr>
          <a:spLocks noChangeAspect="1"/>
        </xdr:cNvSpPr>
      </xdr:nvSpPr>
      <xdr:spPr>
        <a:xfrm>
          <a:off x="5257799" y="9226855"/>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16</xdr:col>
      <xdr:colOff>84942</xdr:colOff>
      <xdr:row>23</xdr:row>
      <xdr:rowOff>134333</xdr:rowOff>
    </xdr:from>
    <xdr:to>
      <xdr:col>24</xdr:col>
      <xdr:colOff>188536</xdr:colOff>
      <xdr:row>37</xdr:row>
      <xdr:rowOff>56561</xdr:rowOff>
    </xdr:to>
    <xdr:graphicFrame macro="">
      <xdr:nvGraphicFramePr>
        <xdr:cNvPr id="9" name="ChartEnergyCosts">
          <a:extLst>
            <a:ext uri="{FF2B5EF4-FFF2-40B4-BE49-F238E27FC236}">
              <a16:creationId xmlns:a16="http://schemas.microsoft.com/office/drawing/2014/main" id="{663FF9EA-1C13-4F90-8B4E-B80053D3EE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161925</xdr:colOff>
      <xdr:row>23</xdr:row>
      <xdr:rowOff>40141</xdr:rowOff>
    </xdr:from>
    <xdr:to>
      <xdr:col>15</xdr:col>
      <xdr:colOff>175983</xdr:colOff>
      <xdr:row>26</xdr:row>
      <xdr:rowOff>53914</xdr:rowOff>
    </xdr:to>
    <xdr:pic macro="ShowCostChart">
      <xdr:nvPicPr>
        <xdr:cNvPr id="10" name="ChartView" hidden="1">
          <a:extLst>
            <a:ext uri="{FF2B5EF4-FFF2-40B4-BE49-F238E27FC236}">
              <a16:creationId xmlns:a16="http://schemas.microsoft.com/office/drawing/2014/main" id="{B3F6F45F-C609-487B-8DC3-CB3A2280AF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7645" y="4924561"/>
          <a:ext cx="623658" cy="562413"/>
        </a:xfrm>
        <a:prstGeom prst="rect">
          <a:avLst/>
        </a:prstGeom>
      </xdr:spPr>
    </xdr:pic>
    <xdr:clientData fPrintsWithSheet="0"/>
  </xdr:twoCellAnchor>
  <xdr:twoCellAnchor editAs="oneCell">
    <xdr:from>
      <xdr:col>14</xdr:col>
      <xdr:colOff>152400</xdr:colOff>
      <xdr:row>23</xdr:row>
      <xdr:rowOff>57830</xdr:rowOff>
    </xdr:from>
    <xdr:to>
      <xdr:col>15</xdr:col>
      <xdr:colOff>152485</xdr:colOff>
      <xdr:row>26</xdr:row>
      <xdr:rowOff>55272</xdr:rowOff>
    </xdr:to>
    <xdr:pic macro="HideCostChart">
      <xdr:nvPicPr>
        <xdr:cNvPr id="11" name="ChartHide">
          <a:extLst>
            <a:ext uri="{FF2B5EF4-FFF2-40B4-BE49-F238E27FC236}">
              <a16:creationId xmlns:a16="http://schemas.microsoft.com/office/drawing/2014/main" id="{101BD3CB-932D-4417-8123-1EA00B72AA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18120" y="4942250"/>
          <a:ext cx="609685" cy="546082"/>
        </a:xfrm>
        <a:prstGeom prst="rect">
          <a:avLst/>
        </a:prstGeom>
      </xdr:spPr>
    </xdr:pic>
    <xdr:clientData fPrintsWithSheet="0"/>
  </xdr:twoCellAnchor>
  <xdr:twoCellAnchor>
    <xdr:from>
      <xdr:col>16</xdr:col>
      <xdr:colOff>84943</xdr:colOff>
      <xdr:row>37</xdr:row>
      <xdr:rowOff>227224</xdr:rowOff>
    </xdr:from>
    <xdr:to>
      <xdr:col>24</xdr:col>
      <xdr:colOff>197964</xdr:colOff>
      <xdr:row>49</xdr:row>
      <xdr:rowOff>113120</xdr:rowOff>
    </xdr:to>
    <xdr:graphicFrame macro="">
      <xdr:nvGraphicFramePr>
        <xdr:cNvPr id="12" name="ChartFinancialResults">
          <a:extLst>
            <a:ext uri="{FF2B5EF4-FFF2-40B4-BE49-F238E27FC236}">
              <a16:creationId xmlns:a16="http://schemas.microsoft.com/office/drawing/2014/main" id="{99A7C8EF-BBBD-480E-90D1-ED54D4E3D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152400</xdr:colOff>
      <xdr:row>37</xdr:row>
      <xdr:rowOff>383041</xdr:rowOff>
    </xdr:from>
    <xdr:to>
      <xdr:col>15</xdr:col>
      <xdr:colOff>177888</xdr:colOff>
      <xdr:row>40</xdr:row>
      <xdr:rowOff>180279</xdr:rowOff>
    </xdr:to>
    <xdr:pic macro="ShowFinancialChart">
      <xdr:nvPicPr>
        <xdr:cNvPr id="13" name="ChartView2" hidden="1">
          <a:extLst>
            <a:ext uri="{FF2B5EF4-FFF2-40B4-BE49-F238E27FC236}">
              <a16:creationId xmlns:a16="http://schemas.microsoft.com/office/drawing/2014/main" id="{56FF23C8-ECCD-44A1-9605-2933FE73D8E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8120" y="7812541"/>
          <a:ext cx="635088" cy="543998"/>
        </a:xfrm>
        <a:prstGeom prst="rect">
          <a:avLst/>
        </a:prstGeom>
      </xdr:spPr>
    </xdr:pic>
    <xdr:clientData fPrintsWithSheet="0"/>
  </xdr:twoCellAnchor>
  <xdr:twoCellAnchor editAs="oneCell">
    <xdr:from>
      <xdr:col>14</xdr:col>
      <xdr:colOff>142875</xdr:colOff>
      <xdr:row>37</xdr:row>
      <xdr:rowOff>400730</xdr:rowOff>
    </xdr:from>
    <xdr:to>
      <xdr:col>15</xdr:col>
      <xdr:colOff>137880</xdr:colOff>
      <xdr:row>40</xdr:row>
      <xdr:rowOff>158777</xdr:rowOff>
    </xdr:to>
    <xdr:pic macro="HideFinanicalChart">
      <xdr:nvPicPr>
        <xdr:cNvPr id="14" name="ChartHide2">
          <a:extLst>
            <a:ext uri="{FF2B5EF4-FFF2-40B4-BE49-F238E27FC236}">
              <a16:creationId xmlns:a16="http://schemas.microsoft.com/office/drawing/2014/main" id="{8DB75856-0E6F-403A-982F-FB2E2455977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08595" y="7830230"/>
          <a:ext cx="604605" cy="527667"/>
        </a:xfrm>
        <a:prstGeom prst="rect">
          <a:avLst/>
        </a:prstGeom>
      </xdr:spPr>
    </xdr:pic>
    <xdr:clientData fPrintsWithSheet="0"/>
  </xdr:twoCellAnchor>
  <xdr:twoCellAnchor>
    <xdr:from>
      <xdr:col>1</xdr:col>
      <xdr:colOff>0</xdr:colOff>
      <xdr:row>9</xdr:row>
      <xdr:rowOff>95250</xdr:rowOff>
    </xdr:from>
    <xdr:to>
      <xdr:col>14</xdr:col>
      <xdr:colOff>9525</xdr:colOff>
      <xdr:row>9</xdr:row>
      <xdr:rowOff>323850</xdr:rowOff>
    </xdr:to>
    <xdr:sp macro="" textlink="">
      <xdr:nvSpPr>
        <xdr:cNvPr id="15" name="Rounded Rectangle 36">
          <a:extLst>
            <a:ext uri="{FF2B5EF4-FFF2-40B4-BE49-F238E27FC236}">
              <a16:creationId xmlns:a16="http://schemas.microsoft.com/office/drawing/2014/main" id="{8E90BC11-CB99-4F80-AF5E-3F861098617B}"/>
            </a:ext>
          </a:extLst>
        </xdr:cNvPr>
        <xdr:cNvSpPr/>
      </xdr:nvSpPr>
      <xdr:spPr>
        <a:xfrm>
          <a:off x="716280" y="222123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DATA: CHILLED WATER PLANT</a:t>
          </a:r>
        </a:p>
      </xdr:txBody>
    </xdr:sp>
    <xdr:clientData/>
  </xdr:twoCellAnchor>
  <xdr:twoCellAnchor editAs="oneCell">
    <xdr:from>
      <xdr:col>0</xdr:col>
      <xdr:colOff>688154</xdr:colOff>
      <xdr:row>2</xdr:row>
      <xdr:rowOff>104775</xdr:rowOff>
    </xdr:from>
    <xdr:to>
      <xdr:col>12</xdr:col>
      <xdr:colOff>299534</xdr:colOff>
      <xdr:row>8</xdr:row>
      <xdr:rowOff>116718</xdr:rowOff>
    </xdr:to>
    <xdr:pic>
      <xdr:nvPicPr>
        <xdr:cNvPr id="16" name="Picture 15">
          <a:extLst>
            <a:ext uri="{FF2B5EF4-FFF2-40B4-BE49-F238E27FC236}">
              <a16:creationId xmlns:a16="http://schemas.microsoft.com/office/drawing/2014/main" id="{47C3F3CC-2540-4E8E-BDAB-1FA7498EA56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8" r="138"/>
        <a:stretch/>
      </xdr:blipFill>
      <xdr:spPr>
        <a:xfrm>
          <a:off x="688154" y="440055"/>
          <a:ext cx="7002780" cy="1109223"/>
        </a:xfrm>
        <a:prstGeom prst="rect">
          <a:avLst/>
        </a:prstGeom>
      </xdr:spPr>
    </xdr:pic>
    <xdr:clientData/>
  </xdr:twoCellAnchor>
  <xdr:twoCellAnchor>
    <xdr:from>
      <xdr:col>1</xdr:col>
      <xdr:colOff>0</xdr:colOff>
      <xdr:row>22</xdr:row>
      <xdr:rowOff>114300</xdr:rowOff>
    </xdr:from>
    <xdr:to>
      <xdr:col>14</xdr:col>
      <xdr:colOff>9525</xdr:colOff>
      <xdr:row>22</xdr:row>
      <xdr:rowOff>342900</xdr:rowOff>
    </xdr:to>
    <xdr:sp macro="" textlink="">
      <xdr:nvSpPr>
        <xdr:cNvPr id="17" name="Rounded Rectangle 41">
          <a:extLst>
            <a:ext uri="{FF2B5EF4-FFF2-40B4-BE49-F238E27FC236}">
              <a16:creationId xmlns:a16="http://schemas.microsoft.com/office/drawing/2014/main" id="{397650F6-1C20-49BC-A2A8-4A2F3A24DD30}"/>
            </a:ext>
          </a:extLst>
        </xdr:cNvPr>
        <xdr:cNvSpPr/>
      </xdr:nvSpPr>
      <xdr:spPr>
        <a:xfrm>
          <a:off x="716280" y="461772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ANNUAL ENERGY COSTS</a:t>
          </a:r>
        </a:p>
      </xdr:txBody>
    </xdr:sp>
    <xdr:clientData/>
  </xdr:twoCellAnchor>
  <xdr:twoCellAnchor>
    <xdr:from>
      <xdr:col>1</xdr:col>
      <xdr:colOff>0</xdr:colOff>
      <xdr:row>32</xdr:row>
      <xdr:rowOff>114300</xdr:rowOff>
    </xdr:from>
    <xdr:to>
      <xdr:col>14</xdr:col>
      <xdr:colOff>9525</xdr:colOff>
      <xdr:row>32</xdr:row>
      <xdr:rowOff>342900</xdr:rowOff>
    </xdr:to>
    <xdr:sp macro="" textlink="">
      <xdr:nvSpPr>
        <xdr:cNvPr id="18" name="Rounded Rectangle 42">
          <a:extLst>
            <a:ext uri="{FF2B5EF4-FFF2-40B4-BE49-F238E27FC236}">
              <a16:creationId xmlns:a16="http://schemas.microsoft.com/office/drawing/2014/main" id="{F9C60B79-901D-41BD-92D6-D0DC25AF3A66}"/>
            </a:ext>
          </a:extLst>
        </xdr:cNvPr>
        <xdr:cNvSpPr/>
      </xdr:nvSpPr>
      <xdr:spPr>
        <a:xfrm>
          <a:off x="716280" y="649986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FINANCIALS</a:t>
          </a:r>
        </a:p>
      </xdr:txBody>
    </xdr:sp>
    <xdr:clientData/>
  </xdr:twoCellAnchor>
  <xdr:twoCellAnchor>
    <xdr:from>
      <xdr:col>1</xdr:col>
      <xdr:colOff>0</xdr:colOff>
      <xdr:row>37</xdr:row>
      <xdr:rowOff>95250</xdr:rowOff>
    </xdr:from>
    <xdr:to>
      <xdr:col>14</xdr:col>
      <xdr:colOff>9525</xdr:colOff>
      <xdr:row>37</xdr:row>
      <xdr:rowOff>323850</xdr:rowOff>
    </xdr:to>
    <xdr:sp macro="" textlink="">
      <xdr:nvSpPr>
        <xdr:cNvPr id="19" name="Rounded Rectangle 43">
          <a:extLst>
            <a:ext uri="{FF2B5EF4-FFF2-40B4-BE49-F238E27FC236}">
              <a16:creationId xmlns:a16="http://schemas.microsoft.com/office/drawing/2014/main" id="{570F0D2A-A458-42DB-8394-0ABAA4FD61EF}"/>
            </a:ext>
          </a:extLst>
        </xdr:cNvPr>
        <xdr:cNvSpPr/>
      </xdr:nvSpPr>
      <xdr:spPr>
        <a:xfrm>
          <a:off x="716280" y="752475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FINANCIAL ANALYSIS RESULTS</a:t>
          </a:r>
        </a:p>
      </xdr:txBody>
    </xdr:sp>
    <xdr:clientData/>
  </xdr:twoCellAnchor>
  <xdr:twoCellAnchor>
    <xdr:from>
      <xdr:col>1</xdr:col>
      <xdr:colOff>0</xdr:colOff>
      <xdr:row>41</xdr:row>
      <xdr:rowOff>104775</xdr:rowOff>
    </xdr:from>
    <xdr:to>
      <xdr:col>14</xdr:col>
      <xdr:colOff>9525</xdr:colOff>
      <xdr:row>41</xdr:row>
      <xdr:rowOff>333375</xdr:rowOff>
    </xdr:to>
    <xdr:sp macro="" textlink="">
      <xdr:nvSpPr>
        <xdr:cNvPr id="20" name="Rounded Rectangle 44">
          <a:extLst>
            <a:ext uri="{FF2B5EF4-FFF2-40B4-BE49-F238E27FC236}">
              <a16:creationId xmlns:a16="http://schemas.microsoft.com/office/drawing/2014/main" id="{8329B912-CB86-43CF-9E3A-4D6B465E3B6F}"/>
            </a:ext>
          </a:extLst>
        </xdr:cNvPr>
        <xdr:cNvSpPr/>
      </xdr:nvSpPr>
      <xdr:spPr>
        <a:xfrm>
          <a:off x="716280" y="8441055"/>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GREENHOUSE GAS EQUIVALENTS</a:t>
          </a:r>
        </a:p>
      </xdr:txBody>
    </xdr:sp>
    <xdr:clientData/>
  </xdr:twoCellAnchor>
  <xdr:twoCellAnchor>
    <xdr:from>
      <xdr:col>1</xdr:col>
      <xdr:colOff>0</xdr:colOff>
      <xdr:row>46</xdr:row>
      <xdr:rowOff>76200</xdr:rowOff>
    </xdr:from>
    <xdr:to>
      <xdr:col>14</xdr:col>
      <xdr:colOff>9525</xdr:colOff>
      <xdr:row>46</xdr:row>
      <xdr:rowOff>304800</xdr:rowOff>
    </xdr:to>
    <xdr:sp macro="" textlink="">
      <xdr:nvSpPr>
        <xdr:cNvPr id="21" name="Rounded Rectangle 45">
          <a:extLst>
            <a:ext uri="{FF2B5EF4-FFF2-40B4-BE49-F238E27FC236}">
              <a16:creationId xmlns:a16="http://schemas.microsoft.com/office/drawing/2014/main" id="{D2033090-2B04-4265-9DFC-5C400F5519CC}"/>
            </a:ext>
          </a:extLst>
        </xdr:cNvPr>
        <xdr:cNvSpPr/>
      </xdr:nvSpPr>
      <xdr:spPr>
        <a:xfrm>
          <a:off x="716280" y="944880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DISCLAIMER</a:t>
          </a:r>
        </a:p>
      </xdr:txBody>
    </xdr:sp>
    <xdr:clientData/>
  </xdr:twoCellAnchor>
  <xdr:twoCellAnchor editAs="oneCell">
    <xdr:from>
      <xdr:col>15</xdr:col>
      <xdr:colOff>0</xdr:colOff>
      <xdr:row>11</xdr:row>
      <xdr:rowOff>0</xdr:rowOff>
    </xdr:from>
    <xdr:to>
      <xdr:col>16</xdr:col>
      <xdr:colOff>25488</xdr:colOff>
      <xdr:row>14</xdr:row>
      <xdr:rowOff>12503</xdr:rowOff>
    </xdr:to>
    <xdr:pic macro="ShowPieCharts">
      <xdr:nvPicPr>
        <xdr:cNvPr id="22" name="ChartView3" hidden="1">
          <a:extLst>
            <a:ext uri="{FF2B5EF4-FFF2-40B4-BE49-F238E27FC236}">
              <a16:creationId xmlns:a16="http://schemas.microsoft.com/office/drawing/2014/main" id="{0DE820E8-53EB-46A4-84BC-A244D20DFF1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6220" y="2659380"/>
          <a:ext cx="635088" cy="561143"/>
        </a:xfrm>
        <a:prstGeom prst="rect">
          <a:avLst/>
        </a:prstGeom>
      </xdr:spPr>
    </xdr:pic>
    <xdr:clientData fPrintsWithSheet="0"/>
  </xdr:twoCellAnchor>
  <xdr:twoCellAnchor>
    <xdr:from>
      <xdr:col>16</xdr:col>
      <xdr:colOff>82240</xdr:colOff>
      <xdr:row>10</xdr:row>
      <xdr:rowOff>15929</xdr:rowOff>
    </xdr:from>
    <xdr:to>
      <xdr:col>24</xdr:col>
      <xdr:colOff>179110</xdr:colOff>
      <xdr:row>23</xdr:row>
      <xdr:rowOff>977</xdr:rowOff>
    </xdr:to>
    <xdr:grpSp>
      <xdr:nvGrpSpPr>
        <xdr:cNvPr id="23" name="Group 22">
          <a:extLst>
            <a:ext uri="{FF2B5EF4-FFF2-40B4-BE49-F238E27FC236}">
              <a16:creationId xmlns:a16="http://schemas.microsoft.com/office/drawing/2014/main" id="{1F6F2D57-005A-4BB1-BAD1-9135436467BE}"/>
            </a:ext>
          </a:extLst>
        </xdr:cNvPr>
        <xdr:cNvGrpSpPr/>
      </xdr:nvGrpSpPr>
      <xdr:grpSpPr>
        <a:xfrm>
          <a:off x="9835840" y="1852349"/>
          <a:ext cx="4973670" cy="2362488"/>
          <a:chOff x="7362264" y="1410153"/>
          <a:chExt cx="4634552" cy="2739106"/>
        </a:xfrm>
      </xdr:grpSpPr>
      <xdr:graphicFrame macro="">
        <xdr:nvGraphicFramePr>
          <xdr:cNvPr id="24" name="PieChart1">
            <a:extLst>
              <a:ext uri="{FF2B5EF4-FFF2-40B4-BE49-F238E27FC236}">
                <a16:creationId xmlns:a16="http://schemas.microsoft.com/office/drawing/2014/main" id="{3401CADC-0CE0-8FBC-EA6C-42C253CEBB76}"/>
              </a:ext>
            </a:extLst>
          </xdr:cNvPr>
          <xdr:cNvGraphicFramePr/>
        </xdr:nvGraphicFramePr>
        <xdr:xfrm>
          <a:off x="7362264" y="1413583"/>
          <a:ext cx="2314118" cy="272833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5" name="PieChart2">
            <a:extLst>
              <a:ext uri="{FF2B5EF4-FFF2-40B4-BE49-F238E27FC236}">
                <a16:creationId xmlns:a16="http://schemas.microsoft.com/office/drawing/2014/main" id="{B165FA98-0ED5-5DFE-CD35-8640E1D0DA86}"/>
              </a:ext>
            </a:extLst>
          </xdr:cNvPr>
          <xdr:cNvGraphicFramePr>
            <a:graphicFrameLocks/>
          </xdr:cNvGraphicFramePr>
        </xdr:nvGraphicFramePr>
        <xdr:xfrm>
          <a:off x="9761707" y="1410153"/>
          <a:ext cx="2235109" cy="2739106"/>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17</xdr:col>
      <xdr:colOff>99220</xdr:colOff>
      <xdr:row>4</xdr:row>
      <xdr:rowOff>141402</xdr:rowOff>
    </xdr:from>
    <xdr:to>
      <xdr:col>19</xdr:col>
      <xdr:colOff>226167</xdr:colOff>
      <xdr:row>7</xdr:row>
      <xdr:rowOff>47277</xdr:rowOff>
    </xdr:to>
    <xdr:pic>
      <xdr:nvPicPr>
        <xdr:cNvPr id="26" name="Picture 25">
          <a:hlinkClick xmlns:r="http://schemas.openxmlformats.org/officeDocument/2006/relationships" r:id="rId8"/>
          <a:extLst>
            <a:ext uri="{FF2B5EF4-FFF2-40B4-BE49-F238E27FC236}">
              <a16:creationId xmlns:a16="http://schemas.microsoft.com/office/drawing/2014/main" id="{9E66C5F9-2964-4651-92A0-D3C832A1AD7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862220" y="1223442"/>
          <a:ext cx="1346147" cy="454515"/>
        </a:xfrm>
        <a:prstGeom prst="rect">
          <a:avLst/>
        </a:prstGeom>
      </xdr:spPr>
    </xdr:pic>
    <xdr:clientData fPrintsWithSheet="0"/>
  </xdr:twoCellAnchor>
  <xdr:twoCellAnchor>
    <xdr:from>
      <xdr:col>24</xdr:col>
      <xdr:colOff>246547</xdr:colOff>
      <xdr:row>10</xdr:row>
      <xdr:rowOff>14504</xdr:rowOff>
    </xdr:from>
    <xdr:to>
      <xdr:col>26</xdr:col>
      <xdr:colOff>578611</xdr:colOff>
      <xdr:row>22</xdr:row>
      <xdr:rowOff>326312</xdr:rowOff>
    </xdr:to>
    <xdr:graphicFrame macro="">
      <xdr:nvGraphicFramePr>
        <xdr:cNvPr id="27" name="PieChart3">
          <a:extLst>
            <a:ext uri="{FF2B5EF4-FFF2-40B4-BE49-F238E27FC236}">
              <a16:creationId xmlns:a16="http://schemas.microsoft.com/office/drawing/2014/main" id="{F626B310-2F3B-4183-91AB-6FEC788A2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599170</xdr:colOff>
      <xdr:row>39</xdr:row>
      <xdr:rowOff>12470</xdr:rowOff>
    </xdr:from>
    <xdr:to>
      <xdr:col>6</xdr:col>
      <xdr:colOff>136890</xdr:colOff>
      <xdr:row>39</xdr:row>
      <xdr:rowOff>149630</xdr:rowOff>
    </xdr:to>
    <xdr:sp macro="InfoClick" textlink="">
      <xdr:nvSpPr>
        <xdr:cNvPr id="28" name="Oval 27">
          <a:extLst>
            <a:ext uri="{FF2B5EF4-FFF2-40B4-BE49-F238E27FC236}">
              <a16:creationId xmlns:a16="http://schemas.microsoft.com/office/drawing/2014/main" id="{048B9327-E936-4DFD-812F-8E222A1C16A4}"/>
            </a:ext>
          </a:extLst>
        </xdr:cNvPr>
        <xdr:cNvSpPr>
          <a:spLocks noChangeAspect="1"/>
        </xdr:cNvSpPr>
      </xdr:nvSpPr>
      <xdr:spPr>
        <a:xfrm>
          <a:off x="3121390" y="8013470"/>
          <a:ext cx="14732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599907</xdr:colOff>
      <xdr:row>40</xdr:row>
      <xdr:rowOff>14041</xdr:rowOff>
    </xdr:from>
    <xdr:to>
      <xdr:col>6</xdr:col>
      <xdr:colOff>137627</xdr:colOff>
      <xdr:row>40</xdr:row>
      <xdr:rowOff>151201</xdr:rowOff>
    </xdr:to>
    <xdr:sp macro="InfoClick" textlink="">
      <xdr:nvSpPr>
        <xdr:cNvPr id="29" name="Oval 28">
          <a:extLst>
            <a:ext uri="{FF2B5EF4-FFF2-40B4-BE49-F238E27FC236}">
              <a16:creationId xmlns:a16="http://schemas.microsoft.com/office/drawing/2014/main" id="{1C3EF840-C512-4EA1-8779-18B1F79BD2A7}"/>
            </a:ext>
          </a:extLst>
        </xdr:cNvPr>
        <xdr:cNvSpPr>
          <a:spLocks noChangeAspect="1"/>
        </xdr:cNvSpPr>
      </xdr:nvSpPr>
      <xdr:spPr>
        <a:xfrm>
          <a:off x="3122127" y="8182681"/>
          <a:ext cx="14732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35</xdr:row>
      <xdr:rowOff>14375</xdr:rowOff>
    </xdr:from>
    <xdr:to>
      <xdr:col>10</xdr:col>
      <xdr:colOff>137946</xdr:colOff>
      <xdr:row>35</xdr:row>
      <xdr:rowOff>151535</xdr:rowOff>
    </xdr:to>
    <xdr:sp macro="InfoClick" textlink="">
      <xdr:nvSpPr>
        <xdr:cNvPr id="30" name="Oval 29">
          <a:extLst>
            <a:ext uri="{FF2B5EF4-FFF2-40B4-BE49-F238E27FC236}">
              <a16:creationId xmlns:a16="http://schemas.microsoft.com/office/drawing/2014/main" id="{5EDBE581-680C-4D0D-BD55-611C8EE54628}"/>
            </a:ext>
          </a:extLst>
        </xdr:cNvPr>
        <xdr:cNvSpPr>
          <a:spLocks noChangeAspect="1"/>
        </xdr:cNvSpPr>
      </xdr:nvSpPr>
      <xdr:spPr>
        <a:xfrm>
          <a:off x="5258586" y="71085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840557</xdr:colOff>
      <xdr:row>36</xdr:row>
      <xdr:rowOff>10997</xdr:rowOff>
    </xdr:from>
    <xdr:to>
      <xdr:col>10</xdr:col>
      <xdr:colOff>139517</xdr:colOff>
      <xdr:row>36</xdr:row>
      <xdr:rowOff>135457</xdr:rowOff>
    </xdr:to>
    <xdr:sp macro="InfoClick" textlink="">
      <xdr:nvSpPr>
        <xdr:cNvPr id="31" name="Oval 30">
          <a:extLst>
            <a:ext uri="{FF2B5EF4-FFF2-40B4-BE49-F238E27FC236}">
              <a16:creationId xmlns:a16="http://schemas.microsoft.com/office/drawing/2014/main" id="{B806E06F-0CDA-4ACA-9C54-8D080E467567}"/>
            </a:ext>
          </a:extLst>
        </xdr:cNvPr>
        <xdr:cNvSpPr>
          <a:spLocks noChangeAspect="1"/>
        </xdr:cNvSpPr>
      </xdr:nvSpPr>
      <xdr:spPr>
        <a:xfrm>
          <a:off x="5260157" y="7272857"/>
          <a:ext cx="137160" cy="1244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726514</xdr:colOff>
      <xdr:row>23</xdr:row>
      <xdr:rowOff>9426</xdr:rowOff>
    </xdr:from>
    <xdr:to>
      <xdr:col>2</xdr:col>
      <xdr:colOff>185782</xdr:colOff>
      <xdr:row>23</xdr:row>
      <xdr:rowOff>137696</xdr:rowOff>
    </xdr:to>
    <xdr:sp macro="InfoClick" textlink="">
      <xdr:nvSpPr>
        <xdr:cNvPr id="32" name="Oval 31">
          <a:extLst>
            <a:ext uri="{FF2B5EF4-FFF2-40B4-BE49-F238E27FC236}">
              <a16:creationId xmlns:a16="http://schemas.microsoft.com/office/drawing/2014/main" id="{66CCC207-4A43-4D50-9012-CD14C1C8BE82}"/>
            </a:ext>
          </a:extLst>
        </xdr:cNvPr>
        <xdr:cNvSpPr>
          <a:spLocks noChangeAspect="1"/>
        </xdr:cNvSpPr>
      </xdr:nvSpPr>
      <xdr:spPr>
        <a:xfrm>
          <a:off x="1442794" y="4893846"/>
          <a:ext cx="183168" cy="12827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687506</xdr:colOff>
      <xdr:row>23</xdr:row>
      <xdr:rowOff>9425</xdr:rowOff>
    </xdr:from>
    <xdr:to>
      <xdr:col>4</xdr:col>
      <xdr:colOff>183098</xdr:colOff>
      <xdr:row>23</xdr:row>
      <xdr:rowOff>137695</xdr:rowOff>
    </xdr:to>
    <xdr:sp macro="InfoClick" textlink="">
      <xdr:nvSpPr>
        <xdr:cNvPr id="33" name="Oval 32">
          <a:extLst>
            <a:ext uri="{FF2B5EF4-FFF2-40B4-BE49-F238E27FC236}">
              <a16:creationId xmlns:a16="http://schemas.microsoft.com/office/drawing/2014/main" id="{87E49120-DEED-4BCA-8B12-E9D86CF25B27}"/>
            </a:ext>
          </a:extLst>
        </xdr:cNvPr>
        <xdr:cNvSpPr>
          <a:spLocks noChangeAspect="1"/>
        </xdr:cNvSpPr>
      </xdr:nvSpPr>
      <xdr:spPr>
        <a:xfrm>
          <a:off x="2310566" y="4893845"/>
          <a:ext cx="181392" cy="12827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852909</xdr:colOff>
      <xdr:row>23</xdr:row>
      <xdr:rowOff>5795</xdr:rowOff>
    </xdr:from>
    <xdr:to>
      <xdr:col>8</xdr:col>
      <xdr:colOff>173783</xdr:colOff>
      <xdr:row>23</xdr:row>
      <xdr:rowOff>137875</xdr:rowOff>
    </xdr:to>
    <xdr:sp macro="InfoClick" textlink="">
      <xdr:nvSpPr>
        <xdr:cNvPr id="34" name="Oval 33">
          <a:extLst>
            <a:ext uri="{FF2B5EF4-FFF2-40B4-BE49-F238E27FC236}">
              <a16:creationId xmlns:a16="http://schemas.microsoft.com/office/drawing/2014/main" id="{408C9DB5-C368-4B13-B6BA-3456577D3C79}"/>
            </a:ext>
          </a:extLst>
        </xdr:cNvPr>
        <xdr:cNvSpPr>
          <a:spLocks noChangeAspect="1"/>
        </xdr:cNvSpPr>
      </xdr:nvSpPr>
      <xdr:spPr>
        <a:xfrm>
          <a:off x="4213329" y="4890215"/>
          <a:ext cx="174314" cy="1320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862281</xdr:colOff>
      <xdr:row>23</xdr:row>
      <xdr:rowOff>2165</xdr:rowOff>
    </xdr:from>
    <xdr:to>
      <xdr:col>10</xdr:col>
      <xdr:colOff>176504</xdr:colOff>
      <xdr:row>23</xdr:row>
      <xdr:rowOff>139325</xdr:rowOff>
    </xdr:to>
    <xdr:sp macro="InfoClick" textlink="">
      <xdr:nvSpPr>
        <xdr:cNvPr id="35" name="Oval 34">
          <a:extLst>
            <a:ext uri="{FF2B5EF4-FFF2-40B4-BE49-F238E27FC236}">
              <a16:creationId xmlns:a16="http://schemas.microsoft.com/office/drawing/2014/main" id="{84189405-5DD8-4804-B173-C512C4849FE1}"/>
            </a:ext>
          </a:extLst>
        </xdr:cNvPr>
        <xdr:cNvSpPr>
          <a:spLocks noChangeAspect="1"/>
        </xdr:cNvSpPr>
      </xdr:nvSpPr>
      <xdr:spPr>
        <a:xfrm>
          <a:off x="5281881" y="4886585"/>
          <a:ext cx="175283"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832647</xdr:colOff>
      <xdr:row>23</xdr:row>
      <xdr:rowOff>5036</xdr:rowOff>
    </xdr:from>
    <xdr:to>
      <xdr:col>12</xdr:col>
      <xdr:colOff>173176</xdr:colOff>
      <xdr:row>23</xdr:row>
      <xdr:rowOff>135846</xdr:rowOff>
    </xdr:to>
    <xdr:sp macro="InfoClick" textlink="">
      <xdr:nvSpPr>
        <xdr:cNvPr id="36" name="Oval 35">
          <a:extLst>
            <a:ext uri="{FF2B5EF4-FFF2-40B4-BE49-F238E27FC236}">
              <a16:creationId xmlns:a16="http://schemas.microsoft.com/office/drawing/2014/main" id="{C27D3D59-D06D-4AEA-9D40-104A978CD743}"/>
            </a:ext>
          </a:extLst>
        </xdr:cNvPr>
        <xdr:cNvSpPr>
          <a:spLocks noChangeAspect="1"/>
        </xdr:cNvSpPr>
      </xdr:nvSpPr>
      <xdr:spPr>
        <a:xfrm>
          <a:off x="6319047" y="4889456"/>
          <a:ext cx="171109" cy="1308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13</xdr:col>
      <xdr:colOff>803011</xdr:colOff>
      <xdr:row>23</xdr:row>
      <xdr:rowOff>20910</xdr:rowOff>
    </xdr:from>
    <xdr:to>
      <xdr:col>14</xdr:col>
      <xdr:colOff>140071</xdr:colOff>
      <xdr:row>23</xdr:row>
      <xdr:rowOff>168484</xdr:rowOff>
    </xdr:to>
    <xdr:sp macro="InfoClick" textlink="">
      <xdr:nvSpPr>
        <xdr:cNvPr id="37" name="Oval 36">
          <a:extLst>
            <a:ext uri="{FF2B5EF4-FFF2-40B4-BE49-F238E27FC236}">
              <a16:creationId xmlns:a16="http://schemas.microsoft.com/office/drawing/2014/main" id="{1D93A157-3AA3-44B2-AF68-3C68C566F4BA}"/>
            </a:ext>
          </a:extLst>
        </xdr:cNvPr>
        <xdr:cNvSpPr>
          <a:spLocks noChangeAspect="1"/>
        </xdr:cNvSpPr>
      </xdr:nvSpPr>
      <xdr:spPr>
        <a:xfrm>
          <a:off x="7325731" y="4905330"/>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15</xdr:col>
      <xdr:colOff>9525</xdr:colOff>
      <xdr:row>11</xdr:row>
      <xdr:rowOff>10205</xdr:rowOff>
    </xdr:from>
    <xdr:to>
      <xdr:col>16</xdr:col>
      <xdr:colOff>24850</xdr:colOff>
      <xdr:row>14</xdr:row>
      <xdr:rowOff>13997</xdr:rowOff>
    </xdr:to>
    <xdr:pic macro="HidePieCharts">
      <xdr:nvPicPr>
        <xdr:cNvPr id="39" name="ChartHide3">
          <a:extLst>
            <a:ext uri="{FF2B5EF4-FFF2-40B4-BE49-F238E27FC236}">
              <a16:creationId xmlns:a16="http://schemas.microsoft.com/office/drawing/2014/main" id="{2B919F70-B04E-49F4-8032-B70178E9C09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65745" y="2669585"/>
          <a:ext cx="624925" cy="552432"/>
        </a:xfrm>
        <a:prstGeom prst="rect">
          <a:avLst/>
        </a:prstGeom>
      </xdr:spPr>
    </xdr:pic>
    <xdr:clientData fPrintsWithSheet="0"/>
  </xdr:twoCellAnchor>
  <xdr:oneCellAnchor>
    <xdr:from>
      <xdr:col>5</xdr:col>
      <xdr:colOff>687506</xdr:colOff>
      <xdr:row>23</xdr:row>
      <xdr:rowOff>9425</xdr:rowOff>
    </xdr:from>
    <xdr:ext cx="144562" cy="137160"/>
    <xdr:sp macro="InfoClick" textlink="">
      <xdr:nvSpPr>
        <xdr:cNvPr id="40" name="Oval 39">
          <a:extLst>
            <a:ext uri="{FF2B5EF4-FFF2-40B4-BE49-F238E27FC236}">
              <a16:creationId xmlns:a16="http://schemas.microsoft.com/office/drawing/2014/main" id="{2FA00559-27F7-4888-ACD3-456D7D3C30B5}"/>
            </a:ext>
          </a:extLst>
        </xdr:cNvPr>
        <xdr:cNvSpPr>
          <a:spLocks noChangeAspect="1"/>
        </xdr:cNvSpPr>
      </xdr:nvSpPr>
      <xdr:spPr>
        <a:xfrm>
          <a:off x="3209726" y="4893845"/>
          <a:ext cx="14456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9</xdr:col>
      <xdr:colOff>837335</xdr:colOff>
      <xdr:row>44</xdr:row>
      <xdr:rowOff>22143</xdr:rowOff>
    </xdr:from>
    <xdr:to>
      <xdr:col>10</xdr:col>
      <xdr:colOff>136295</xdr:colOff>
      <xdr:row>44</xdr:row>
      <xdr:rowOff>169717</xdr:rowOff>
    </xdr:to>
    <xdr:sp macro="InfoClick" textlink="">
      <xdr:nvSpPr>
        <xdr:cNvPr id="41" name="Oval 40">
          <a:extLst>
            <a:ext uri="{FF2B5EF4-FFF2-40B4-BE49-F238E27FC236}">
              <a16:creationId xmlns:a16="http://schemas.microsoft.com/office/drawing/2014/main" id="{543CC104-B1A0-4381-AB97-A081E7183703}"/>
            </a:ext>
          </a:extLst>
        </xdr:cNvPr>
        <xdr:cNvSpPr>
          <a:spLocks noChangeAspect="1"/>
        </xdr:cNvSpPr>
      </xdr:nvSpPr>
      <xdr:spPr>
        <a:xfrm>
          <a:off x="5256935" y="9059463"/>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2.xml><?xml version="1.0" encoding="utf-8"?>
<c:userShapes xmlns:c="http://schemas.openxmlformats.org/drawingml/2006/chart">
  <cdr:relSizeAnchor xmlns:cdr="http://schemas.openxmlformats.org/drawingml/2006/chartDrawing">
    <cdr:from>
      <cdr:x>0.2329</cdr:x>
      <cdr:y>0.12462</cdr:y>
    </cdr:from>
    <cdr:to>
      <cdr:x>0.76196</cdr:x>
      <cdr:y>0.24924</cdr:y>
    </cdr:to>
    <cdr:sp macro="" textlink="">
      <cdr:nvSpPr>
        <cdr:cNvPr id="2" name="TextBox 1"/>
        <cdr:cNvSpPr txBox="1"/>
      </cdr:nvSpPr>
      <cdr:spPr>
        <a:xfrm xmlns:a="http://schemas.openxmlformats.org/drawingml/2006/main">
          <a:off x="587363" y="297306"/>
          <a:ext cx="1334255" cy="2973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0.06901</cdr:x>
      <cdr:y>0.02502</cdr:y>
    </cdr:from>
    <cdr:to>
      <cdr:x>0.87218</cdr:x>
      <cdr:y>0.16318</cdr:y>
    </cdr:to>
    <cdr:sp macro="" textlink="">
      <cdr:nvSpPr>
        <cdr:cNvPr id="3" name="TextBox 2"/>
        <cdr:cNvSpPr txBox="1"/>
      </cdr:nvSpPr>
      <cdr:spPr>
        <a:xfrm xmlns:a="http://schemas.openxmlformats.org/drawingml/2006/main">
          <a:off x="93302" y="59918"/>
          <a:ext cx="1085923" cy="3309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r>
            <a:rPr lang="en-US" sz="1500" b="0" i="0" baseline="0">
              <a:effectLst/>
              <a:latin typeface="Arial" pitchFamily="34" charset="0"/>
              <a:ea typeface="+mn-ea"/>
              <a:cs typeface="Arial" pitchFamily="34" charset="0"/>
            </a:rPr>
            <a:t>Legend</a:t>
          </a:r>
          <a:endParaRPr lang="en-US" sz="1500">
            <a:effectLst/>
            <a:latin typeface="Arial" pitchFamily="34" charset="0"/>
            <a:cs typeface="Arial" pitchFamily="34" charset="0"/>
          </a:endParaRPr>
        </a:p>
        <a:p xmlns:a="http://schemas.openxmlformats.org/drawingml/2006/main">
          <a:endParaRPr lang="en-US" sz="1100"/>
        </a:p>
      </cdr:txBody>
    </cdr:sp>
  </cdr:relSizeAnchor>
  <cdr:relSizeAnchor xmlns:cdr="http://schemas.openxmlformats.org/drawingml/2006/chartDrawing">
    <cdr:from>
      <cdr:x>0.04999</cdr:x>
      <cdr:y>0.32113</cdr:y>
    </cdr:from>
    <cdr:to>
      <cdr:x>0.13108</cdr:x>
      <cdr:y>0.37079</cdr:y>
    </cdr:to>
    <cdr:sp macro="" textlink="">
      <cdr:nvSpPr>
        <cdr:cNvPr id="4" name="Rounded Rectangle 3"/>
        <cdr:cNvSpPr/>
      </cdr:nvSpPr>
      <cdr:spPr>
        <a:xfrm xmlns:a="http://schemas.openxmlformats.org/drawingml/2006/main">
          <a:off x="77044" y="778648"/>
          <a:ext cx="124996" cy="120405"/>
        </a:xfrm>
        <a:prstGeom xmlns:a="http://schemas.openxmlformats.org/drawingml/2006/main" prst="roundRect">
          <a:avLst/>
        </a:prstGeom>
        <a:solidFill xmlns:a="http://schemas.openxmlformats.org/drawingml/2006/main">
          <a:srgbClr val="0099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0.09815</cdr:x>
      <cdr:y>0.30285</cdr:y>
    </cdr:from>
    <cdr:to>
      <cdr:x>0.84251</cdr:x>
      <cdr:y>0.37345</cdr:y>
    </cdr:to>
    <cdr:sp macro="" textlink="">
      <cdr:nvSpPr>
        <cdr:cNvPr id="5" name="TextBox 4"/>
        <cdr:cNvSpPr txBox="1"/>
      </cdr:nvSpPr>
      <cdr:spPr>
        <a:xfrm xmlns:a="http://schemas.openxmlformats.org/drawingml/2006/main">
          <a:off x="151279" y="734336"/>
          <a:ext cx="1147279" cy="1711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latin typeface="Arial" pitchFamily="34" charset="0"/>
              <a:cs typeface="Arial" pitchFamily="34" charset="0"/>
            </a:rPr>
            <a:t>Compressor</a:t>
          </a:r>
        </a:p>
      </cdr:txBody>
    </cdr:sp>
  </cdr:relSizeAnchor>
  <cdr:relSizeAnchor xmlns:cdr="http://schemas.openxmlformats.org/drawingml/2006/chartDrawing">
    <cdr:from>
      <cdr:x>0.04944</cdr:x>
      <cdr:y>0.44472</cdr:y>
    </cdr:from>
    <cdr:to>
      <cdr:x>0.13053</cdr:x>
      <cdr:y>0.49438</cdr:y>
    </cdr:to>
    <cdr:sp macro="" textlink="">
      <cdr:nvSpPr>
        <cdr:cNvPr id="6" name="Rounded Rectangle 5"/>
        <cdr:cNvSpPr/>
      </cdr:nvSpPr>
      <cdr:spPr>
        <a:xfrm xmlns:a="http://schemas.openxmlformats.org/drawingml/2006/main">
          <a:off x="76196" y="1078320"/>
          <a:ext cx="124996" cy="120404"/>
        </a:xfrm>
        <a:prstGeom xmlns:a="http://schemas.openxmlformats.org/drawingml/2006/main" prst="roundRect">
          <a:avLst/>
        </a:prstGeom>
        <a:solidFill xmlns:a="http://schemas.openxmlformats.org/drawingml/2006/main">
          <a:srgbClr val="005BE2"/>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0.09612</cdr:x>
      <cdr:y>0.41995</cdr:y>
    </cdr:from>
    <cdr:to>
      <cdr:x>0.94556</cdr:x>
      <cdr:y>0.58529</cdr:y>
    </cdr:to>
    <cdr:sp macro="" textlink="">
      <cdr:nvSpPr>
        <cdr:cNvPr id="7" name="TextBox 2"/>
        <cdr:cNvSpPr txBox="1"/>
      </cdr:nvSpPr>
      <cdr:spPr>
        <a:xfrm xmlns:a="http://schemas.openxmlformats.org/drawingml/2006/main">
          <a:off x="148152" y="1018270"/>
          <a:ext cx="1309238" cy="40090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Condenser Pump</a:t>
          </a:r>
        </a:p>
      </cdr:txBody>
    </cdr:sp>
  </cdr:relSizeAnchor>
  <cdr:relSizeAnchor xmlns:cdr="http://schemas.openxmlformats.org/drawingml/2006/chartDrawing">
    <cdr:from>
      <cdr:x>0.04735</cdr:x>
      <cdr:y>0.56058</cdr:y>
    </cdr:from>
    <cdr:to>
      <cdr:x>0.12844</cdr:x>
      <cdr:y>0.61023</cdr:y>
    </cdr:to>
    <cdr:sp macro="" textlink="">
      <cdr:nvSpPr>
        <cdr:cNvPr id="8" name="Rounded Rectangle 7"/>
        <cdr:cNvSpPr/>
      </cdr:nvSpPr>
      <cdr:spPr>
        <a:xfrm xmlns:a="http://schemas.openxmlformats.org/drawingml/2006/main">
          <a:off x="72973" y="1359247"/>
          <a:ext cx="124996" cy="120379"/>
        </a:xfrm>
        <a:prstGeom xmlns:a="http://schemas.openxmlformats.org/drawingml/2006/main" prst="roundRect">
          <a:avLst/>
        </a:prstGeom>
        <a:solidFill xmlns:a="http://schemas.openxmlformats.org/drawingml/2006/main">
          <a:srgbClr val="0033CC"/>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0.09574</cdr:x>
      <cdr:y>0.53819</cdr:y>
    </cdr:from>
    <cdr:to>
      <cdr:x>0.94553</cdr:x>
      <cdr:y>0.67415</cdr:y>
    </cdr:to>
    <cdr:sp macro="" textlink="">
      <cdr:nvSpPr>
        <cdr:cNvPr id="9" name="TextBox 2"/>
        <cdr:cNvSpPr txBox="1"/>
      </cdr:nvSpPr>
      <cdr:spPr>
        <a:xfrm xmlns:a="http://schemas.openxmlformats.org/drawingml/2006/main">
          <a:off x="147557" y="1304968"/>
          <a:ext cx="1309778" cy="3296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Cooling Tower Fan</a:t>
          </a:r>
        </a:p>
      </cdr:txBody>
    </cdr:sp>
  </cdr:relSizeAnchor>
  <cdr:relSizeAnchor xmlns:cdr="http://schemas.openxmlformats.org/drawingml/2006/chartDrawing">
    <cdr:from>
      <cdr:x>0.0497</cdr:x>
      <cdr:y>0.67489</cdr:y>
    </cdr:from>
    <cdr:to>
      <cdr:x>0.13078</cdr:x>
      <cdr:y>0.72455</cdr:y>
    </cdr:to>
    <cdr:sp macro="" textlink="">
      <cdr:nvSpPr>
        <cdr:cNvPr id="10" name="Rounded Rectangle 9"/>
        <cdr:cNvSpPr/>
      </cdr:nvSpPr>
      <cdr:spPr>
        <a:xfrm xmlns:a="http://schemas.openxmlformats.org/drawingml/2006/main">
          <a:off x="76596" y="1636409"/>
          <a:ext cx="124977" cy="120405"/>
        </a:xfrm>
        <a:prstGeom xmlns:a="http://schemas.openxmlformats.org/drawingml/2006/main" prst="roundRect">
          <a:avLst/>
        </a:prstGeom>
        <a:solidFill xmlns:a="http://schemas.openxmlformats.org/drawingml/2006/main">
          <a:srgbClr val="66CC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0.09912</cdr:x>
      <cdr:y>0.65907</cdr:y>
    </cdr:from>
    <cdr:to>
      <cdr:x>0.84349</cdr:x>
      <cdr:y>0.78638</cdr:y>
    </cdr:to>
    <cdr:sp macro="" textlink="">
      <cdr:nvSpPr>
        <cdr:cNvPr id="11" name="TextBox 2"/>
        <cdr:cNvSpPr txBox="1"/>
      </cdr:nvSpPr>
      <cdr:spPr>
        <a:xfrm xmlns:a="http://schemas.openxmlformats.org/drawingml/2006/main">
          <a:off x="152774" y="1598064"/>
          <a:ext cx="1147295" cy="3086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Chiller Controls</a:t>
          </a:r>
        </a:p>
      </cdr:txBody>
    </cdr:sp>
  </cdr:relSizeAnchor>
  <cdr:relSizeAnchor xmlns:cdr="http://schemas.openxmlformats.org/drawingml/2006/chartDrawing">
    <cdr:from>
      <cdr:x>0.05041</cdr:x>
      <cdr:y>0.79827</cdr:y>
    </cdr:from>
    <cdr:to>
      <cdr:x>0.13151</cdr:x>
      <cdr:y>0.84793</cdr:y>
    </cdr:to>
    <cdr:sp macro="" textlink="">
      <cdr:nvSpPr>
        <cdr:cNvPr id="12" name="Rounded Rectangle 11"/>
        <cdr:cNvSpPr/>
      </cdr:nvSpPr>
      <cdr:spPr>
        <a:xfrm xmlns:a="http://schemas.openxmlformats.org/drawingml/2006/main">
          <a:off x="77703" y="1935577"/>
          <a:ext cx="124993" cy="120404"/>
        </a:xfrm>
        <a:prstGeom xmlns:a="http://schemas.openxmlformats.org/drawingml/2006/main" prst="roundRect">
          <a:avLst/>
        </a:prstGeom>
        <a:solidFill xmlns:a="http://schemas.openxmlformats.org/drawingml/2006/main">
          <a:srgbClr val="000099"/>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0.09814</cdr:x>
      <cdr:y>0.77306</cdr:y>
    </cdr:from>
    <cdr:to>
      <cdr:x>0.94737</cdr:x>
      <cdr:y>0.95798</cdr:y>
    </cdr:to>
    <cdr:sp macro="" textlink="">
      <cdr:nvSpPr>
        <cdr:cNvPr id="13" name="TextBox 2"/>
        <cdr:cNvSpPr txBox="1"/>
      </cdr:nvSpPr>
      <cdr:spPr>
        <a:xfrm xmlns:a="http://schemas.openxmlformats.org/drawingml/2006/main">
          <a:off x="151268" y="1874460"/>
          <a:ext cx="1308915" cy="4483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Transmission Oil </a:t>
          </a:r>
        </a:p>
        <a:p xmlns:a="http://schemas.openxmlformats.org/drawingml/2006/main">
          <a:r>
            <a:rPr lang="en-US" sz="900">
              <a:latin typeface="Arial" pitchFamily="34" charset="0"/>
              <a:cs typeface="Arial" pitchFamily="34" charset="0"/>
            </a:rPr>
            <a:t>Pump and Heater</a:t>
          </a:r>
        </a:p>
      </cdr:txBody>
    </cdr:sp>
  </cdr:relSizeAnchor>
  <cdr:relSizeAnchor xmlns:cdr="http://schemas.openxmlformats.org/drawingml/2006/chartDrawing">
    <cdr:from>
      <cdr:x>0.0486</cdr:x>
      <cdr:y>0.21517</cdr:y>
    </cdr:from>
    <cdr:to>
      <cdr:x>0.1297</cdr:x>
      <cdr:y>0.26482</cdr:y>
    </cdr:to>
    <cdr:sp macro="" textlink="">
      <cdr:nvSpPr>
        <cdr:cNvPr id="14" name="Rounded Rectangle 13"/>
        <cdr:cNvSpPr/>
      </cdr:nvSpPr>
      <cdr:spPr>
        <a:xfrm xmlns:a="http://schemas.openxmlformats.org/drawingml/2006/main">
          <a:off x="74907" y="521719"/>
          <a:ext cx="124996" cy="120404"/>
        </a:xfrm>
        <a:prstGeom xmlns:a="http://schemas.openxmlformats.org/drawingml/2006/main" prst="roundRect">
          <a:avLst/>
        </a:prstGeom>
        <a:solidFill xmlns:a="http://schemas.openxmlformats.org/drawingml/2006/main">
          <a:srgbClr val="33CC33"/>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0.09956</cdr:x>
      <cdr:y>0.19473</cdr:y>
    </cdr:from>
    <cdr:to>
      <cdr:x>0.84393</cdr:x>
      <cdr:y>0.26532</cdr:y>
    </cdr:to>
    <cdr:sp macro="" textlink="">
      <cdr:nvSpPr>
        <cdr:cNvPr id="15" name="TextBox 2"/>
        <cdr:cNvSpPr txBox="1"/>
      </cdr:nvSpPr>
      <cdr:spPr>
        <a:xfrm xmlns:a="http://schemas.openxmlformats.org/drawingml/2006/main">
          <a:off x="153455" y="472169"/>
          <a:ext cx="1147295" cy="1711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Pump</a:t>
          </a:r>
        </a:p>
      </cdr:txBody>
    </cdr:sp>
  </cdr:relSizeAnchor>
  <cdr:relSizeAnchor xmlns:cdr="http://schemas.openxmlformats.org/drawingml/2006/chartDrawing">
    <cdr:from>
      <cdr:x>0.84369</cdr:x>
      <cdr:y>0.39621</cdr:y>
    </cdr:from>
    <cdr:to>
      <cdr:x>0.94254</cdr:x>
      <cdr:y>0.8244</cdr:y>
    </cdr:to>
    <cdr:sp macro="" textlink="">
      <cdr:nvSpPr>
        <cdr:cNvPr id="17" name="TextBox 16"/>
        <cdr:cNvSpPr txBox="1"/>
      </cdr:nvSpPr>
      <cdr:spPr>
        <a:xfrm xmlns:a="http://schemas.openxmlformats.org/drawingml/2006/main">
          <a:off x="1298177" y="948964"/>
          <a:ext cx="152101" cy="10255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900" b="1">
              <a:latin typeface="Arial" pitchFamily="34" charset="0"/>
              <a:cs typeface="Arial" pitchFamily="34" charset="0"/>
            </a:rPr>
            <a:t>C</a:t>
          </a:r>
        </a:p>
        <a:p xmlns:a="http://schemas.openxmlformats.org/drawingml/2006/main">
          <a:pPr algn="ctr"/>
          <a:r>
            <a:rPr lang="en-US" sz="900" b="1">
              <a:latin typeface="Arial" pitchFamily="34" charset="0"/>
              <a:cs typeface="Arial" pitchFamily="34" charset="0"/>
            </a:rPr>
            <a:t>H</a:t>
          </a:r>
        </a:p>
        <a:p xmlns:a="http://schemas.openxmlformats.org/drawingml/2006/main">
          <a:pPr algn="ctr"/>
          <a:r>
            <a:rPr lang="en-US" sz="900" b="1">
              <a:latin typeface="Arial" pitchFamily="34" charset="0"/>
              <a:cs typeface="Arial" pitchFamily="34" charset="0"/>
            </a:rPr>
            <a:t>I</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E</a:t>
          </a:r>
        </a:p>
        <a:p xmlns:a="http://schemas.openxmlformats.org/drawingml/2006/main">
          <a:pPr algn="ctr"/>
          <a:r>
            <a:rPr lang="en-US" sz="900" b="1">
              <a:latin typeface="Arial" pitchFamily="34" charset="0"/>
              <a:cs typeface="Arial" pitchFamily="34" charset="0"/>
            </a:rPr>
            <a:t>R</a:t>
          </a:r>
        </a:p>
      </cdr:txBody>
    </cdr:sp>
  </cdr:relSizeAnchor>
  <cdr:relSizeAnchor xmlns:cdr="http://schemas.openxmlformats.org/drawingml/2006/chartDrawing">
    <cdr:from>
      <cdr:x>0.81441</cdr:x>
      <cdr:y>0.80393</cdr:y>
    </cdr:from>
    <cdr:to>
      <cdr:x>0.92316</cdr:x>
      <cdr:y>0.879</cdr:y>
    </cdr:to>
    <cdr:sp macro="" textlink="">
      <cdr:nvSpPr>
        <cdr:cNvPr id="21" name="Left-Up Arrow 20"/>
        <cdr:cNvSpPr/>
      </cdr:nvSpPr>
      <cdr:spPr>
        <a:xfrm xmlns:a="http://schemas.openxmlformats.org/drawingml/2006/main">
          <a:off x="1253123" y="1925508"/>
          <a:ext cx="167337" cy="17981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xc</a:t>
          </a:r>
        </a:p>
      </cdr:txBody>
    </cdr:sp>
  </cdr:relSizeAnchor>
  <cdr:relSizeAnchor xmlns:cdr="http://schemas.openxmlformats.org/drawingml/2006/chartDrawing">
    <cdr:from>
      <cdr:x>0.81081</cdr:x>
      <cdr:y>0.32661</cdr:y>
    </cdr:from>
    <cdr:to>
      <cdr:x>0.91889</cdr:x>
      <cdr:y>0.40425</cdr:y>
    </cdr:to>
    <cdr:sp macro="" textlink="">
      <cdr:nvSpPr>
        <cdr:cNvPr id="24" name="Left-Up Arrow 23"/>
        <cdr:cNvSpPr/>
      </cdr:nvSpPr>
      <cdr:spPr>
        <a:xfrm xmlns:a="http://schemas.openxmlformats.org/drawingml/2006/main" rot="16200000">
          <a:off x="1238870" y="802772"/>
          <a:ext cx="188245" cy="16658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a:t>xc</a:t>
          </a:r>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4</xdr:col>
      <xdr:colOff>1333500</xdr:colOff>
      <xdr:row>19</xdr:row>
      <xdr:rowOff>19050</xdr:rowOff>
    </xdr:from>
    <xdr:to>
      <xdr:col>5</xdr:col>
      <xdr:colOff>137160</xdr:colOff>
      <xdr:row>19</xdr:row>
      <xdr:rowOff>162560</xdr:rowOff>
    </xdr:to>
    <xdr:sp macro="InfoClick" textlink="">
      <xdr:nvSpPr>
        <xdr:cNvPr id="2" name="Oval 1">
          <a:extLst>
            <a:ext uri="{FF2B5EF4-FFF2-40B4-BE49-F238E27FC236}">
              <a16:creationId xmlns:a16="http://schemas.microsoft.com/office/drawing/2014/main" id="{18A78D8F-4489-4F27-AE7A-7168DFA7F1D5}"/>
            </a:ext>
          </a:extLst>
        </xdr:cNvPr>
        <xdr:cNvSpPr>
          <a:spLocks noChangeAspect="1"/>
        </xdr:cNvSpPr>
      </xdr:nvSpPr>
      <xdr:spPr>
        <a:xfrm>
          <a:off x="3710940" y="3425190"/>
          <a:ext cx="137160" cy="1435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1400175</xdr:colOff>
      <xdr:row>8</xdr:row>
      <xdr:rowOff>38100</xdr:rowOff>
    </xdr:from>
    <xdr:to>
      <xdr:col>5</xdr:col>
      <xdr:colOff>146685</xdr:colOff>
      <xdr:row>9</xdr:row>
      <xdr:rowOff>2540</xdr:rowOff>
    </xdr:to>
    <xdr:sp macro="InfoClick" textlink="">
      <xdr:nvSpPr>
        <xdr:cNvPr id="3" name="Oval 2">
          <a:extLst>
            <a:ext uri="{FF2B5EF4-FFF2-40B4-BE49-F238E27FC236}">
              <a16:creationId xmlns:a16="http://schemas.microsoft.com/office/drawing/2014/main" id="{D3B2CCA6-BF61-4C7C-9877-6E1DCC68F8D0}"/>
            </a:ext>
          </a:extLst>
        </xdr:cNvPr>
        <xdr:cNvSpPr>
          <a:spLocks noChangeAspect="1"/>
        </xdr:cNvSpPr>
      </xdr:nvSpPr>
      <xdr:spPr>
        <a:xfrm>
          <a:off x="3777615" y="1447800"/>
          <a:ext cx="148590" cy="1473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1295400</xdr:colOff>
      <xdr:row>19</xdr:row>
      <xdr:rowOff>28575</xdr:rowOff>
    </xdr:from>
    <xdr:to>
      <xdr:col>6</xdr:col>
      <xdr:colOff>137160</xdr:colOff>
      <xdr:row>19</xdr:row>
      <xdr:rowOff>175895</xdr:rowOff>
    </xdr:to>
    <xdr:sp macro="InfoClick" textlink="">
      <xdr:nvSpPr>
        <xdr:cNvPr id="4" name="Oval 3">
          <a:extLst>
            <a:ext uri="{FF2B5EF4-FFF2-40B4-BE49-F238E27FC236}">
              <a16:creationId xmlns:a16="http://schemas.microsoft.com/office/drawing/2014/main" id="{0A59CDD1-08E0-4679-9BED-4A49B20025A9}"/>
            </a:ext>
          </a:extLst>
        </xdr:cNvPr>
        <xdr:cNvSpPr>
          <a:spLocks noChangeAspect="1"/>
        </xdr:cNvSpPr>
      </xdr:nvSpPr>
      <xdr:spPr>
        <a:xfrm>
          <a:off x="5265420" y="3434715"/>
          <a:ext cx="137160" cy="1473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424010</xdr:colOff>
      <xdr:row>30</xdr:row>
      <xdr:rowOff>36332</xdr:rowOff>
    </xdr:from>
    <xdr:to>
      <xdr:col>3</xdr:col>
      <xdr:colOff>554820</xdr:colOff>
      <xdr:row>30</xdr:row>
      <xdr:rowOff>173492</xdr:rowOff>
    </xdr:to>
    <xdr:sp macro="InfoClick" textlink="">
      <xdr:nvSpPr>
        <xdr:cNvPr id="5" name="Oval 4">
          <a:extLst>
            <a:ext uri="{FF2B5EF4-FFF2-40B4-BE49-F238E27FC236}">
              <a16:creationId xmlns:a16="http://schemas.microsoft.com/office/drawing/2014/main" id="{0ABE3635-107B-4B26-8799-1EFE81F66BF5}"/>
            </a:ext>
          </a:extLst>
        </xdr:cNvPr>
        <xdr:cNvSpPr>
          <a:spLocks noChangeAspect="1"/>
        </xdr:cNvSpPr>
      </xdr:nvSpPr>
      <xdr:spPr>
        <a:xfrm>
          <a:off x="2168990" y="5370332"/>
          <a:ext cx="13081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716928</xdr:colOff>
      <xdr:row>14</xdr:row>
      <xdr:rowOff>28575</xdr:rowOff>
    </xdr:from>
    <xdr:to>
      <xdr:col>5</xdr:col>
      <xdr:colOff>137808</xdr:colOff>
      <xdr:row>14</xdr:row>
      <xdr:rowOff>173355</xdr:rowOff>
    </xdr:to>
    <xdr:sp macro="InfoClick" textlink="">
      <xdr:nvSpPr>
        <xdr:cNvPr id="2" name="Oval 1">
          <a:extLst>
            <a:ext uri="{FF2B5EF4-FFF2-40B4-BE49-F238E27FC236}">
              <a16:creationId xmlns:a16="http://schemas.microsoft.com/office/drawing/2014/main" id="{63B8208F-9E4B-4D95-B108-121E453F6A1A}"/>
            </a:ext>
          </a:extLst>
        </xdr:cNvPr>
        <xdr:cNvSpPr>
          <a:spLocks noChangeAspect="1"/>
        </xdr:cNvSpPr>
      </xdr:nvSpPr>
      <xdr:spPr>
        <a:xfrm>
          <a:off x="3749688" y="2596515"/>
          <a:ext cx="137160" cy="1447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2</xdr:col>
      <xdr:colOff>571500</xdr:colOff>
      <xdr:row>17</xdr:row>
      <xdr:rowOff>19050</xdr:rowOff>
    </xdr:from>
    <xdr:ext cx="137160" cy="137160"/>
    <xdr:sp macro="InfoClick" textlink="">
      <xdr:nvSpPr>
        <xdr:cNvPr id="3" name="Oval 2">
          <a:extLst>
            <a:ext uri="{FF2B5EF4-FFF2-40B4-BE49-F238E27FC236}">
              <a16:creationId xmlns:a16="http://schemas.microsoft.com/office/drawing/2014/main" id="{3C85E5DC-4594-4EE1-B74E-B77CD0D1DAA4}"/>
            </a:ext>
          </a:extLst>
        </xdr:cNvPr>
        <xdr:cNvSpPr>
          <a:spLocks noChangeAspect="1"/>
        </xdr:cNvSpPr>
      </xdr:nvSpPr>
      <xdr:spPr>
        <a:xfrm>
          <a:off x="1775460" y="311277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4</xdr:col>
      <xdr:colOff>657225</xdr:colOff>
      <xdr:row>6</xdr:row>
      <xdr:rowOff>47625</xdr:rowOff>
    </xdr:from>
    <xdr:to>
      <xdr:col>5</xdr:col>
      <xdr:colOff>123825</xdr:colOff>
      <xdr:row>7</xdr:row>
      <xdr:rowOff>11430</xdr:rowOff>
    </xdr:to>
    <xdr:sp macro="InfoClick" textlink="">
      <xdr:nvSpPr>
        <xdr:cNvPr id="4" name="Oval 3">
          <a:extLst>
            <a:ext uri="{FF2B5EF4-FFF2-40B4-BE49-F238E27FC236}">
              <a16:creationId xmlns:a16="http://schemas.microsoft.com/office/drawing/2014/main" id="{CBAD1FBC-2442-4DC6-9DC3-0A315B7998BF}"/>
            </a:ext>
          </a:extLst>
        </xdr:cNvPr>
        <xdr:cNvSpPr>
          <a:spLocks noChangeAspect="1"/>
        </xdr:cNvSpPr>
      </xdr:nvSpPr>
      <xdr:spPr>
        <a:xfrm>
          <a:off x="3689985" y="1160145"/>
          <a:ext cx="12192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704850</xdr:colOff>
      <xdr:row>12</xdr:row>
      <xdr:rowOff>28575</xdr:rowOff>
    </xdr:from>
    <xdr:to>
      <xdr:col>5</xdr:col>
      <xdr:colOff>133350</xdr:colOff>
      <xdr:row>12</xdr:row>
      <xdr:rowOff>165735</xdr:rowOff>
    </xdr:to>
    <xdr:sp macro="InfoClick" textlink="">
      <xdr:nvSpPr>
        <xdr:cNvPr id="2" name="Oval 1">
          <a:extLst>
            <a:ext uri="{FF2B5EF4-FFF2-40B4-BE49-F238E27FC236}">
              <a16:creationId xmlns:a16="http://schemas.microsoft.com/office/drawing/2014/main" id="{D5F499FE-80C4-42E4-ABCD-967617F24F2B}"/>
            </a:ext>
          </a:extLst>
        </xdr:cNvPr>
        <xdr:cNvSpPr>
          <a:spLocks noChangeAspect="1"/>
        </xdr:cNvSpPr>
      </xdr:nvSpPr>
      <xdr:spPr>
        <a:xfrm>
          <a:off x="2998470" y="223075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5</xdr:col>
      <xdr:colOff>552450</xdr:colOff>
      <xdr:row>5</xdr:row>
      <xdr:rowOff>28575</xdr:rowOff>
    </xdr:from>
    <xdr:ext cx="137160" cy="137160"/>
    <xdr:sp macro="InfoClick" textlink="">
      <xdr:nvSpPr>
        <xdr:cNvPr id="3" name="Oval 2">
          <a:extLst>
            <a:ext uri="{FF2B5EF4-FFF2-40B4-BE49-F238E27FC236}">
              <a16:creationId xmlns:a16="http://schemas.microsoft.com/office/drawing/2014/main" id="{8785438C-3872-49E8-A686-2E72CB24D84B}"/>
            </a:ext>
          </a:extLst>
        </xdr:cNvPr>
        <xdr:cNvSpPr>
          <a:spLocks noChangeAspect="1"/>
        </xdr:cNvSpPr>
      </xdr:nvSpPr>
      <xdr:spPr>
        <a:xfrm>
          <a:off x="3714750" y="10267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2</xdr:col>
      <xdr:colOff>561975</xdr:colOff>
      <xdr:row>6</xdr:row>
      <xdr:rowOff>47625</xdr:rowOff>
    </xdr:from>
    <xdr:ext cx="137160" cy="137160"/>
    <xdr:sp macro="InfoClick" textlink="">
      <xdr:nvSpPr>
        <xdr:cNvPr id="4" name="Oval 3">
          <a:extLst>
            <a:ext uri="{FF2B5EF4-FFF2-40B4-BE49-F238E27FC236}">
              <a16:creationId xmlns:a16="http://schemas.microsoft.com/office/drawing/2014/main" id="{FFE8FEAF-2AB5-4992-B25C-BA3F7CB605A3}"/>
            </a:ext>
          </a:extLst>
        </xdr:cNvPr>
        <xdr:cNvSpPr>
          <a:spLocks noChangeAspect="1"/>
        </xdr:cNvSpPr>
      </xdr:nvSpPr>
      <xdr:spPr>
        <a:xfrm>
          <a:off x="1483995" y="122110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5</xdr:col>
      <xdr:colOff>548698</xdr:colOff>
      <xdr:row>4</xdr:row>
      <xdr:rowOff>27005</xdr:rowOff>
    </xdr:from>
    <xdr:ext cx="137160" cy="137160"/>
    <xdr:sp macro="InfoClick" textlink="">
      <xdr:nvSpPr>
        <xdr:cNvPr id="5" name="Oval 4">
          <a:extLst>
            <a:ext uri="{FF2B5EF4-FFF2-40B4-BE49-F238E27FC236}">
              <a16:creationId xmlns:a16="http://schemas.microsoft.com/office/drawing/2014/main" id="{53103AD2-9C84-4DC0-A750-3F6E669EA084}"/>
            </a:ext>
          </a:extLst>
        </xdr:cNvPr>
        <xdr:cNvSpPr>
          <a:spLocks noChangeAspect="1"/>
        </xdr:cNvSpPr>
      </xdr:nvSpPr>
      <xdr:spPr>
        <a:xfrm>
          <a:off x="3710998" y="84996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16.xml><?xml version="1.0" encoding="utf-8"?>
<xdr:wsDr xmlns:xdr="http://schemas.openxmlformats.org/drawingml/2006/spreadsheetDrawing" xmlns:a="http://schemas.openxmlformats.org/drawingml/2006/main">
  <xdr:twoCellAnchor>
    <xdr:from>
      <xdr:col>20</xdr:col>
      <xdr:colOff>0</xdr:colOff>
      <xdr:row>97</xdr:row>
      <xdr:rowOff>126310</xdr:rowOff>
    </xdr:from>
    <xdr:to>
      <xdr:col>20</xdr:col>
      <xdr:colOff>0</xdr:colOff>
      <xdr:row>111</xdr:row>
      <xdr:rowOff>124240</xdr:rowOff>
    </xdr:to>
    <xdr:graphicFrame macro="">
      <xdr:nvGraphicFramePr>
        <xdr:cNvPr id="2" name="Chart 1">
          <a:extLst>
            <a:ext uri="{FF2B5EF4-FFF2-40B4-BE49-F238E27FC236}">
              <a16:creationId xmlns:a16="http://schemas.microsoft.com/office/drawing/2014/main" id="{CCF3F2D0-4264-457D-AA8A-85BAE4B28D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47</xdr:row>
      <xdr:rowOff>124239</xdr:rowOff>
    </xdr:from>
    <xdr:to>
      <xdr:col>12</xdr:col>
      <xdr:colOff>2898</xdr:colOff>
      <xdr:row>59</xdr:row>
      <xdr:rowOff>134471</xdr:rowOff>
    </xdr:to>
    <xdr:graphicFrame macro="">
      <xdr:nvGraphicFramePr>
        <xdr:cNvPr id="3" name="Chart 2" title="10 year Cash Flow">
          <a:extLst>
            <a:ext uri="{FF2B5EF4-FFF2-40B4-BE49-F238E27FC236}">
              <a16:creationId xmlns:a16="http://schemas.microsoft.com/office/drawing/2014/main" id="{A9DDB6B8-1588-448D-B936-19AD87807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19049</xdr:colOff>
      <xdr:row>79</xdr:row>
      <xdr:rowOff>126310</xdr:rowOff>
    </xdr:from>
    <xdr:to>
      <xdr:col>11</xdr:col>
      <xdr:colOff>815010</xdr:colOff>
      <xdr:row>93</xdr:row>
      <xdr:rowOff>140805</xdr:rowOff>
    </xdr:to>
    <xdr:graphicFrame macro="">
      <xdr:nvGraphicFramePr>
        <xdr:cNvPr id="4" name="Chart 3">
          <a:extLst>
            <a:ext uri="{FF2B5EF4-FFF2-40B4-BE49-F238E27FC236}">
              <a16:creationId xmlns:a16="http://schemas.microsoft.com/office/drawing/2014/main" id="{9B2EE5A9-5E5D-47FD-84B7-D524CE385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62</xdr:row>
      <xdr:rowOff>92352</xdr:rowOff>
    </xdr:from>
    <xdr:to>
      <xdr:col>11</xdr:col>
      <xdr:colOff>816251</xdr:colOff>
      <xdr:row>76</xdr:row>
      <xdr:rowOff>16566</xdr:rowOff>
    </xdr:to>
    <xdr:graphicFrame macro="">
      <xdr:nvGraphicFramePr>
        <xdr:cNvPr id="5" name="Chart 4">
          <a:extLst>
            <a:ext uri="{FF2B5EF4-FFF2-40B4-BE49-F238E27FC236}">
              <a16:creationId xmlns:a16="http://schemas.microsoft.com/office/drawing/2014/main" id="{C1D25792-C79A-412C-9621-54AB30DF5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97</xdr:row>
      <xdr:rowOff>126310</xdr:rowOff>
    </xdr:from>
    <xdr:to>
      <xdr:col>12</xdr:col>
      <xdr:colOff>4358</xdr:colOff>
      <xdr:row>111</xdr:row>
      <xdr:rowOff>124240</xdr:rowOff>
    </xdr:to>
    <xdr:graphicFrame macro="">
      <xdr:nvGraphicFramePr>
        <xdr:cNvPr id="6" name="Chart 5">
          <a:extLst>
            <a:ext uri="{FF2B5EF4-FFF2-40B4-BE49-F238E27FC236}">
              <a16:creationId xmlns:a16="http://schemas.microsoft.com/office/drawing/2014/main" id="{4F6E92EF-7151-4056-B6EE-363E305B22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2314574</xdr:colOff>
      <xdr:row>3</xdr:row>
      <xdr:rowOff>85724</xdr:rowOff>
    </xdr:from>
    <xdr:to>
      <xdr:col>12</xdr:col>
      <xdr:colOff>9522</xdr:colOff>
      <xdr:row>7</xdr:row>
      <xdr:rowOff>295275</xdr:rowOff>
    </xdr:to>
    <xdr:sp macro="" textlink="">
      <xdr:nvSpPr>
        <xdr:cNvPr id="7" name="Rounded Rectangle 57">
          <a:extLst>
            <a:ext uri="{FF2B5EF4-FFF2-40B4-BE49-F238E27FC236}">
              <a16:creationId xmlns:a16="http://schemas.microsoft.com/office/drawing/2014/main" id="{FD355926-EF3F-4E3E-9199-7B55A4B305E5}"/>
            </a:ext>
          </a:extLst>
        </xdr:cNvPr>
        <xdr:cNvSpPr/>
      </xdr:nvSpPr>
      <xdr:spPr>
        <a:xfrm>
          <a:off x="2314574" y="619124"/>
          <a:ext cx="9765028" cy="941071"/>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800" spc="100" baseline="0">
              <a:solidFill>
                <a:schemeClr val="bg1"/>
              </a:solidFill>
              <a:effectLst>
                <a:outerShdw blurRad="25400" dist="25400" dir="2700000" algn="tl" rotWithShape="0">
                  <a:prstClr val="black">
                    <a:alpha val="80000"/>
                  </a:prstClr>
                </a:outerShdw>
              </a:effectLst>
              <a:latin typeface="HelveticaNeueLT Std Lt"/>
            </a:rPr>
            <a:t>FINANCIAL ANALYSIS OF EFFICIENCY IMPROVEMENTS</a:t>
          </a:r>
        </a:p>
        <a:p>
          <a:pPr algn="ctr"/>
          <a:r>
            <a:rPr lang="en-US" sz="1600" i="0" spc="100" baseline="0">
              <a:solidFill>
                <a:schemeClr val="bg1"/>
              </a:solidFill>
              <a:effectLst>
                <a:outerShdw blurRad="25400" dist="25400" dir="2700000" algn="tl" rotWithShape="0">
                  <a:prstClr val="black">
                    <a:alpha val="80000"/>
                  </a:prstClr>
                </a:outerShdw>
              </a:effectLst>
              <a:latin typeface="HelveticaNeueLT Std Lt"/>
            </a:rPr>
            <a:t>Simulating Streams of Cash Inflows and Outflows</a:t>
          </a:r>
        </a:p>
        <a:p>
          <a:pPr algn="ctr"/>
          <a:r>
            <a:rPr lang="en-US" sz="1200" i="0" spc="100" baseline="0">
              <a:solidFill>
                <a:schemeClr val="bg1"/>
              </a:solidFill>
              <a:effectLst>
                <a:outerShdw blurRad="25400" dist="25400" dir="2700000" algn="tl" rotWithShape="0">
                  <a:prstClr val="black">
                    <a:alpha val="80000"/>
                  </a:prstClr>
                </a:outerShdw>
              </a:effectLst>
              <a:latin typeface="HelveticaNeueLT Std Lt"/>
            </a:rPr>
            <a:t>*Sample Analysis</a:t>
          </a:r>
          <a:r>
            <a:rPr lang="en-US" sz="1100" i="0" spc="100" baseline="0">
              <a:solidFill>
                <a:schemeClr val="bg1"/>
              </a:solidFill>
              <a:effectLst>
                <a:outerShdw blurRad="25400" dist="25400" dir="2700000" algn="tl" rotWithShape="0">
                  <a:prstClr val="black">
                    <a:alpha val="80000"/>
                  </a:prstClr>
                </a:outerShdw>
              </a:effectLst>
              <a:latin typeface="HelveticaNeueLT Std Lt"/>
            </a:rPr>
            <a:t>*</a:t>
          </a:r>
        </a:p>
      </xdr:txBody>
    </xdr:sp>
    <xdr:clientData/>
  </xdr:twoCellAnchor>
  <xdr:twoCellAnchor>
    <xdr:from>
      <xdr:col>1</xdr:col>
      <xdr:colOff>0</xdr:colOff>
      <xdr:row>95</xdr:row>
      <xdr:rowOff>142874</xdr:rowOff>
    </xdr:from>
    <xdr:to>
      <xdr:col>12</xdr:col>
      <xdr:colOff>4142</xdr:colOff>
      <xdr:row>97</xdr:row>
      <xdr:rowOff>56733</xdr:rowOff>
    </xdr:to>
    <xdr:sp macro="" textlink="">
      <xdr:nvSpPr>
        <xdr:cNvPr id="8" name="Rounded Rectangle 58">
          <a:extLst>
            <a:ext uri="{FF2B5EF4-FFF2-40B4-BE49-F238E27FC236}">
              <a16:creationId xmlns:a16="http://schemas.microsoft.com/office/drawing/2014/main" id="{A910958B-1055-475C-86E8-C15E9C812516}"/>
            </a:ext>
          </a:extLst>
        </xdr:cNvPr>
        <xdr:cNvSpPr/>
      </xdr:nvSpPr>
      <xdr:spPr>
        <a:xfrm>
          <a:off x="2499360" y="17783174"/>
          <a:ext cx="9574862" cy="279619"/>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PRESENT VALUE</a:t>
          </a:r>
        </a:p>
      </xdr:txBody>
    </xdr:sp>
    <xdr:clientData/>
  </xdr:twoCellAnchor>
  <xdr:twoCellAnchor>
    <xdr:from>
      <xdr:col>1</xdr:col>
      <xdr:colOff>0</xdr:colOff>
      <xdr:row>77</xdr:row>
      <xdr:rowOff>133351</xdr:rowOff>
    </xdr:from>
    <xdr:to>
      <xdr:col>12</xdr:col>
      <xdr:colOff>0</xdr:colOff>
      <xdr:row>79</xdr:row>
      <xdr:rowOff>61289</xdr:rowOff>
    </xdr:to>
    <xdr:sp macro="" textlink="">
      <xdr:nvSpPr>
        <xdr:cNvPr id="9" name="Rounded Rectangle 59">
          <a:extLst>
            <a:ext uri="{FF2B5EF4-FFF2-40B4-BE49-F238E27FC236}">
              <a16:creationId xmlns:a16="http://schemas.microsoft.com/office/drawing/2014/main" id="{A9BD252E-3DEA-4782-966D-030561125633}"/>
            </a:ext>
          </a:extLst>
        </xdr:cNvPr>
        <xdr:cNvSpPr/>
      </xdr:nvSpPr>
      <xdr:spPr>
        <a:xfrm>
          <a:off x="2499360" y="14641831"/>
          <a:ext cx="9570720" cy="29369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PRESENT VALUE</a:t>
          </a:r>
        </a:p>
      </xdr:txBody>
    </xdr:sp>
    <xdr:clientData/>
  </xdr:twoCellAnchor>
  <xdr:twoCellAnchor>
    <xdr:from>
      <xdr:col>1</xdr:col>
      <xdr:colOff>0</xdr:colOff>
      <xdr:row>60</xdr:row>
      <xdr:rowOff>104775</xdr:rowOff>
    </xdr:from>
    <xdr:to>
      <xdr:col>12</xdr:col>
      <xdr:colOff>3728</xdr:colOff>
      <xdr:row>62</xdr:row>
      <xdr:rowOff>14907</xdr:rowOff>
    </xdr:to>
    <xdr:sp macro="" textlink="">
      <xdr:nvSpPr>
        <xdr:cNvPr id="10" name="Rounded Rectangle 60">
          <a:extLst>
            <a:ext uri="{FF2B5EF4-FFF2-40B4-BE49-F238E27FC236}">
              <a16:creationId xmlns:a16="http://schemas.microsoft.com/office/drawing/2014/main" id="{BA6BD9FB-FDF0-4230-9CB4-FABA1C531C15}"/>
            </a:ext>
          </a:extLst>
        </xdr:cNvPr>
        <xdr:cNvSpPr/>
      </xdr:nvSpPr>
      <xdr:spPr>
        <a:xfrm>
          <a:off x="2499360" y="11603355"/>
          <a:ext cx="9574448" cy="275892"/>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CASH FLOW</a:t>
          </a:r>
        </a:p>
      </xdr:txBody>
    </xdr:sp>
    <xdr:clientData/>
  </xdr:twoCellAnchor>
  <xdr:twoCellAnchor>
    <xdr:from>
      <xdr:col>1</xdr:col>
      <xdr:colOff>9525</xdr:colOff>
      <xdr:row>45</xdr:row>
      <xdr:rowOff>180975</xdr:rowOff>
    </xdr:from>
    <xdr:to>
      <xdr:col>12</xdr:col>
      <xdr:colOff>1</xdr:colOff>
      <xdr:row>47</xdr:row>
      <xdr:rowOff>51350</xdr:rowOff>
    </xdr:to>
    <xdr:sp macro="" textlink="">
      <xdr:nvSpPr>
        <xdr:cNvPr id="11" name="Rounded Rectangle 61">
          <a:extLst>
            <a:ext uri="{FF2B5EF4-FFF2-40B4-BE49-F238E27FC236}">
              <a16:creationId xmlns:a16="http://schemas.microsoft.com/office/drawing/2014/main" id="{FFF1285F-566E-47B2-BDE9-CF257C372594}"/>
            </a:ext>
          </a:extLst>
        </xdr:cNvPr>
        <xdr:cNvSpPr/>
      </xdr:nvSpPr>
      <xdr:spPr>
        <a:xfrm>
          <a:off x="2508885" y="8898255"/>
          <a:ext cx="9561196" cy="27423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CASH FLOW</a:t>
          </a:r>
        </a:p>
      </xdr:txBody>
    </xdr:sp>
    <xdr:clientData/>
  </xdr:twoCellAnchor>
  <xdr:twoCellAnchor>
    <xdr:from>
      <xdr:col>1</xdr:col>
      <xdr:colOff>0</xdr:colOff>
      <xdr:row>23</xdr:row>
      <xdr:rowOff>77856</xdr:rowOff>
    </xdr:from>
    <xdr:to>
      <xdr:col>12</xdr:col>
      <xdr:colOff>11597</xdr:colOff>
      <xdr:row>24</xdr:row>
      <xdr:rowOff>135834</xdr:rowOff>
    </xdr:to>
    <xdr:sp macro="" textlink="">
      <xdr:nvSpPr>
        <xdr:cNvPr id="12" name="Rounded Rectangle 62">
          <a:extLst>
            <a:ext uri="{FF2B5EF4-FFF2-40B4-BE49-F238E27FC236}">
              <a16:creationId xmlns:a16="http://schemas.microsoft.com/office/drawing/2014/main" id="{89D5E5E0-3E2F-4B9D-95B2-0C7995328AC6}"/>
            </a:ext>
          </a:extLst>
        </xdr:cNvPr>
        <xdr:cNvSpPr/>
      </xdr:nvSpPr>
      <xdr:spPr>
        <a:xfrm>
          <a:off x="2499360" y="4733676"/>
          <a:ext cx="9582317" cy="24085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INFLOWS</a:t>
          </a:r>
        </a:p>
      </xdr:txBody>
    </xdr:sp>
    <xdr:clientData/>
  </xdr:twoCellAnchor>
  <xdr:twoCellAnchor>
    <xdr:from>
      <xdr:col>1</xdr:col>
      <xdr:colOff>2071</xdr:colOff>
      <xdr:row>15</xdr:row>
      <xdr:rowOff>64601</xdr:rowOff>
    </xdr:from>
    <xdr:to>
      <xdr:col>11</xdr:col>
      <xdr:colOff>892868</xdr:colOff>
      <xdr:row>16</xdr:row>
      <xdr:rowOff>122579</xdr:rowOff>
    </xdr:to>
    <xdr:sp macro="" textlink="">
      <xdr:nvSpPr>
        <xdr:cNvPr id="13" name="Rounded Rectangle 63">
          <a:extLst>
            <a:ext uri="{FF2B5EF4-FFF2-40B4-BE49-F238E27FC236}">
              <a16:creationId xmlns:a16="http://schemas.microsoft.com/office/drawing/2014/main" id="{DAF9C706-B827-44C2-A9F5-412FF1727CAE}"/>
            </a:ext>
          </a:extLst>
        </xdr:cNvPr>
        <xdr:cNvSpPr/>
      </xdr:nvSpPr>
      <xdr:spPr>
        <a:xfrm>
          <a:off x="2501431" y="3242141"/>
          <a:ext cx="9569977" cy="24085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OUTFLOWS</a:t>
          </a:r>
        </a:p>
      </xdr:txBody>
    </xdr:sp>
    <xdr:clientData/>
  </xdr:twoCellAnchor>
  <xdr:twoCellAnchor editAs="oneCell">
    <xdr:from>
      <xdr:col>12</xdr:col>
      <xdr:colOff>810706</xdr:colOff>
      <xdr:row>6</xdr:row>
      <xdr:rowOff>37718</xdr:rowOff>
    </xdr:from>
    <xdr:to>
      <xdr:col>15</xdr:col>
      <xdr:colOff>120503</xdr:colOff>
      <xdr:row>8</xdr:row>
      <xdr:rowOff>109361</xdr:rowOff>
    </xdr:to>
    <xdr:pic>
      <xdr:nvPicPr>
        <xdr:cNvPr id="14" name="Picture 13">
          <a:hlinkClick xmlns:r="http://schemas.openxmlformats.org/officeDocument/2006/relationships" r:id="rId6"/>
          <a:extLst>
            <a:ext uri="{FF2B5EF4-FFF2-40B4-BE49-F238E27FC236}">
              <a16:creationId xmlns:a16="http://schemas.microsoft.com/office/drawing/2014/main" id="{18BE174F-0E49-4ADD-A7B9-37F28FD7B2C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880786" y="1119758"/>
          <a:ext cx="1336717" cy="437403"/>
        </a:xfrm>
        <a:prstGeom prst="rect">
          <a:avLst/>
        </a:prstGeom>
      </xdr:spPr>
    </xdr:pic>
    <xdr:clientData fPrintsWithSheet="0"/>
  </xdr:twoCellAnchor>
  <xdr:twoCellAnchor editAs="oneCell">
    <xdr:from>
      <xdr:col>1</xdr:col>
      <xdr:colOff>28280</xdr:colOff>
      <xdr:row>8</xdr:row>
      <xdr:rowOff>28280</xdr:rowOff>
    </xdr:from>
    <xdr:to>
      <xdr:col>1</xdr:col>
      <xdr:colOff>165440</xdr:colOff>
      <xdr:row>8</xdr:row>
      <xdr:rowOff>165440</xdr:rowOff>
    </xdr:to>
    <xdr:sp macro="InfoClick" textlink="">
      <xdr:nvSpPr>
        <xdr:cNvPr id="15" name="Oval 14">
          <a:extLst>
            <a:ext uri="{FF2B5EF4-FFF2-40B4-BE49-F238E27FC236}">
              <a16:creationId xmlns:a16="http://schemas.microsoft.com/office/drawing/2014/main" id="{42F0E9E8-7D8A-48ED-BB9D-5339822FA405}"/>
            </a:ext>
          </a:extLst>
        </xdr:cNvPr>
        <xdr:cNvSpPr>
          <a:spLocks noChangeAspect="1"/>
        </xdr:cNvSpPr>
      </xdr:nvSpPr>
      <xdr:spPr>
        <a:xfrm>
          <a:off x="2527640" y="17504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20424</xdr:colOff>
      <xdr:row>11</xdr:row>
      <xdr:rowOff>29851</xdr:rowOff>
    </xdr:from>
    <xdr:to>
      <xdr:col>1</xdr:col>
      <xdr:colOff>157584</xdr:colOff>
      <xdr:row>11</xdr:row>
      <xdr:rowOff>167011</xdr:rowOff>
    </xdr:to>
    <xdr:sp macro="InfoClick" textlink="">
      <xdr:nvSpPr>
        <xdr:cNvPr id="16" name="Oval 15">
          <a:extLst>
            <a:ext uri="{FF2B5EF4-FFF2-40B4-BE49-F238E27FC236}">
              <a16:creationId xmlns:a16="http://schemas.microsoft.com/office/drawing/2014/main" id="{F8AF23CB-0955-42A3-8258-4144615BE0D5}"/>
            </a:ext>
          </a:extLst>
        </xdr:cNvPr>
        <xdr:cNvSpPr>
          <a:spLocks noChangeAspect="1"/>
        </xdr:cNvSpPr>
      </xdr:nvSpPr>
      <xdr:spPr>
        <a:xfrm>
          <a:off x="2519784" y="2300611"/>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0</xdr:colOff>
      <xdr:row>17</xdr:row>
      <xdr:rowOff>28280</xdr:rowOff>
    </xdr:from>
    <xdr:to>
      <xdr:col>1</xdr:col>
      <xdr:colOff>137160</xdr:colOff>
      <xdr:row>17</xdr:row>
      <xdr:rowOff>165440</xdr:rowOff>
    </xdr:to>
    <xdr:sp macro="InfoClick" textlink="">
      <xdr:nvSpPr>
        <xdr:cNvPr id="17" name="Oval 16">
          <a:extLst>
            <a:ext uri="{FF2B5EF4-FFF2-40B4-BE49-F238E27FC236}">
              <a16:creationId xmlns:a16="http://schemas.microsoft.com/office/drawing/2014/main" id="{58F9030F-FB49-4823-AB7C-FF89781834D2}"/>
            </a:ext>
          </a:extLst>
        </xdr:cNvPr>
        <xdr:cNvSpPr>
          <a:spLocks noChangeAspect="1"/>
        </xdr:cNvSpPr>
      </xdr:nvSpPr>
      <xdr:spPr>
        <a:xfrm>
          <a:off x="2499360" y="357158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28281</xdr:colOff>
      <xdr:row>25</xdr:row>
      <xdr:rowOff>18854</xdr:rowOff>
    </xdr:from>
    <xdr:to>
      <xdr:col>2</xdr:col>
      <xdr:colOff>165441</xdr:colOff>
      <xdr:row>25</xdr:row>
      <xdr:rowOff>156014</xdr:rowOff>
    </xdr:to>
    <xdr:sp macro="InfoClick" textlink="">
      <xdr:nvSpPr>
        <xdr:cNvPr id="18" name="Oval 17">
          <a:extLst>
            <a:ext uri="{FF2B5EF4-FFF2-40B4-BE49-F238E27FC236}">
              <a16:creationId xmlns:a16="http://schemas.microsoft.com/office/drawing/2014/main" id="{76C7981E-090C-409D-82E5-C8CA3AD29463}"/>
            </a:ext>
          </a:extLst>
        </xdr:cNvPr>
        <xdr:cNvSpPr>
          <a:spLocks noChangeAspect="1"/>
        </xdr:cNvSpPr>
      </xdr:nvSpPr>
      <xdr:spPr>
        <a:xfrm>
          <a:off x="3373461" y="504043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www7.ncdc.noaa.gov/CDO/CDODivisionalSelect.jsp"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www7.ncdc.noaa.gov/CDO/CDODivisionalSelect.jsp"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6600"/>
    <pageSetUpPr fitToPage="1"/>
  </sheetPr>
  <dimension ref="B1:AB59"/>
  <sheetViews>
    <sheetView showGridLines="0" showRowColHeaders="0" tabSelected="1" topLeftCell="A33" zoomScaleNormal="100" workbookViewId="0">
      <extLst>
        <ext xmlns:xlsdti="http://schemas.microsoft.com/office/spreadsheetml/2023/showDataTypeIcons" uri="{77bfe23e-c014-4d31-8a63-9c772dbf06b6}">
          <xlsdti:showDataTypeIcons visible="0"/>
        </ext>
      </extLst>
    </sheetView>
  </sheetViews>
  <sheetFormatPr defaultColWidth="9.21875" defaultRowHeight="13.2"/>
  <cols>
    <col min="1" max="1" width="10.44140625" style="12" customWidth="1"/>
    <col min="2" max="2" width="12.44140625" style="12" customWidth="1"/>
    <col min="3" max="3" width="0.77734375" style="12" customWidth="1"/>
    <col min="4" max="4" width="12.33203125" style="12" customWidth="1"/>
    <col min="5" max="5" width="0.77734375" style="12" customWidth="1"/>
    <col min="6" max="6" width="11.44140625" style="12" customWidth="1"/>
    <col min="7" max="7" width="0.77734375" style="12" customWidth="1"/>
    <col min="8" max="8" width="14.6640625" style="12" customWidth="1"/>
    <col min="9" max="9" width="0.77734375" style="12" customWidth="1"/>
    <col min="10" max="10" width="14.77734375" style="12" customWidth="1"/>
    <col min="11" max="11" width="0.77734375" style="12" customWidth="1"/>
    <col min="12" max="12" width="14.33203125" style="12" customWidth="1"/>
    <col min="13" max="13" width="0.77734375" style="12" customWidth="1"/>
    <col min="14" max="14" width="16.6640625" style="12" customWidth="1"/>
    <col min="15" max="15" width="2.77734375" style="12" customWidth="1"/>
    <col min="16" max="16" width="11.77734375" style="12" customWidth="1"/>
    <col min="17" max="17" width="14.77734375" style="12" customWidth="1"/>
    <col min="18" max="18" width="1.77734375" style="12" customWidth="1"/>
    <col min="19" max="25" width="9.21875" style="12"/>
    <col min="26" max="26" width="0" style="12" hidden="1" customWidth="1"/>
    <col min="27" max="16384" width="9.21875" style="12"/>
  </cols>
  <sheetData>
    <row r="1" spans="2:26" s="57" customFormat="1"/>
    <row r="2" spans="2:26" s="57" customFormat="1"/>
    <row r="3" spans="2:26" s="58" customFormat="1" ht="19.5" customHeight="1" thickBot="1"/>
    <row r="4" spans="2:26" ht="39.75" customHeight="1"/>
    <row r="5" spans="2:26" ht="43.8" customHeight="1">
      <c r="Q5" s="277"/>
      <c r="Z5" s="12" t="str">
        <f>Tr("CHART_ENERGY_COST")</f>
        <v>Annual Energy Costs</v>
      </c>
    </row>
    <row r="6" spans="2:26" ht="20.399999999999999" customHeight="1">
      <c r="B6" s="387" t="str">
        <f>Tr("LANGUAGE")</f>
        <v>Language</v>
      </c>
      <c r="C6" s="388"/>
      <c r="D6" s="388"/>
      <c r="E6" s="13"/>
      <c r="F6" s="375" t="s">
        <v>1118</v>
      </c>
      <c r="G6" s="376"/>
      <c r="H6" s="339" t="str">
        <f>Tr("UNITS")</f>
        <v>Units</v>
      </c>
      <c r="I6" s="13"/>
      <c r="J6" s="340" t="s">
        <v>1579</v>
      </c>
      <c r="K6" s="342"/>
      <c r="L6" s="343" t="b">
        <v>0</v>
      </c>
      <c r="M6" s="342"/>
      <c r="N6" s="342"/>
      <c r="Z6" s="12" t="str">
        <f>Tr("CHART_FINANCIAL")</f>
        <v>Financial Analysis Results</v>
      </c>
    </row>
    <row r="7" spans="2:26" ht="15" customHeight="1">
      <c r="B7" s="473" t="str">
        <f>Tr("PROJECT")</f>
        <v>Project</v>
      </c>
      <c r="C7" s="474"/>
      <c r="D7" s="475"/>
      <c r="E7" s="13"/>
      <c r="F7" s="482" t="s">
        <v>264</v>
      </c>
      <c r="G7" s="483"/>
      <c r="H7" s="483"/>
      <c r="I7" s="483"/>
      <c r="J7" s="483"/>
      <c r="K7" s="483"/>
      <c r="L7" s="483"/>
      <c r="M7" s="483"/>
      <c r="N7" s="484"/>
      <c r="P7" s="321"/>
      <c r="Q7" s="345"/>
      <c r="Z7" s="12" t="str">
        <f>Tr("CHART_ACTUAL")</f>
        <v>Actual Delta-T Energy Usage</v>
      </c>
    </row>
    <row r="8" spans="2:26" ht="15" customHeight="1">
      <c r="B8" s="476" t="str">
        <f>Tr("INFORMATION")</f>
        <v>Information</v>
      </c>
      <c r="C8" s="477"/>
      <c r="D8" s="478"/>
      <c r="E8" s="13"/>
      <c r="F8" s="485" t="s">
        <v>265</v>
      </c>
      <c r="G8" s="486"/>
      <c r="H8" s="486"/>
      <c r="I8" s="486"/>
      <c r="J8" s="486"/>
      <c r="K8" s="486"/>
      <c r="L8" s="486"/>
      <c r="M8" s="486"/>
      <c r="N8" s="487"/>
      <c r="Z8" s="12" t="str">
        <f>Tr("CHART_FUTURE")</f>
        <v>Future Delta-T Energy Usage</v>
      </c>
    </row>
    <row r="9" spans="2:26" ht="26.4" customHeight="1">
      <c r="B9" s="479" t="str">
        <f>Tr("CLIMATE")</f>
        <v>Climate region</v>
      </c>
      <c r="C9" s="480"/>
      <c r="D9" s="481"/>
      <c r="E9" s="13"/>
      <c r="F9" s="288" t="s">
        <v>58</v>
      </c>
      <c r="G9" s="262"/>
      <c r="H9" s="289" t="str">
        <f>Tr("COOLING")</f>
        <v>Chiller cooling</v>
      </c>
      <c r="I9" s="262"/>
      <c r="J9" s="290" t="s">
        <v>205</v>
      </c>
      <c r="K9" s="262"/>
      <c r="L9" s="289" t="str">
        <f>Tr("PLANT_DESIGN")</f>
        <v>Plant design</v>
      </c>
      <c r="M9" s="262"/>
      <c r="N9" s="291" t="s">
        <v>193</v>
      </c>
      <c r="P9" s="346"/>
      <c r="Q9" s="347"/>
    </row>
    <row r="10" spans="2:26" ht="20.399999999999999" customHeight="1">
      <c r="B10" s="488" t="str">
        <f>Tr("UTILITY_COMPANY")</f>
        <v>Utility Company</v>
      </c>
      <c r="C10" s="489"/>
      <c r="D10" s="489"/>
      <c r="E10" s="337"/>
      <c r="F10" s="338" t="s">
        <v>1583</v>
      </c>
      <c r="G10" s="337"/>
      <c r="H10" s="341" t="str">
        <f>Tr("PROGRAM")</f>
        <v>Program</v>
      </c>
      <c r="I10" s="337"/>
      <c r="J10" s="389"/>
      <c r="K10" s="389"/>
      <c r="L10" s="389"/>
      <c r="M10" s="337"/>
      <c r="N10" s="344"/>
      <c r="Q10" s="348"/>
    </row>
    <row r="11" spans="2:26" s="15" customFormat="1" ht="42" customHeight="1">
      <c r="B11" s="377"/>
      <c r="C11" s="377"/>
      <c r="D11" s="377"/>
      <c r="E11" s="377"/>
      <c r="F11" s="377"/>
      <c r="G11" s="377"/>
      <c r="H11" s="377"/>
      <c r="I11" s="377"/>
      <c r="J11" s="377"/>
      <c r="K11" s="16"/>
      <c r="L11" s="40" t="str">
        <f>Tr("VALUE")</f>
        <v>Value</v>
      </c>
      <c r="M11" s="40"/>
      <c r="N11" s="40" t="str">
        <f>Tr("UNIT")</f>
        <v>Unit</v>
      </c>
      <c r="Q11" s="12"/>
      <c r="R11" s="12"/>
    </row>
    <row r="12" spans="2:26">
      <c r="B12" s="378" t="str">
        <f>Tr("ELECTRICITY")</f>
        <v>Electricity cost (average)</v>
      </c>
      <c r="C12" s="379"/>
      <c r="D12" s="379"/>
      <c r="E12" s="379"/>
      <c r="F12" s="379"/>
      <c r="G12" s="379"/>
      <c r="H12" s="379"/>
      <c r="I12" s="379"/>
      <c r="J12" s="380"/>
      <c r="K12" s="17"/>
      <c r="L12" s="18">
        <v>0.12</v>
      </c>
      <c r="M12" s="19"/>
      <c r="N12" s="20" t="s">
        <v>0</v>
      </c>
    </row>
    <row r="13" spans="2:26">
      <c r="B13" s="381" t="str">
        <f>Tr("LOAD")</f>
        <v>Design cooling load</v>
      </c>
      <c r="C13" s="382"/>
      <c r="D13" s="382"/>
      <c r="E13" s="382"/>
      <c r="F13" s="382"/>
      <c r="G13" s="382"/>
      <c r="H13" s="382"/>
      <c r="I13" s="382"/>
      <c r="J13" s="383"/>
      <c r="K13" s="17"/>
      <c r="L13" s="21">
        <v>1500</v>
      </c>
      <c r="M13" s="22"/>
      <c r="N13" s="23" t="s">
        <v>1</v>
      </c>
    </row>
    <row r="14" spans="2:26">
      <c r="B14" s="384" t="str">
        <f>Tr("CHILLERS")</f>
        <v>Number of chillers</v>
      </c>
      <c r="C14" s="385"/>
      <c r="D14" s="385"/>
      <c r="E14" s="385"/>
      <c r="F14" s="385"/>
      <c r="G14" s="385"/>
      <c r="H14" s="385"/>
      <c r="I14" s="385"/>
      <c r="J14" s="386"/>
      <c r="K14" s="17"/>
      <c r="L14" s="21">
        <v>4</v>
      </c>
      <c r="M14" s="22"/>
      <c r="N14" s="253" t="str">
        <f>Tr("PCS_UNIT")</f>
        <v>pcs.</v>
      </c>
    </row>
    <row r="15" spans="2:26">
      <c r="B15" s="493" t="str">
        <f>Tr("HOURS")</f>
        <v>Operating hours per day</v>
      </c>
      <c r="C15" s="494"/>
      <c r="D15" s="494"/>
      <c r="E15" s="494"/>
      <c r="F15" s="494"/>
      <c r="G15" s="494"/>
      <c r="H15" s="494"/>
      <c r="I15" s="494"/>
      <c r="J15" s="495"/>
      <c r="K15" s="29"/>
      <c r="L15" s="21">
        <v>24</v>
      </c>
      <c r="M15" s="30"/>
      <c r="N15" s="252" t="str">
        <f>Tr("HOURS_UNIT")</f>
        <v>hours</v>
      </c>
    </row>
    <row r="16" spans="2:26">
      <c r="B16" s="493" t="str">
        <f>Tr("DAYS")</f>
        <v>Operating days per week</v>
      </c>
      <c r="C16" s="494"/>
      <c r="D16" s="494"/>
      <c r="E16" s="494"/>
      <c r="F16" s="494"/>
      <c r="G16" s="494"/>
      <c r="H16" s="494"/>
      <c r="I16" s="494"/>
      <c r="J16" s="495"/>
      <c r="K16" s="29"/>
      <c r="L16" s="21">
        <v>7</v>
      </c>
      <c r="M16" s="31"/>
      <c r="N16" s="23" t="str">
        <f>Tr("DAYS_UNIT")</f>
        <v>days</v>
      </c>
      <c r="Q16" s="14"/>
    </row>
    <row r="17" spans="2:28">
      <c r="B17" s="384" t="str">
        <f>Tr("EFFICIENCY")</f>
        <v>Chiller design efficiency</v>
      </c>
      <c r="C17" s="385"/>
      <c r="D17" s="385"/>
      <c r="E17" s="385"/>
      <c r="F17" s="385"/>
      <c r="G17" s="385"/>
      <c r="H17" s="385"/>
      <c r="I17" s="385"/>
      <c r="J17" s="386"/>
      <c r="K17" s="17"/>
      <c r="L17" s="21">
        <v>0.63</v>
      </c>
      <c r="M17" s="22"/>
      <c r="N17" s="23" t="s">
        <v>6</v>
      </c>
      <c r="Q17" s="14"/>
    </row>
    <row r="18" spans="2:28">
      <c r="B18" s="384" t="str">
        <f>Model_Home!B18</f>
        <v>Actual Secondary Pump Head (Design)</v>
      </c>
      <c r="C18" s="385"/>
      <c r="D18" s="385"/>
      <c r="E18" s="385"/>
      <c r="F18" s="385"/>
      <c r="G18" s="385"/>
      <c r="H18" s="385"/>
      <c r="I18" s="385"/>
      <c r="J18" s="386"/>
      <c r="K18" s="17"/>
      <c r="L18" s="21">
        <v>80</v>
      </c>
      <c r="M18" s="22"/>
      <c r="N18" s="23" t="s">
        <v>1580</v>
      </c>
      <c r="Q18" s="14"/>
    </row>
    <row r="19" spans="2:28" ht="16.2" customHeight="1">
      <c r="B19" s="490" t="str">
        <f>Tr("PUMP_EFF")</f>
        <v>Pump, VFD and motor efficiency</v>
      </c>
      <c r="C19" s="491"/>
      <c r="D19" s="491"/>
      <c r="E19" s="491"/>
      <c r="F19" s="491"/>
      <c r="G19" s="491"/>
      <c r="H19" s="491"/>
      <c r="I19" s="491"/>
      <c r="J19" s="492"/>
      <c r="K19" s="17"/>
      <c r="L19" s="21">
        <v>80</v>
      </c>
      <c r="M19" s="22"/>
      <c r="N19" s="24" t="s">
        <v>3</v>
      </c>
      <c r="Q19" s="14"/>
    </row>
    <row r="20" spans="2:28">
      <c r="B20" s="118" t="str">
        <f>Tr("DESIGN_DT")</f>
        <v>Design Delta-T</v>
      </c>
      <c r="C20" s="119"/>
      <c r="D20" s="119"/>
      <c r="E20" s="119"/>
      <c r="F20" s="119"/>
      <c r="G20" s="119"/>
      <c r="H20" s="119"/>
      <c r="I20" s="119"/>
      <c r="J20" s="120"/>
      <c r="K20" s="17"/>
      <c r="L20" s="21">
        <v>12</v>
      </c>
      <c r="M20" s="22"/>
      <c r="N20" s="23" t="s">
        <v>4</v>
      </c>
    </row>
    <row r="21" spans="2:28" ht="12.6" customHeight="1">
      <c r="B21" s="490" t="str">
        <f>Tr("ACTUAL_DT")</f>
        <v>Actual Delta-T before Energy Valve</v>
      </c>
      <c r="C21" s="491"/>
      <c r="D21" s="491"/>
      <c r="E21" s="491"/>
      <c r="F21" s="491"/>
      <c r="G21" s="491"/>
      <c r="H21" s="491"/>
      <c r="I21" s="491"/>
      <c r="J21" s="492"/>
      <c r="K21" s="17"/>
      <c r="L21" s="21">
        <v>8</v>
      </c>
      <c r="M21" s="22"/>
      <c r="N21" s="23" t="s">
        <v>4</v>
      </c>
    </row>
    <row r="22" spans="2:28" s="15" customFormat="1">
      <c r="B22" s="470" t="str">
        <f>Tr("FUTURE_DT")</f>
        <v>Future Energy Valve Delta-T setting</v>
      </c>
      <c r="C22" s="471"/>
      <c r="D22" s="471"/>
      <c r="E22" s="471"/>
      <c r="F22" s="471"/>
      <c r="G22" s="471"/>
      <c r="H22" s="471"/>
      <c r="I22" s="471"/>
      <c r="J22" s="472"/>
      <c r="K22" s="25"/>
      <c r="L22" s="26">
        <v>14</v>
      </c>
      <c r="M22" s="22"/>
      <c r="N22" s="27" t="s">
        <v>4</v>
      </c>
      <c r="AB22" s="12"/>
    </row>
    <row r="23" spans="2:28" ht="30.3" customHeight="1">
      <c r="B23" s="28"/>
      <c r="C23" s="28"/>
      <c r="D23" s="28"/>
      <c r="E23" s="28"/>
      <c r="F23" s="28"/>
      <c r="G23" s="28"/>
      <c r="H23" s="28"/>
      <c r="I23" s="28"/>
      <c r="J23" s="28"/>
      <c r="K23" s="28"/>
      <c r="L23" s="28"/>
      <c r="M23" s="28"/>
      <c r="N23" s="28"/>
    </row>
    <row r="24" spans="2:28">
      <c r="B24" s="453" t="s">
        <v>60</v>
      </c>
      <c r="C24" s="454"/>
      <c r="D24" s="455" t="s">
        <v>191</v>
      </c>
      <c r="E24" s="456"/>
      <c r="F24" s="455" t="s">
        <v>1581</v>
      </c>
      <c r="G24" s="456"/>
      <c r="H24" s="453" t="str">
        <f>Tr("PUMP_COST_HDR")</f>
        <v>Pumping Cost</v>
      </c>
      <c r="I24" s="454"/>
      <c r="J24" s="468" t="str">
        <f>"    "&amp;Tr("CHILLER_COST_HDR")</f>
        <v xml:space="preserve">    Chiller Cost</v>
      </c>
      <c r="K24" s="469"/>
      <c r="L24" s="468" t="str">
        <f>"     "&amp;Tr("TOTAL_COST_HDR")</f>
        <v xml:space="preserve">     Total Cost</v>
      </c>
      <c r="M24" s="469"/>
      <c r="N24" s="226" t="str">
        <f>Tr("ENERGY_HDR")&amp;" [kWh]"</f>
        <v>Energy [kWh]</v>
      </c>
    </row>
    <row r="25" spans="2:28">
      <c r="B25" s="425">
        <f ca="1">DisplayValue(Model_Home!B25,"DELTA")</f>
        <v>6</v>
      </c>
      <c r="C25" s="426"/>
      <c r="D25" s="398">
        <f ca="1">DisplayValue(Model_Home!D25,"FLOW")</f>
        <v>2475</v>
      </c>
      <c r="E25" s="399"/>
      <c r="F25" s="400">
        <f ca="1">DisplayValue(Model_Home!F25,"CAPACITY")</f>
        <v>618.75</v>
      </c>
      <c r="G25" s="401"/>
      <c r="H25" s="457">
        <f>Model_Home!H25</f>
        <v>70362.260027403769</v>
      </c>
      <c r="I25" s="457"/>
      <c r="J25" s="395">
        <f>Model_Home!J25</f>
        <v>294653.75378768012</v>
      </c>
      <c r="K25" s="395"/>
      <c r="L25" s="395">
        <f>Model_Home!L25</f>
        <v>365016.01381508389</v>
      </c>
      <c r="M25" s="395"/>
      <c r="N25" s="32">
        <f>Model_Home!N25</f>
        <v>3041800.115125699</v>
      </c>
      <c r="Z25" s="114"/>
    </row>
    <row r="26" spans="2:28">
      <c r="B26" s="458">
        <f ca="1">DisplayValue(Model_Home!B26,"DELTA")</f>
        <v>8</v>
      </c>
      <c r="C26" s="459"/>
      <c r="D26" s="396">
        <f ca="1">DisplayValue(Model_Home!D26,"FLOW")</f>
        <v>2006.25</v>
      </c>
      <c r="E26" s="397"/>
      <c r="F26" s="391">
        <f ca="1">DisplayValue(Model_Home!F26,"CAPACITY")</f>
        <v>668.74999999999989</v>
      </c>
      <c r="G26" s="392"/>
      <c r="H26" s="390">
        <f>Model_Home!H26</f>
        <v>41411.121786961594</v>
      </c>
      <c r="I26" s="390"/>
      <c r="J26" s="390">
        <f>Model_Home!J26</f>
        <v>249762.82562730843</v>
      </c>
      <c r="K26" s="390"/>
      <c r="L26" s="390">
        <f>Model_Home!L26</f>
        <v>291173.94741427002</v>
      </c>
      <c r="M26" s="390"/>
      <c r="N26" s="33">
        <f>Model_Home!N26</f>
        <v>2426449.5617855834</v>
      </c>
    </row>
    <row r="27" spans="2:28">
      <c r="B27" s="421">
        <f ca="1">DisplayValue(Model_Home!B27,"DELTA")</f>
        <v>10</v>
      </c>
      <c r="C27" s="422"/>
      <c r="D27" s="409">
        <f ca="1">DisplayValue(Model_Home!D27,"FLOW")</f>
        <v>1736.2310601229376</v>
      </c>
      <c r="E27" s="410"/>
      <c r="F27" s="404">
        <f ca="1">DisplayValue(Model_Home!F27,"CAPACITY")</f>
        <v>723.42960838455724</v>
      </c>
      <c r="G27" s="405"/>
      <c r="H27" s="408">
        <f>Model_Home!H27</f>
        <v>27588.89872812909</v>
      </c>
      <c r="I27" s="408"/>
      <c r="J27" s="408">
        <f>Model_Home!J27</f>
        <v>240071.21156064115</v>
      </c>
      <c r="K27" s="408"/>
      <c r="L27" s="408">
        <f>Model_Home!L27</f>
        <v>267660.11028877023</v>
      </c>
      <c r="M27" s="408"/>
      <c r="N27" s="34">
        <f>Model_Home!N27</f>
        <v>2230500.9190730853</v>
      </c>
    </row>
    <row r="28" spans="2:28">
      <c r="B28" s="419">
        <f ca="1">DisplayValue(Model_Home!B28,"DELTA")</f>
        <v>12</v>
      </c>
      <c r="C28" s="420"/>
      <c r="D28" s="464">
        <f ca="1">DisplayValue(Model_Home!D28,"FLOW")</f>
        <v>1533.7310601229376</v>
      </c>
      <c r="E28" s="465"/>
      <c r="F28" s="406">
        <f ca="1">DisplayValue(Model_Home!F28,"CAPACITY")</f>
        <v>766.86553006146869</v>
      </c>
      <c r="G28" s="407"/>
      <c r="H28" s="423">
        <f>Model_Home!H28</f>
        <v>18763.189301448532</v>
      </c>
      <c r="I28" s="423"/>
      <c r="J28" s="423">
        <f>Model_Home!J28</f>
        <v>195381.15819521758</v>
      </c>
      <c r="K28" s="423"/>
      <c r="L28" s="423">
        <f>Model_Home!L28</f>
        <v>214144.3474966661</v>
      </c>
      <c r="M28" s="423"/>
      <c r="N28" s="35">
        <f>Model_Home!N28</f>
        <v>1784536.2291388842</v>
      </c>
    </row>
    <row r="29" spans="2:28" hidden="1">
      <c r="B29" s="417">
        <f ca="1">DisplayValue(Model_Home!B29,"DELTA")</f>
        <v>12</v>
      </c>
      <c r="C29" s="418"/>
      <c r="D29" s="393">
        <f ca="1">DisplayValue(Model_Home!D29,"FLOW")</f>
        <v>1533.7310601229376</v>
      </c>
      <c r="E29" s="394"/>
      <c r="F29" s="402">
        <f ca="1">DisplayValue(Model_Home!F29,"CAPACITY")</f>
        <v>766.86553006146869</v>
      </c>
      <c r="G29" s="403"/>
      <c r="H29" s="424">
        <f>Model_Home!H29</f>
        <v>18763.189301448532</v>
      </c>
      <c r="I29" s="424"/>
      <c r="J29" s="424">
        <f>Model_Home!J29</f>
        <v>195381.15819521758</v>
      </c>
      <c r="K29" s="424"/>
      <c r="L29" s="424">
        <f>Model_Home!L29</f>
        <v>214144.3474966661</v>
      </c>
      <c r="M29" s="424"/>
      <c r="N29" s="36">
        <f>Model_Home!N29</f>
        <v>1784536.2291388842</v>
      </c>
    </row>
    <row r="30" spans="2:28">
      <c r="B30" s="466">
        <f ca="1">DisplayValue(Model_Home!B30,"DELTA")</f>
        <v>14</v>
      </c>
      <c r="C30" s="467"/>
      <c r="D30" s="462">
        <f ca="1">DisplayValue(Model_Home!D30,"FLOW")</f>
        <v>1367.6596315515089</v>
      </c>
      <c r="E30" s="463"/>
      <c r="F30" s="460">
        <f ca="1">DisplayValue(Model_Home!F30,"CAPACITY")</f>
        <v>797.80145173838014</v>
      </c>
      <c r="G30" s="461"/>
      <c r="H30" s="452">
        <f>Model_Home!H30</f>
        <v>12396.756645448148</v>
      </c>
      <c r="I30" s="452"/>
      <c r="J30" s="452">
        <f>Model_Home!J30</f>
        <v>189420.46449740822</v>
      </c>
      <c r="K30" s="452"/>
      <c r="L30" s="452">
        <f>Model_Home!L30</f>
        <v>201817.22114285638</v>
      </c>
      <c r="M30" s="452"/>
      <c r="N30" s="37">
        <f>Model_Home!N30</f>
        <v>1681810.1761904699</v>
      </c>
      <c r="P30" s="255"/>
    </row>
    <row r="31" spans="2:28" ht="12.75" customHeight="1">
      <c r="B31" s="436" t="str">
        <f>Model_Home!B31</f>
        <v>Annual Energy Savings for 
changing Delta T from 8 to 14</v>
      </c>
      <c r="C31" s="437"/>
      <c r="D31" s="437"/>
      <c r="E31" s="437"/>
      <c r="F31" s="437"/>
      <c r="G31" s="438"/>
      <c r="H31" s="411">
        <f>Model_Home!H31</f>
        <v>0.7006418539149234</v>
      </c>
      <c r="I31" s="411"/>
      <c r="J31" s="411">
        <f>Model_Home!J31</f>
        <v>0.24159864855125393</v>
      </c>
      <c r="K31" s="411"/>
      <c r="L31" s="411">
        <f>Model_Home!L31</f>
        <v>0.30688434547435889</v>
      </c>
      <c r="M31" s="411"/>
      <c r="N31" s="38" t="s">
        <v>3</v>
      </c>
      <c r="P31" s="255"/>
    </row>
    <row r="32" spans="2:28">
      <c r="B32" s="439"/>
      <c r="C32" s="440"/>
      <c r="D32" s="440"/>
      <c r="E32" s="440"/>
      <c r="F32" s="440"/>
      <c r="G32" s="441"/>
      <c r="H32" s="412">
        <f>Model_Home!H32</f>
        <v>29014.365141513445</v>
      </c>
      <c r="I32" s="413"/>
      <c r="J32" s="412">
        <f>Model_Home!J32</f>
        <v>60342.361129900208</v>
      </c>
      <c r="K32" s="413"/>
      <c r="L32" s="412">
        <f>Model_Home!L32</f>
        <v>89356.726271413645</v>
      </c>
      <c r="M32" s="413"/>
      <c r="N32" s="256">
        <f>Model_Home!N32</f>
        <v>-744639.3855951135</v>
      </c>
      <c r="P32" s="255"/>
    </row>
    <row r="33" spans="2:14" ht="29.55" customHeight="1">
      <c r="B33" s="28"/>
      <c r="C33" s="28"/>
      <c r="D33" s="28"/>
      <c r="E33" s="28"/>
      <c r="F33" s="28"/>
      <c r="G33" s="28"/>
      <c r="H33" s="28"/>
      <c r="I33" s="28"/>
      <c r="J33" s="28"/>
      <c r="K33" s="28"/>
      <c r="L33" s="28"/>
      <c r="M33" s="28"/>
      <c r="N33" s="28"/>
    </row>
    <row r="34" spans="2:14" s="15" customFormat="1">
      <c r="B34" s="39"/>
      <c r="L34" s="40" t="str">
        <f>Tr("VALUE_HDR")</f>
        <v>Value</v>
      </c>
      <c r="M34" s="40"/>
      <c r="N34" s="40" t="str">
        <f>Tr("UNIT_HDR")</f>
        <v>Unit</v>
      </c>
    </row>
    <row r="35" spans="2:14">
      <c r="B35" s="442" t="str">
        <f>Tr("INVESTMENT")</f>
        <v>Incremental Energy Valve investment</v>
      </c>
      <c r="C35" s="443"/>
      <c r="D35" s="443"/>
      <c r="E35" s="443"/>
      <c r="F35" s="443"/>
      <c r="G35" s="443"/>
      <c r="H35" s="443"/>
      <c r="I35" s="443"/>
      <c r="J35" s="444"/>
      <c r="K35" s="29"/>
      <c r="L35" s="41">
        <v>170000</v>
      </c>
      <c r="M35" s="42"/>
      <c r="N35" s="20" t="s">
        <v>16</v>
      </c>
    </row>
    <row r="36" spans="2:14">
      <c r="B36" s="445" t="str">
        <f>Tr("DISCOUNT")</f>
        <v>Discount rate</v>
      </c>
      <c r="C36" s="446"/>
      <c r="D36" s="446"/>
      <c r="E36" s="446"/>
      <c r="F36" s="446"/>
      <c r="G36" s="446"/>
      <c r="H36" s="446"/>
      <c r="I36" s="446"/>
      <c r="J36" s="447"/>
      <c r="K36" s="29"/>
      <c r="L36" s="43">
        <v>4</v>
      </c>
      <c r="M36" s="44"/>
      <c r="N36" s="23" t="s">
        <v>3</v>
      </c>
    </row>
    <row r="37" spans="2:14">
      <c r="B37" s="448" t="str">
        <f>Tr("INFLATION")</f>
        <v>Annual energy-cost inflation</v>
      </c>
      <c r="C37" s="449"/>
      <c r="D37" s="449"/>
      <c r="E37" s="449"/>
      <c r="F37" s="449"/>
      <c r="G37" s="449"/>
      <c r="H37" s="449"/>
      <c r="I37" s="449"/>
      <c r="J37" s="450"/>
      <c r="K37" s="29"/>
      <c r="L37" s="45">
        <v>2</v>
      </c>
      <c r="M37" s="44"/>
      <c r="N37" s="27" t="s">
        <v>3</v>
      </c>
    </row>
    <row r="38" spans="2:14" ht="32.25" customHeight="1">
      <c r="B38" s="28"/>
      <c r="C38" s="28"/>
      <c r="D38" s="28"/>
      <c r="E38" s="28"/>
      <c r="F38" s="28"/>
      <c r="G38" s="28"/>
      <c r="H38" s="28"/>
      <c r="I38" s="28"/>
      <c r="J38" s="28"/>
      <c r="K38" s="28"/>
      <c r="L38" s="28"/>
      <c r="M38" s="28"/>
      <c r="N38" s="28"/>
    </row>
    <row r="39" spans="2:14">
      <c r="B39" s="414" t="str">
        <f>Tr("INVESTMENT_HORIZON")</f>
        <v>Investment Horizon</v>
      </c>
      <c r="C39" s="415"/>
      <c r="D39" s="415"/>
      <c r="E39" s="415"/>
      <c r="F39" s="416"/>
      <c r="G39" s="13"/>
      <c r="H39" s="110" t="str">
        <f>"5 "&amp;Tr("YEARS_WORD")</f>
        <v>5 years</v>
      </c>
      <c r="I39" s="30"/>
      <c r="J39" s="112" t="str">
        <f>"10 "&amp;Tr("YEARS_WORD")</f>
        <v>10 years</v>
      </c>
      <c r="K39" s="30"/>
      <c r="L39" s="46" t="str">
        <f>"15 "&amp;Tr("YEARS_WORD")</f>
        <v>15 years</v>
      </c>
      <c r="M39" s="30"/>
      <c r="N39" s="47" t="str">
        <f>"20 "&amp;Tr("YEARS_WORD")</f>
        <v>20 years</v>
      </c>
    </row>
    <row r="40" spans="2:14">
      <c r="B40" s="414" t="str">
        <f>Tr("SIR_LABEL")</f>
        <v>Savings-Investment Ratio (SIR)</v>
      </c>
      <c r="C40" s="415"/>
      <c r="D40" s="415"/>
      <c r="E40" s="415"/>
      <c r="F40" s="416"/>
      <c r="G40" s="13"/>
      <c r="H40" s="228">
        <f>Model_Home!H40</f>
        <v>2.4317134700818359</v>
      </c>
      <c r="I40" s="48"/>
      <c r="J40" s="229">
        <f>Model_Home!J40</f>
        <v>4.6384300742210218</v>
      </c>
      <c r="K40" s="48"/>
      <c r="L40" s="230">
        <f>Model_Home!L40</f>
        <v>6.6409678858899692</v>
      </c>
      <c r="M40" s="48"/>
      <c r="N40" s="231">
        <f>Model_Home!N40</f>
        <v>8.4582187642501143</v>
      </c>
    </row>
    <row r="41" spans="2:14">
      <c r="B41" s="414" t="str">
        <f>Tr("NPV_LABEL")</f>
        <v>Net Present Value (NPV)</v>
      </c>
      <c r="C41" s="415"/>
      <c r="D41" s="415"/>
      <c r="E41" s="415"/>
      <c r="F41" s="416"/>
      <c r="G41" s="13"/>
      <c r="H41" s="111">
        <f>Model_Home!H41</f>
        <v>243391.28991391213</v>
      </c>
      <c r="I41" s="49"/>
      <c r="J41" s="113">
        <f>Model_Home!J41</f>
        <v>618533.1126175737</v>
      </c>
      <c r="K41" s="49"/>
      <c r="L41" s="50">
        <f>Model_Home!L41</f>
        <v>958964.54060129472</v>
      </c>
      <c r="M41" s="51"/>
      <c r="N41" s="52">
        <f>Model_Home!N41</f>
        <v>1267897.1899225195</v>
      </c>
    </row>
    <row r="42" spans="2:14" ht="28.95" customHeight="1">
      <c r="B42" s="28"/>
      <c r="C42" s="28"/>
      <c r="D42" s="28"/>
      <c r="E42" s="28"/>
      <c r="F42" s="28"/>
      <c r="G42" s="28"/>
      <c r="H42" s="28"/>
      <c r="I42" s="28"/>
      <c r="J42" s="28"/>
      <c r="K42" s="28"/>
      <c r="L42" s="28"/>
      <c r="M42" s="28"/>
      <c r="N42" s="28"/>
    </row>
    <row r="43" spans="2:14" s="15" customFormat="1">
      <c r="B43" s="451"/>
      <c r="C43" s="451"/>
      <c r="D43" s="451"/>
      <c r="E43" s="451"/>
      <c r="F43" s="451"/>
      <c r="G43" s="451"/>
      <c r="H43" s="451"/>
      <c r="I43" s="451"/>
      <c r="J43" s="451"/>
      <c r="K43" s="17"/>
      <c r="L43" s="40" t="str">
        <f>Tr("VALUE_HDR")</f>
        <v>Value</v>
      </c>
      <c r="M43" s="40"/>
      <c r="N43" s="40" t="str">
        <f>Tr("UNIT_HDR")</f>
        <v>Unit</v>
      </c>
    </row>
    <row r="44" spans="2:14">
      <c r="B44" s="442" t="str">
        <f>Tr("CO2")</f>
        <v>Annual carbon dioxide avoided</v>
      </c>
      <c r="C44" s="443"/>
      <c r="D44" s="443"/>
      <c r="E44" s="443"/>
      <c r="F44" s="443"/>
      <c r="G44" s="443"/>
      <c r="H44" s="443"/>
      <c r="I44" s="443"/>
      <c r="J44" s="444"/>
      <c r="K44" s="53"/>
      <c r="L44" s="260">
        <f ca="1">DisplayValue(Model_Home!L44,"CO2")</f>
        <v>138949.7093520482</v>
      </c>
      <c r="M44" s="54"/>
      <c r="N44" s="20" t="s">
        <v>40</v>
      </c>
    </row>
    <row r="45" spans="2:14">
      <c r="B45" s="445" t="str">
        <f>Tr("TREES")</f>
        <v>Tree seedlings grown for 10 years</v>
      </c>
      <c r="C45" s="446"/>
      <c r="D45" s="446"/>
      <c r="E45" s="446"/>
      <c r="F45" s="446"/>
      <c r="G45" s="446"/>
      <c r="H45" s="446"/>
      <c r="I45" s="446"/>
      <c r="J45" s="447"/>
      <c r="K45" s="53"/>
      <c r="L45" s="258">
        <f>Model_Home!L45</f>
        <v>1616.0648198924796</v>
      </c>
      <c r="M45" s="55"/>
      <c r="N45" s="23" t="str">
        <f>Tr("TREE_SEEDLINGS_UNIT")</f>
        <v>tree seedlings</v>
      </c>
    </row>
    <row r="46" spans="2:14">
      <c r="B46" s="448" t="str">
        <f>Tr("HOMES")</f>
        <v>Equivalent annual home electricity use</v>
      </c>
      <c r="C46" s="449"/>
      <c r="D46" s="449"/>
      <c r="E46" s="449"/>
      <c r="F46" s="449"/>
      <c r="G46" s="449"/>
      <c r="H46" s="449"/>
      <c r="I46" s="449"/>
      <c r="J46" s="450"/>
      <c r="K46" s="53"/>
      <c r="L46" s="259">
        <f>Model_Home!L46</f>
        <v>8.6676024483271235</v>
      </c>
      <c r="M46" s="55"/>
      <c r="N46" s="27" t="str">
        <f>Tr("HOMES_UNIT")</f>
        <v>homes</v>
      </c>
    </row>
    <row r="47" spans="2:14" ht="30.3" customHeight="1">
      <c r="B47" s="28"/>
      <c r="C47" s="28"/>
      <c r="D47" s="28"/>
      <c r="E47" s="28"/>
      <c r="F47" s="28"/>
      <c r="G47" s="28"/>
      <c r="H47" s="28"/>
      <c r="I47" s="28"/>
      <c r="J47" s="28"/>
      <c r="K47" s="28"/>
      <c r="L47" s="28"/>
      <c r="M47" s="28"/>
      <c r="N47" s="28"/>
    </row>
    <row r="48" spans="2:14">
      <c r="B48" s="427" t="str">
        <f>Tr("DISCLAIMER_TEXT")</f>
        <v>Copyright by BELIMO Aircontrols (USA), Inc., Danbury, CT, 2014. This is an estimating tool. Results are dependent on the accuracy of input values and specific plant details. For more accurate results, additional plant data and complex modeling software is necessary. In order to better analyze an existing plant Belimo recommends installing 3 Energy Valves at strategic locations in order to obtain actual measured data.</v>
      </c>
      <c r="C48" s="428"/>
      <c r="D48" s="428"/>
      <c r="E48" s="428"/>
      <c r="F48" s="428"/>
      <c r="G48" s="428"/>
      <c r="H48" s="428"/>
      <c r="I48" s="428"/>
      <c r="J48" s="428"/>
      <c r="K48" s="428"/>
      <c r="L48" s="428"/>
      <c r="M48" s="428"/>
      <c r="N48" s="429"/>
    </row>
    <row r="49" spans="2:14">
      <c r="B49" s="430"/>
      <c r="C49" s="431"/>
      <c r="D49" s="431"/>
      <c r="E49" s="431"/>
      <c r="F49" s="431"/>
      <c r="G49" s="431"/>
      <c r="H49" s="431"/>
      <c r="I49" s="431"/>
      <c r="J49" s="431"/>
      <c r="K49" s="431"/>
      <c r="L49" s="431"/>
      <c r="M49" s="431"/>
      <c r="N49" s="432"/>
    </row>
    <row r="50" spans="2:14">
      <c r="B50" s="430"/>
      <c r="C50" s="431"/>
      <c r="D50" s="431"/>
      <c r="E50" s="431"/>
      <c r="F50" s="431"/>
      <c r="G50" s="431"/>
      <c r="H50" s="431"/>
      <c r="I50" s="431"/>
      <c r="J50" s="431"/>
      <c r="K50" s="431"/>
      <c r="L50" s="431"/>
      <c r="M50" s="431"/>
      <c r="N50" s="432"/>
    </row>
    <row r="51" spans="2:14" ht="4.5" customHeight="1">
      <c r="B51" s="433"/>
      <c r="C51" s="434"/>
      <c r="D51" s="434"/>
      <c r="E51" s="434"/>
      <c r="F51" s="434"/>
      <c r="G51" s="434"/>
      <c r="H51" s="434"/>
      <c r="I51" s="434"/>
      <c r="J51" s="434"/>
      <c r="K51" s="434"/>
      <c r="L51" s="434"/>
      <c r="M51" s="434"/>
      <c r="N51" s="435"/>
    </row>
    <row r="52" spans="2:14">
      <c r="B52" s="227" t="s">
        <v>1043</v>
      </c>
      <c r="I52" s="15"/>
    </row>
    <row r="53" spans="2:14">
      <c r="B53" s="59"/>
      <c r="C53" s="59"/>
    </row>
    <row r="59" spans="2:14" ht="23.25" customHeight="1">
      <c r="B59" s="60"/>
      <c r="C59" s="60"/>
    </row>
  </sheetData>
  <sheetProtection selectLockedCells="1"/>
  <mergeCells count="80">
    <mergeCell ref="L24:M24"/>
    <mergeCell ref="J24:K24"/>
    <mergeCell ref="D24:E24"/>
    <mergeCell ref="B22:J22"/>
    <mergeCell ref="B7:D7"/>
    <mergeCell ref="B8:D8"/>
    <mergeCell ref="B9:D9"/>
    <mergeCell ref="F7:N7"/>
    <mergeCell ref="F8:N8"/>
    <mergeCell ref="B10:D10"/>
    <mergeCell ref="B19:J19"/>
    <mergeCell ref="B21:J21"/>
    <mergeCell ref="B15:J15"/>
    <mergeCell ref="B16:J16"/>
    <mergeCell ref="B18:J18"/>
    <mergeCell ref="B17:J17"/>
    <mergeCell ref="B24:C24"/>
    <mergeCell ref="H30:I30"/>
    <mergeCell ref="H31:I31"/>
    <mergeCell ref="H32:I32"/>
    <mergeCell ref="F24:G24"/>
    <mergeCell ref="H29:I29"/>
    <mergeCell ref="H28:I28"/>
    <mergeCell ref="H27:I27"/>
    <mergeCell ref="H26:I26"/>
    <mergeCell ref="H25:I25"/>
    <mergeCell ref="H24:I24"/>
    <mergeCell ref="B26:C26"/>
    <mergeCell ref="F30:G30"/>
    <mergeCell ref="D30:E30"/>
    <mergeCell ref="D28:E28"/>
    <mergeCell ref="B30:C30"/>
    <mergeCell ref="B25:C25"/>
    <mergeCell ref="B48:N51"/>
    <mergeCell ref="B31:G32"/>
    <mergeCell ref="B44:J44"/>
    <mergeCell ref="B45:J45"/>
    <mergeCell ref="B46:J46"/>
    <mergeCell ref="B43:J43"/>
    <mergeCell ref="B35:J35"/>
    <mergeCell ref="B36:J36"/>
    <mergeCell ref="B37:J37"/>
    <mergeCell ref="B40:F40"/>
    <mergeCell ref="B41:F41"/>
    <mergeCell ref="L32:M32"/>
    <mergeCell ref="L30:M30"/>
    <mergeCell ref="J30:K30"/>
    <mergeCell ref="L29:M29"/>
    <mergeCell ref="L31:M31"/>
    <mergeCell ref="J31:K31"/>
    <mergeCell ref="J32:K32"/>
    <mergeCell ref="B39:F39"/>
    <mergeCell ref="J27:K27"/>
    <mergeCell ref="B29:C29"/>
    <mergeCell ref="B28:C28"/>
    <mergeCell ref="B27:C27"/>
    <mergeCell ref="L28:M28"/>
    <mergeCell ref="J29:K29"/>
    <mergeCell ref="J28:K28"/>
    <mergeCell ref="L26:M26"/>
    <mergeCell ref="F26:G26"/>
    <mergeCell ref="D29:E29"/>
    <mergeCell ref="L25:M25"/>
    <mergeCell ref="D26:E26"/>
    <mergeCell ref="D25:E25"/>
    <mergeCell ref="J25:K25"/>
    <mergeCell ref="J26:K26"/>
    <mergeCell ref="F25:G25"/>
    <mergeCell ref="F29:G29"/>
    <mergeCell ref="F27:G27"/>
    <mergeCell ref="F28:G28"/>
    <mergeCell ref="L27:M27"/>
    <mergeCell ref="D27:E27"/>
    <mergeCell ref="F6:G6"/>
    <mergeCell ref="B11:J11"/>
    <mergeCell ref="B12:J12"/>
    <mergeCell ref="B13:J13"/>
    <mergeCell ref="B14:J14"/>
    <mergeCell ref="B6:D6"/>
    <mergeCell ref="J10:L10"/>
  </mergeCells>
  <dataValidations count="13">
    <dataValidation type="decimal" allowBlank="1" showInputMessage="1" showErrorMessage="1" promptTitle="IPLV" sqref="M17" xr:uid="{00000000-0002-0000-0000-000000000000}">
      <formula1>0.4</formula1>
      <formula2>1.4</formula2>
    </dataValidation>
    <dataValidation type="decimal" operator="greaterThan" allowBlank="1" showInputMessage="1" showErrorMessage="1" errorTitle="Invalid Entry" error="Value must be greater than 0." promptTitle="IPLV" sqref="L12:L14 L18" xr:uid="{00000000-0002-0000-0000-000001000000}">
      <formula1>0</formula1>
    </dataValidation>
    <dataValidation type="decimal" allowBlank="1" showInputMessage="1" showErrorMessage="1" errorTitle="Invalid Entry" error="Value must be greater than 0 and less than or equal to 24." promptTitle="IPLV" sqref="L15" xr:uid="{00000000-0002-0000-0000-000002000000}">
      <formula1>0.0001</formula1>
      <formula2>24</formula2>
    </dataValidation>
    <dataValidation type="decimal" allowBlank="1" showInputMessage="1" showErrorMessage="1" errorTitle="Invalid Entry" error="Value must be greater than 0 and less than or equal to 7." promptTitle="IPLV" sqref="L16" xr:uid="{00000000-0002-0000-0000-000003000000}">
      <formula1>0.0001</formula1>
      <formula2>7</formula2>
    </dataValidation>
    <dataValidation type="decimal" allowBlank="1" showInputMessage="1" showErrorMessage="1" errorTitle="Invalid Entry" error="Value must be greater than 2 and less than 40." promptTitle="IPLV" sqref="L20" xr:uid="{00000000-0002-0000-0000-000004000000}">
      <formula1>2</formula1>
      <formula2>40</formula2>
    </dataValidation>
    <dataValidation type="decimal" allowBlank="1" showInputMessage="1" showErrorMessage="1" errorTitle="Invalid Entry" error="Value must be greater than 0.1 and less than 0.8." promptTitle="IPLV" sqref="L17" xr:uid="{00000000-0002-0000-0000-000005000000}">
      <formula1>0.1</formula1>
      <formula2>0.8</formula2>
    </dataValidation>
    <dataValidation type="decimal" allowBlank="1" showInputMessage="1" showErrorMessage="1" errorTitle="Invalid Entry" error="Value must be greater than 1 and less than 99." promptTitle="IPLV" sqref="L19" xr:uid="{00000000-0002-0000-0000-000006000000}">
      <formula1>1</formula1>
      <formula2>99</formula2>
    </dataValidation>
    <dataValidation type="decimal" allowBlank="1" showInputMessage="1" showErrorMessage="1" errorTitle="Invalid Entry" error="Value must be greater than 0.01 and less than or equal to 99." sqref="L36:L37" xr:uid="{00000000-0002-0000-0000-000007000000}">
      <formula1>0.01</formula1>
      <formula2>99</formula2>
    </dataValidation>
    <dataValidation type="decimal" operator="greaterThan" allowBlank="1" showInputMessage="1" showErrorMessage="1" errorTitle="Invalid Entry" error="Value must be greater than Actual Delta T by at least 3 degrees." promptTitle="IPLV" sqref="L22" xr:uid="{00000000-0002-0000-0000-000008000000}">
      <formula1>L21+2</formula1>
    </dataValidation>
    <dataValidation type="decimal" operator="lessThan" allowBlank="1" showInputMessage="1" showErrorMessage="1" errorTitle="Invalid Entry" error="Value must be less than Future Delta T by at least 3 degrees." promptTitle="IPLV" sqref="L21" xr:uid="{00000000-0002-0000-0000-000009000000}">
      <formula1>L22-2</formula1>
    </dataValidation>
    <dataValidation type="list" allowBlank="1" showInputMessage="1" showErrorMessage="1" sqref="J6" xr:uid="{93A5425B-21CA-403B-82B4-B324F3EC2FF1}">
      <formula1>"US,Metric"</formula1>
    </dataValidation>
    <dataValidation type="list" allowBlank="1" showInputMessage="1" showErrorMessage="1" sqref="F6" xr:uid="{537E43DE-405D-4192-AFC6-0230FEFF5C68}">
      <formula1>"English,Español,Português,Français"</formula1>
    </dataValidation>
    <dataValidation type="list" allowBlank="1" showInputMessage="1" showErrorMessage="1" sqref="F10" xr:uid="{6448EC15-014C-41A3-A0BE-6A516A219827}">
      <formula1>UtilityList</formula1>
    </dataValidation>
  </dataValidations>
  <printOptions horizontalCentered="1"/>
  <pageMargins left="0.25" right="0.25" top="0.75" bottom="0.75" header="0.3" footer="0.3"/>
  <pageSetup scale="72" orientation="portrait" r:id="rId1"/>
  <headerFooter>
    <oddHeader>&amp;L&amp;G</oddHeader>
    <oddFooter>&amp;C&amp;"Arial,Regular"&amp;10Page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SaveSettingsCheckBox">
              <controlPr locked="0" defaultSize="0" autoFill="0" autoLine="0" autoPict="0">
                <anchor moveWithCells="1">
                  <from>
                    <xdr:col>11</xdr:col>
                    <xdr:colOff>106680</xdr:colOff>
                    <xdr:row>4</xdr:row>
                    <xdr:rowOff>518160</xdr:rowOff>
                  </from>
                  <to>
                    <xdr:col>13</xdr:col>
                    <xdr:colOff>838200</xdr:colOff>
                    <xdr:row>6</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A000000}">
          <x14:formula1>
            <xm:f>Energy!$B$21:$B$32</xm:f>
          </x14:formula1>
          <xm:sqref>M9 F9 K9</xm:sqref>
        </x14:dataValidation>
        <x14:dataValidation type="list" allowBlank="1" showInputMessage="1" showErrorMessage="1" xr:uid="{00000000-0002-0000-0000-00000B000000}">
          <x14:formula1>
            <xm:f>Chiller!$M$11:$M$12</xm:f>
          </x14:formula1>
          <xm:sqref>J9</xm:sqref>
        </x14:dataValidation>
        <x14:dataValidation type="list" allowBlank="1" showInputMessage="1" showErrorMessage="1" xr:uid="{00000000-0002-0000-0000-00000C000000}">
          <x14:formula1>
            <xm:f>Chiller!$L$11:$L$12</xm:f>
          </x14:formula1>
          <xm:sqref>N9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6600"/>
    <pageSetUpPr fitToPage="1"/>
  </sheetPr>
  <dimension ref="B1:L34"/>
  <sheetViews>
    <sheetView showGridLines="0" showRowColHeaders="0" zoomScaleNormal="100" workbookViewId="0">
      <pane ySplit="3" topLeftCell="A4" activePane="bottomLeft" state="frozen"/>
      <selection pane="bottomLeft" activeCell="E10" sqref="E10"/>
    </sheetView>
  </sheetViews>
  <sheetFormatPr defaultColWidth="9.21875" defaultRowHeight="13.8"/>
  <cols>
    <col min="1" max="1" width="2.77734375" style="11" customWidth="1"/>
    <col min="2" max="2" width="9.21875" style="11"/>
    <col min="3" max="3" width="13.44140625" style="11" customWidth="1"/>
    <col min="4" max="4" width="9.21875" style="11"/>
    <col min="5" max="5" width="23.21875" style="11" customWidth="1"/>
    <col min="6" max="6" width="21.77734375" style="11" customWidth="1"/>
    <col min="7" max="7" width="12.44140625" style="11" customWidth="1"/>
    <col min="8" max="8" width="18.77734375" style="11" customWidth="1"/>
    <col min="9" max="9" width="15.44140625" style="11" customWidth="1"/>
    <col min="10" max="16384" width="9.21875" style="11"/>
  </cols>
  <sheetData>
    <row r="1" spans="2:12" s="9" customFormat="1"/>
    <row r="2" spans="2:12" s="9" customFormat="1"/>
    <row r="3" spans="2:12" s="10" customFormat="1" ht="14.4" thickBot="1"/>
    <row r="5" spans="2:12" ht="28.8" customHeight="1">
      <c r="B5" s="498" t="str">
        <f>Tr("NRG_OPHOURS_DAY")</f>
        <v>Operating Hours / Day</v>
      </c>
      <c r="C5" s="499"/>
      <c r="D5" s="286">
        <f>Model_Energy!D5</f>
        <v>24</v>
      </c>
      <c r="E5" s="286" t="str">
        <f>Tr("HOURS_UNIT")</f>
        <v>hours</v>
      </c>
      <c r="G5" s="241" t="str">
        <f>Tr("EDITABLE")</f>
        <v>Editable field</v>
      </c>
    </row>
    <row r="6" spans="2:12" ht="28.2" customHeight="1">
      <c r="B6" s="498" t="str">
        <f>Tr("NRG_OPDAYS_WEEK")</f>
        <v>Operating Days / Week</v>
      </c>
      <c r="C6" s="499"/>
      <c r="D6" s="286">
        <f>Model_Energy!D6</f>
        <v>7</v>
      </c>
      <c r="E6" s="287" t="str">
        <f>Tr("DAYS_UNIT")</f>
        <v>days</v>
      </c>
      <c r="G6" s="242" t="str">
        <f>Tr("LABEL")</f>
        <v>Label</v>
      </c>
    </row>
    <row r="7" spans="2:12" ht="28.2" customHeight="1">
      <c r="B7" s="500" t="str">
        <f>Tr("NRG_ANNUAL_OPHOURS")</f>
        <v>Annual Operating Hours</v>
      </c>
      <c r="C7" s="501"/>
      <c r="D7" s="286">
        <f>Model_Energy!D7</f>
        <v>14955.145478374836</v>
      </c>
      <c r="E7" s="286" t="str">
        <f>Tr("HOURS_UNIT")</f>
        <v>hours</v>
      </c>
    </row>
    <row r="8" spans="2:12">
      <c r="B8" s="66"/>
    </row>
    <row r="9" spans="2:12" s="75" customFormat="1" ht="28.95" customHeight="1">
      <c r="B9" s="234" t="str">
        <f>Tr("NRG_POINT")</f>
        <v>Point</v>
      </c>
      <c r="C9" s="234" t="str">
        <f>Tr("NRG_BIN")</f>
        <v>Bin</v>
      </c>
      <c r="D9" s="349" t="str">
        <f>Tr("LOAD_PCT")</f>
        <v>Load [%]</v>
      </c>
      <c r="E9" s="234" t="str">
        <f>Tr("TIME_PCT")</f>
        <v>Time [%]</v>
      </c>
      <c r="F9" s="349" t="str">
        <f>Tr("NRG_OPHOURS")</f>
        <v>Operating Hours</v>
      </c>
    </row>
    <row r="10" spans="2:12">
      <c r="B10" s="62" t="s">
        <v>33</v>
      </c>
      <c r="C10" s="62" t="str">
        <f>Tr("DESIGN_WORD")</f>
        <v>Design</v>
      </c>
      <c r="D10" s="67">
        <v>1</v>
      </c>
      <c r="E10" s="268">
        <v>0.05</v>
      </c>
      <c r="F10" s="62">
        <f>Model_Energy!F10</f>
        <v>747.75727391874182</v>
      </c>
    </row>
    <row r="11" spans="2:12">
      <c r="B11" s="62" t="s">
        <v>34</v>
      </c>
      <c r="C11" s="62" t="str">
        <f>Tr("PEAK_WORD")</f>
        <v>Peak</v>
      </c>
      <c r="D11" s="67">
        <v>0.75</v>
      </c>
      <c r="E11" s="268">
        <v>0.15</v>
      </c>
      <c r="F11" s="62">
        <f>Model_Energy!F11</f>
        <v>2243.2718217562251</v>
      </c>
    </row>
    <row r="12" spans="2:12">
      <c r="B12" s="62" t="s">
        <v>35</v>
      </c>
      <c r="C12" s="62" t="str">
        <f>Tr("LOW_WORD")</f>
        <v>Low</v>
      </c>
      <c r="D12" s="67">
        <v>0.5</v>
      </c>
      <c r="E12" s="268">
        <v>0.45</v>
      </c>
      <c r="F12" s="62">
        <f>Model_Energy!F12</f>
        <v>6729.8154652686762</v>
      </c>
    </row>
    <row r="13" spans="2:12" ht="14.4" thickBot="1">
      <c r="B13" s="62" t="s">
        <v>36</v>
      </c>
      <c r="C13" s="62" t="str">
        <f>Tr("MIN_WORD")</f>
        <v>Min</v>
      </c>
      <c r="D13" s="67">
        <v>0.25</v>
      </c>
      <c r="E13" s="269">
        <f>Model_Energy!E13</f>
        <v>0.35</v>
      </c>
      <c r="F13" s="62">
        <f>Model_Energy!F13</f>
        <v>5234.3009174311919</v>
      </c>
    </row>
    <row r="14" spans="2:12" ht="15" thickTop="1" thickBot="1">
      <c r="F14" s="73">
        <f>Model_Energy!F14</f>
        <v>14955.145478374834</v>
      </c>
    </row>
    <row r="16" spans="2:12" ht="15">
      <c r="B16" s="502"/>
      <c r="C16" s="502"/>
      <c r="D16" s="502"/>
      <c r="E16" s="70"/>
      <c r="F16" s="257"/>
      <c r="L16" s="71"/>
    </row>
    <row r="17" spans="2:12" ht="15">
      <c r="K17" s="71"/>
      <c r="L17" s="56"/>
    </row>
    <row r="18" spans="2:12">
      <c r="K18" s="56"/>
      <c r="L18" s="56"/>
    </row>
    <row r="19" spans="2:12" s="75" customFormat="1" ht="15" customHeight="1">
      <c r="B19" s="22"/>
      <c r="C19" s="22"/>
      <c r="D19" s="22"/>
      <c r="E19" s="510" t="s">
        <v>1582</v>
      </c>
      <c r="F19" s="510" t="str">
        <f>Tr("HUMIDITY_ADJUSTMENT")</f>
        <v>Humidity Adjustment</v>
      </c>
      <c r="G19" s="496" t="str">
        <f>Tr("MULTIPLIER_WORD")</f>
        <v>Multiplier</v>
      </c>
      <c r="K19" s="76"/>
      <c r="L19" s="76"/>
    </row>
    <row r="20" spans="2:12" s="75" customFormat="1">
      <c r="B20" s="509" t="str">
        <f>Tr("CLIMATE")</f>
        <v>Climate region</v>
      </c>
      <c r="C20" s="509"/>
      <c r="D20" s="509"/>
      <c r="E20" s="511"/>
      <c r="F20" s="511"/>
      <c r="G20" s="496"/>
      <c r="K20" s="76"/>
      <c r="L20" s="76"/>
    </row>
    <row r="21" spans="2:12">
      <c r="B21" s="506" t="str">
        <f>Tr("NORTHEAST")</f>
        <v>North East</v>
      </c>
      <c r="C21" s="507"/>
      <c r="D21" s="508"/>
      <c r="E21" s="78">
        <v>1034</v>
      </c>
      <c r="F21" s="141">
        <v>0.3</v>
      </c>
      <c r="G21" s="79">
        <f>Model_Energy!G21</f>
        <v>0.88086500655307998</v>
      </c>
      <c r="K21" s="56"/>
      <c r="L21" s="56"/>
    </row>
    <row r="22" spans="2:12">
      <c r="B22" s="506" t="str">
        <f>Tr("CENTRAL")</f>
        <v>Central</v>
      </c>
      <c r="C22" s="507"/>
      <c r="D22" s="508"/>
      <c r="E22" s="64">
        <v>1090</v>
      </c>
      <c r="F22" s="141">
        <v>0.3</v>
      </c>
      <c r="G22" s="79">
        <f>Model_Energy!G22</f>
        <v>0.9285714285714286</v>
      </c>
      <c r="K22" s="56"/>
      <c r="L22" s="56"/>
    </row>
    <row r="23" spans="2:12">
      <c r="B23" s="506" t="str">
        <f>Tr("ENC")</f>
        <v>East North Central</v>
      </c>
      <c r="C23" s="507"/>
      <c r="D23" s="508"/>
      <c r="E23" s="64">
        <v>975</v>
      </c>
      <c r="F23" s="142">
        <v>0.3</v>
      </c>
      <c r="G23" s="79">
        <f>Model_Energy!G23</f>
        <v>0.83060288335517696</v>
      </c>
      <c r="K23" s="56"/>
      <c r="L23" s="56"/>
    </row>
    <row r="24" spans="2:12">
      <c r="B24" s="506" t="str">
        <f>Tr("WNC")</f>
        <v>West North Central</v>
      </c>
      <c r="C24" s="507"/>
      <c r="D24" s="508"/>
      <c r="E24" s="64">
        <v>1123</v>
      </c>
      <c r="F24" s="143">
        <v>0.15</v>
      </c>
      <c r="G24" s="79">
        <f>Model_Energy!G24</f>
        <v>0.84629750982961982</v>
      </c>
      <c r="K24" s="56"/>
      <c r="L24" s="56"/>
    </row>
    <row r="25" spans="2:12">
      <c r="B25" s="506" t="str">
        <f>Tr("SOUTHEAST")</f>
        <v>South East</v>
      </c>
      <c r="C25" s="507"/>
      <c r="D25" s="508"/>
      <c r="E25" s="64">
        <v>2264</v>
      </c>
      <c r="F25" s="143">
        <v>0.3</v>
      </c>
      <c r="G25" s="79">
        <f>Model_Energy!G25</f>
        <v>1.92870249017038</v>
      </c>
      <c r="H25" s="72"/>
      <c r="K25" s="56"/>
      <c r="L25" s="56"/>
    </row>
    <row r="26" spans="2:12">
      <c r="B26" s="506" t="str">
        <f>Tr("SOUTH")</f>
        <v>South</v>
      </c>
      <c r="C26" s="507"/>
      <c r="D26" s="508"/>
      <c r="E26" s="64">
        <v>2004</v>
      </c>
      <c r="F26" s="143">
        <v>0.3</v>
      </c>
      <c r="G26" s="79">
        <f>Model_Energy!G26</f>
        <v>1.7072083879423328</v>
      </c>
      <c r="K26" s="56"/>
      <c r="L26" s="56"/>
    </row>
    <row r="27" spans="2:12">
      <c r="B27" s="506" t="str">
        <f>Tr("SOUTHWEST")</f>
        <v>South West</v>
      </c>
      <c r="C27" s="507"/>
      <c r="D27" s="508"/>
      <c r="E27" s="64">
        <v>2750</v>
      </c>
      <c r="F27" s="143">
        <v>0.05</v>
      </c>
      <c r="G27" s="79">
        <f>Model_Energy!G27</f>
        <v>1.8922018348623852</v>
      </c>
      <c r="K27" s="56"/>
      <c r="L27" s="56"/>
    </row>
    <row r="28" spans="2:12">
      <c r="B28" s="506" t="str">
        <f>Tr("MOUNTAIN")</f>
        <v>Mountain</v>
      </c>
      <c r="C28" s="507"/>
      <c r="D28" s="508"/>
      <c r="E28" s="83">
        <v>1450</v>
      </c>
      <c r="F28" s="141">
        <v>0.05</v>
      </c>
      <c r="G28" s="79">
        <f>Model_Energy!G28</f>
        <v>0.99770642201834869</v>
      </c>
      <c r="K28" s="56"/>
      <c r="L28" s="56"/>
    </row>
    <row r="29" spans="2:12">
      <c r="B29" s="506" t="str">
        <f>Tr("NORTHWEST")</f>
        <v>North West</v>
      </c>
      <c r="C29" s="507"/>
      <c r="D29" s="508"/>
      <c r="E29" s="64">
        <v>720</v>
      </c>
      <c r="F29" s="141">
        <v>0.05</v>
      </c>
      <c r="G29" s="79">
        <f>Model_Energy!G29</f>
        <v>0.49541284403669728</v>
      </c>
      <c r="K29" s="56"/>
      <c r="L29" s="56"/>
    </row>
    <row r="30" spans="2:12">
      <c r="B30" s="506" t="str">
        <f>Tr("WEST")</f>
        <v>West</v>
      </c>
      <c r="C30" s="507"/>
      <c r="D30" s="508"/>
      <c r="E30" s="64">
        <v>1850</v>
      </c>
      <c r="F30" s="144">
        <v>0.05</v>
      </c>
      <c r="G30" s="81">
        <f>Model_Energy!G30</f>
        <v>1.272935779816514</v>
      </c>
      <c r="K30" s="56"/>
      <c r="L30" s="56"/>
    </row>
    <row r="31" spans="2:12" ht="15" thickBot="1">
      <c r="B31" s="225" t="str">
        <f>Tr("CUSTOM")</f>
        <v>Custom Region</v>
      </c>
      <c r="C31" s="223"/>
      <c r="D31" s="224"/>
      <c r="E31" s="140">
        <v>3793</v>
      </c>
      <c r="F31" s="80">
        <v>0.3</v>
      </c>
      <c r="G31" s="82">
        <f>Model_Energy!G31</f>
        <v>3.231258191349935</v>
      </c>
      <c r="K31" s="56"/>
      <c r="L31" s="56"/>
    </row>
    <row r="32" spans="2:12" ht="15" thickTop="1" thickBot="1">
      <c r="B32" s="503" t="str">
        <f>Tr("AVERAGE_US")</f>
        <v>Average US</v>
      </c>
      <c r="C32" s="504"/>
      <c r="D32" s="505"/>
      <c r="E32" s="73">
        <f ca="1">DisplayValue(Model_Energy!E32,"DEGREEDAY")</f>
        <v>1526</v>
      </c>
      <c r="F32" s="74">
        <f>Model_Energy!F32</f>
        <v>0.185</v>
      </c>
      <c r="G32" s="69">
        <f>Model_Energy!G32</f>
        <v>1.1850000000000001</v>
      </c>
      <c r="K32" s="56"/>
      <c r="L32" s="56"/>
    </row>
    <row r="33" spans="2:11">
      <c r="K33" s="56"/>
    </row>
    <row r="34" spans="2:11">
      <c r="B34" s="497" t="str">
        <f>Tr("SELECTED_VALUE")&amp;"     "</f>
        <v xml:space="preserve">Selected Value     </v>
      </c>
      <c r="C34" s="497"/>
      <c r="D34" s="497"/>
      <c r="E34" s="497"/>
      <c r="F34" s="497"/>
      <c r="G34" s="84">
        <f>Model_Energy!G34</f>
        <v>1.7072083879423328</v>
      </c>
    </row>
  </sheetData>
  <sheetProtection algorithmName="SHA-512" hashValue="Xamnwew7W5DDv8k6ssFkbBFzRWZd0EkRgOAp8MgJM1GLl3nxS6K1iGoVBdAGq6fnhhsBXvI4LvCon2QzfgmfRw==" saltValue="X23wIEL1NHT1hEjJ90DmXw==" spinCount="100000" sheet="1" objects="1" scenarios="1" selectLockedCells="1"/>
  <mergeCells count="20">
    <mergeCell ref="B22:D22"/>
    <mergeCell ref="B21:D21"/>
    <mergeCell ref="E19:E20"/>
    <mergeCell ref="F19:F20"/>
    <mergeCell ref="G19:G20"/>
    <mergeCell ref="B34:F34"/>
    <mergeCell ref="B5:C5"/>
    <mergeCell ref="B6:C6"/>
    <mergeCell ref="B7:C7"/>
    <mergeCell ref="B16:D16"/>
    <mergeCell ref="B32:D32"/>
    <mergeCell ref="B30:D30"/>
    <mergeCell ref="B29:D29"/>
    <mergeCell ref="B28:D28"/>
    <mergeCell ref="B27:D27"/>
    <mergeCell ref="B26:D26"/>
    <mergeCell ref="B20:D20"/>
    <mergeCell ref="B25:D25"/>
    <mergeCell ref="B24:D24"/>
    <mergeCell ref="B23:D23"/>
  </mergeCells>
  <dataValidations count="1">
    <dataValidation type="decimal" allowBlank="1" showInputMessage="1" showErrorMessage="1" errorTitle="Invalid Entry" error="Value must be greater than 0.01% and less than or equal to 99%." sqref="F31" xr:uid="{00000000-0002-0000-0100-000000000000}">
      <formula1>0.0001</formula1>
      <formula2>0.99</formula2>
    </dataValidation>
  </dataValidations>
  <hyperlinks>
    <hyperlink ref="B31:D31" r:id="rId1" display="Custom Region" xr:uid="{00000000-0004-0000-0100-000000000000}"/>
  </hyperlinks>
  <pageMargins left="0.25" right="0.25" top="0.75" bottom="0.75" header="0.3" footer="0.3"/>
  <pageSetup scale="55"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6600"/>
    <pageSetUpPr fitToPage="1"/>
  </sheetPr>
  <dimension ref="B1:S62"/>
  <sheetViews>
    <sheetView showGridLines="0" zoomScale="90" zoomScaleNormal="90" workbookViewId="0">
      <pane ySplit="3" topLeftCell="A4" activePane="bottomLeft" state="frozen"/>
      <selection pane="bottomLeft" activeCell="F13" sqref="F13:H13"/>
    </sheetView>
  </sheetViews>
  <sheetFormatPr defaultColWidth="9.21875" defaultRowHeight="13.8"/>
  <cols>
    <col min="1" max="1" width="2.77734375" style="11" customWidth="1"/>
    <col min="2" max="2" width="14.77734375" style="11" customWidth="1"/>
    <col min="3" max="5" width="13.33203125" style="11" customWidth="1"/>
    <col min="6" max="6" width="14" style="11" customWidth="1"/>
    <col min="7" max="7" width="12.33203125" style="11" customWidth="1"/>
    <col min="8" max="8" width="13" style="11" customWidth="1"/>
    <col min="9" max="9" width="26.6640625" style="11" customWidth="1"/>
    <col min="10" max="10" width="12.77734375" style="11" customWidth="1"/>
    <col min="11" max="11" width="18.6640625" style="11" customWidth="1"/>
    <col min="12" max="17" width="0.88671875" style="356" customWidth="1"/>
    <col min="18" max="16384" width="9.21875" style="11"/>
  </cols>
  <sheetData>
    <row r="1" spans="2:19" s="9" customFormat="1" ht="27.75" customHeight="1">
      <c r="L1" s="354"/>
      <c r="M1" s="354"/>
      <c r="N1" s="354"/>
      <c r="O1" s="354"/>
      <c r="P1" s="354"/>
      <c r="Q1" s="354"/>
    </row>
    <row r="2" spans="2:19" s="9" customFormat="1">
      <c r="L2" s="354"/>
      <c r="M2" s="354"/>
      <c r="N2" s="354"/>
      <c r="O2" s="354"/>
      <c r="P2" s="354"/>
      <c r="Q2" s="354"/>
    </row>
    <row r="3" spans="2:19" s="10" customFormat="1" ht="5.25" customHeight="1" thickBot="1">
      <c r="L3" s="355"/>
      <c r="M3" s="355"/>
      <c r="N3" s="355"/>
      <c r="O3" s="355"/>
      <c r="P3" s="355"/>
      <c r="Q3" s="355"/>
    </row>
    <row r="5" spans="2:19" ht="41.4" customHeight="1">
      <c r="B5" s="516" t="str">
        <f>Tr("AGG_ENERGY")</f>
        <v>Aggregation of energy consumption</v>
      </c>
      <c r="C5" s="516"/>
      <c r="D5" s="516"/>
      <c r="E5" s="516"/>
      <c r="F5" s="77" t="s">
        <v>42</v>
      </c>
      <c r="G5" s="77" t="str">
        <f>Tr("RATIO_WORD")</f>
        <v>Ratio</v>
      </c>
    </row>
    <row r="6" spans="2:19">
      <c r="B6" s="237" t="str">
        <f>Tr("KW1_COMPRESSOR")</f>
        <v>KW1 Compressor</v>
      </c>
      <c r="C6" s="238"/>
      <c r="D6" s="238"/>
      <c r="E6" s="239"/>
      <c r="F6" s="68">
        <f ca="1">DisplayValue(Model_Chiller!F6,"EFFICIENCY")</f>
        <v>0.63</v>
      </c>
      <c r="G6" s="67">
        <f>Model_Chiller!G6</f>
        <v>0.82603801072776639</v>
      </c>
      <c r="H6" s="240"/>
      <c r="I6" s="241" t="str">
        <f>Tr("EDITABLE")</f>
        <v>Editable field</v>
      </c>
    </row>
    <row r="7" spans="2:19">
      <c r="B7" s="237" t="str">
        <f>Model_Chiller!B7</f>
        <v>KW2 Constant Speed Primary Pump</v>
      </c>
      <c r="C7" s="238"/>
      <c r="D7" s="238"/>
      <c r="E7" s="239"/>
      <c r="F7" s="236">
        <f>Model_Chiller!F7</f>
        <v>3.767676767676767E-2</v>
      </c>
      <c r="G7" s="67">
        <f>Model_Chiller!G7</f>
        <v>4.9400701940268854E-2</v>
      </c>
      <c r="H7" s="240"/>
      <c r="I7" s="242" t="str">
        <f>Tr("LABEL")</f>
        <v>Label</v>
      </c>
    </row>
    <row r="8" spans="2:19">
      <c r="B8" s="237" t="str">
        <f>Model_Chiller!B8</f>
        <v>KW3 Condenser Pump</v>
      </c>
      <c r="C8" s="238"/>
      <c r="D8" s="238"/>
      <c r="E8" s="239"/>
      <c r="F8" s="116">
        <v>0.04</v>
      </c>
      <c r="G8" s="67">
        <f>Model_Chiller!G8</f>
        <v>5.2446857823985171E-2</v>
      </c>
      <c r="H8" s="240"/>
    </row>
    <row r="9" spans="2:19">
      <c r="B9" s="237" t="str">
        <f>Model_Chiller!B9</f>
        <v>KW4 Cooling Tower Fan</v>
      </c>
      <c r="C9" s="238"/>
      <c r="D9" s="238"/>
      <c r="E9" s="239"/>
      <c r="F9" s="116">
        <v>0.04</v>
      </c>
      <c r="G9" s="67">
        <f>Model_Chiller!G9</f>
        <v>5.2446857823985171E-2</v>
      </c>
      <c r="H9" s="240"/>
      <c r="K9" s="254"/>
      <c r="S9" s="133"/>
    </row>
    <row r="10" spans="2:19" ht="19.2" customHeight="1">
      <c r="B10" s="521" t="str">
        <f>Tr("KW5_CHILLER_CONTROLS")</f>
        <v>KW5 Chiller Controls</v>
      </c>
      <c r="C10" s="522"/>
      <c r="D10" s="522"/>
      <c r="E10" s="523"/>
      <c r="F10" s="116">
        <v>5.0000000000000001E-3</v>
      </c>
      <c r="G10" s="86">
        <f>Model_Chiller!G10</f>
        <v>6.5558572279981464E-3</v>
      </c>
      <c r="H10" s="240"/>
      <c r="K10" s="254"/>
      <c r="L10" s="357" t="str">
        <f>Tr("CHILLER_PLANT_PIPING")</f>
        <v>Chiller Plant Piping</v>
      </c>
      <c r="M10" s="358" t="str">
        <f>Tr("COOLING")</f>
        <v>Chiller cooling</v>
      </c>
      <c r="S10" s="133"/>
    </row>
    <row r="11" spans="2:19" ht="27" customHeight="1" thickBot="1">
      <c r="B11" s="524" t="str">
        <f>Tr("KW6_TRANS_OIL_PUMP")</f>
        <v>KW6 Transmission Oil Pump and Heater</v>
      </c>
      <c r="C11" s="525"/>
      <c r="D11" s="525"/>
      <c r="E11" s="526"/>
      <c r="F11" s="117">
        <v>0.01</v>
      </c>
      <c r="G11" s="86">
        <f>Model_Chiller!G11</f>
        <v>1.3111714455996293E-2</v>
      </c>
      <c r="H11" s="240"/>
      <c r="K11" s="254"/>
      <c r="L11" s="359" t="str">
        <f>Tr("PRIMARY")</f>
        <v>Primary/Secondary</v>
      </c>
      <c r="M11" s="360" t="str">
        <f>Tr("WATER")</f>
        <v>Water cooled</v>
      </c>
      <c r="S11" s="133"/>
    </row>
    <row r="12" spans="2:19" ht="28.95" customHeight="1" thickTop="1" thickBot="1">
      <c r="B12" s="517" t="str">
        <f>Tr("TOTAL_CHILLER_PLANT_ENERGY")</f>
        <v>Total Chiller Plant Energy Consumption</v>
      </c>
      <c r="C12" s="518"/>
      <c r="D12" s="518"/>
      <c r="E12" s="519"/>
      <c r="F12" s="372">
        <f>Model_Chiller!F12</f>
        <v>0.76267676767676762</v>
      </c>
      <c r="G12" s="373">
        <f>Model_Chiller!G12</f>
        <v>1</v>
      </c>
      <c r="K12" s="254"/>
      <c r="L12" s="361" t="str">
        <f>Tr("VARIABLE")</f>
        <v>Variable Primary</v>
      </c>
      <c r="M12" s="360" t="str">
        <f>Tr("AIR")</f>
        <v>Air cooled</v>
      </c>
      <c r="S12" s="133"/>
    </row>
    <row r="13" spans="2:19" ht="43.05" customHeight="1">
      <c r="B13" s="515" t="str">
        <f>Tr("CHILLER_SAVINGS_METHOD")</f>
        <v>Chiller Savings Method:</v>
      </c>
      <c r="C13" s="515"/>
      <c r="D13" s="515"/>
      <c r="E13" s="515"/>
      <c r="F13" s="512" t="s">
        <v>1721</v>
      </c>
      <c r="G13" s="513"/>
      <c r="H13" s="514"/>
      <c r="K13" s="254"/>
      <c r="L13" s="356" t="str">
        <f>Tr("METHOD_FULL")</f>
        <v>Full plant (incl. compressor)</v>
      </c>
      <c r="S13" s="133"/>
    </row>
    <row r="14" spans="2:19">
      <c r="K14" s="254"/>
      <c r="L14" s="356" t="str">
        <f>Tr("METHOD_ORIGINAL")</f>
        <v>Original (auxiliaries only)</v>
      </c>
      <c r="N14" s="362" t="str">
        <f>Tr("ACTUAL_USAGE")</f>
        <v>Actual Delta-T energy usage</v>
      </c>
      <c r="O14" s="362" t="str">
        <f>Tr("ACTUAL_PCT")</f>
        <v>Actual %</v>
      </c>
      <c r="P14" s="362" t="str">
        <f>Tr("FUTURE_USAGE")</f>
        <v>Future Delta-T energy usage</v>
      </c>
      <c r="Q14" s="362" t="str">
        <f>Tr("FUTURE_PCT")</f>
        <v>Future %</v>
      </c>
      <c r="S14" s="133"/>
    </row>
    <row r="15" spans="2:19" ht="43.05" customHeight="1">
      <c r="B15" s="515" t="str">
        <f>Tr("CHILLER_CYCLING_PCT")</f>
        <v>Chiller Cycling Percent:</v>
      </c>
      <c r="C15" s="515"/>
      <c r="D15" s="515"/>
      <c r="E15" s="520"/>
      <c r="F15" s="293">
        <v>0</v>
      </c>
      <c r="K15" s="254"/>
      <c r="M15" s="356" t="str">
        <f>Tr("CHILLER_WORD")</f>
        <v>Chiller</v>
      </c>
      <c r="N15" s="363">
        <f>Model_Chiller!N15</f>
        <v>34207.160662907023</v>
      </c>
      <c r="O15" s="364">
        <f>Model_Chiller!O15</f>
        <v>98.082487346455835</v>
      </c>
      <c r="P15" s="363">
        <f>Model_Chiller!P15</f>
        <v>10240.192198882207</v>
      </c>
      <c r="Q15" s="364">
        <f>Model_Chiller!Q15</f>
        <v>29.361791575448002</v>
      </c>
      <c r="S15" s="133"/>
    </row>
    <row r="16" spans="2:19">
      <c r="K16" s="254"/>
      <c r="M16" s="356" t="str">
        <f>Tr("KW1_COMPRESSOR")</f>
        <v>KW1 Compressor</v>
      </c>
      <c r="N16" s="363">
        <f>Model_Chiller!N16</f>
        <v>28256.41494663282</v>
      </c>
      <c r="O16" s="364">
        <f>Model_Chiller!O16</f>
        <v>81.0198627348977</v>
      </c>
      <c r="P16" s="363">
        <f>Model_Chiller!P16</f>
        <v>8458.7879934346493</v>
      </c>
      <c r="Q16" s="364">
        <f>Model_Chiller!Q16</f>
        <v>76.633383395351672</v>
      </c>
      <c r="S16" s="133"/>
    </row>
    <row r="17" spans="2:19" ht="41.4" customHeight="1">
      <c r="B17" s="515" t="str">
        <f>Tr("CHILLER_ENERGY_DT")&amp;" ["&amp;UnitText("DELTA")&amp;"]:"</f>
        <v>Chiller energy usage at Delta-T [°F]:</v>
      </c>
      <c r="C17" s="515"/>
      <c r="D17" s="515"/>
      <c r="E17" s="515"/>
      <c r="F17" s="292">
        <f ca="1">DisplayValue(Model_Chiller!F17,"DELTA")</f>
        <v>6</v>
      </c>
      <c r="K17" s="254"/>
      <c r="M17" s="356" t="str">
        <f>Tr("KW2_PRIMARY_PUMP")</f>
        <v>KW2 Constant Speed Primary Pump</v>
      </c>
      <c r="N17" s="363">
        <f>Model_Chiller!N17</f>
        <v>1689.8577481311595</v>
      </c>
      <c r="O17" s="364">
        <f>Model_Chiller!O17</f>
        <v>4.8453437229624567</v>
      </c>
      <c r="P17" s="363">
        <f>Model_Chiller!P17</f>
        <v>505.87268262804622</v>
      </c>
      <c r="Q17" s="364">
        <f>Model_Chiller!Q17</f>
        <v>4.5830129880497319</v>
      </c>
      <c r="S17" s="133"/>
    </row>
    <row r="18" spans="2:19" ht="46.05" customHeight="1">
      <c r="B18" s="234" t="str">
        <f>Tr("LOAD_PCT")</f>
        <v>Load [%]</v>
      </c>
      <c r="C18" s="285" t="str">
        <f>Tr("TIME_PCT")</f>
        <v>Time [%]</v>
      </c>
      <c r="D18" s="234" t="str">
        <f>Tr("TIME_H")</f>
        <v>Time [h]</v>
      </c>
      <c r="E18" s="234" t="str">
        <f>Tr("FLOW_LABEL")&amp;" ["&amp;UnitText("FLOW")&amp;"]"</f>
        <v>Flow [GPM]</v>
      </c>
      <c r="F18" s="234" t="str">
        <f>UnitText("CAPACITY")</f>
        <v>tons</v>
      </c>
      <c r="G18" s="349" t="str">
        <f>Tr("CHILLERS_ON")</f>
        <v>Chillers On</v>
      </c>
      <c r="H18" s="349" t="str">
        <f>Tr("POWER")&amp;" [kW]"</f>
        <v>Power [kW]</v>
      </c>
      <c r="K18" s="254"/>
      <c r="M18" s="365" t="str">
        <f>Tr("KW3_CONDENSER_PUMP")</f>
        <v>KW3 Condenser Pump</v>
      </c>
      <c r="N18" s="363">
        <f>Model_Chiller!N18</f>
        <v>1794.058091849703</v>
      </c>
      <c r="O18" s="364">
        <f>Model_Chiller!O18</f>
        <v>5.1441182688823934</v>
      </c>
      <c r="P18" s="363">
        <f>Model_Chiller!P18</f>
        <v>537.06590434505722</v>
      </c>
      <c r="Q18" s="364">
        <f>Model_Chiller!Q18</f>
        <v>4.8656116441493138</v>
      </c>
      <c r="S18" s="133"/>
    </row>
    <row r="19" spans="2:19">
      <c r="B19" s="20">
        <v>100</v>
      </c>
      <c r="C19" s="270">
        <f>Model_Chiller!C19</f>
        <v>5</v>
      </c>
      <c r="D19" s="62">
        <f>Model_Chiller!D19</f>
        <v>747.7572739187417</v>
      </c>
      <c r="E19" s="62">
        <f ca="1">DisplayValue(Model_Chiller!E19,"FLOW")</f>
        <v>3000</v>
      </c>
      <c r="F19" s="62">
        <f ca="1">DisplayValue(Model_Chiller!F19,"CAPACITY")</f>
        <v>750</v>
      </c>
      <c r="G19" s="62">
        <f>Model_Chiller!G19</f>
        <v>4</v>
      </c>
      <c r="H19" s="62">
        <f>Model_Chiller!H19</f>
        <v>199.0151515151515</v>
      </c>
      <c r="I19" s="77" t="str">
        <f>Tr("CHILLER_COSTS")</f>
        <v>Chiller costs</v>
      </c>
      <c r="J19" s="243">
        <f>Model_Chiller!J19</f>
        <v>294653.75378768012</v>
      </c>
      <c r="K19" s="254"/>
      <c r="M19" s="356" t="str">
        <f>Tr("KW4_COOLING_TOWER_FAN")</f>
        <v>KW4 Cooling Tower Fan</v>
      </c>
      <c r="N19" s="363">
        <f>Model_Chiller!N19</f>
        <v>1794.058091849703</v>
      </c>
      <c r="O19" s="364">
        <f>Model_Chiller!O19</f>
        <v>5.1441182688823934</v>
      </c>
      <c r="P19" s="363">
        <f>Model_Chiller!P19</f>
        <v>537.06590434505722</v>
      </c>
      <c r="Q19" s="364">
        <f>Model_Chiller!Q19</f>
        <v>4.8656116441493138</v>
      </c>
      <c r="S19" s="133"/>
    </row>
    <row r="20" spans="2:19">
      <c r="B20" s="20">
        <v>75</v>
      </c>
      <c r="C20" s="270">
        <f>Model_Chiller!C20</f>
        <v>15</v>
      </c>
      <c r="D20" s="62">
        <f>Model_Chiller!D20</f>
        <v>2243.2718217562251</v>
      </c>
      <c r="E20" s="62">
        <f ca="1">DisplayValue(Model_Chiller!E20,"FLOW")</f>
        <v>3000</v>
      </c>
      <c r="F20" s="62">
        <f ca="1">DisplayValue(Model_Chiller!F20,"CAPACITY")</f>
        <v>750</v>
      </c>
      <c r="G20" s="62">
        <f>Model_Chiller!G20</f>
        <v>4</v>
      </c>
      <c r="H20" s="62">
        <f>Model_Chiller!H20</f>
        <v>199.0151515151515</v>
      </c>
      <c r="I20" s="77" t="str">
        <f>Tr("AVG_TONAGE")</f>
        <v>Avg Tonage</v>
      </c>
      <c r="J20" s="64">
        <f>Model_Chiller!J20</f>
        <v>618.75</v>
      </c>
      <c r="K20" s="254"/>
      <c r="M20" s="356" t="str">
        <f>Tr("KW5_CHILLER_CONTROLS")</f>
        <v>KW5 Chiller Controls</v>
      </c>
      <c r="N20" s="363">
        <f>Model_Chiller!N20</f>
        <v>224.25726148121288</v>
      </c>
      <c r="O20" s="364">
        <f>Model_Chiller!O20</f>
        <v>0.64301478361029918</v>
      </c>
      <c r="P20" s="363">
        <f>Model_Chiller!P20</f>
        <v>67.133238043132152</v>
      </c>
      <c r="Q20" s="364">
        <f>Model_Chiller!Q20</f>
        <v>0.60820145551866422</v>
      </c>
      <c r="S20" s="133"/>
    </row>
    <row r="21" spans="2:19">
      <c r="B21" s="20">
        <v>50</v>
      </c>
      <c r="C21" s="270">
        <f>Model_Chiller!C21</f>
        <v>45</v>
      </c>
      <c r="D21" s="62">
        <f>Model_Chiller!D21</f>
        <v>6729.8154652686753</v>
      </c>
      <c r="E21" s="62">
        <f ca="1">DisplayValue(Model_Chiller!E21,"FLOW")</f>
        <v>3000</v>
      </c>
      <c r="F21" s="62">
        <f ca="1">DisplayValue(Model_Chiller!F21,"CAPACITY")</f>
        <v>750</v>
      </c>
      <c r="G21" s="62">
        <f>Model_Chiller!G21</f>
        <v>4</v>
      </c>
      <c r="H21" s="62">
        <f>Model_Chiller!H21</f>
        <v>199.0151515151515</v>
      </c>
      <c r="I21" s="234" t="str">
        <f>Tr("PLANT_KW_TON")</f>
        <v>Plant kW/ton</v>
      </c>
      <c r="J21" s="244">
        <f>Model_Chiller!J21</f>
        <v>0.26535353535353534</v>
      </c>
      <c r="K21" s="254"/>
      <c r="M21" s="365" t="str">
        <f>Tr("KW6_TRANS_OIL_PUMP")</f>
        <v>KW6 Transmission Oil Pump and Heater</v>
      </c>
      <c r="N21" s="363">
        <f>Model_Chiller!N21</f>
        <v>448.51452296242576</v>
      </c>
      <c r="O21" s="364">
        <f>Model_Chiller!O21</f>
        <v>1.2860295672205984</v>
      </c>
      <c r="P21" s="363">
        <f>Model_Chiller!P21</f>
        <v>134.2664760862643</v>
      </c>
      <c r="Q21" s="364">
        <f>Model_Chiller!Q21</f>
        <v>1.2164029110373284</v>
      </c>
      <c r="S21" s="133"/>
    </row>
    <row r="22" spans="2:19">
      <c r="B22" s="20">
        <v>25</v>
      </c>
      <c r="C22" s="270">
        <f>Model_Chiller!C22</f>
        <v>35</v>
      </c>
      <c r="D22" s="62">
        <f>Model_Chiller!D22</f>
        <v>5234.3009174311919</v>
      </c>
      <c r="E22" s="62">
        <f ca="1">DisplayValue(Model_Chiller!E22,"FLOW")</f>
        <v>1500</v>
      </c>
      <c r="F22" s="62">
        <f ca="1">DisplayValue(Model_Chiller!F22,"CAPACITY")</f>
        <v>375</v>
      </c>
      <c r="G22" s="62">
        <f>Model_Chiller!G22</f>
        <v>2</v>
      </c>
      <c r="H22" s="62">
        <f>Model_Chiller!H22</f>
        <v>99.507575757575751</v>
      </c>
      <c r="I22" s="77" t="str">
        <f>Tr("ENERGY_HDR")&amp;" [kWh]"</f>
        <v>Energy [kWh]</v>
      </c>
      <c r="J22" s="64">
        <f>Model_Chiller!J22</f>
        <v>2455447.948230668</v>
      </c>
      <c r="K22" s="254"/>
      <c r="M22" s="356" t="str">
        <f>Tr("PUMP_WORD")</f>
        <v>Pump</v>
      </c>
      <c r="N22" s="363">
        <f>Model_Chiller!N22</f>
        <v>668.74999999999989</v>
      </c>
      <c r="O22" s="364">
        <f>Model_Chiller!O22</f>
        <v>1.9175126535441622</v>
      </c>
      <c r="P22" s="363">
        <f>Model_Chiller!P22</f>
        <v>797.80145173838014</v>
      </c>
      <c r="Q22" s="364">
        <f>Model_Chiller!Q22</f>
        <v>7.2277759617439665</v>
      </c>
      <c r="S22" s="133"/>
    </row>
    <row r="23" spans="2:19">
      <c r="K23" s="254"/>
      <c r="N23" s="366">
        <f>Model_Chiller!N23</f>
        <v>34875.910662907023</v>
      </c>
      <c r="O23" s="366">
        <v>100</v>
      </c>
      <c r="P23" s="366">
        <f>Model_Chiller!P23</f>
        <v>11037.993650620587</v>
      </c>
      <c r="Q23" s="366">
        <v>100</v>
      </c>
      <c r="S23" s="133"/>
    </row>
    <row r="24" spans="2:19">
      <c r="R24" s="133"/>
      <c r="S24" s="133"/>
    </row>
    <row r="25" spans="2:19" ht="41.4" customHeight="1">
      <c r="B25" s="515" t="str">
        <f>Tr("CHILLER_ENERGY_DT")&amp;" ["&amp;UnitText("DELTA")&amp;"]:"</f>
        <v>Chiller energy usage at Delta-T [°F]:</v>
      </c>
      <c r="C25" s="515"/>
      <c r="D25" s="515"/>
      <c r="E25" s="515"/>
      <c r="F25" s="292">
        <f ca="1">DisplayValue(Model_Chiller!F25,"DELTA")</f>
        <v>8</v>
      </c>
      <c r="R25" s="254"/>
    </row>
    <row r="26" spans="2:19" ht="42" customHeight="1">
      <c r="B26" s="234" t="str">
        <f>Tr("LOAD_PCT")</f>
        <v>Load [%]</v>
      </c>
      <c r="C26" s="285" t="str">
        <f>Tr("TIME_PCT")</f>
        <v>Time [%]</v>
      </c>
      <c r="D26" s="234" t="str">
        <f>Tr("TIME_H")</f>
        <v>Time [h]</v>
      </c>
      <c r="E26" s="234" t="str">
        <f>Tr("FLOW_LABEL")&amp;" ["&amp;UnitText("FLOW")&amp;"]"</f>
        <v>Flow [GPM]</v>
      </c>
      <c r="F26" s="234" t="str">
        <f>UnitText("CAPACITY")</f>
        <v>tons</v>
      </c>
      <c r="G26" s="349" t="str">
        <f>Tr("CHILLERS_ON")</f>
        <v>Chillers On</v>
      </c>
      <c r="H26" s="349" t="str">
        <f>Tr("POWER")&amp;" [kW]"</f>
        <v>Power [kW]</v>
      </c>
    </row>
    <row r="27" spans="2:19">
      <c r="B27" s="20">
        <v>100</v>
      </c>
      <c r="C27" s="270">
        <f>Model_Chiller!C27</f>
        <v>5</v>
      </c>
      <c r="D27" s="62">
        <f>Model_Chiller!D27</f>
        <v>747.7572739187417</v>
      </c>
      <c r="E27" s="62">
        <f ca="1">DisplayValue(Model_Chiller!E27,"FLOW")</f>
        <v>3000</v>
      </c>
      <c r="F27" s="62">
        <f ca="1">DisplayValue(Model_Chiller!F27,"CAPACITY")</f>
        <v>1000</v>
      </c>
      <c r="G27" s="62">
        <f>Model_Chiller!G27</f>
        <v>4</v>
      </c>
      <c r="H27" s="62">
        <f>Model_Chiller!H27</f>
        <v>199.0151515151515</v>
      </c>
      <c r="I27" s="77" t="str">
        <f>Tr("CHILLER_COSTS")</f>
        <v>Chiller costs</v>
      </c>
      <c r="J27" s="243">
        <f>Model_Chiller!J27</f>
        <v>249762.82562730843</v>
      </c>
    </row>
    <row r="28" spans="2:19">
      <c r="B28" s="20">
        <v>75</v>
      </c>
      <c r="C28" s="270">
        <f>Model_Chiller!C28</f>
        <v>15</v>
      </c>
      <c r="D28" s="62">
        <f>Model_Chiller!D28</f>
        <v>2243.2718217562251</v>
      </c>
      <c r="E28" s="62">
        <f ca="1">DisplayValue(Model_Chiller!E28,"FLOW")</f>
        <v>3000</v>
      </c>
      <c r="F28" s="62">
        <f ca="1">DisplayValue(Model_Chiller!F28,"CAPACITY")</f>
        <v>1000</v>
      </c>
      <c r="G28" s="62">
        <f>Model_Chiller!G28</f>
        <v>4</v>
      </c>
      <c r="H28" s="62">
        <f>Model_Chiller!H28</f>
        <v>199.0151515151515</v>
      </c>
      <c r="I28" s="77" t="str">
        <f>Tr("AVG_TONAGE")</f>
        <v>Avg Tonage</v>
      </c>
      <c r="J28" s="64">
        <f>Model_Chiller!J28</f>
        <v>668.74999999999989</v>
      </c>
    </row>
    <row r="29" spans="2:19">
      <c r="B29" s="20">
        <v>50</v>
      </c>
      <c r="C29" s="270">
        <f>Model_Chiller!C29</f>
        <v>45</v>
      </c>
      <c r="D29" s="62">
        <f>Model_Chiller!D29</f>
        <v>6729.8154652686753</v>
      </c>
      <c r="E29" s="62">
        <f ca="1">DisplayValue(Model_Chiller!E29,"FLOW")</f>
        <v>2250</v>
      </c>
      <c r="F29" s="62">
        <f ca="1">DisplayValue(Model_Chiller!F29,"CAPACITY")</f>
        <v>750</v>
      </c>
      <c r="G29" s="62">
        <f>Model_Chiller!G29</f>
        <v>3</v>
      </c>
      <c r="H29" s="62">
        <f>Model_Chiller!H29</f>
        <v>149.26136363636363</v>
      </c>
      <c r="I29" s="77" t="str">
        <f>Tr("PLANT_KW_TON")</f>
        <v>Plant kW/ton</v>
      </c>
      <c r="J29" s="244">
        <f>Model_Chiller!J29</f>
        <v>0.20810960067969414</v>
      </c>
    </row>
    <row r="30" spans="2:19">
      <c r="B30" s="20">
        <v>25</v>
      </c>
      <c r="C30" s="270">
        <f>Model_Chiller!C30</f>
        <v>35</v>
      </c>
      <c r="D30" s="62">
        <f>Model_Chiller!D30</f>
        <v>5234.3009174311919</v>
      </c>
      <c r="E30" s="62">
        <f ca="1">DisplayValue(Model_Chiller!E30,"FLOW")</f>
        <v>1125</v>
      </c>
      <c r="F30" s="62">
        <f ca="1">DisplayValue(Model_Chiller!F30,"CAPACITY")</f>
        <v>375</v>
      </c>
      <c r="G30" s="62">
        <f>Model_Chiller!G30</f>
        <v>1.5</v>
      </c>
      <c r="H30" s="62">
        <f>Model_Chiller!H30</f>
        <v>92.007575757575751</v>
      </c>
      <c r="I30" s="77" t="str">
        <f>Tr("ENERGY_HDR")&amp;" [kWh]"</f>
        <v>Energy [kWh]</v>
      </c>
      <c r="J30" s="64">
        <f>Model_Chiller!J30</f>
        <v>2081356.8802275702</v>
      </c>
      <c r="M30" s="367"/>
    </row>
    <row r="33" spans="2:12" ht="41.4" customHeight="1">
      <c r="B33" s="515" t="str">
        <f>Tr("CHILLER_ENERGY_DT")&amp;" ["&amp;UnitText("DELTA")&amp;"]:"</f>
        <v>Chiller energy usage at Delta-T [°F]:</v>
      </c>
      <c r="C33" s="515"/>
      <c r="D33" s="515"/>
      <c r="E33" s="515"/>
      <c r="F33" s="292">
        <f ca="1">DisplayValue(Model_Chiller!F33,"DELTA")</f>
        <v>10</v>
      </c>
    </row>
    <row r="34" spans="2:12" ht="42" customHeight="1">
      <c r="B34" s="234" t="str">
        <f>Tr("LOAD_PCT")</f>
        <v>Load [%]</v>
      </c>
      <c r="C34" s="285" t="str">
        <f>Tr("TIME_PCT")</f>
        <v>Time [%]</v>
      </c>
      <c r="D34" s="234" t="str">
        <f>Tr("TIME_H")</f>
        <v>Time [h]</v>
      </c>
      <c r="E34" s="234" t="str">
        <f>Tr("FLOW_LABEL")&amp;" ["&amp;UnitText("FLOW")&amp;"]"</f>
        <v>Flow [GPM]</v>
      </c>
      <c r="F34" s="234" t="str">
        <f>UnitText("CAPACITY")</f>
        <v>tons</v>
      </c>
      <c r="G34" s="349" t="str">
        <f>Tr("CHILLERS_ON")</f>
        <v>Chillers On</v>
      </c>
      <c r="H34" s="349" t="str">
        <f>Tr("POWER")&amp;" [kW]"</f>
        <v>Power [kW]</v>
      </c>
      <c r="I34" s="77"/>
    </row>
    <row r="35" spans="2:12">
      <c r="B35" s="20">
        <v>100</v>
      </c>
      <c r="C35" s="270">
        <f>Model_Chiller!C35</f>
        <v>5</v>
      </c>
      <c r="D35" s="62">
        <f>Model_Chiller!D35</f>
        <v>747.7572739187417</v>
      </c>
      <c r="E35" s="62">
        <f ca="1">DisplayValue(Model_Chiller!E35,"FLOW")</f>
        <v>3000</v>
      </c>
      <c r="F35" s="62">
        <f ca="1">DisplayValue(Model_Chiller!F35,"CAPACITY")</f>
        <v>1250</v>
      </c>
      <c r="G35" s="62">
        <f>Model_Chiller!G35</f>
        <v>4</v>
      </c>
      <c r="H35" s="62">
        <f>Model_Chiller!H35</f>
        <v>199.0151515151515</v>
      </c>
      <c r="I35" s="77" t="str">
        <f>Tr("CHILLER_COSTS")</f>
        <v>Chiller costs</v>
      </c>
      <c r="J35" s="243">
        <f>Model_Chiller!J35</f>
        <v>240071.21156064115</v>
      </c>
    </row>
    <row r="36" spans="2:12">
      <c r="B36" s="20">
        <v>75</v>
      </c>
      <c r="C36" s="270">
        <f>Model_Chiller!C36</f>
        <v>15</v>
      </c>
      <c r="D36" s="62">
        <f>Model_Chiller!D36</f>
        <v>2243.2718217562251</v>
      </c>
      <c r="E36" s="62">
        <f ca="1">DisplayValue(Model_Chiller!E36,"FLOW")</f>
        <v>2700</v>
      </c>
      <c r="F36" s="62">
        <f ca="1">DisplayValue(Model_Chiller!F36,"CAPACITY")</f>
        <v>1125</v>
      </c>
      <c r="G36" s="62">
        <f>Model_Chiller!G36</f>
        <v>3.6</v>
      </c>
      <c r="H36" s="62">
        <f>Model_Chiller!H36</f>
        <v>193.0151515151515</v>
      </c>
      <c r="I36" s="77" t="str">
        <f>Tr("AVG_TONAGE")</f>
        <v>Avg Tonage</v>
      </c>
      <c r="J36" s="64">
        <f>Model_Chiller!J36</f>
        <v>723.42960838455724</v>
      </c>
    </row>
    <row r="37" spans="2:12">
      <c r="B37" s="20">
        <v>50</v>
      </c>
      <c r="C37" s="270">
        <f>Model_Chiller!C37</f>
        <v>45</v>
      </c>
      <c r="D37" s="62">
        <f>Model_Chiller!D37</f>
        <v>6729.8154652686753</v>
      </c>
      <c r="E37" s="62">
        <f ca="1">DisplayValue(Model_Chiller!E37,"FLOW")</f>
        <v>1800</v>
      </c>
      <c r="F37" s="62">
        <f ca="1">DisplayValue(Model_Chiller!F37,"CAPACITY")</f>
        <v>750</v>
      </c>
      <c r="G37" s="62">
        <f>Model_Chiller!G37</f>
        <v>2.4</v>
      </c>
      <c r="H37" s="62">
        <f>Model_Chiller!H37</f>
        <v>140.26136363636363</v>
      </c>
      <c r="I37" s="77" t="str">
        <f>Tr("PLANT_KW_TON")</f>
        <v>Plant kW/ton</v>
      </c>
      <c r="J37" s="244">
        <f>Model_Chiller!J37</f>
        <v>0.18491490409927186</v>
      </c>
    </row>
    <row r="38" spans="2:12">
      <c r="B38" s="20">
        <v>25</v>
      </c>
      <c r="C38" s="270">
        <f>Model_Chiller!C38</f>
        <v>35</v>
      </c>
      <c r="D38" s="62">
        <f>Model_Chiller!D38</f>
        <v>5234.3009174311919</v>
      </c>
      <c r="E38" s="62">
        <f ca="1">DisplayValue(Model_Chiller!E38,"FLOW")</f>
        <v>1060.6601717798214</v>
      </c>
      <c r="F38" s="62">
        <f ca="1">DisplayValue(Model_Chiller!F38,"CAPACITY")</f>
        <v>441.94173824159225</v>
      </c>
      <c r="G38" s="62">
        <f>Model_Chiller!G38</f>
        <v>1.4142135623730951</v>
      </c>
      <c r="H38" s="62">
        <f>Model_Chiller!H38</f>
        <v>90.720779193172177</v>
      </c>
      <c r="I38" s="77" t="str">
        <f>Tr("ENERGY_HDR")&amp;" [kWh]"</f>
        <v>Energy [kWh]</v>
      </c>
      <c r="J38" s="64">
        <f>Model_Chiller!J38</f>
        <v>2000593.4296720098</v>
      </c>
    </row>
    <row r="41" spans="2:12" ht="41.4" customHeight="1">
      <c r="B41" s="515" t="str">
        <f>Tr("CHILLER_ENERGY_DT")&amp;" ["&amp;UnitText("DELTA")&amp;"]:"</f>
        <v>Chiller energy usage at Delta-T [°F]:</v>
      </c>
      <c r="C41" s="515"/>
      <c r="D41" s="515"/>
      <c r="E41" s="515"/>
      <c r="F41" s="292">
        <f ca="1">DisplayValue(Model_Chiller!F41,"DELTA")</f>
        <v>12</v>
      </c>
    </row>
    <row r="42" spans="2:12" ht="42" customHeight="1">
      <c r="B42" s="234" t="str">
        <f>Tr("LOAD_PCT")</f>
        <v>Load [%]</v>
      </c>
      <c r="C42" s="285" t="str">
        <f>Tr("TIME_PCT")</f>
        <v>Time [%]</v>
      </c>
      <c r="D42" s="234" t="str">
        <f>Tr("TIME_H")</f>
        <v>Time [h]</v>
      </c>
      <c r="E42" s="234" t="str">
        <f>Tr("FLOW_LABEL")&amp;" ["&amp;UnitText("FLOW")&amp;"]"</f>
        <v>Flow [GPM]</v>
      </c>
      <c r="F42" s="234" t="str">
        <f>UnitText("CAPACITY")</f>
        <v>tons</v>
      </c>
      <c r="G42" s="349" t="str">
        <f>Tr("CHILLERS_ON")</f>
        <v>Chillers On</v>
      </c>
      <c r="H42" s="349" t="str">
        <f>Tr("POWER")&amp;" [kW]"</f>
        <v>Power [kW]</v>
      </c>
      <c r="I42" s="77"/>
      <c r="J42" s="77"/>
      <c r="K42" s="77"/>
      <c r="L42" s="368"/>
    </row>
    <row r="43" spans="2:12">
      <c r="B43" s="20">
        <v>100</v>
      </c>
      <c r="C43" s="270">
        <f>Model_Chiller!C43</f>
        <v>5</v>
      </c>
      <c r="D43" s="62">
        <f>Model_Chiller!D43</f>
        <v>747.7572739187417</v>
      </c>
      <c r="E43" s="62">
        <f ca="1">DisplayValue(Model_Chiller!E43,"FLOW")</f>
        <v>3000</v>
      </c>
      <c r="F43" s="62">
        <f ca="1">DisplayValue(Model_Chiller!F43,"CAPACITY")</f>
        <v>1500</v>
      </c>
      <c r="G43" s="62">
        <f>Model_Chiller!G43</f>
        <v>4</v>
      </c>
      <c r="H43" s="62">
        <f>Model_Chiller!H43</f>
        <v>199.0151515151515</v>
      </c>
      <c r="I43" s="77" t="str">
        <f>Tr("CHILLER_COSTS")</f>
        <v>Chiller costs</v>
      </c>
      <c r="J43" s="243">
        <f>Model_Chiller!J43</f>
        <v>195381.15819521758</v>
      </c>
    </row>
    <row r="44" spans="2:12">
      <c r="B44" s="20">
        <v>75</v>
      </c>
      <c r="C44" s="270">
        <f>Model_Chiller!C44</f>
        <v>15</v>
      </c>
      <c r="D44" s="62">
        <f>Model_Chiller!D44</f>
        <v>2243.2718217562251</v>
      </c>
      <c r="E44" s="62">
        <f ca="1">DisplayValue(Model_Chiller!E44,"FLOW")</f>
        <v>2250</v>
      </c>
      <c r="F44" s="62">
        <f ca="1">DisplayValue(Model_Chiller!F44,"CAPACITY")</f>
        <v>1125</v>
      </c>
      <c r="G44" s="62">
        <f>Model_Chiller!G44</f>
        <v>3</v>
      </c>
      <c r="H44" s="62">
        <f>Model_Chiller!H44</f>
        <v>149.26136363636363</v>
      </c>
      <c r="I44" s="77" t="str">
        <f>Tr("AVG_TONAGE")</f>
        <v>Avg Tonage</v>
      </c>
      <c r="J44" s="64">
        <f>Model_Chiller!J44</f>
        <v>766.86553006146869</v>
      </c>
    </row>
    <row r="45" spans="2:12">
      <c r="B45" s="20">
        <v>50</v>
      </c>
      <c r="C45" s="270">
        <f>Model_Chiller!C45</f>
        <v>45</v>
      </c>
      <c r="D45" s="62">
        <f>Model_Chiller!D45</f>
        <v>6729.8154652686753</v>
      </c>
      <c r="E45" s="62">
        <f ca="1">DisplayValue(Model_Chiller!E45,"FLOW")</f>
        <v>1500</v>
      </c>
      <c r="F45" s="62">
        <f ca="1">DisplayValue(Model_Chiller!F45,"CAPACITY")</f>
        <v>750</v>
      </c>
      <c r="G45" s="62">
        <f>Model_Chiller!G45</f>
        <v>2</v>
      </c>
      <c r="H45" s="62">
        <f>Model_Chiller!H45</f>
        <v>99.507575757575751</v>
      </c>
      <c r="I45" s="77" t="str">
        <f>Tr("PLANT_KW_TON")</f>
        <v>Plant kW/ton</v>
      </c>
      <c r="J45" s="244">
        <f>Model_Chiller!J45</f>
        <v>0.14196836298145368</v>
      </c>
    </row>
    <row r="46" spans="2:12">
      <c r="B46" s="20">
        <v>25</v>
      </c>
      <c r="C46" s="270">
        <f>Model_Chiller!C46</f>
        <v>35</v>
      </c>
      <c r="D46" s="62">
        <f>Model_Chiller!D46</f>
        <v>5234.3009174311919</v>
      </c>
      <c r="E46" s="62">
        <f ca="1">DisplayValue(Model_Chiller!E46,"FLOW")</f>
        <v>1060.6601717798214</v>
      </c>
      <c r="F46" s="62">
        <f ca="1">DisplayValue(Model_Chiller!F46,"CAPACITY")</f>
        <v>530.33008588991072</v>
      </c>
      <c r="G46" s="62">
        <f>Model_Chiller!G46</f>
        <v>1.4142135623730951</v>
      </c>
      <c r="H46" s="62">
        <f>Model_Chiller!H46</f>
        <v>90.720779193172177</v>
      </c>
      <c r="I46" s="77" t="str">
        <f>Tr("ENERGY_HDR")&amp;" [kWh]"</f>
        <v>Energy [kWh]</v>
      </c>
      <c r="J46" s="64">
        <f>Model_Chiller!J46</f>
        <v>1628176.31829348</v>
      </c>
    </row>
    <row r="49" spans="2:12" ht="41.4" hidden="1" customHeight="1">
      <c r="B49" s="515" t="str">
        <f>Tr("CHILLER_ENERGY_DT")&amp;" ["&amp;UnitText("DELTA")&amp;"]:"</f>
        <v>Chiller energy usage at Delta-T [°F]:</v>
      </c>
      <c r="C49" s="515"/>
      <c r="D49" s="515"/>
      <c r="E49" s="515"/>
      <c r="F49" s="292">
        <f ca="1">DisplayValue(Model_Chiller!F49,"DELTA")</f>
        <v>12</v>
      </c>
    </row>
    <row r="50" spans="2:12" ht="42" hidden="1" customHeight="1">
      <c r="B50" s="234" t="str">
        <f>Tr("LOAD_PCT")</f>
        <v>Load [%]</v>
      </c>
      <c r="C50" s="285" t="str">
        <f>Tr("TIME_PCT")</f>
        <v>Time [%]</v>
      </c>
      <c r="D50" s="234" t="str">
        <f>Tr("TIME_H")</f>
        <v>Time [h]</v>
      </c>
      <c r="E50" s="234" t="str">
        <f>Tr("FLOW_LABEL")&amp;" ["&amp;UnitText("FLOW")&amp;"]"</f>
        <v>Flow [GPM]</v>
      </c>
      <c r="F50" s="234" t="str">
        <f>UnitText("CAPACITY")</f>
        <v>tons</v>
      </c>
      <c r="G50" s="349" t="str">
        <f>Tr("CHILLERS_ON")</f>
        <v>Chillers On</v>
      </c>
      <c r="H50" s="349" t="str">
        <f>Tr("POWER")&amp;" [kW]"</f>
        <v>Power [kW]</v>
      </c>
      <c r="J50" s="77"/>
      <c r="K50" s="77"/>
      <c r="L50" s="368"/>
    </row>
    <row r="51" spans="2:12" hidden="1">
      <c r="B51" s="20">
        <v>100</v>
      </c>
      <c r="C51" s="270">
        <f>Model_Chiller!C51</f>
        <v>5</v>
      </c>
      <c r="D51" s="62">
        <f>Model_Chiller!D51</f>
        <v>747.7572739187417</v>
      </c>
      <c r="E51" s="62">
        <f ca="1">DisplayValue(Model_Chiller!E51,"FLOW")</f>
        <v>3000</v>
      </c>
      <c r="F51" s="62">
        <f ca="1">DisplayValue(Model_Chiller!F51,"CAPACITY")</f>
        <v>1500</v>
      </c>
      <c r="G51" s="62">
        <f>Model_Chiller!G51</f>
        <v>4</v>
      </c>
      <c r="H51" s="62">
        <f>Model_Chiller!H51</f>
        <v>199.0151515151515</v>
      </c>
      <c r="I51" s="77" t="str">
        <f>Tr("CHILLER_COSTS")</f>
        <v>Chiller costs</v>
      </c>
      <c r="J51" s="243">
        <f>Model_Chiller!J51</f>
        <v>195381.15819521758</v>
      </c>
    </row>
    <row r="52" spans="2:12" hidden="1">
      <c r="B52" s="20">
        <v>75</v>
      </c>
      <c r="C52" s="270">
        <f>Model_Chiller!C52</f>
        <v>15</v>
      </c>
      <c r="D52" s="62">
        <f>Model_Chiller!D52</f>
        <v>2243.2718217562251</v>
      </c>
      <c r="E52" s="62">
        <f ca="1">DisplayValue(Model_Chiller!E52,"FLOW")</f>
        <v>2250</v>
      </c>
      <c r="F52" s="62">
        <f ca="1">DisplayValue(Model_Chiller!F52,"CAPACITY")</f>
        <v>1125</v>
      </c>
      <c r="G52" s="62">
        <f>Model_Chiller!G52</f>
        <v>3</v>
      </c>
      <c r="H52" s="62">
        <f>Model_Chiller!H52</f>
        <v>149.26136363636363</v>
      </c>
      <c r="I52" s="77" t="str">
        <f>Tr("AVG_TONAGE")</f>
        <v>Avg Tonage</v>
      </c>
      <c r="J52" s="62">
        <f>Model_Chiller!J52</f>
        <v>766.86553006146869</v>
      </c>
    </row>
    <row r="53" spans="2:12" hidden="1">
      <c r="B53" s="20">
        <v>50</v>
      </c>
      <c r="C53" s="270">
        <f>Model_Chiller!C53</f>
        <v>45</v>
      </c>
      <c r="D53" s="62">
        <f>Model_Chiller!D53</f>
        <v>6729.8154652686753</v>
      </c>
      <c r="E53" s="62">
        <f ca="1">DisplayValue(Model_Chiller!E53,"FLOW")</f>
        <v>1500</v>
      </c>
      <c r="F53" s="62">
        <f ca="1">DisplayValue(Model_Chiller!F53,"CAPACITY")</f>
        <v>750</v>
      </c>
      <c r="G53" s="62">
        <f>Model_Chiller!G53</f>
        <v>2</v>
      </c>
      <c r="H53" s="62">
        <f>Model_Chiller!H53</f>
        <v>99.507575757575751</v>
      </c>
      <c r="I53" s="77" t="str">
        <f>Tr("PLANT_KW_TON")</f>
        <v>Plant kW/ton</v>
      </c>
      <c r="J53" s="244">
        <f>Model_Chiller!J53</f>
        <v>0.14196836298145368</v>
      </c>
    </row>
    <row r="54" spans="2:12" hidden="1">
      <c r="B54" s="20">
        <v>25</v>
      </c>
      <c r="C54" s="270">
        <f>Model_Chiller!C54</f>
        <v>35</v>
      </c>
      <c r="D54" s="62">
        <f>Model_Chiller!D54</f>
        <v>5234.3009174311919</v>
      </c>
      <c r="E54" s="62">
        <f ca="1">DisplayValue(Model_Chiller!E54,"FLOW")</f>
        <v>1060.6601717798214</v>
      </c>
      <c r="F54" s="62">
        <f ca="1">DisplayValue(Model_Chiller!F54,"CAPACITY")</f>
        <v>530.33008588991072</v>
      </c>
      <c r="G54" s="62">
        <f>Model_Chiller!G54</f>
        <v>1.4142135623730951</v>
      </c>
      <c r="H54" s="62">
        <f>Model_Chiller!H54</f>
        <v>90.720779193172177</v>
      </c>
      <c r="I54" s="77" t="str">
        <f>Tr("ENERGY_HDR")&amp;" [kWh]"</f>
        <v>Energy [kWh]</v>
      </c>
      <c r="J54" s="64">
        <f>Model_Chiller!J54</f>
        <v>1628176.31829348</v>
      </c>
    </row>
    <row r="57" spans="2:12" ht="41.4" customHeight="1">
      <c r="B57" s="515" t="str">
        <f>Tr("CHILLER_ENERGY_DT")&amp;" ["&amp;UnitText("DELTA")&amp;"]:"</f>
        <v>Chiller energy usage at Delta-T [°F]:</v>
      </c>
      <c r="C57" s="515"/>
      <c r="D57" s="515"/>
      <c r="E57" s="515"/>
      <c r="F57" s="292">
        <f ca="1">DisplayValue(Model_Chiller!F57,"DELTA")</f>
        <v>14</v>
      </c>
    </row>
    <row r="58" spans="2:12" ht="42" customHeight="1">
      <c r="B58" s="234" t="str">
        <f>Tr("LOAD_PCT")</f>
        <v>Load [%]</v>
      </c>
      <c r="C58" s="285" t="str">
        <f>Tr("TIME_PCT")</f>
        <v>Time [%]</v>
      </c>
      <c r="D58" s="234" t="str">
        <f>Tr("TIME_H")</f>
        <v>Time [h]</v>
      </c>
      <c r="E58" s="234" t="str">
        <f>Tr("FLOW_LABEL")&amp;" ["&amp;UnitText("FLOW")&amp;"]"</f>
        <v>Flow [GPM]</v>
      </c>
      <c r="F58" s="234" t="str">
        <f>UnitText("CAPACITY")</f>
        <v>tons</v>
      </c>
      <c r="G58" s="349" t="str">
        <f>Tr("CHILLERS_ON")</f>
        <v>Chillers On</v>
      </c>
      <c r="H58" s="349" t="str">
        <f>Tr("POWER")&amp;" [kW]"</f>
        <v>Power [kW]</v>
      </c>
      <c r="I58" s="77"/>
      <c r="J58" s="77"/>
      <c r="K58" s="77"/>
      <c r="L58" s="368"/>
    </row>
    <row r="59" spans="2:12" ht="14.4" thickBot="1">
      <c r="B59" s="20">
        <v>100</v>
      </c>
      <c r="C59" s="270">
        <f>Model_Chiller!C59</f>
        <v>5</v>
      </c>
      <c r="D59" s="62">
        <f>Model_Chiller!D59</f>
        <v>747.7572739187417</v>
      </c>
      <c r="E59" s="62">
        <f ca="1">DisplayValue(Model_Chiller!E59,"FLOW")</f>
        <v>2571.4285714285716</v>
      </c>
      <c r="F59" s="62">
        <f ca="1">DisplayValue(Model_Chiller!F59,"CAPACITY")</f>
        <v>1500</v>
      </c>
      <c r="G59" s="62">
        <f>Model_Chiller!G59</f>
        <v>3.4285714285714288</v>
      </c>
      <c r="H59" s="62">
        <f>Model_Chiller!H59</f>
        <v>190.44372294372295</v>
      </c>
      <c r="I59" s="77" t="str">
        <f>Tr("CHILLER_COSTS")</f>
        <v>Chiller costs</v>
      </c>
      <c r="J59" s="97">
        <f>Model_Chiller!J59</f>
        <v>189420.46449740822</v>
      </c>
    </row>
    <row r="60" spans="2:12" ht="14.4" thickTop="1">
      <c r="B60" s="20">
        <v>75</v>
      </c>
      <c r="C60" s="270">
        <f>Model_Chiller!C60</f>
        <v>15</v>
      </c>
      <c r="D60" s="62">
        <f>Model_Chiller!D60</f>
        <v>2243.2718217562251</v>
      </c>
      <c r="E60" s="62">
        <f ca="1">DisplayValue(Model_Chiller!E60,"FLOW")</f>
        <v>1928.5714285714287</v>
      </c>
      <c r="F60" s="62">
        <f ca="1">DisplayValue(Model_Chiller!F60,"CAPACITY")</f>
        <v>1125</v>
      </c>
      <c r="G60" s="62">
        <f>Model_Chiller!G60</f>
        <v>2.5714285714285716</v>
      </c>
      <c r="H60" s="62">
        <f>Model_Chiller!H60</f>
        <v>142.83279220779221</v>
      </c>
      <c r="I60" s="77" t="str">
        <f>Tr("AVG_TONAGE")</f>
        <v>Avg Tonage</v>
      </c>
      <c r="J60" s="62">
        <f>Model_Chiller!J60</f>
        <v>797.80145173838014</v>
      </c>
    </row>
    <row r="61" spans="2:12">
      <c r="B61" s="20">
        <v>50</v>
      </c>
      <c r="C61" s="270">
        <f>Model_Chiller!C61</f>
        <v>45</v>
      </c>
      <c r="D61" s="62">
        <f>Model_Chiller!D61</f>
        <v>6729.8154652686753</v>
      </c>
      <c r="E61" s="62">
        <f ca="1">DisplayValue(Model_Chiller!E61,"FLOW")</f>
        <v>1285.7142857142858</v>
      </c>
      <c r="F61" s="62">
        <f ca="1">DisplayValue(Model_Chiller!F61,"CAPACITY")</f>
        <v>750</v>
      </c>
      <c r="G61" s="62">
        <f>Model_Chiller!G61</f>
        <v>1.7142857142857144</v>
      </c>
      <c r="H61" s="62">
        <f>Model_Chiller!H61</f>
        <v>95.221861471861473</v>
      </c>
      <c r="I61" s="77" t="str">
        <f>Tr("PLANT_KW_TON")</f>
        <v>Plant kW/ton</v>
      </c>
      <c r="J61" s="68">
        <f>Model_Chiller!J61</f>
        <v>0.13230010440356435</v>
      </c>
    </row>
    <row r="62" spans="2:12">
      <c r="B62" s="20">
        <v>25</v>
      </c>
      <c r="C62" s="270">
        <f>Model_Chiller!C62</f>
        <v>35</v>
      </c>
      <c r="D62" s="62">
        <f>Model_Chiller!D62</f>
        <v>5234.3009174311919</v>
      </c>
      <c r="E62" s="62">
        <f ca="1">DisplayValue(Model_Chiller!E62,"FLOW")</f>
        <v>1060.6601717798214</v>
      </c>
      <c r="F62" s="62">
        <f ca="1">DisplayValue(Model_Chiller!F62,"CAPACITY")</f>
        <v>618.71843353822919</v>
      </c>
      <c r="G62" s="62">
        <f>Model_Chiller!G62</f>
        <v>1.4142135623730951</v>
      </c>
      <c r="H62" s="62">
        <f>Model_Chiller!H62</f>
        <v>90.720779193172177</v>
      </c>
      <c r="I62" s="77" t="str">
        <f>Tr("ENERGY_HDR")&amp;" [kWh]"</f>
        <v>Energy [kWh]</v>
      </c>
      <c r="J62" s="64">
        <f>Model_Chiller!J62</f>
        <v>1578503.8708117353</v>
      </c>
    </row>
  </sheetData>
  <sheetProtection algorithmName="SHA-512" hashValue="bFCmBkMzajBeUTle4KOynrcC7ULGzmDaNvSlQFEUOilPf5Es2DbL/4fGF+XOqkisD5XjgcXL0Sq1t3bhIao2aQ==" saltValue="uFcu0ozvzH2Xb+nr91vEqQ==" spinCount="100000" sheet="1" objects="1" scenarios="1" selectLockedCells="1"/>
  <mergeCells count="13">
    <mergeCell ref="F13:H13"/>
    <mergeCell ref="B57:E57"/>
    <mergeCell ref="B25:E25"/>
    <mergeCell ref="B33:E33"/>
    <mergeCell ref="B5:E5"/>
    <mergeCell ref="B41:E41"/>
    <mergeCell ref="B49:E49"/>
    <mergeCell ref="B12:E12"/>
    <mergeCell ref="B15:E15"/>
    <mergeCell ref="B17:E17"/>
    <mergeCell ref="B10:E10"/>
    <mergeCell ref="B11:E11"/>
    <mergeCell ref="B13:E13"/>
  </mergeCells>
  <dataValidations count="2">
    <dataValidation type="decimal" allowBlank="1" showInputMessage="1" showErrorMessage="1" errorTitle="Entry Error" error="Value must be between 0% and 50%." sqref="F15" xr:uid="{00000000-0002-0000-0200-000000000000}">
      <formula1>0</formula1>
      <formula2>0.5</formula2>
    </dataValidation>
    <dataValidation type="list" allowBlank="1" showInputMessage="1" showErrorMessage="1" sqref="F13:H13" xr:uid="{12E7F9E2-27D1-421A-A634-AD56CD2971D2}">
      <formula1>$L$13:$L$14</formula1>
    </dataValidation>
  </dataValidations>
  <pageMargins left="0.25" right="0.25" top="0.75" bottom="0.75" header="0.3" footer="0.3"/>
  <pageSetup scale="3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6600"/>
    <pageSetUpPr fitToPage="1"/>
  </sheetPr>
  <dimension ref="B1:S59"/>
  <sheetViews>
    <sheetView showGridLines="0" showRowColHeaders="0" zoomScaleNormal="100" workbookViewId="0">
      <pane ySplit="3" topLeftCell="A33" activePane="bottomLeft" state="frozen"/>
      <selection pane="bottomLeft" activeCell="F5" sqref="F5"/>
    </sheetView>
  </sheetViews>
  <sheetFormatPr defaultColWidth="9.21875" defaultRowHeight="13.2"/>
  <cols>
    <col min="1" max="1" width="2.44140625" style="12" customWidth="1"/>
    <col min="2" max="2" width="11" style="12" customWidth="1"/>
    <col min="3" max="3" width="10.77734375" style="12" customWidth="1"/>
    <col min="4" max="4" width="9.21875" style="12"/>
    <col min="5" max="5" width="12.6640625" style="12" customWidth="1"/>
    <col min="6" max="6" width="10.6640625" style="12" customWidth="1"/>
    <col min="7" max="7" width="12.6640625" style="12" customWidth="1"/>
    <col min="8" max="8" width="21" style="12" customWidth="1"/>
    <col min="9" max="9" width="13.6640625" style="12" customWidth="1"/>
    <col min="10" max="10" width="12.77734375" style="12" customWidth="1"/>
    <col min="11" max="11" width="14.21875" style="12" customWidth="1"/>
    <col min="12" max="12" width="13.44140625" style="12" customWidth="1"/>
    <col min="13" max="13" width="14.44140625" style="12" customWidth="1"/>
    <col min="14" max="14" width="9.6640625" style="12" customWidth="1"/>
    <col min="15" max="15" width="13" style="12" customWidth="1"/>
    <col min="16" max="16" width="13.33203125" style="12" customWidth="1"/>
    <col min="17" max="17" width="3.44140625" style="12" customWidth="1"/>
    <col min="18" max="18" width="15.6640625" style="12" customWidth="1"/>
    <col min="19" max="16384" width="9.21875" style="12"/>
  </cols>
  <sheetData>
    <row r="1" spans="2:13" s="57" customFormat="1"/>
    <row r="2" spans="2:13" s="57" customFormat="1"/>
    <row r="3" spans="2:13" s="58" customFormat="1" ht="19.5" customHeight="1" thickBot="1"/>
    <row r="4" spans="2:13" ht="19.5" customHeight="1">
      <c r="J4" s="245" t="str">
        <f>Tr("EDITABLE")</f>
        <v>Editable field</v>
      </c>
    </row>
    <row r="5" spans="2:13" ht="41.4" customHeight="1">
      <c r="B5" s="527" t="str">
        <f>Tr("PUMP_FACTOR")</f>
        <v>Pump design factor</v>
      </c>
      <c r="C5" s="528"/>
      <c r="D5" s="528"/>
      <c r="E5" s="529"/>
      <c r="F5" s="293">
        <v>1</v>
      </c>
      <c r="J5" s="242" t="str">
        <f>Tr("LABEL")</f>
        <v>Label</v>
      </c>
    </row>
    <row r="6" spans="2:13" ht="41.4" customHeight="1">
      <c r="B6" s="527" t="str">
        <f>Tr("DESIGN_FLOW")</f>
        <v>Design chilled-water distribution flow</v>
      </c>
      <c r="C6" s="528"/>
      <c r="D6" s="528"/>
      <c r="E6" s="529"/>
      <c r="F6" s="292">
        <f ca="1">DisplayValue(Model_Pump!F6,"HEAD")</f>
        <v>12</v>
      </c>
      <c r="H6" s="530"/>
      <c r="I6" s="530"/>
    </row>
    <row r="7" spans="2:13" ht="28.95" customHeight="1">
      <c r="B7" s="234" t="str">
        <f>Tr("LOAD_PCT")</f>
        <v>Load [%]</v>
      </c>
      <c r="C7" s="352" t="str">
        <f>Tr("TIME_PCT")</f>
        <v>Time [%]</v>
      </c>
      <c r="D7" s="349" t="str">
        <f>Tr("TIME_H")</f>
        <v>Time [h]</v>
      </c>
      <c r="E7" s="349" t="str">
        <f>Tr("FLOW_LABEL")&amp;" ["&amp;UnitText("FLOW")&amp;"]"</f>
        <v>Flow [GPM]</v>
      </c>
      <c r="F7" s="349" t="str">
        <f>Tr("HEAD_LABEL")&amp;" ["&amp;UnitText("HEAD")&amp;"]"</f>
        <v>Head [ft]</v>
      </c>
      <c r="G7" s="349" t="str">
        <f>Tr("POWER")&amp;" ["&amp;UnitText("POWER")&amp;"]"</f>
        <v>Power [HP]</v>
      </c>
      <c r="J7" s="234" t="str">
        <f>Tr("POWER")&amp;" [kW]"</f>
        <v>Power [kW]</v>
      </c>
      <c r="L7" s="59"/>
    </row>
    <row r="8" spans="2:13" ht="28.95" customHeight="1">
      <c r="B8" s="20">
        <v>100</v>
      </c>
      <c r="C8" s="270">
        <f>Model_Pump!C8</f>
        <v>5</v>
      </c>
      <c r="D8" s="62">
        <f>Model_Pump!D8</f>
        <v>747.7572739187417</v>
      </c>
      <c r="E8" s="62">
        <f ca="1">DisplayValue(Model_Pump!E8,"FLOW")</f>
        <v>3000</v>
      </c>
      <c r="F8" s="62">
        <f ca="1">DisplayValue(Model_Pump!F8,"HEAD")</f>
        <v>80</v>
      </c>
      <c r="G8" s="85">
        <f ca="1">DisplayValue(Model_Pump!G8,"POWER")</f>
        <v>75.757575757575751</v>
      </c>
      <c r="H8" s="349" t="str">
        <f>Tr("PUMP_COSTS")</f>
        <v>Pump costs</v>
      </c>
      <c r="I8" s="243">
        <f>Model_Pump!I8</f>
        <v>18763.189301448532</v>
      </c>
      <c r="J8" s="62">
        <f>Model_Pump!J8</f>
        <v>56.515151515151508</v>
      </c>
    </row>
    <row r="9" spans="2:13">
      <c r="B9" s="20">
        <v>75</v>
      </c>
      <c r="C9" s="270">
        <f>Model_Pump!C9</f>
        <v>15</v>
      </c>
      <c r="D9" s="62">
        <f>Model_Pump!D9</f>
        <v>2243.2718217562251</v>
      </c>
      <c r="E9" s="62">
        <f ca="1">DisplayValue(Model_Pump!E9,"FLOW")</f>
        <v>2250</v>
      </c>
      <c r="F9" s="62">
        <f ca="1">DisplayValue(Model_Pump!F9,"HEAD")</f>
        <v>45</v>
      </c>
      <c r="G9" s="85">
        <f ca="1">DisplayValue(Model_Pump!G9,"POWER")</f>
        <v>31.960227272727273</v>
      </c>
      <c r="H9" s="234" t="str">
        <f>Tr("ANNUAL_WORD")&amp;" "&amp;UnitText("VOLUME")</f>
        <v>Annual Gallons</v>
      </c>
      <c r="I9" s="64">
        <f ca="1">DisplayValue(Model_Pump!I9,"VOLUME")</f>
        <v>1376230267.7304354</v>
      </c>
    </row>
    <row r="10" spans="2:13">
      <c r="B10" s="20">
        <v>50</v>
      </c>
      <c r="C10" s="270">
        <f>Model_Pump!C10</f>
        <v>45</v>
      </c>
      <c r="D10" s="62">
        <f>Model_Pump!D10</f>
        <v>6729.8154652686753</v>
      </c>
      <c r="E10" s="62">
        <f ca="1">DisplayValue(Model_Pump!E10,"FLOW")</f>
        <v>1500</v>
      </c>
      <c r="F10" s="62">
        <f ca="1">DisplayValue(Model_Pump!F10,"HEAD")</f>
        <v>20</v>
      </c>
      <c r="G10" s="85">
        <f ca="1">DisplayValue(Model_Pump!G10,"POWER")</f>
        <v>9.4696969696969688</v>
      </c>
      <c r="H10" s="234" t="str">
        <f>Tr("AVG_WORD")&amp;" "&amp;UnitText("FLOW")</f>
        <v>Avg GPM</v>
      </c>
      <c r="I10" s="233">
        <f ca="1">DisplayValue(Model_Pump!I10,"FLOW")</f>
        <v>1533.7310601229376</v>
      </c>
    </row>
    <row r="11" spans="2:13">
      <c r="B11" s="20">
        <v>25</v>
      </c>
      <c r="C11" s="270">
        <f>Model_Pump!C11</f>
        <v>35</v>
      </c>
      <c r="D11" s="62">
        <f>Model_Pump!D11</f>
        <v>5234.3009174311919</v>
      </c>
      <c r="E11" s="62">
        <f ca="1">DisplayValue(Model_Pump!E11,"FLOW")</f>
        <v>1060.6601717798214</v>
      </c>
      <c r="F11" s="62">
        <f ca="1">DisplayValue(Model_Pump!F11,"HEAD")</f>
        <v>10.000000000000002</v>
      </c>
      <c r="G11" s="85">
        <f ca="1">DisplayValue(Model_Pump!G11,"POWER")</f>
        <v>3.3480434715272147</v>
      </c>
      <c r="H11" s="77" t="str">
        <f>Tr("ENERGY_HDR")&amp;" [kWh]"</f>
        <v>Energy [kWh]</v>
      </c>
      <c r="I11" s="64">
        <f>Model_Pump!I11</f>
        <v>156359.91084540443</v>
      </c>
    </row>
    <row r="12" spans="2:13">
      <c r="B12" s="92" t="s">
        <v>15</v>
      </c>
      <c r="C12" s="92" t="s">
        <v>15</v>
      </c>
      <c r="D12" s="92" t="s">
        <v>15</v>
      </c>
      <c r="E12" s="114"/>
      <c r="F12" s="114"/>
    </row>
    <row r="13" spans="2:13" ht="55.2" customHeight="1">
      <c r="B13" s="281" t="str">
        <f>Tr("MIN_HEAD")</f>
        <v>Minimum pump head</v>
      </c>
      <c r="C13" s="90"/>
      <c r="D13" s="90" t="str">
        <f>" ["&amp;UnitText("HEAD")&amp;"]"</f>
        <v xml:space="preserve"> [ft]</v>
      </c>
      <c r="E13" s="91"/>
      <c r="F13" s="294">
        <f ca="1">DisplayValue(Model_Pump!F13,"HEAD")</f>
        <v>10</v>
      </c>
    </row>
    <row r="14" spans="2:13" s="22" customFormat="1" ht="28.95" customHeight="1">
      <c r="B14" s="234" t="str">
        <f>Tr("LOAD_PCT")</f>
        <v>Load [%]</v>
      </c>
      <c r="C14" s="352" t="str">
        <f>Tr("TIME_PCT")</f>
        <v>Time [%]</v>
      </c>
      <c r="D14" s="349" t="str">
        <f>Tr("TIME_H")</f>
        <v>Time [h]</v>
      </c>
      <c r="E14" s="349" t="str">
        <f>Tr("FLOW_LABEL")&amp;" ["&amp;UnitText("FLOW")&amp;"]"</f>
        <v>Flow [GPM]</v>
      </c>
      <c r="F14" s="352" t="str">
        <f>Tr("HEAD_LABEL")&amp;" ["&amp;UnitText("HEAD")&amp;"]"</f>
        <v>Head [ft]</v>
      </c>
      <c r="G14" s="349" t="str">
        <f>Tr("POWER")&amp;" ["&amp;UnitText("POWER")&amp;"]"</f>
        <v>Power [HP]</v>
      </c>
      <c r="H14" s="234" t="str">
        <f>Tr("POWER")&amp;" [kW]"</f>
        <v>Power [kW]</v>
      </c>
      <c r="J14" s="77"/>
      <c r="K14" s="77"/>
      <c r="M14" s="12"/>
    </row>
    <row r="15" spans="2:13">
      <c r="B15" s="77"/>
      <c r="C15" s="96"/>
      <c r="D15" s="77"/>
      <c r="E15" s="62">
        <f ca="1">DisplayValue(Model_Pump!E15,"FLOW")</f>
        <v>1060.6601717798214</v>
      </c>
      <c r="F15" s="62">
        <f ca="1">DisplayValue(Model_Pump!F15,"HEAD")</f>
        <v>10</v>
      </c>
      <c r="G15" s="85">
        <f ca="1">DisplayValue(Model_Pump!G15,"POWER")</f>
        <v>3.3480434715272138</v>
      </c>
      <c r="H15" s="85">
        <f>Model_Pump!H15</f>
        <v>2.4976404297593016</v>
      </c>
    </row>
    <row r="17" spans="2:19" ht="43.05" customHeight="1">
      <c r="B17" s="527" t="str">
        <f>Tr("PUMP_FLOW_DT")&amp;" ["&amp;UnitText("DELTA")&amp;"]:"</f>
        <v>Chilled-water distribution flow at Delta-T [°F]:</v>
      </c>
      <c r="C17" s="528"/>
      <c r="D17" s="528"/>
      <c r="E17" s="529"/>
      <c r="F17" s="292">
        <f ca="1">DisplayValue(Model_Pump!F17,"HEAD")</f>
        <v>6</v>
      </c>
      <c r="Q17" s="232"/>
      <c r="R17" s="232"/>
      <c r="S17" s="232"/>
    </row>
    <row r="18" spans="2:19" s="22" customFormat="1" ht="28.95" customHeight="1">
      <c r="B18" s="234" t="str">
        <f>Tr("LOAD_PCT")</f>
        <v>Load [%]</v>
      </c>
      <c r="C18" s="352" t="str">
        <f>Tr("TIME_PCT")</f>
        <v>Time [%]</v>
      </c>
      <c r="D18" s="349" t="str">
        <f>Tr("TIME_H")</f>
        <v>Time [h]</v>
      </c>
      <c r="E18" s="349" t="str">
        <f>Tr("FLOW_LABEL")&amp;" ["&amp;UnitText("FLOW")&amp;"]"</f>
        <v>Flow [GPM]</v>
      </c>
      <c r="F18" s="349" t="str">
        <f>Tr("HEAD_LABEL")&amp;" ["&amp;UnitText("HEAD")&amp;"]"</f>
        <v>Head [ft]</v>
      </c>
      <c r="G18" s="349" t="str">
        <f>Tr("POWER")&amp;" ["&amp;UnitText("POWER")&amp;"]"</f>
        <v>Power [HP]</v>
      </c>
      <c r="H18" s="77"/>
      <c r="I18" s="77"/>
      <c r="N18" s="234"/>
    </row>
    <row r="19" spans="2:19" ht="28.95" customHeight="1">
      <c r="B19" s="20">
        <v>100</v>
      </c>
      <c r="C19" s="270">
        <f>Model_Pump!C19</f>
        <v>5</v>
      </c>
      <c r="D19" s="62">
        <f>Model_Pump!D19</f>
        <v>747.7572739187417</v>
      </c>
      <c r="E19" s="62">
        <f ca="1">DisplayValue(Model_Pump!E19,"FLOW")</f>
        <v>3000</v>
      </c>
      <c r="F19" s="62">
        <f ca="1">DisplayValue(Model_Pump!F19,"HEAD")</f>
        <v>80</v>
      </c>
      <c r="G19" s="85">
        <f ca="1">DisplayValue(Model_Pump!G19,"POWER")</f>
        <v>75.757575757575751</v>
      </c>
      <c r="H19" s="349" t="str">
        <f>Tr("PUMP_COSTS")</f>
        <v>Pump costs</v>
      </c>
      <c r="I19" s="243">
        <f>Model_Pump!I19</f>
        <v>70362.260027403769</v>
      </c>
    </row>
    <row r="20" spans="2:19">
      <c r="B20" s="20">
        <v>75</v>
      </c>
      <c r="C20" s="270">
        <f>Model_Pump!C20</f>
        <v>15</v>
      </c>
      <c r="D20" s="62">
        <f>Model_Pump!D20</f>
        <v>2243.2718217562251</v>
      </c>
      <c r="E20" s="62">
        <f ca="1">DisplayValue(Model_Pump!E20,"FLOW")</f>
        <v>3000</v>
      </c>
      <c r="F20" s="62">
        <f ca="1">DisplayValue(Model_Pump!F20,"HEAD")</f>
        <v>80</v>
      </c>
      <c r="G20" s="85">
        <f ca="1">DisplayValue(Model_Pump!G20,"POWER")</f>
        <v>75.757575757575751</v>
      </c>
      <c r="H20" s="234" t="str">
        <f>Tr("ANNUAL_WORD")&amp;" "&amp;UnitText("VOLUME")</f>
        <v>Annual Gallons</v>
      </c>
      <c r="I20" s="246">
        <f ca="1">DisplayValue(Model_Pump!I20,"VOLUME")</f>
        <v>2220839103.5386629</v>
      </c>
    </row>
    <row r="21" spans="2:19">
      <c r="B21" s="20">
        <v>50</v>
      </c>
      <c r="C21" s="270">
        <f>Model_Pump!C21</f>
        <v>45</v>
      </c>
      <c r="D21" s="62">
        <f>Model_Pump!D21</f>
        <v>6729.8154652686753</v>
      </c>
      <c r="E21" s="62">
        <f ca="1">DisplayValue(Model_Pump!E21,"FLOW")</f>
        <v>3000</v>
      </c>
      <c r="F21" s="62">
        <f ca="1">DisplayValue(Model_Pump!F21,"HEAD")</f>
        <v>80</v>
      </c>
      <c r="G21" s="85">
        <f ca="1">DisplayValue(Model_Pump!G21,"POWER")</f>
        <v>75.757575757575751</v>
      </c>
      <c r="H21" s="234" t="str">
        <f>Tr("AVG_WORD")&amp;" "&amp;UnitText("FLOW")</f>
        <v>Avg GPM</v>
      </c>
      <c r="I21" s="233">
        <f ca="1">DisplayValue(Model_Pump!I21,"FLOW")</f>
        <v>2475</v>
      </c>
    </row>
    <row r="22" spans="2:19">
      <c r="B22" s="20">
        <v>25</v>
      </c>
      <c r="C22" s="270">
        <f>Model_Pump!C22</f>
        <v>35</v>
      </c>
      <c r="D22" s="62">
        <f>Model_Pump!D22</f>
        <v>5234.3009174311919</v>
      </c>
      <c r="E22" s="62">
        <f ca="1">DisplayValue(Model_Pump!E22,"FLOW")</f>
        <v>1500</v>
      </c>
      <c r="F22" s="62">
        <f ca="1">DisplayValue(Model_Pump!F22,"HEAD")</f>
        <v>20</v>
      </c>
      <c r="G22" s="85">
        <f ca="1">DisplayValue(Model_Pump!G22,"POWER")</f>
        <v>9.4696969696969688</v>
      </c>
      <c r="H22" s="77" t="str">
        <f>Tr("ENERGY_HDR")&amp;" [kWh]"</f>
        <v>Energy [kWh]</v>
      </c>
      <c r="I22" s="64">
        <f>Model_Pump!I22</f>
        <v>586352.16689503146</v>
      </c>
    </row>
    <row r="23" spans="2:19">
      <c r="B23" s="92" t="s">
        <v>15</v>
      </c>
      <c r="C23" s="92" t="s">
        <v>15</v>
      </c>
      <c r="D23" s="92" t="s">
        <v>15</v>
      </c>
      <c r="E23" s="114"/>
      <c r="F23" s="114"/>
    </row>
    <row r="24" spans="2:19" ht="36" customHeight="1">
      <c r="B24" s="527" t="str">
        <f>Tr("PUMP_FLOW_DT")&amp;" ["&amp;UnitText("DELTA")&amp;"]:"</f>
        <v>Chilled-water distribution flow at Delta-T [°F]:</v>
      </c>
      <c r="C24" s="528"/>
      <c r="D24" s="528"/>
      <c r="E24" s="529"/>
      <c r="F24" s="292">
        <f ca="1">DisplayValue(Model_Pump!F24,"HEAD")</f>
        <v>8</v>
      </c>
      <c r="M24" s="93"/>
    </row>
    <row r="25" spans="2:19" s="22" customFormat="1" ht="28.95" customHeight="1">
      <c r="B25" s="234" t="str">
        <f>Tr("LOAD_PCT")</f>
        <v>Load [%]</v>
      </c>
      <c r="C25" s="352" t="str">
        <f>Tr("TIME_PCT")</f>
        <v>Time [%]</v>
      </c>
      <c r="D25" s="349" t="str">
        <f>Tr("TIME_H")</f>
        <v>Time [h]</v>
      </c>
      <c r="E25" s="349" t="str">
        <f>Tr("FLOW_LABEL")&amp;" ["&amp;UnitText("FLOW")&amp;"]"</f>
        <v>Flow [GPM]</v>
      </c>
      <c r="F25" s="349" t="str">
        <f>Tr("HEAD_LABEL")&amp;" ["&amp;UnitText("HEAD")&amp;"]"</f>
        <v>Head [ft]</v>
      </c>
      <c r="G25" s="349" t="str">
        <f>Tr("POWER")&amp;" ["&amp;UnitText("POWER")&amp;"]"</f>
        <v>Power [HP]</v>
      </c>
      <c r="H25" s="77"/>
      <c r="I25" s="234" t="str">
        <f>Tr("PUMP_COSTS")</f>
        <v>Pump costs</v>
      </c>
      <c r="L25" s="77"/>
      <c r="M25" s="93"/>
      <c r="N25" s="12"/>
      <c r="O25" s="12"/>
    </row>
    <row r="26" spans="2:19" ht="28.95" customHeight="1">
      <c r="B26" s="20">
        <v>100</v>
      </c>
      <c r="C26" s="270">
        <f>Model_Pump!C26</f>
        <v>5</v>
      </c>
      <c r="D26" s="62">
        <f>Model_Pump!D26</f>
        <v>747.7572739187417</v>
      </c>
      <c r="E26" s="62">
        <f ca="1">DisplayValue(Model_Pump!E26,"FLOW")</f>
        <v>3000</v>
      </c>
      <c r="F26" s="62">
        <f ca="1">DisplayValue(Model_Pump!F26,"HEAD")</f>
        <v>80</v>
      </c>
      <c r="G26" s="85">
        <f ca="1">DisplayValue(Model_Pump!G26,"POWER")</f>
        <v>75.757575757575751</v>
      </c>
      <c r="H26" s="349" t="str">
        <f>Tr("PUMP_COSTS")</f>
        <v>Pump costs</v>
      </c>
      <c r="I26" s="243">
        <f>Model_Pump!I26</f>
        <v>41411.121786961594</v>
      </c>
      <c r="M26" s="93"/>
    </row>
    <row r="27" spans="2:19">
      <c r="B27" s="20">
        <v>75</v>
      </c>
      <c r="C27" s="270">
        <f>Model_Pump!C27</f>
        <v>15</v>
      </c>
      <c r="D27" s="62">
        <f>Model_Pump!D27</f>
        <v>2243.2718217562251</v>
      </c>
      <c r="E27" s="62">
        <f ca="1">DisplayValue(Model_Pump!E27,"FLOW")</f>
        <v>3000</v>
      </c>
      <c r="F27" s="62">
        <f ca="1">DisplayValue(Model_Pump!F27,"HEAD")</f>
        <v>80</v>
      </c>
      <c r="G27" s="85">
        <f ca="1">DisplayValue(Model_Pump!G27,"POWER")</f>
        <v>75.757575757575751</v>
      </c>
      <c r="H27" s="234" t="str">
        <f>Tr("ANNUAL_WORD")&amp;" "&amp;UnitText("VOLUME")</f>
        <v>Annual Gallons</v>
      </c>
      <c r="I27" s="246">
        <f ca="1">DisplayValue(Model_Pump!I27,"VOLUME")</f>
        <v>1800225636.9593706</v>
      </c>
      <c r="M27" s="93"/>
    </row>
    <row r="28" spans="2:19">
      <c r="B28" s="20">
        <v>50</v>
      </c>
      <c r="C28" s="270">
        <f>Model_Pump!C28</f>
        <v>45</v>
      </c>
      <c r="D28" s="62">
        <f>Model_Pump!D28</f>
        <v>6729.8154652686753</v>
      </c>
      <c r="E28" s="62">
        <f ca="1">DisplayValue(Model_Pump!E28,"FLOW")</f>
        <v>2250</v>
      </c>
      <c r="F28" s="62">
        <f ca="1">DisplayValue(Model_Pump!F28,"HEAD")</f>
        <v>45</v>
      </c>
      <c r="G28" s="85">
        <f ca="1">DisplayValue(Model_Pump!G28,"POWER")</f>
        <v>31.960227272727273</v>
      </c>
      <c r="H28" s="234" t="str">
        <f>Tr("AVG_WORD")&amp;" "&amp;UnitText("FLOW")</f>
        <v>Avg GPM</v>
      </c>
      <c r="I28" s="233">
        <f ca="1">DisplayValue(Model_Pump!I28,"FLOW")</f>
        <v>2006.25</v>
      </c>
      <c r="M28" s="93"/>
    </row>
    <row r="29" spans="2:19">
      <c r="B29" s="20">
        <v>25</v>
      </c>
      <c r="C29" s="270">
        <f>Model_Pump!C29</f>
        <v>35</v>
      </c>
      <c r="D29" s="62">
        <f>Model_Pump!D29</f>
        <v>5234.3009174311919</v>
      </c>
      <c r="E29" s="62">
        <f ca="1">DisplayValue(Model_Pump!E29,"FLOW")</f>
        <v>1125</v>
      </c>
      <c r="F29" s="62">
        <f ca="1">DisplayValue(Model_Pump!F29,"HEAD")</f>
        <v>11.25</v>
      </c>
      <c r="G29" s="85">
        <f ca="1">DisplayValue(Model_Pump!G29,"POWER")</f>
        <v>3.9950284090909092</v>
      </c>
      <c r="H29" s="77" t="str">
        <f>Tr("ENERGY_HDR")&amp;" [kWh]"</f>
        <v>Energy [kWh]</v>
      </c>
      <c r="I29" s="64">
        <f>Model_Pump!I29</f>
        <v>345092.68155801331</v>
      </c>
      <c r="M29" s="93"/>
    </row>
    <row r="30" spans="2:19">
      <c r="B30" s="92" t="s">
        <v>15</v>
      </c>
      <c r="C30" s="92" t="s">
        <v>15</v>
      </c>
      <c r="D30" s="92" t="s">
        <v>15</v>
      </c>
      <c r="E30" s="114"/>
      <c r="F30" s="114"/>
      <c r="M30" s="93"/>
    </row>
    <row r="31" spans="2:19" ht="36" customHeight="1">
      <c r="B31" s="527" t="str">
        <f>Tr("PUMP_FLOW_DT")&amp;" ["&amp;UnitText("DELTA")&amp;"]:"</f>
        <v>Chilled-water distribution flow at Delta-T [°F]:</v>
      </c>
      <c r="C31" s="528"/>
      <c r="D31" s="528"/>
      <c r="E31" s="529"/>
      <c r="F31" s="292">
        <f ca="1">DisplayValue(Model_Pump!F31,"HEAD")</f>
        <v>10</v>
      </c>
      <c r="M31" s="93"/>
    </row>
    <row r="32" spans="2:19" s="22" customFormat="1" ht="28.95" customHeight="1">
      <c r="B32" s="234" t="str">
        <f>Tr("LOAD_PCT")</f>
        <v>Load [%]</v>
      </c>
      <c r="C32" s="352" t="str">
        <f>Tr("TIME_PCT")</f>
        <v>Time [%]</v>
      </c>
      <c r="D32" s="349" t="str">
        <f>Tr("TIME_H")</f>
        <v>Time [h]</v>
      </c>
      <c r="E32" s="349" t="str">
        <f>Tr("FLOW_LABEL")&amp;" ["&amp;UnitText("FLOW")&amp;"]"</f>
        <v>Flow [GPM]</v>
      </c>
      <c r="F32" s="349" t="str">
        <f>Tr("HEAD_LABEL")&amp;" ["&amp;UnitText("HEAD")&amp;"]"</f>
        <v>Head [ft]</v>
      </c>
      <c r="G32" s="349" t="str">
        <f>Tr("POWER")&amp;" ["&amp;UnitText("POWER")&amp;"]"</f>
        <v>Power [HP]</v>
      </c>
      <c r="H32" s="77"/>
      <c r="I32" s="234" t="str">
        <f>Tr("PUMP_COSTS")</f>
        <v>Pump costs</v>
      </c>
      <c r="L32" s="77"/>
      <c r="M32" s="93"/>
      <c r="N32" s="12"/>
      <c r="O32" s="12"/>
    </row>
    <row r="33" spans="2:16" ht="28.95" customHeight="1">
      <c r="B33" s="369">
        <v>100</v>
      </c>
      <c r="C33" s="370">
        <f>Model_Pump!C33</f>
        <v>5</v>
      </c>
      <c r="D33" s="286">
        <f>Model_Pump!D33</f>
        <v>747.7572739187417</v>
      </c>
      <c r="E33" s="286">
        <f ca="1">DisplayValue(Model_Pump!E33,"FLOW")</f>
        <v>3000</v>
      </c>
      <c r="F33" s="286">
        <f ca="1">DisplayValue(Model_Pump!F33,"HEAD")</f>
        <v>80</v>
      </c>
      <c r="G33" s="371">
        <f ca="1">DisplayValue(Model_Pump!G33,"POWER")</f>
        <v>75.757575757575751</v>
      </c>
      <c r="H33" s="349" t="str">
        <f>Tr("PUMP_COSTS")</f>
        <v>Pump costs</v>
      </c>
      <c r="I33" s="243">
        <f>Model_Pump!I33</f>
        <v>27588.89872812909</v>
      </c>
      <c r="M33" s="93"/>
    </row>
    <row r="34" spans="2:16">
      <c r="B34" s="369">
        <v>75</v>
      </c>
      <c r="C34" s="370">
        <f>Model_Pump!C34</f>
        <v>15</v>
      </c>
      <c r="D34" s="286">
        <f>Model_Pump!D34</f>
        <v>2243.2718217562251</v>
      </c>
      <c r="E34" s="286">
        <f ca="1">DisplayValue(Model_Pump!E34,"FLOW")</f>
        <v>2700</v>
      </c>
      <c r="F34" s="286">
        <f ca="1">DisplayValue(Model_Pump!F34,"HEAD")</f>
        <v>64.800000000000011</v>
      </c>
      <c r="G34" s="371">
        <f ca="1">DisplayValue(Model_Pump!G34,"POWER")</f>
        <v>55.227272727272734</v>
      </c>
      <c r="H34" s="234" t="str">
        <f>Tr("ANNUAL_WORD")&amp;" "&amp;UnitText("VOLUME")</f>
        <v>Annual Gallons</v>
      </c>
      <c r="I34" s="64">
        <f ca="1">DisplayValue(Model_Pump!I34,"VOLUME")</f>
        <v>1557935285.2926896</v>
      </c>
      <c r="M34" s="93"/>
    </row>
    <row r="35" spans="2:16">
      <c r="B35" s="369">
        <v>50</v>
      </c>
      <c r="C35" s="370">
        <f>Model_Pump!C35</f>
        <v>45</v>
      </c>
      <c r="D35" s="286">
        <f>Model_Pump!D35</f>
        <v>6729.8154652686753</v>
      </c>
      <c r="E35" s="286">
        <f ca="1">DisplayValue(Model_Pump!E35,"FLOW")</f>
        <v>1800</v>
      </c>
      <c r="F35" s="286">
        <f ca="1">DisplayValue(Model_Pump!F35,"HEAD")</f>
        <v>28.799999999999997</v>
      </c>
      <c r="G35" s="371">
        <f ca="1">DisplayValue(Model_Pump!G35,"POWER")</f>
        <v>16.36363636363636</v>
      </c>
      <c r="H35" s="234" t="str">
        <f>Tr("AVG_WORD")&amp;" "&amp;UnitText("FLOW")</f>
        <v>Avg GPM</v>
      </c>
      <c r="I35" s="233">
        <f ca="1">DisplayValue(Model_Pump!I35,"FLOW")</f>
        <v>1736.2310601229376</v>
      </c>
      <c r="M35" s="93"/>
    </row>
    <row r="36" spans="2:16">
      <c r="B36" s="369">
        <v>25</v>
      </c>
      <c r="C36" s="370">
        <f>Model_Pump!C36</f>
        <v>35</v>
      </c>
      <c r="D36" s="286">
        <f>Model_Pump!D36</f>
        <v>5234.3009174311919</v>
      </c>
      <c r="E36" s="286">
        <f ca="1">DisplayValue(Model_Pump!E36,"FLOW")</f>
        <v>1060.6601717798214</v>
      </c>
      <c r="F36" s="286">
        <f ca="1">DisplayValue(Model_Pump!F36,"HEAD")</f>
        <v>10.000000000000002</v>
      </c>
      <c r="G36" s="371">
        <f ca="1">DisplayValue(Model_Pump!G36,"POWER")</f>
        <v>3.3480434715272147</v>
      </c>
      <c r="H36" s="77" t="str">
        <f>Tr("ENERGY_HDR")&amp;" [kWh]"</f>
        <v>Energy [kWh]</v>
      </c>
      <c r="I36" s="64">
        <f>Model_Pump!I36</f>
        <v>229907.48940107576</v>
      </c>
      <c r="M36" s="93"/>
    </row>
    <row r="37" spans="2:16">
      <c r="B37" s="92" t="s">
        <v>15</v>
      </c>
      <c r="C37" s="92" t="s">
        <v>15</v>
      </c>
      <c r="D37" s="92" t="s">
        <v>15</v>
      </c>
      <c r="E37" s="114"/>
      <c r="F37" s="114"/>
      <c r="M37" s="93"/>
    </row>
    <row r="38" spans="2:16" ht="36" customHeight="1">
      <c r="B38" s="527" t="str">
        <f>Tr("PUMP_FLOW_DT")&amp;" ["&amp;UnitText("DELTA")&amp;"]:"</f>
        <v>Chilled-water distribution flow at Delta-T [°F]:</v>
      </c>
      <c r="C38" s="528"/>
      <c r="D38" s="528"/>
      <c r="E38" s="529"/>
      <c r="F38" s="292">
        <f ca="1">DisplayValue(Model_Pump!F38,"HEAD")</f>
        <v>12</v>
      </c>
      <c r="M38" s="93"/>
    </row>
    <row r="39" spans="2:16" s="22" customFormat="1" ht="28.95" customHeight="1">
      <c r="B39" s="234" t="str">
        <f>Tr("LOAD_PCT")</f>
        <v>Load [%]</v>
      </c>
      <c r="C39" s="352" t="str">
        <f>Tr("TIME_PCT")</f>
        <v>Time [%]</v>
      </c>
      <c r="D39" s="349" t="str">
        <f>Tr("TIME_H")</f>
        <v>Time [h]</v>
      </c>
      <c r="E39" s="349" t="str">
        <f>Tr("FLOW_LABEL")&amp;" ["&amp;UnitText("FLOW")&amp;"]"</f>
        <v>Flow [GPM]</v>
      </c>
      <c r="F39" s="349" t="str">
        <f>Tr("HEAD_LABEL")&amp;" ["&amp;UnitText("HEAD")&amp;"]"</f>
        <v>Head [ft]</v>
      </c>
      <c r="G39" s="349" t="str">
        <f>Tr("POWER")&amp;" ["&amp;UnitText("POWER")&amp;"]"</f>
        <v>Power [HP]</v>
      </c>
      <c r="H39" s="77"/>
      <c r="I39" s="234" t="str">
        <f>Tr("PUMP_COSTS")</f>
        <v>Pump costs</v>
      </c>
      <c r="L39" s="12"/>
      <c r="M39" s="93"/>
      <c r="N39" s="12"/>
      <c r="O39" s="12"/>
      <c r="P39" s="12"/>
    </row>
    <row r="40" spans="2:16" ht="28.95" customHeight="1">
      <c r="B40" s="20">
        <v>100</v>
      </c>
      <c r="C40" s="270">
        <f>Model_Pump!C40</f>
        <v>5</v>
      </c>
      <c r="D40" s="62">
        <f>Model_Pump!D40</f>
        <v>747.7572739187417</v>
      </c>
      <c r="E40" s="62">
        <f ca="1">DisplayValue(Model_Pump!E40,"FLOW")</f>
        <v>3000</v>
      </c>
      <c r="F40" s="62">
        <f ca="1">DisplayValue(Model_Pump!F40,"HEAD")</f>
        <v>80</v>
      </c>
      <c r="G40" s="85">
        <f ca="1">DisplayValue(Model_Pump!G40,"POWER")</f>
        <v>75.757575757575751</v>
      </c>
      <c r="H40" s="349" t="str">
        <f>Tr("PUMP_COSTS")</f>
        <v>Pump costs</v>
      </c>
      <c r="I40" s="243">
        <f>Model_Pump!I40</f>
        <v>18763.189301448532</v>
      </c>
      <c r="M40" s="93"/>
    </row>
    <row r="41" spans="2:16">
      <c r="B41" s="20">
        <v>75</v>
      </c>
      <c r="C41" s="270">
        <f>Model_Pump!C41</f>
        <v>15</v>
      </c>
      <c r="D41" s="62">
        <f>Model_Pump!D41</f>
        <v>2243.2718217562251</v>
      </c>
      <c r="E41" s="62">
        <f ca="1">DisplayValue(Model_Pump!E41,"FLOW")</f>
        <v>2250</v>
      </c>
      <c r="F41" s="62">
        <f ca="1">DisplayValue(Model_Pump!F41,"HEAD")</f>
        <v>45</v>
      </c>
      <c r="G41" s="85">
        <f ca="1">DisplayValue(Model_Pump!G41,"POWER")</f>
        <v>31.960227272727273</v>
      </c>
      <c r="H41" s="234" t="str">
        <f>Tr("ANNUAL_WORD")&amp;" "&amp;UnitText("VOLUME")</f>
        <v>Annual Gallons</v>
      </c>
      <c r="I41" s="64">
        <f ca="1">DisplayValue(Model_Pump!I41,"VOLUME")</f>
        <v>1376230267.7304354</v>
      </c>
      <c r="M41" s="93"/>
    </row>
    <row r="42" spans="2:16">
      <c r="B42" s="20">
        <v>50</v>
      </c>
      <c r="C42" s="270">
        <f>Model_Pump!C42</f>
        <v>45</v>
      </c>
      <c r="D42" s="62">
        <f>Model_Pump!D42</f>
        <v>6729.8154652686753</v>
      </c>
      <c r="E42" s="62">
        <f ca="1">DisplayValue(Model_Pump!E42,"FLOW")</f>
        <v>1500</v>
      </c>
      <c r="F42" s="62">
        <f ca="1">DisplayValue(Model_Pump!F42,"HEAD")</f>
        <v>20</v>
      </c>
      <c r="G42" s="85">
        <f ca="1">DisplayValue(Model_Pump!G42,"POWER")</f>
        <v>9.4696969696969688</v>
      </c>
      <c r="H42" s="234" t="str">
        <f>Tr("AVG_WORD")&amp;" "&amp;UnitText("FLOW")</f>
        <v>Avg GPM</v>
      </c>
      <c r="I42" s="233">
        <f ca="1">DisplayValue(Model_Pump!I42,"FLOW")</f>
        <v>1533.7310601229376</v>
      </c>
      <c r="M42" s="93"/>
    </row>
    <row r="43" spans="2:16">
      <c r="B43" s="20">
        <v>25</v>
      </c>
      <c r="C43" s="270">
        <f>Model_Pump!C43</f>
        <v>35</v>
      </c>
      <c r="D43" s="62">
        <f>Model_Pump!D43</f>
        <v>5234.3009174311919</v>
      </c>
      <c r="E43" s="62">
        <f ca="1">DisplayValue(Model_Pump!E43,"FLOW")</f>
        <v>1060.6601717798214</v>
      </c>
      <c r="F43" s="62">
        <f ca="1">DisplayValue(Model_Pump!F43,"HEAD")</f>
        <v>10.000000000000002</v>
      </c>
      <c r="G43" s="85">
        <f ca="1">DisplayValue(Model_Pump!G43,"POWER")</f>
        <v>3.3480434715272147</v>
      </c>
      <c r="H43" s="77" t="str">
        <f>Tr("ENERGY_HDR")&amp;" [kWh]"</f>
        <v>Energy [kWh]</v>
      </c>
      <c r="I43" s="64">
        <f>Model_Pump!I43</f>
        <v>156359.91084540443</v>
      </c>
      <c r="M43" s="93"/>
    </row>
    <row r="44" spans="2:16">
      <c r="B44" s="92" t="s">
        <v>15</v>
      </c>
      <c r="C44" s="92" t="s">
        <v>15</v>
      </c>
      <c r="D44" s="92" t="s">
        <v>15</v>
      </c>
      <c r="E44" s="92" t="s">
        <v>15</v>
      </c>
      <c r="F44" s="114"/>
      <c r="M44" s="93"/>
    </row>
    <row r="45" spans="2:16" ht="36" hidden="1" customHeight="1">
      <c r="B45" s="527" t="str">
        <f>Tr("PUMP_FLOW_DT")&amp;" ["&amp;UnitText("DELTA")&amp;"]:"</f>
        <v>Chilled-water distribution flow at Delta-T [°F]:</v>
      </c>
      <c r="C45" s="528"/>
      <c r="D45" s="528"/>
      <c r="E45" s="529"/>
      <c r="F45" s="292">
        <f ca="1">DisplayValue(Model_Pump!F45,"HEAD")</f>
        <v>12</v>
      </c>
      <c r="M45" s="93"/>
    </row>
    <row r="46" spans="2:16" s="22" customFormat="1" hidden="1">
      <c r="B46" s="77" t="str">
        <f>Tr("LOAD_PCT")</f>
        <v>Load [%]</v>
      </c>
      <c r="C46" s="96" t="str">
        <f>Tr("TIME_PCT")</f>
        <v>Time [%]</v>
      </c>
      <c r="D46" s="77" t="str">
        <f>Tr("TIME_H")</f>
        <v>Time [h]</v>
      </c>
      <c r="E46" s="77" t="str">
        <f>Tr("FLOW_LABEL")&amp;" ["&amp;UnitText("FLOW")&amp;"]"</f>
        <v>Flow [GPM]</v>
      </c>
      <c r="F46" s="77" t="str">
        <f>Tr("HEAD_LABEL")&amp;" ["&amp;UnitText("HEAD")&amp;"]"</f>
        <v>Head [ft]</v>
      </c>
      <c r="G46" s="77" t="str">
        <f>Tr("POWER")&amp;" ["&amp;UnitText("POWER")&amp;"]"</f>
        <v>Power [HP]</v>
      </c>
      <c r="H46" s="77"/>
      <c r="I46" s="77" t="str">
        <f>Tr("PUMP_COSTS")</f>
        <v>Pump costs</v>
      </c>
      <c r="L46" s="12"/>
      <c r="M46" s="93"/>
      <c r="N46" s="12"/>
      <c r="O46" s="12"/>
      <c r="P46" s="12"/>
    </row>
    <row r="47" spans="2:16" hidden="1">
      <c r="B47" s="20">
        <v>100</v>
      </c>
      <c r="C47" s="270">
        <f>Model_Pump!C47</f>
        <v>5</v>
      </c>
      <c r="D47" s="62">
        <f>Model_Pump!D47</f>
        <v>747.7572739187417</v>
      </c>
      <c r="E47" s="62">
        <f ca="1">DisplayValue(Model_Pump!E47,"FLOW")</f>
        <v>3000</v>
      </c>
      <c r="F47" s="62">
        <f ca="1">DisplayValue(Model_Pump!F47,"HEAD")</f>
        <v>80</v>
      </c>
      <c r="G47" s="85">
        <f ca="1">DisplayValue(Model_Pump!G47,"POWER")</f>
        <v>75.757575757575751</v>
      </c>
      <c r="H47" s="77" t="str">
        <f>Tr("PUMP_COSTS")</f>
        <v>Pump costs</v>
      </c>
      <c r="I47" s="243">
        <f>Model_Pump!I47</f>
        <v>18763.189301448532</v>
      </c>
      <c r="M47" s="93"/>
    </row>
    <row r="48" spans="2:16" hidden="1">
      <c r="B48" s="20">
        <v>75</v>
      </c>
      <c r="C48" s="270">
        <f>Model_Pump!C48</f>
        <v>15</v>
      </c>
      <c r="D48" s="62">
        <f>Model_Pump!D48</f>
        <v>2243.2718217562251</v>
      </c>
      <c r="E48" s="62">
        <f ca="1">DisplayValue(Model_Pump!E48,"FLOW")</f>
        <v>2250</v>
      </c>
      <c r="F48" s="62">
        <f ca="1">DisplayValue(Model_Pump!F48,"HEAD")</f>
        <v>45</v>
      </c>
      <c r="G48" s="85">
        <f ca="1">DisplayValue(Model_Pump!G48,"POWER")</f>
        <v>31.960227272727273</v>
      </c>
      <c r="H48" s="234" t="str">
        <f>Tr("ANNUAL_WORD")&amp;" "&amp;UnitText("VOLUME")</f>
        <v>Annual Gallons</v>
      </c>
      <c r="I48" s="64">
        <f ca="1">DisplayValue(Model_Pump!I48,"VOLUME")</f>
        <v>1376230267.7304354</v>
      </c>
      <c r="M48" s="93"/>
    </row>
    <row r="49" spans="2:16" hidden="1">
      <c r="B49" s="20">
        <v>50</v>
      </c>
      <c r="C49" s="270">
        <f>Model_Pump!C49</f>
        <v>45</v>
      </c>
      <c r="D49" s="62">
        <f>Model_Pump!D49</f>
        <v>6729.8154652686753</v>
      </c>
      <c r="E49" s="62">
        <f ca="1">DisplayValue(Model_Pump!E49,"FLOW")</f>
        <v>1500</v>
      </c>
      <c r="F49" s="62">
        <f ca="1">DisplayValue(Model_Pump!F49,"HEAD")</f>
        <v>20</v>
      </c>
      <c r="G49" s="85">
        <f ca="1">DisplayValue(Model_Pump!G49,"POWER")</f>
        <v>9.4696969696969688</v>
      </c>
      <c r="H49" s="234" t="str">
        <f>Tr("AVG_WORD")&amp;" "&amp;UnitText("FLOW")</f>
        <v>Avg GPM</v>
      </c>
      <c r="I49" s="233">
        <f ca="1">DisplayValue(Model_Pump!I49,"FLOW")</f>
        <v>1533.7310601229376</v>
      </c>
      <c r="M49" s="93"/>
    </row>
    <row r="50" spans="2:16" hidden="1">
      <c r="B50" s="20">
        <v>25</v>
      </c>
      <c r="C50" s="270">
        <f>Model_Pump!C50</f>
        <v>35</v>
      </c>
      <c r="D50" s="62">
        <f>Model_Pump!D50</f>
        <v>5234.3009174311919</v>
      </c>
      <c r="E50" s="62">
        <f ca="1">DisplayValue(Model_Pump!E50,"FLOW")</f>
        <v>1060.6601717798214</v>
      </c>
      <c r="F50" s="62">
        <f ca="1">DisplayValue(Model_Pump!F50,"HEAD")</f>
        <v>10.000000000000002</v>
      </c>
      <c r="G50" s="85">
        <f ca="1">DisplayValue(Model_Pump!G50,"POWER")</f>
        <v>3.3480434715272147</v>
      </c>
      <c r="H50" s="77" t="str">
        <f>Tr("ENERGY_HDR")&amp;" [kWh]"</f>
        <v>Energy [kWh]</v>
      </c>
      <c r="I50" s="64">
        <f>Model_Pump!I50</f>
        <v>156359.91084540443</v>
      </c>
      <c r="M50" s="93"/>
    </row>
    <row r="51" spans="2:16">
      <c r="B51" s="92" t="s">
        <v>15</v>
      </c>
      <c r="C51" s="92" t="s">
        <v>15</v>
      </c>
      <c r="D51" s="92" t="s">
        <v>15</v>
      </c>
      <c r="E51" s="114"/>
      <c r="F51" s="114"/>
      <c r="M51" s="93"/>
    </row>
    <row r="52" spans="2:16" ht="36" customHeight="1">
      <c r="B52" s="527" t="str">
        <f>Tr("PUMP_FLOW_DT")&amp;" ["&amp;UnitText("DELTA")&amp;"]:"</f>
        <v>Chilled-water distribution flow at Delta-T [°F]:</v>
      </c>
      <c r="C52" s="528"/>
      <c r="D52" s="528"/>
      <c r="E52" s="529"/>
      <c r="F52" s="292">
        <f ca="1">DisplayValue(Model_Pump!F52,"HEAD")</f>
        <v>14</v>
      </c>
      <c r="M52" s="93"/>
    </row>
    <row r="53" spans="2:16" s="22" customFormat="1" ht="28.95" customHeight="1">
      <c r="B53" s="234" t="str">
        <f>Tr("LOAD_PCT")</f>
        <v>Load [%]</v>
      </c>
      <c r="C53" s="352" t="str">
        <f>Tr("TIME_PCT")</f>
        <v>Time [%]</v>
      </c>
      <c r="D53" s="349" t="str">
        <f>Tr("TIME_H")</f>
        <v>Time [h]</v>
      </c>
      <c r="E53" s="349" t="str">
        <f>Tr("FLOW_LABEL")&amp;" ["&amp;UnitText("FLOW")&amp;"]"</f>
        <v>Flow [GPM]</v>
      </c>
      <c r="F53" s="349" t="str">
        <f>Tr("HEAD_LABEL")&amp;" ["&amp;UnitText("HEAD")&amp;"]"</f>
        <v>Head [ft]</v>
      </c>
      <c r="G53" s="349" t="str">
        <f>Tr("POWER")&amp;" ["&amp;UnitText("POWER")&amp;"]"</f>
        <v>Power [HP]</v>
      </c>
      <c r="H53" s="77"/>
      <c r="I53" s="234" t="str">
        <f>Tr("PUMP_COSTS")</f>
        <v>Pump costs</v>
      </c>
      <c r="L53" s="12"/>
      <c r="M53" s="93"/>
      <c r="N53" s="12"/>
      <c r="O53" s="12"/>
      <c r="P53" s="12"/>
    </row>
    <row r="54" spans="2:16" ht="28.95" customHeight="1">
      <c r="B54" s="20">
        <v>100</v>
      </c>
      <c r="C54" s="270">
        <f>Model_Pump!C54</f>
        <v>5</v>
      </c>
      <c r="D54" s="62">
        <f>Model_Pump!D54</f>
        <v>747.7572739187417</v>
      </c>
      <c r="E54" s="62">
        <f ca="1">DisplayValue(Model_Pump!E54,"FLOW")</f>
        <v>2571.4285714285716</v>
      </c>
      <c r="F54" s="62">
        <f ca="1">DisplayValue(Model_Pump!F54,"HEAD")</f>
        <v>58.775510204081641</v>
      </c>
      <c r="G54" s="85">
        <f ca="1">DisplayValue(Model_Pump!G54,"POWER")</f>
        <v>47.707394646170165</v>
      </c>
      <c r="H54" s="349" t="str">
        <f>Tr("PUMP_COSTS")</f>
        <v>Pump costs</v>
      </c>
      <c r="I54" s="243">
        <f>Model_Pump!I54</f>
        <v>12396.756645448148</v>
      </c>
      <c r="M54" s="93"/>
    </row>
    <row r="55" spans="2:16">
      <c r="B55" s="20">
        <v>75</v>
      </c>
      <c r="C55" s="270">
        <f>Model_Pump!C55</f>
        <v>15</v>
      </c>
      <c r="D55" s="62">
        <f>Model_Pump!D55</f>
        <v>2243.2718217562251</v>
      </c>
      <c r="E55" s="62">
        <f ca="1">DisplayValue(Model_Pump!E55,"FLOW")</f>
        <v>1928.5714285714287</v>
      </c>
      <c r="F55" s="62">
        <f ca="1">DisplayValue(Model_Pump!F55,"HEAD")</f>
        <v>33.061224489795926</v>
      </c>
      <c r="G55" s="85">
        <f ca="1">DisplayValue(Model_Pump!G55,"POWER")</f>
        <v>20.126557116353041</v>
      </c>
      <c r="H55" s="234" t="str">
        <f>Tr("ANNUAL_WORD")&amp;" "&amp;UnitText("VOLUME")</f>
        <v>Annual Gallons</v>
      </c>
      <c r="I55" s="64">
        <f ca="1">DisplayValue(Model_Pump!I55,"VOLUME")</f>
        <v>1227212925.2852004</v>
      </c>
      <c r="M55" s="93"/>
    </row>
    <row r="56" spans="2:16">
      <c r="B56" s="20">
        <v>50</v>
      </c>
      <c r="C56" s="270">
        <f>Model_Pump!C56</f>
        <v>45</v>
      </c>
      <c r="D56" s="62">
        <f>Model_Pump!D56</f>
        <v>6729.8154652686753</v>
      </c>
      <c r="E56" s="62">
        <f ca="1">DisplayValue(Model_Pump!E56,"FLOW")</f>
        <v>1285.7142857142858</v>
      </c>
      <c r="F56" s="62">
        <f ca="1">DisplayValue(Model_Pump!F56,"HEAD")</f>
        <v>14.69387755102041</v>
      </c>
      <c r="G56" s="85">
        <f ca="1">DisplayValue(Model_Pump!G56,"POWER")</f>
        <v>5.9634243307712707</v>
      </c>
      <c r="H56" s="234" t="str">
        <f>Tr("AVG_WORD")&amp;" "&amp;UnitText("FLOW")</f>
        <v>Avg GPM</v>
      </c>
      <c r="I56" s="233">
        <f ca="1">DisplayValue(Model_Pump!I56,"FLOW")</f>
        <v>1367.6596315515089</v>
      </c>
      <c r="M56" s="93"/>
    </row>
    <row r="57" spans="2:16">
      <c r="B57" s="20">
        <v>25</v>
      </c>
      <c r="C57" s="270">
        <f>Model_Pump!C57</f>
        <v>35</v>
      </c>
      <c r="D57" s="62">
        <f>Model_Pump!D57</f>
        <v>5234.3009174311919</v>
      </c>
      <c r="E57" s="62">
        <f ca="1">DisplayValue(Model_Pump!E57,"FLOW")</f>
        <v>1060.6601717798214</v>
      </c>
      <c r="F57" s="62">
        <f ca="1">DisplayValue(Model_Pump!F57,"HEAD")</f>
        <v>10.000000000000002</v>
      </c>
      <c r="G57" s="85">
        <f ca="1">DisplayValue(Model_Pump!G57,"POWER")</f>
        <v>3.3480434715272147</v>
      </c>
      <c r="H57" s="77" t="str">
        <f>Tr("ENERGY_HDR")&amp;" [kWh]"</f>
        <v>Energy [kWh]</v>
      </c>
      <c r="I57" s="64">
        <f>Model_Pump!I57</f>
        <v>103306.30537873457</v>
      </c>
      <c r="M57" s="93"/>
    </row>
    <row r="58" spans="2:16">
      <c r="B58" s="92" t="s">
        <v>15</v>
      </c>
      <c r="C58" s="92" t="s">
        <v>15</v>
      </c>
      <c r="D58" s="92" t="s">
        <v>15</v>
      </c>
      <c r="E58" s="114"/>
      <c r="F58" s="114"/>
      <c r="M58" s="93"/>
    </row>
    <row r="59" spans="2:16">
      <c r="M59" s="93"/>
    </row>
  </sheetData>
  <sheetProtection algorithmName="SHA-512" hashValue="0oNWxnLu7Ua6ziehdI31idAmdLgvdcZNhD9P245y+aKVqrJRAE5y4hQ93MqNcnul4bexJ47lZnimzcqKbS8FaA==" saltValue="p6fXiRNVHn2PcDPyZ1Egpw==" spinCount="100000" sheet="1" objects="1" scenarios="1" selectLockedCells="1"/>
  <mergeCells count="9">
    <mergeCell ref="B38:E38"/>
    <mergeCell ref="B45:E45"/>
    <mergeCell ref="B52:E52"/>
    <mergeCell ref="H6:I6"/>
    <mergeCell ref="B5:E5"/>
    <mergeCell ref="B6:E6"/>
    <mergeCell ref="B17:E17"/>
    <mergeCell ref="B24:E24"/>
    <mergeCell ref="B31:E31"/>
  </mergeCells>
  <dataValidations count="1">
    <dataValidation type="decimal" allowBlank="1" showInputMessage="1" showErrorMessage="1" errorTitle="Entry Error" error="Values must be between 100% and 800%." sqref="F5" xr:uid="{00000000-0002-0000-0300-000000000000}">
      <formula1>1</formula1>
      <formula2>8</formula2>
    </dataValidation>
  </dataValidations>
  <pageMargins left="0.25" right="0.25" top="0.75" bottom="0.75" header="0.3" footer="0.3"/>
  <pageSetup scale="4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6600"/>
    <pageSetUpPr fitToPage="1"/>
  </sheetPr>
  <dimension ref="A1:AD195"/>
  <sheetViews>
    <sheetView showGridLines="0" zoomScale="90" zoomScaleNormal="90" workbookViewId="0">
      <pane ySplit="3" topLeftCell="A4" activePane="bottomLeft" state="frozen"/>
      <selection pane="bottomLeft" activeCell="N18" sqref="N18"/>
    </sheetView>
  </sheetViews>
  <sheetFormatPr defaultColWidth="9.21875" defaultRowHeight="14.4"/>
  <cols>
    <col min="1" max="1" width="36.44140625" style="105" customWidth="1"/>
    <col min="2" max="2" width="12.33203125" style="1" customWidth="1"/>
    <col min="3" max="7" width="13" style="1" bestFit="1" customWidth="1"/>
    <col min="8" max="12" width="12.44140625" style="1" bestFit="1" customWidth="1"/>
    <col min="13" max="22" width="12.44140625" style="1" customWidth="1"/>
    <col min="23" max="16384" width="9.21875" style="1"/>
  </cols>
  <sheetData>
    <row r="1" spans="1:30" s="2" customFormat="1" ht="13.8"/>
    <row r="2" spans="1:30" s="2" customFormat="1" ht="13.8"/>
    <row r="3" spans="1:30" s="3" customFormat="1" thickBot="1"/>
    <row r="5" spans="1:30">
      <c r="A5" s="106"/>
      <c r="B5" s="12"/>
      <c r="C5" s="12"/>
      <c r="D5" s="12"/>
      <c r="W5" s="125"/>
      <c r="X5" s="125"/>
      <c r="Y5" s="125"/>
      <c r="Z5" s="125"/>
      <c r="AA5" s="125"/>
      <c r="AB5" s="125"/>
      <c r="AC5" s="125"/>
      <c r="AD5" s="125"/>
    </row>
    <row r="6" spans="1:30">
      <c r="A6" s="106"/>
      <c r="B6" s="12"/>
      <c r="W6" s="125"/>
      <c r="X6" s="132"/>
      <c r="Y6" s="132"/>
      <c r="Z6" s="133"/>
      <c r="AA6" s="133"/>
      <c r="AB6" s="133"/>
      <c r="AC6" s="133"/>
      <c r="AD6" s="125"/>
    </row>
    <row r="7" spans="1:30">
      <c r="A7" s="106"/>
      <c r="B7" s="12"/>
      <c r="W7" s="125"/>
      <c r="X7" s="132"/>
      <c r="Y7" s="134"/>
      <c r="Z7" s="133"/>
      <c r="AA7" s="133"/>
      <c r="AB7" s="132"/>
      <c r="AC7" s="135"/>
      <c r="AD7" s="125"/>
    </row>
    <row r="8" spans="1:30" ht="36" customHeight="1">
      <c r="A8" s="106"/>
      <c r="B8" s="12"/>
      <c r="C8" s="12"/>
      <c r="D8" s="12"/>
      <c r="E8" s="12"/>
      <c r="F8" s="12"/>
      <c r="G8" s="12"/>
      <c r="H8" s="12"/>
      <c r="I8" s="12"/>
      <c r="J8" s="12"/>
      <c r="K8" s="12"/>
      <c r="L8" s="12"/>
      <c r="W8" s="125"/>
      <c r="X8" s="132"/>
      <c r="Y8" s="134"/>
      <c r="Z8" s="133"/>
      <c r="AA8" s="133"/>
      <c r="AB8" s="133"/>
      <c r="AC8" s="133"/>
      <c r="AD8" s="125"/>
    </row>
    <row r="9" spans="1:30">
      <c r="A9" s="145" t="str">
        <f>Tr("DISCOUNT")&amp;":"</f>
        <v>Discount rate:</v>
      </c>
      <c r="B9" s="146">
        <f>Model_Financials!B9</f>
        <v>0.04</v>
      </c>
      <c r="W9" s="125"/>
      <c r="X9" s="132"/>
      <c r="Y9" s="134"/>
      <c r="Z9" s="133"/>
      <c r="AA9" s="133"/>
      <c r="AB9" s="133"/>
      <c r="AC9" s="133"/>
      <c r="AD9" s="125"/>
    </row>
    <row r="10" spans="1:30">
      <c r="A10" s="145" t="str">
        <f>Tr("FINANCE_RATE")</f>
        <v>Finance rate</v>
      </c>
      <c r="B10" s="147">
        <v>0.06</v>
      </c>
      <c r="W10" s="125"/>
      <c r="X10" s="132"/>
      <c r="Y10" s="134"/>
      <c r="Z10" s="133"/>
      <c r="AA10" s="133"/>
      <c r="AB10" s="133"/>
      <c r="AC10" s="133"/>
      <c r="AD10" s="125"/>
    </row>
    <row r="11" spans="1:30">
      <c r="A11" s="145" t="str">
        <f>Tr("REINVEST_RATE")</f>
        <v>Reinvestment rate</v>
      </c>
      <c r="B11" s="148">
        <v>0.06</v>
      </c>
      <c r="W11" s="125"/>
      <c r="X11" s="132"/>
      <c r="Y11" s="134"/>
      <c r="Z11" s="133"/>
      <c r="AA11" s="133"/>
      <c r="AB11" s="133"/>
      <c r="AC11" s="133"/>
      <c r="AD11" s="125"/>
    </row>
    <row r="12" spans="1:30">
      <c r="A12" s="145" t="str">
        <f>Tr("INFLATION_RATE_SHORT")</f>
        <v>Inflation Rate</v>
      </c>
      <c r="B12" s="146">
        <f>Model_Financials!B12</f>
        <v>0.02</v>
      </c>
      <c r="W12" s="125"/>
      <c r="X12" s="132"/>
      <c r="Y12" s="134"/>
      <c r="Z12" s="133"/>
      <c r="AA12" s="133"/>
      <c r="AB12" s="133"/>
      <c r="AC12" s="133"/>
      <c r="AD12" s="125"/>
    </row>
    <row r="13" spans="1:30">
      <c r="A13" s="107"/>
      <c r="B13" s="103"/>
      <c r="W13" s="125"/>
      <c r="X13" s="132"/>
      <c r="Y13" s="134"/>
      <c r="Z13" s="133"/>
      <c r="AA13" s="133"/>
      <c r="AB13" s="133"/>
      <c r="AC13" s="133"/>
      <c r="AD13" s="125"/>
    </row>
    <row r="14" spans="1:30" ht="28.2">
      <c r="A14" s="149" t="s">
        <v>15</v>
      </c>
      <c r="B14" s="150" t="str">
        <f>Tr("TODAY_WORD")</f>
        <v>Today</v>
      </c>
      <c r="C14" s="151" t="str">
        <f>IF(LEFT(SelectedLanguage,4)="ESPA","Fin del año 1",IF(LEFT(SelectedLanguage,4)="PORT","Fim do ano 1",IF(LEFT(SelectedLanguage,4)="FRAN","Fin de l’année 1","End of Year 1")))</f>
        <v>End of Year 1</v>
      </c>
      <c r="D14" s="151" t="str">
        <f>IF(LEFT(SelectedLanguage,4)="ESPA","Fin del año 2",IF(LEFT(SelectedLanguage,4)="PORT","Fim do ano 2",IF(LEFT(SelectedLanguage,4)="FRAN","Fin de l’année 2","End of Year 2")))</f>
        <v>End of Year 2</v>
      </c>
      <c r="E14" s="151" t="str">
        <f>IF(LEFT(SelectedLanguage,4)="ESPA","Fin del año 3",IF(LEFT(SelectedLanguage,4)="PORT","Fim do ano 3",IF(LEFT(SelectedLanguage,4)="FRAN","Fin de l’année 3","End of Year 3")))</f>
        <v>End of Year 3</v>
      </c>
      <c r="F14" s="151" t="str">
        <f>IF(LEFT(SelectedLanguage,4)="ESPA","Fin del año 4",IF(LEFT(SelectedLanguage,4)="PORT","Fim do ano 4",IF(LEFT(SelectedLanguage,4)="FRAN","Fin de l’année 4","End of Year 4")))</f>
        <v>End of Year 4</v>
      </c>
      <c r="G14" s="151" t="str">
        <f>IF(LEFT(SelectedLanguage,4)="ESPA","Fin del año 5",IF(LEFT(SelectedLanguage,4)="PORT","Fim do ano 5",IF(LEFT(SelectedLanguage,4)="FRAN","Fin de l’année 5","End of Year 5")))</f>
        <v>End of Year 5</v>
      </c>
      <c r="H14" s="151" t="str">
        <f>IF(LEFT(SelectedLanguage,4)="ESPA","Fin del año 6",IF(LEFT(SelectedLanguage,4)="PORT","Fim do ano 6",IF(LEFT(SelectedLanguage,4)="FRAN","Fin de l’année 6","End of Year 6")))</f>
        <v>End of Year 6</v>
      </c>
      <c r="I14" s="151" t="str">
        <f>IF(LEFT(SelectedLanguage,4)="ESPA","Fin del año 7",IF(LEFT(SelectedLanguage,4)="PORT","Fim do ano 7",IF(LEFT(SelectedLanguage,4)="FRAN","Fin de l’année 7","End of Year 7")))</f>
        <v>End of Year 7</v>
      </c>
      <c r="J14" s="151" t="str">
        <f>IF(LEFT(SelectedLanguage,4)="ESPA","Fin del año 8",IF(LEFT(SelectedLanguage,4)="PORT","Fim do ano 8",IF(LEFT(SelectedLanguage,4)="FRAN","Fin de l’année 8","End of Year 8")))</f>
        <v>End of Year 8</v>
      </c>
      <c r="K14" s="151" t="str">
        <f>IF(LEFT(SelectedLanguage,4)="ESPA","Fin del año 9",IF(LEFT(SelectedLanguage,4)="PORT","Fim do ano 9",IF(LEFT(SelectedLanguage,4)="FRAN","Fin de l’année 9","End of Year 9")))</f>
        <v>End of Year 9</v>
      </c>
      <c r="L14" s="151" t="str">
        <f>IF(LEFT(SelectedLanguage,4)="ESPA","Fin del año 10",IF(LEFT(SelectedLanguage,4)="PORT","Fim do ano 10",IF(LEFT(SelectedLanguage,4)="FRAN","Fin de l’année 10","End of Year 10")))</f>
        <v>End of Year 10</v>
      </c>
      <c r="M14" s="124" t="str">
        <f>IF(LEFT(SelectedLanguage,4)="ESPA","Fin del año 11",IF(LEFT(SelectedLanguage,4)="PORT","Fim do ano 11",IF(LEFT(SelectedLanguage,4)="FRAN","Fin de l’année 11","End of Year 11")))</f>
        <v>End of Year 11</v>
      </c>
      <c r="N14" s="124" t="str">
        <f>IF(LEFT(SelectedLanguage,4)="ESPA","Fin del año 12",IF(LEFT(SelectedLanguage,4)="PORT","Fim do ano 12",IF(LEFT(SelectedLanguage,4)="FRAN","Fin de l’année 12","End of Year 12")))</f>
        <v>End of Year 12</v>
      </c>
      <c r="O14" s="124" t="str">
        <f>IF(LEFT(SelectedLanguage,4)="ESPA","Fin del año 13",IF(LEFT(SelectedLanguage,4)="PORT","Fim do ano 13",IF(LEFT(SelectedLanguage,4)="FRAN","Fin de l’année 13","End of Year 13")))</f>
        <v>End of Year 13</v>
      </c>
      <c r="P14" s="124" t="str">
        <f>IF(LEFT(SelectedLanguage,4)="ESPA","Fin del año 14",IF(LEFT(SelectedLanguage,4)="PORT","Fim do ano 14",IF(LEFT(SelectedLanguage,4)="FRAN","Fin de l’année 14","End of Year 14")))</f>
        <v>End of Year 14</v>
      </c>
      <c r="Q14" s="124" t="str">
        <f>IF(LEFT(SelectedLanguage,4)="ESPA","Fin del año 15",IF(LEFT(SelectedLanguage,4)="PORT","Fim do ano 15",IF(LEFT(SelectedLanguage,4)="FRAN","Fin de l’année 15","End of Year 15")))</f>
        <v>End of Year 15</v>
      </c>
      <c r="R14" s="124" t="str">
        <f>IF(LEFT(SelectedLanguage,4)="ESPA","Fin del año 16",IF(LEFT(SelectedLanguage,4)="PORT","Fim do ano 16",IF(LEFT(SelectedLanguage,4)="FRAN","Fin de l’année 16","End of Year 16")))</f>
        <v>End of Year 16</v>
      </c>
      <c r="S14" s="124" t="str">
        <f>IF(LEFT(SelectedLanguage,4)="ESPA","Fin del año 17",IF(LEFT(SelectedLanguage,4)="PORT","Fim do ano 17",IF(LEFT(SelectedLanguage,4)="FRAN","Fin de l’année 17","End of Year 17")))</f>
        <v>End of Year 17</v>
      </c>
      <c r="T14" s="124" t="str">
        <f>IF(LEFT(SelectedLanguage,4)="ESPA","Fin del año 18",IF(LEFT(SelectedLanguage,4)="PORT","Fim do ano 18",IF(LEFT(SelectedLanguage,4)="FRAN","Fin de l’année 18","End of Year 18")))</f>
        <v>End of Year 18</v>
      </c>
      <c r="U14" s="124" t="str">
        <f>IF(LEFT(SelectedLanguage,4)="ESPA","Fin del año 19",IF(LEFT(SelectedLanguage,4)="PORT","Fim do ano 19",IF(LEFT(SelectedLanguage,4)="FRAN","Fin de l’année 19","End of Year 19")))</f>
        <v>End of Year 19</v>
      </c>
      <c r="V14" s="124" t="str">
        <f>IF(LEFT(SelectedLanguage,4)="ESPA","Fin del año 20",IF(LEFT(SelectedLanguage,4)="PORT","Fim do ano 20",IF(LEFT(SelectedLanguage,4)="FRAN","Fin de l’année 20","End of Year 20")))</f>
        <v>End of Year 20</v>
      </c>
      <c r="W14" s="125"/>
      <c r="X14" s="132"/>
      <c r="Y14" s="134"/>
      <c r="Z14" s="133"/>
      <c r="AA14" s="133"/>
      <c r="AB14" s="133"/>
      <c r="AC14" s="133"/>
      <c r="AD14" s="125"/>
    </row>
    <row r="15" spans="1:30">
      <c r="A15" s="152" t="str">
        <f>Tr("DATE_WORD")</f>
        <v>Date:</v>
      </c>
      <c r="B15" s="22">
        <v>0</v>
      </c>
      <c r="C15" s="22">
        <v>1</v>
      </c>
      <c r="D15" s="22">
        <v>2</v>
      </c>
      <c r="E15" s="22">
        <v>3</v>
      </c>
      <c r="F15" s="22">
        <v>4</v>
      </c>
      <c r="G15" s="22">
        <v>5</v>
      </c>
      <c r="H15" s="22">
        <v>6</v>
      </c>
      <c r="I15" s="22">
        <v>7</v>
      </c>
      <c r="J15" s="22">
        <v>8</v>
      </c>
      <c r="K15" s="22">
        <v>9</v>
      </c>
      <c r="L15" s="22">
        <v>10</v>
      </c>
      <c r="M15" s="123">
        <v>11</v>
      </c>
      <c r="N15" s="123">
        <v>12</v>
      </c>
      <c r="O15" s="123">
        <v>13</v>
      </c>
      <c r="P15" s="123">
        <v>14</v>
      </c>
      <c r="Q15" s="123">
        <v>15</v>
      </c>
      <c r="R15" s="123">
        <v>16</v>
      </c>
      <c r="S15" s="123">
        <v>17</v>
      </c>
      <c r="T15" s="123">
        <v>18</v>
      </c>
      <c r="U15" s="123">
        <v>19</v>
      </c>
      <c r="V15" s="123">
        <v>20</v>
      </c>
      <c r="W15" s="125"/>
      <c r="X15" s="132"/>
      <c r="Y15" s="134"/>
      <c r="Z15" s="133"/>
      <c r="AA15" s="133"/>
      <c r="AB15" s="133"/>
      <c r="AC15" s="133"/>
      <c r="AD15" s="125"/>
    </row>
    <row r="16" spans="1:30">
      <c r="A16" s="145"/>
      <c r="B16" s="98"/>
      <c r="C16" s="98"/>
      <c r="D16" s="98"/>
      <c r="E16" s="98"/>
      <c r="F16" s="98"/>
      <c r="G16" s="98"/>
      <c r="H16" s="98"/>
      <c r="I16" s="98"/>
      <c r="J16" s="98"/>
      <c r="K16" s="98"/>
      <c r="L16" s="98"/>
      <c r="M16" s="125"/>
      <c r="N16" s="125"/>
      <c r="O16" s="125"/>
      <c r="P16" s="125"/>
      <c r="Q16" s="125"/>
      <c r="R16" s="125"/>
      <c r="S16" s="125"/>
      <c r="T16" s="125"/>
      <c r="U16" s="125"/>
      <c r="V16" s="125"/>
      <c r="W16" s="125"/>
      <c r="X16" s="132"/>
      <c r="Y16" s="134"/>
      <c r="Z16" s="133"/>
      <c r="AA16" s="133"/>
      <c r="AB16" s="133"/>
      <c r="AC16" s="133"/>
      <c r="AD16" s="125"/>
    </row>
    <row r="17" spans="1:30">
      <c r="A17" s="106"/>
      <c r="B17" s="12"/>
      <c r="C17" s="12"/>
      <c r="D17" s="12"/>
      <c r="E17" s="12"/>
      <c r="F17" s="12"/>
      <c r="G17" s="12"/>
      <c r="H17" s="12"/>
      <c r="I17" s="12"/>
      <c r="J17" s="12"/>
      <c r="K17" s="12"/>
      <c r="L17" s="12"/>
      <c r="M17" s="125"/>
      <c r="N17" s="125"/>
      <c r="O17" s="125"/>
      <c r="P17" s="125"/>
      <c r="Q17" s="125"/>
      <c r="R17" s="125"/>
      <c r="S17" s="125"/>
      <c r="T17" s="125"/>
      <c r="U17" s="125"/>
      <c r="V17" s="125"/>
      <c r="W17" s="125"/>
      <c r="X17" s="132"/>
      <c r="Y17" s="134"/>
      <c r="Z17" s="133"/>
      <c r="AA17" s="133"/>
      <c r="AB17" s="133"/>
      <c r="AC17" s="133"/>
      <c r="AD17" s="125"/>
    </row>
    <row r="18" spans="1:30">
      <c r="A18" s="145" t="str">
        <f>Tr("SINGLE_INVESTMENT")</f>
        <v>Single Investment</v>
      </c>
      <c r="B18" s="153">
        <f>Model_Financials!B18</f>
        <v>-170000</v>
      </c>
      <c r="C18" s="154">
        <v>0</v>
      </c>
      <c r="D18" s="154">
        <v>0</v>
      </c>
      <c r="E18" s="154">
        <v>0</v>
      </c>
      <c r="F18" s="154">
        <v>0</v>
      </c>
      <c r="G18" s="154">
        <v>0</v>
      </c>
      <c r="H18" s="154">
        <v>0</v>
      </c>
      <c r="I18" s="154">
        <v>0</v>
      </c>
      <c r="J18" s="154">
        <v>0</v>
      </c>
      <c r="K18" s="154">
        <v>0</v>
      </c>
      <c r="L18" s="155">
        <v>0</v>
      </c>
      <c r="M18" s="126">
        <f>Model_Financials!M18</f>
        <v>0</v>
      </c>
      <c r="N18" s="126">
        <f>Model_Financials!N18</f>
        <v>0</v>
      </c>
      <c r="O18" s="126">
        <f>Model_Financials!O18</f>
        <v>0</v>
      </c>
      <c r="P18" s="126">
        <f>Model_Financials!P18</f>
        <v>0</v>
      </c>
      <c r="Q18" s="126">
        <f>Model_Financials!Q18</f>
        <v>0</v>
      </c>
      <c r="R18" s="126">
        <f>Model_Financials!R18</f>
        <v>0</v>
      </c>
      <c r="S18" s="126">
        <f>Model_Financials!S18</f>
        <v>0</v>
      </c>
      <c r="T18" s="126">
        <f>Model_Financials!T18</f>
        <v>0</v>
      </c>
      <c r="U18" s="126">
        <f>Model_Financials!U18</f>
        <v>0</v>
      </c>
      <c r="V18" s="126">
        <f>Model_Financials!V18</f>
        <v>0</v>
      </c>
      <c r="W18" s="125"/>
      <c r="X18" s="132"/>
      <c r="Y18" s="134"/>
      <c r="Z18" s="133"/>
      <c r="AA18" s="133"/>
      <c r="AB18" s="133"/>
      <c r="AC18" s="133"/>
      <c r="AD18" s="125"/>
    </row>
    <row r="19" spans="1:30">
      <c r="A19" s="156" t="str">
        <f>Tr("PHASED_INVESTMENT")</f>
        <v>Phased Investment</v>
      </c>
      <c r="B19" s="157">
        <v>0</v>
      </c>
      <c r="C19" s="158">
        <v>0</v>
      </c>
      <c r="D19" s="158">
        <v>0</v>
      </c>
      <c r="E19" s="158">
        <v>0</v>
      </c>
      <c r="F19" s="158">
        <v>0</v>
      </c>
      <c r="G19" s="158">
        <v>0</v>
      </c>
      <c r="H19" s="158">
        <v>0</v>
      </c>
      <c r="I19" s="158">
        <v>0</v>
      </c>
      <c r="J19" s="158">
        <v>0</v>
      </c>
      <c r="K19" s="158">
        <v>0</v>
      </c>
      <c r="L19" s="159">
        <v>0</v>
      </c>
      <c r="M19" s="126">
        <f>Model_Financials!M19</f>
        <v>0</v>
      </c>
      <c r="N19" s="126">
        <f>Model_Financials!N19</f>
        <v>0</v>
      </c>
      <c r="O19" s="126">
        <f>Model_Financials!O19</f>
        <v>0</v>
      </c>
      <c r="P19" s="126">
        <f>Model_Financials!P19</f>
        <v>0</v>
      </c>
      <c r="Q19" s="126">
        <f>Model_Financials!Q19</f>
        <v>0</v>
      </c>
      <c r="R19" s="126">
        <f>Model_Financials!R19</f>
        <v>0</v>
      </c>
      <c r="S19" s="126">
        <f>Model_Financials!S19</f>
        <v>0</v>
      </c>
      <c r="T19" s="126">
        <f>Model_Financials!T19</f>
        <v>0</v>
      </c>
      <c r="U19" s="126">
        <f>Model_Financials!U19</f>
        <v>0</v>
      </c>
      <c r="V19" s="126">
        <f>Model_Financials!V19</f>
        <v>0</v>
      </c>
      <c r="W19" s="125"/>
      <c r="X19" s="132"/>
      <c r="Y19" s="134"/>
      <c r="Z19" s="133"/>
      <c r="AA19" s="133"/>
      <c r="AB19" s="133"/>
      <c r="AC19" s="133"/>
      <c r="AD19" s="125"/>
    </row>
    <row r="20" spans="1:30">
      <c r="A20" s="145" t="str">
        <f>Tr("FINANCED_INVESTMENT")</f>
        <v>Financed Investment</v>
      </c>
      <c r="B20" s="160">
        <v>0</v>
      </c>
      <c r="C20" s="161">
        <v>0</v>
      </c>
      <c r="D20" s="161">
        <v>0</v>
      </c>
      <c r="E20" s="161">
        <v>0</v>
      </c>
      <c r="F20" s="161">
        <v>0</v>
      </c>
      <c r="G20" s="161">
        <v>0</v>
      </c>
      <c r="H20" s="161">
        <v>0</v>
      </c>
      <c r="I20" s="161">
        <v>0</v>
      </c>
      <c r="J20" s="161">
        <v>0</v>
      </c>
      <c r="K20" s="161">
        <v>0</v>
      </c>
      <c r="L20" s="162">
        <v>0</v>
      </c>
      <c r="M20" s="126">
        <f>Model_Financials!M20</f>
        <v>0</v>
      </c>
      <c r="N20" s="126">
        <f>Model_Financials!N20</f>
        <v>0</v>
      </c>
      <c r="O20" s="126">
        <f>Model_Financials!O20</f>
        <v>0</v>
      </c>
      <c r="P20" s="126">
        <f>Model_Financials!P20</f>
        <v>0</v>
      </c>
      <c r="Q20" s="126">
        <f>Model_Financials!Q20</f>
        <v>0</v>
      </c>
      <c r="R20" s="126">
        <f>Model_Financials!R20</f>
        <v>0</v>
      </c>
      <c r="S20" s="126">
        <f>Model_Financials!S20</f>
        <v>0</v>
      </c>
      <c r="T20" s="126">
        <f>Model_Financials!T20</f>
        <v>0</v>
      </c>
      <c r="U20" s="126">
        <f>Model_Financials!U20</f>
        <v>0</v>
      </c>
      <c r="V20" s="126">
        <f>Model_Financials!V20</f>
        <v>0</v>
      </c>
      <c r="W20" s="125"/>
      <c r="X20" s="132"/>
      <c r="Y20" s="134"/>
      <c r="Z20" s="133"/>
      <c r="AA20" s="133"/>
      <c r="AB20" s="133"/>
      <c r="AC20" s="133"/>
      <c r="AD20" s="125"/>
    </row>
    <row r="21" spans="1:30">
      <c r="A21" s="163" t="str">
        <f>Tr("SUBTOTAL_WORD")</f>
        <v>Subtotal</v>
      </c>
      <c r="B21" s="164">
        <f>Model_Financials!B21</f>
        <v>-170000</v>
      </c>
      <c r="C21" s="165">
        <f>Model_Financials!C21</f>
        <v>0</v>
      </c>
      <c r="D21" s="166">
        <f>Model_Financials!D21</f>
        <v>0</v>
      </c>
      <c r="E21" s="165">
        <f>Model_Financials!E21</f>
        <v>0</v>
      </c>
      <c r="F21" s="165">
        <f>Model_Financials!F21</f>
        <v>0</v>
      </c>
      <c r="G21" s="165">
        <f>Model_Financials!G21</f>
        <v>0</v>
      </c>
      <c r="H21" s="167">
        <f>Model_Financials!H21</f>
        <v>0</v>
      </c>
      <c r="I21" s="167">
        <f>Model_Financials!I21</f>
        <v>0</v>
      </c>
      <c r="J21" s="166">
        <f>Model_Financials!J21</f>
        <v>0</v>
      </c>
      <c r="K21" s="165">
        <f>Model_Financials!K21</f>
        <v>0</v>
      </c>
      <c r="L21" s="168">
        <f>Model_Financials!L21</f>
        <v>0</v>
      </c>
      <c r="M21" s="127">
        <f>Model_Financials!M21</f>
        <v>0</v>
      </c>
      <c r="N21" s="127">
        <f>Model_Financials!N21</f>
        <v>0</v>
      </c>
      <c r="O21" s="127">
        <f>Model_Financials!O21</f>
        <v>0</v>
      </c>
      <c r="P21" s="127">
        <f>Model_Financials!P21</f>
        <v>0</v>
      </c>
      <c r="Q21" s="127">
        <f>Model_Financials!Q21</f>
        <v>0</v>
      </c>
      <c r="R21" s="127">
        <f>Model_Financials!R21</f>
        <v>0</v>
      </c>
      <c r="S21" s="127">
        <f>Model_Financials!S21</f>
        <v>0</v>
      </c>
      <c r="T21" s="127">
        <f>Model_Financials!T21</f>
        <v>0</v>
      </c>
      <c r="U21" s="127">
        <f>Model_Financials!U21</f>
        <v>0</v>
      </c>
      <c r="V21" s="127">
        <f>Model_Financials!V21</f>
        <v>0</v>
      </c>
      <c r="W21" s="125"/>
      <c r="X21" s="132"/>
      <c r="Y21" s="134"/>
      <c r="Z21" s="133"/>
      <c r="AA21" s="133"/>
      <c r="AB21" s="133"/>
      <c r="AC21" s="133"/>
      <c r="AD21" s="125"/>
    </row>
    <row r="22" spans="1:30" ht="15" thickBot="1">
      <c r="A22" s="169" t="str">
        <f>Tr("REBATE_AT_START")</f>
        <v>Rebate Rec'd at Project Start</v>
      </c>
      <c r="B22" s="160">
        <v>0</v>
      </c>
      <c r="C22" s="170"/>
      <c r="D22" s="171"/>
      <c r="E22" s="171"/>
      <c r="F22" s="171"/>
      <c r="G22" s="171"/>
      <c r="H22" s="171"/>
      <c r="I22" s="172"/>
      <c r="J22" s="172"/>
      <c r="K22" s="172"/>
      <c r="L22" s="172"/>
      <c r="M22" s="128"/>
      <c r="N22" s="128"/>
      <c r="O22" s="128"/>
      <c r="P22" s="128"/>
      <c r="Q22" s="128"/>
      <c r="R22" s="128"/>
      <c r="S22" s="128"/>
      <c r="T22" s="128"/>
      <c r="U22" s="128"/>
      <c r="V22" s="128"/>
      <c r="W22" s="125"/>
      <c r="X22" s="132"/>
      <c r="Y22" s="134"/>
      <c r="Z22" s="133"/>
      <c r="AA22" s="133"/>
      <c r="AB22" s="133"/>
      <c r="AC22" s="133"/>
      <c r="AD22" s="125"/>
    </row>
    <row r="23" spans="1:30" ht="15" thickTop="1">
      <c r="A23" s="173" t="str">
        <f>Tr("SUBTOTAL_OUTFLOWS")</f>
        <v>Subtotal Outflows</v>
      </c>
      <c r="B23" s="174">
        <f>Model_Financials!B23</f>
        <v>-170000</v>
      </c>
      <c r="C23" s="175">
        <f>Model_Financials!C23</f>
        <v>0</v>
      </c>
      <c r="D23" s="176">
        <f>Model_Financials!D23</f>
        <v>0</v>
      </c>
      <c r="E23" s="176">
        <f>Model_Financials!E23</f>
        <v>0</v>
      </c>
      <c r="F23" s="174">
        <f>Model_Financials!F23</f>
        <v>0</v>
      </c>
      <c r="G23" s="176">
        <f>Model_Financials!G23</f>
        <v>0</v>
      </c>
      <c r="H23" s="176">
        <f>Model_Financials!H23</f>
        <v>0</v>
      </c>
      <c r="I23" s="174">
        <f>Model_Financials!I23</f>
        <v>0</v>
      </c>
      <c r="J23" s="175">
        <f>Model_Financials!J23</f>
        <v>0</v>
      </c>
      <c r="K23" s="175">
        <f>Model_Financials!K23</f>
        <v>0</v>
      </c>
      <c r="L23" s="175">
        <f>Model_Financials!L23</f>
        <v>0</v>
      </c>
      <c r="M23" s="127">
        <f>Model_Financials!M23</f>
        <v>0</v>
      </c>
      <c r="N23" s="127">
        <f>Model_Financials!N23</f>
        <v>0</v>
      </c>
      <c r="O23" s="127">
        <f>Model_Financials!O23</f>
        <v>0</v>
      </c>
      <c r="P23" s="127">
        <f>Model_Financials!P23</f>
        <v>0</v>
      </c>
      <c r="Q23" s="127">
        <f>Model_Financials!Q23</f>
        <v>0</v>
      </c>
      <c r="R23" s="127">
        <f>Model_Financials!R23</f>
        <v>0</v>
      </c>
      <c r="S23" s="127">
        <f>Model_Financials!S23</f>
        <v>0</v>
      </c>
      <c r="T23" s="127">
        <f>Model_Financials!T23</f>
        <v>0</v>
      </c>
      <c r="U23" s="127">
        <f>Model_Financials!U23</f>
        <v>0</v>
      </c>
      <c r="V23" s="127">
        <f>Model_Financials!V23</f>
        <v>0</v>
      </c>
      <c r="W23" s="125"/>
      <c r="X23" s="132"/>
      <c r="Y23" s="134"/>
      <c r="Z23" s="133"/>
      <c r="AA23" s="133"/>
      <c r="AB23" s="133"/>
      <c r="AC23" s="133"/>
      <c r="AD23" s="125"/>
    </row>
    <row r="24" spans="1:30">
      <c r="A24" s="177"/>
      <c r="B24" s="99"/>
      <c r="C24" s="99"/>
      <c r="D24" s="99"/>
      <c r="E24" s="99"/>
      <c r="F24" s="99"/>
      <c r="G24" s="99"/>
      <c r="H24" s="99"/>
      <c r="I24" s="99"/>
      <c r="J24" s="99"/>
      <c r="K24" s="99"/>
      <c r="L24" s="99"/>
      <c r="M24" s="125"/>
      <c r="N24" s="125"/>
      <c r="O24" s="125"/>
      <c r="P24" s="125"/>
      <c r="Q24" s="125"/>
      <c r="R24" s="125"/>
      <c r="S24" s="125"/>
      <c r="T24" s="125"/>
      <c r="U24" s="125"/>
      <c r="V24" s="125"/>
      <c r="W24" s="125"/>
      <c r="X24" s="132"/>
      <c r="Y24" s="134"/>
      <c r="Z24" s="133"/>
      <c r="AA24" s="133"/>
      <c r="AB24" s="133"/>
      <c r="AC24" s="133"/>
      <c r="AD24" s="125"/>
    </row>
    <row r="25" spans="1:30">
      <c r="A25" s="178"/>
      <c r="B25" s="12"/>
      <c r="C25" s="12"/>
      <c r="D25" s="12"/>
      <c r="E25" s="12"/>
      <c r="F25" s="12"/>
      <c r="G25" s="12"/>
      <c r="H25" s="12"/>
      <c r="I25" s="12"/>
      <c r="J25" s="12"/>
      <c r="K25" s="12"/>
      <c r="L25" s="12"/>
      <c r="M25" s="125"/>
      <c r="N25" s="125"/>
      <c r="O25" s="125"/>
      <c r="P25" s="125"/>
      <c r="Q25" s="125"/>
      <c r="R25" s="125"/>
      <c r="S25" s="125"/>
      <c r="T25" s="125"/>
      <c r="U25" s="125"/>
      <c r="V25" s="125"/>
      <c r="W25" s="125"/>
      <c r="X25" s="132"/>
      <c r="Y25" s="134"/>
      <c r="Z25" s="133"/>
      <c r="AA25" s="133"/>
      <c r="AB25" s="133"/>
      <c r="AC25" s="133"/>
      <c r="AD25" s="125"/>
    </row>
    <row r="26" spans="1:30">
      <c r="A26" s="179" t="str">
        <f>Tr("ENERGY_SAVINGS")</f>
        <v>Energy savings</v>
      </c>
      <c r="B26" s="180"/>
      <c r="C26" s="181">
        <f>Model_Financials!C26</f>
        <v>89356.726271413645</v>
      </c>
      <c r="D26" s="182">
        <f>Model_Financials!D26</f>
        <v>91143.860796841924</v>
      </c>
      <c r="E26" s="183">
        <f>Model_Financials!E26</f>
        <v>92966.738012778762</v>
      </c>
      <c r="F26" s="183">
        <f>Model_Financials!F26</f>
        <v>94826.072773034335</v>
      </c>
      <c r="G26" s="183">
        <f>Model_Financials!G26</f>
        <v>96722.594228495029</v>
      </c>
      <c r="H26" s="183">
        <f>Model_Financials!H26</f>
        <v>98657.046113064935</v>
      </c>
      <c r="I26" s="183">
        <f>Model_Financials!I26</f>
        <v>100630.18703532623</v>
      </c>
      <c r="J26" s="183">
        <f>Model_Financials!J26</f>
        <v>102642.79077603277</v>
      </c>
      <c r="K26" s="183">
        <f>Model_Financials!K26</f>
        <v>104695.64659155342</v>
      </c>
      <c r="L26" s="184">
        <f>Model_Financials!L26</f>
        <v>106789.55952338449</v>
      </c>
      <c r="M26" s="128">
        <f>Model_Financials!M26</f>
        <v>108925.35071385218</v>
      </c>
      <c r="N26" s="128">
        <f>Model_Financials!N26</f>
        <v>111103.85772812922</v>
      </c>
      <c r="O26" s="128">
        <f>Model_Financials!O26</f>
        <v>113325.93488269181</v>
      </c>
      <c r="P26" s="128">
        <f>Model_Financials!P26</f>
        <v>115592.45358034565</v>
      </c>
      <c r="Q26" s="128">
        <f>Model_Financials!Q26</f>
        <v>117904.30265195257</v>
      </c>
      <c r="R26" s="128">
        <f>Model_Financials!R26</f>
        <v>120262.38870499162</v>
      </c>
      <c r="S26" s="128">
        <f>Model_Financials!S26</f>
        <v>122667.63647909145</v>
      </c>
      <c r="T26" s="128">
        <f>Model_Financials!T26</f>
        <v>125120.98920867329</v>
      </c>
      <c r="U26" s="128">
        <f>Model_Financials!U26</f>
        <v>127623.40899284676</v>
      </c>
      <c r="V26" s="128">
        <f>Model_Financials!V26</f>
        <v>130175.87717270369</v>
      </c>
      <c r="W26" s="125"/>
      <c r="X26" s="132"/>
      <c r="Y26" s="134"/>
      <c r="Z26" s="133"/>
      <c r="AA26" s="133"/>
      <c r="AB26" s="133"/>
      <c r="AC26" s="133"/>
      <c r="AD26" s="125"/>
    </row>
    <row r="27" spans="1:30">
      <c r="A27" s="169" t="str">
        <f>Tr("MAINT_PENALTY_SAVINGS")</f>
        <v>Maintenance/Penalty Savings</v>
      </c>
      <c r="B27" s="180"/>
      <c r="C27" s="158">
        <v>0</v>
      </c>
      <c r="D27" s="185">
        <f>Model_Financials!D27</f>
        <v>0</v>
      </c>
      <c r="E27" s="186">
        <f>Model_Financials!E27</f>
        <v>0</v>
      </c>
      <c r="F27" s="186">
        <f>Model_Financials!F27</f>
        <v>0</v>
      </c>
      <c r="G27" s="186">
        <f>Model_Financials!G27</f>
        <v>0</v>
      </c>
      <c r="H27" s="186">
        <f>Model_Financials!H27</f>
        <v>0</v>
      </c>
      <c r="I27" s="186">
        <f>Model_Financials!I27</f>
        <v>0</v>
      </c>
      <c r="J27" s="186">
        <f>Model_Financials!J27</f>
        <v>0</v>
      </c>
      <c r="K27" s="187">
        <f>Model_Financials!K27</f>
        <v>0</v>
      </c>
      <c r="L27" s="188">
        <f>Model_Financials!L27</f>
        <v>0</v>
      </c>
      <c r="M27" s="128">
        <f>Model_Financials!M27</f>
        <v>0</v>
      </c>
      <c r="N27" s="128">
        <f>Model_Financials!N27</f>
        <v>0</v>
      </c>
      <c r="O27" s="128">
        <f>Model_Financials!O27</f>
        <v>0</v>
      </c>
      <c r="P27" s="128">
        <f>Model_Financials!P27</f>
        <v>0</v>
      </c>
      <c r="Q27" s="128">
        <f>Model_Financials!Q27</f>
        <v>0</v>
      </c>
      <c r="R27" s="128">
        <f>Model_Financials!R27</f>
        <v>0</v>
      </c>
      <c r="S27" s="128">
        <f>Model_Financials!S27</f>
        <v>0</v>
      </c>
      <c r="T27" s="128">
        <f>Model_Financials!T27</f>
        <v>0</v>
      </c>
      <c r="U27" s="128">
        <f>Model_Financials!U27</f>
        <v>0</v>
      </c>
      <c r="V27" s="128">
        <f>Model_Financials!V27</f>
        <v>0</v>
      </c>
      <c r="W27" s="125"/>
      <c r="X27" s="132"/>
      <c r="Y27" s="134"/>
      <c r="Z27" s="133"/>
      <c r="AA27" s="133"/>
      <c r="AB27" s="133"/>
      <c r="AC27" s="133"/>
      <c r="AD27" s="125"/>
    </row>
    <row r="28" spans="1:30" s="104" customFormat="1" ht="26.4" customHeight="1">
      <c r="A28" s="179" t="str">
        <f>Tr("REBATE_AFTER_START")</f>
        <v>Rebates Rec'd after Project Start</v>
      </c>
      <c r="B28" s="180"/>
      <c r="C28" s="158">
        <v>0</v>
      </c>
      <c r="D28" s="158">
        <v>0</v>
      </c>
      <c r="E28" s="158">
        <v>0</v>
      </c>
      <c r="F28" s="158">
        <v>0</v>
      </c>
      <c r="G28" s="158">
        <v>0</v>
      </c>
      <c r="H28" s="158">
        <v>0</v>
      </c>
      <c r="I28" s="158">
        <v>0</v>
      </c>
      <c r="J28" s="158">
        <v>0</v>
      </c>
      <c r="K28" s="158">
        <v>0</v>
      </c>
      <c r="L28" s="159">
        <v>0</v>
      </c>
      <c r="M28" s="126">
        <v>0</v>
      </c>
      <c r="N28" s="126">
        <v>0</v>
      </c>
      <c r="O28" s="126">
        <v>0</v>
      </c>
      <c r="P28" s="126">
        <v>0</v>
      </c>
      <c r="Q28" s="126">
        <v>0</v>
      </c>
      <c r="R28" s="126">
        <v>0</v>
      </c>
      <c r="S28" s="126">
        <v>0</v>
      </c>
      <c r="T28" s="126">
        <v>0</v>
      </c>
      <c r="U28" s="126">
        <v>0</v>
      </c>
      <c r="V28" s="126">
        <v>0</v>
      </c>
      <c r="W28" s="136"/>
      <c r="X28" s="137"/>
      <c r="Y28" s="138"/>
      <c r="Z28" s="139"/>
      <c r="AA28" s="139"/>
      <c r="AB28" s="139"/>
      <c r="AC28" s="139"/>
      <c r="AD28" s="136"/>
    </row>
    <row r="29" spans="1:30">
      <c r="A29" s="189" t="str">
        <f>Tr("SUBTOTAL_INFLOWS")</f>
        <v>Subtotal Inflows</v>
      </c>
      <c r="B29" s="180"/>
      <c r="C29" s="190">
        <f>Model_Financials!C29</f>
        <v>89356.726271413645</v>
      </c>
      <c r="D29" s="190">
        <f>Model_Financials!D29</f>
        <v>91143.860796841924</v>
      </c>
      <c r="E29" s="190">
        <f>Model_Financials!E29</f>
        <v>92966.738012778762</v>
      </c>
      <c r="F29" s="190">
        <f>Model_Financials!F29</f>
        <v>94826.072773034335</v>
      </c>
      <c r="G29" s="190">
        <f>Model_Financials!G29</f>
        <v>96722.594228495029</v>
      </c>
      <c r="H29" s="190">
        <f>Model_Financials!H29</f>
        <v>98657.046113064935</v>
      </c>
      <c r="I29" s="190">
        <f>Model_Financials!I29</f>
        <v>100630.18703532623</v>
      </c>
      <c r="J29" s="190">
        <f>Model_Financials!J29</f>
        <v>102642.79077603277</v>
      </c>
      <c r="K29" s="190">
        <f>Model_Financials!K29</f>
        <v>104695.64659155342</v>
      </c>
      <c r="L29" s="191">
        <f>Model_Financials!L29</f>
        <v>106789.55952338449</v>
      </c>
      <c r="M29" s="128">
        <f>Model_Financials!M29</f>
        <v>108925.35071385218</v>
      </c>
      <c r="N29" s="128">
        <f>Model_Financials!N29</f>
        <v>111103.85772812922</v>
      </c>
      <c r="O29" s="128">
        <f>Model_Financials!O29</f>
        <v>113325.93488269181</v>
      </c>
      <c r="P29" s="128">
        <f>Model_Financials!P29</f>
        <v>115592.45358034565</v>
      </c>
      <c r="Q29" s="128">
        <f>Model_Financials!Q29</f>
        <v>117904.30265195257</v>
      </c>
      <c r="R29" s="128">
        <f>Model_Financials!R29</f>
        <v>120262.38870499162</v>
      </c>
      <c r="S29" s="128">
        <f>Model_Financials!S29</f>
        <v>122667.63647909145</v>
      </c>
      <c r="T29" s="128">
        <f>Model_Financials!T29</f>
        <v>125120.98920867329</v>
      </c>
      <c r="U29" s="128">
        <f>Model_Financials!U29</f>
        <v>127623.40899284676</v>
      </c>
      <c r="V29" s="128">
        <f>Model_Financials!V29</f>
        <v>130175.87717270369</v>
      </c>
      <c r="W29" s="125"/>
      <c r="X29" s="132"/>
      <c r="Y29" s="134"/>
      <c r="Z29" s="133"/>
      <c r="AA29" s="133"/>
      <c r="AB29" s="133"/>
      <c r="AC29" s="133"/>
      <c r="AD29" s="125"/>
    </row>
    <row r="30" spans="1:30">
      <c r="A30" s="178"/>
      <c r="B30" s="192"/>
      <c r="C30" s="192"/>
      <c r="D30" s="192"/>
      <c r="E30" s="192"/>
      <c r="F30" s="192"/>
      <c r="G30" s="192"/>
      <c r="H30" s="192"/>
      <c r="I30" s="192"/>
      <c r="J30" s="192"/>
      <c r="K30" s="192"/>
      <c r="L30" s="192"/>
      <c r="M30" s="122"/>
      <c r="N30" s="122"/>
      <c r="O30" s="122"/>
      <c r="P30" s="122"/>
      <c r="Q30" s="122"/>
      <c r="R30" s="122"/>
      <c r="S30" s="122"/>
      <c r="T30" s="122"/>
      <c r="U30" s="122"/>
      <c r="V30" s="122"/>
      <c r="W30" s="125"/>
      <c r="X30" s="132"/>
      <c r="Y30" s="134"/>
      <c r="Z30" s="133"/>
      <c r="AA30" s="133"/>
      <c r="AB30" s="133"/>
      <c r="AC30" s="133"/>
      <c r="AD30" s="125"/>
    </row>
    <row r="31" spans="1:30">
      <c r="A31" s="193" t="str">
        <f>Tr("ANNUAL_CASH_FLOW")</f>
        <v>Annual cash flow</v>
      </c>
      <c r="B31" s="184">
        <f>Model_Financials!B31</f>
        <v>-170000</v>
      </c>
      <c r="C31" s="194">
        <f>Model_Financials!C31</f>
        <v>89356.726271413645</v>
      </c>
      <c r="D31" s="182">
        <f>Model_Financials!D31</f>
        <v>91143.860796841924</v>
      </c>
      <c r="E31" s="184">
        <f>Model_Financials!E31</f>
        <v>92966.738012778762</v>
      </c>
      <c r="F31" s="182">
        <f>Model_Financials!F31</f>
        <v>94826.072773034335</v>
      </c>
      <c r="G31" s="184">
        <f>Model_Financials!G31</f>
        <v>96722.594228495029</v>
      </c>
      <c r="H31" s="182">
        <f>Model_Financials!H31</f>
        <v>98657.046113064935</v>
      </c>
      <c r="I31" s="182">
        <f>Model_Financials!I31</f>
        <v>100630.18703532623</v>
      </c>
      <c r="J31" s="184">
        <f>Model_Financials!J31</f>
        <v>102642.79077603277</v>
      </c>
      <c r="K31" s="182">
        <f>Model_Financials!K31</f>
        <v>104695.64659155342</v>
      </c>
      <c r="L31" s="184">
        <f>Model_Financials!L31</f>
        <v>106789.55952338449</v>
      </c>
      <c r="M31" s="128">
        <f>Model_Financials!M31</f>
        <v>108925.35071385218</v>
      </c>
      <c r="N31" s="128">
        <f>Model_Financials!N31</f>
        <v>111103.85772812922</v>
      </c>
      <c r="O31" s="128">
        <f>Model_Financials!O31</f>
        <v>113325.93488269181</v>
      </c>
      <c r="P31" s="128">
        <f>Model_Financials!P31</f>
        <v>115592.45358034565</v>
      </c>
      <c r="Q31" s="128">
        <f>Model_Financials!Q31</f>
        <v>117904.30265195257</v>
      </c>
      <c r="R31" s="128">
        <f>Model_Financials!R31</f>
        <v>120262.38870499162</v>
      </c>
      <c r="S31" s="128">
        <f>Model_Financials!S31</f>
        <v>122667.63647909145</v>
      </c>
      <c r="T31" s="128">
        <f>Model_Financials!T31</f>
        <v>125120.98920867329</v>
      </c>
      <c r="U31" s="128">
        <f>Model_Financials!U31</f>
        <v>127623.40899284676</v>
      </c>
      <c r="V31" s="128">
        <f>Model_Financials!V31</f>
        <v>130175.87717270369</v>
      </c>
      <c r="W31" s="125"/>
      <c r="X31" s="132"/>
      <c r="Y31" s="134"/>
      <c r="Z31" s="133"/>
      <c r="AA31" s="133"/>
      <c r="AB31" s="133"/>
      <c r="AC31" s="133"/>
      <c r="AD31" s="125"/>
    </row>
    <row r="32" spans="1:30">
      <c r="A32" s="193"/>
      <c r="B32" s="195"/>
      <c r="C32" s="195"/>
      <c r="D32" s="195"/>
      <c r="E32" s="195"/>
      <c r="F32" s="195"/>
      <c r="G32" s="195"/>
      <c r="H32" s="195"/>
      <c r="I32" s="195"/>
      <c r="J32" s="195"/>
      <c r="K32" s="195"/>
      <c r="L32" s="195"/>
      <c r="M32" s="102"/>
      <c r="N32" s="102"/>
      <c r="O32" s="102"/>
      <c r="P32" s="102"/>
      <c r="Q32" s="102"/>
      <c r="R32" s="102"/>
      <c r="S32" s="102"/>
      <c r="T32" s="102"/>
      <c r="U32" s="102"/>
      <c r="V32" s="102"/>
      <c r="W32" s="125"/>
      <c r="X32" s="133"/>
      <c r="Y32" s="133"/>
      <c r="Z32" s="133"/>
      <c r="AA32" s="133"/>
      <c r="AB32" s="133"/>
      <c r="AC32" s="133"/>
      <c r="AD32" s="125"/>
    </row>
    <row r="33" spans="1:22">
      <c r="A33" s="353" t="str">
        <f>Tr("PV_OUTFLOWS_SIR")&amp;"      "</f>
        <v xml:space="preserve">PV of Outflows (for SIR)      </v>
      </c>
      <c r="B33" s="196">
        <f>Model_Financials!B33</f>
        <v>-170000</v>
      </c>
      <c r="C33" s="197">
        <f>Model_Financials!C33</f>
        <v>0</v>
      </c>
      <c r="D33" s="197">
        <f>Model_Financials!D33</f>
        <v>0</v>
      </c>
      <c r="E33" s="198">
        <f>Model_Financials!E33</f>
        <v>0</v>
      </c>
      <c r="F33" s="197">
        <f>Model_Financials!F33</f>
        <v>0</v>
      </c>
      <c r="G33" s="197">
        <f>Model_Financials!G33</f>
        <v>0</v>
      </c>
      <c r="H33" s="197">
        <f>Model_Financials!H33</f>
        <v>0</v>
      </c>
      <c r="I33" s="197">
        <f>Model_Financials!I33</f>
        <v>0</v>
      </c>
      <c r="J33" s="197">
        <f>Model_Financials!J33</f>
        <v>0</v>
      </c>
      <c r="K33" s="197">
        <f>Model_Financials!K33</f>
        <v>0</v>
      </c>
      <c r="L33" s="197">
        <f>Model_Financials!L33</f>
        <v>0</v>
      </c>
      <c r="M33" s="127">
        <f>Model_Financials!M33</f>
        <v>0</v>
      </c>
      <c r="N33" s="127">
        <f>Model_Financials!N33</f>
        <v>0</v>
      </c>
      <c r="O33" s="127">
        <f>Model_Financials!O33</f>
        <v>0</v>
      </c>
      <c r="P33" s="127">
        <f>Model_Financials!P33</f>
        <v>0</v>
      </c>
      <c r="Q33" s="127">
        <f>Model_Financials!Q33</f>
        <v>0</v>
      </c>
      <c r="R33" s="127">
        <f>Model_Financials!R33</f>
        <v>0</v>
      </c>
      <c r="S33" s="127">
        <f>Model_Financials!S33</f>
        <v>0</v>
      </c>
      <c r="T33" s="127">
        <f>Model_Financials!T33</f>
        <v>0</v>
      </c>
      <c r="U33" s="127">
        <f>Model_Financials!U33</f>
        <v>0</v>
      </c>
      <c r="V33" s="127">
        <f>Model_Financials!V33</f>
        <v>0</v>
      </c>
    </row>
    <row r="34" spans="1:22" ht="14.4" customHeight="1">
      <c r="A34" s="189" t="str">
        <f>Tr("PV_INFLOWS_SIR")</f>
        <v>PV of Inflows (for SIR)</v>
      </c>
      <c r="B34" s="199">
        <f>Model_Financials!B34</f>
        <v>0</v>
      </c>
      <c r="C34" s="200">
        <f>Model_Financials!C34</f>
        <v>85919.929107128497</v>
      </c>
      <c r="D34" s="200">
        <f>Model_Financials!D34</f>
        <v>84267.622778145262</v>
      </c>
      <c r="E34" s="200">
        <f>Model_Financials!E34</f>
        <v>82647.091570873235</v>
      </c>
      <c r="F34" s="200">
        <f>Model_Financials!F34</f>
        <v>81057.724425279506</v>
      </c>
      <c r="G34" s="200">
        <f>Model_Financials!G34</f>
        <v>79498.922032485672</v>
      </c>
      <c r="H34" s="200">
        <f>Model_Financials!H34</f>
        <v>77970.096608784035</v>
      </c>
      <c r="I34" s="200">
        <f>Model_Financials!I34</f>
        <v>76470.671673999736</v>
      </c>
      <c r="J34" s="200">
        <f>Model_Financials!J34</f>
        <v>75000.081834115117</v>
      </c>
      <c r="K34" s="200">
        <f>Model_Financials!K34</f>
        <v>73557.772568074433</v>
      </c>
      <c r="L34" s="200">
        <f>Model_Financials!L34</f>
        <v>72143.200018688382</v>
      </c>
      <c r="M34" s="127">
        <f>Model_Financials!M34</f>
        <v>70755.830787559767</v>
      </c>
      <c r="N34" s="127">
        <f>Model_Financials!N34</f>
        <v>69395.141733952827</v>
      </c>
      <c r="O34" s="127">
        <f>Model_Financials!O34</f>
        <v>68060.619777530665</v>
      </c>
      <c r="P34" s="127">
        <f>Model_Financials!P34</f>
        <v>66751.761704885852</v>
      </c>
      <c r="Q34" s="127">
        <f>Model_Financials!Q34</f>
        <v>65468.073979791894</v>
      </c>
      <c r="R34" s="127">
        <f>Model_Financials!R34</f>
        <v>64209.072557103573</v>
      </c>
      <c r="S34" s="127">
        <f>Model_Financials!S34</f>
        <v>62974.282700236196</v>
      </c>
      <c r="T34" s="127">
        <f>Model_Financials!T34</f>
        <v>61763.238802154723</v>
      </c>
      <c r="U34" s="127">
        <f>Model_Financials!U34</f>
        <v>60575.484209805603</v>
      </c>
      <c r="V34" s="127">
        <f>Model_Financials!V34</f>
        <v>59410.571051924722</v>
      </c>
    </row>
    <row r="35" spans="1:22">
      <c r="A35" s="201" t="str">
        <f>Tr("CUMULATIVE_CASH_FLOWS")</f>
        <v>Cumulative Cash Flows</v>
      </c>
      <c r="B35" s="202">
        <f>Model_Financials!B35</f>
        <v>-170000</v>
      </c>
      <c r="C35" s="202">
        <f>Model_Financials!C35</f>
        <v>-80643.273728586355</v>
      </c>
      <c r="D35" s="202">
        <f>Model_Financials!D35</f>
        <v>10500.587068255569</v>
      </c>
      <c r="E35" s="202">
        <f>Model_Financials!E35</f>
        <v>103467.32508103433</v>
      </c>
      <c r="F35" s="202">
        <f>Model_Financials!F35</f>
        <v>198293.39785406867</v>
      </c>
      <c r="G35" s="202">
        <f>Model_Financials!G35</f>
        <v>295015.99208256369</v>
      </c>
      <c r="H35" s="202">
        <f>Model_Financials!H35</f>
        <v>393673.03819562861</v>
      </c>
      <c r="I35" s="202">
        <f>Model_Financials!I35</f>
        <v>494303.22523095482</v>
      </c>
      <c r="J35" s="202">
        <f>Model_Financials!J35</f>
        <v>596946.01600698754</v>
      </c>
      <c r="K35" s="202">
        <f>Model_Financials!K35</f>
        <v>701641.66259854101</v>
      </c>
      <c r="L35" s="202">
        <f>Model_Financials!L35</f>
        <v>808431.22212192556</v>
      </c>
      <c r="M35" s="102">
        <f>Model_Financials!M35</f>
        <v>917356.57283577777</v>
      </c>
      <c r="N35" s="102">
        <f>Model_Financials!N35</f>
        <v>1028460.430563907</v>
      </c>
      <c r="O35" s="102">
        <f>Model_Financials!O35</f>
        <v>1141786.3654465987</v>
      </c>
      <c r="P35" s="102">
        <f>Model_Financials!P35</f>
        <v>1257378.8190269445</v>
      </c>
      <c r="Q35" s="102">
        <f>Model_Financials!Q35</f>
        <v>1375283.1216788969</v>
      </c>
      <c r="R35" s="102">
        <f>Model_Financials!R35</f>
        <v>1495545.5103838886</v>
      </c>
      <c r="S35" s="102">
        <f>Model_Financials!S35</f>
        <v>1618213.14686298</v>
      </c>
      <c r="T35" s="102">
        <f>Model_Financials!T35</f>
        <v>1743334.1360716533</v>
      </c>
      <c r="U35" s="102">
        <f>Model_Financials!U35</f>
        <v>1870957.5450645001</v>
      </c>
      <c r="V35" s="102">
        <f>Model_Financials!V35</f>
        <v>2001133.4222372037</v>
      </c>
    </row>
    <row r="36" spans="1:22">
      <c r="A36" s="193" t="str">
        <f>Tr("ANNUAL_PV")</f>
        <v>Annual Present Value</v>
      </c>
      <c r="B36" s="166">
        <f>Model_Financials!B36</f>
        <v>-170000</v>
      </c>
      <c r="C36" s="168">
        <f>Model_Financials!C36</f>
        <v>85919.929107128497</v>
      </c>
      <c r="D36" s="165">
        <f>Model_Financials!D36</f>
        <v>84267.622778145262</v>
      </c>
      <c r="E36" s="166">
        <f>Model_Financials!E36</f>
        <v>82647.091570873235</v>
      </c>
      <c r="F36" s="165">
        <f>Model_Financials!F36</f>
        <v>81057.724425279506</v>
      </c>
      <c r="G36" s="166">
        <f>Model_Financials!G36</f>
        <v>79498.922032485672</v>
      </c>
      <c r="H36" s="165">
        <f>Model_Financials!H36</f>
        <v>77970.096608784035</v>
      </c>
      <c r="I36" s="166">
        <f>Model_Financials!I36</f>
        <v>76470.671673999736</v>
      </c>
      <c r="J36" s="165">
        <f>Model_Financials!J36</f>
        <v>75000.081834115117</v>
      </c>
      <c r="K36" s="166">
        <f>Model_Financials!K36</f>
        <v>73557.772568074433</v>
      </c>
      <c r="L36" s="168">
        <f>Model_Financials!L36</f>
        <v>72143.200018688382</v>
      </c>
      <c r="M36" s="127">
        <f>Model_Financials!M36</f>
        <v>70755.830787559767</v>
      </c>
      <c r="N36" s="127">
        <f>Model_Financials!N36</f>
        <v>69395.141733952827</v>
      </c>
      <c r="O36" s="127">
        <f>Model_Financials!O36</f>
        <v>68060.619777530665</v>
      </c>
      <c r="P36" s="127">
        <f>Model_Financials!P36</f>
        <v>66751.761704885852</v>
      </c>
      <c r="Q36" s="127">
        <f>Model_Financials!Q36</f>
        <v>65468.073979791894</v>
      </c>
      <c r="R36" s="127">
        <f>Model_Financials!R36</f>
        <v>64209.072557103573</v>
      </c>
      <c r="S36" s="127">
        <f>Model_Financials!S36</f>
        <v>62974.282700236196</v>
      </c>
      <c r="T36" s="127">
        <f>Model_Financials!T36</f>
        <v>61763.238802154723</v>
      </c>
      <c r="U36" s="127">
        <f>Model_Financials!U36</f>
        <v>60575.484209805603</v>
      </c>
      <c r="V36" s="127">
        <f>Model_Financials!V36</f>
        <v>59410.571051924722</v>
      </c>
    </row>
    <row r="37" spans="1:22" ht="15" thickBot="1">
      <c r="A37" s="201" t="str">
        <f>Tr("CUMULATIVE_PV")</f>
        <v>Cumulative Present Value</v>
      </c>
      <c r="B37" s="121">
        <f>Model_Financials!B37</f>
        <v>-170000</v>
      </c>
      <c r="C37" s="121">
        <f>Model_Financials!C37</f>
        <v>-84080.070892871503</v>
      </c>
      <c r="D37" s="121">
        <f>Model_Financials!D37</f>
        <v>187.55188527375867</v>
      </c>
      <c r="E37" s="121">
        <f>Model_Financials!E37</f>
        <v>82834.643456146994</v>
      </c>
      <c r="F37" s="121">
        <f>Model_Financials!F37</f>
        <v>163892.3678814265</v>
      </c>
      <c r="G37" s="121">
        <f>Model_Financials!G37</f>
        <v>243391.28991391219</v>
      </c>
      <c r="H37" s="121">
        <f>Model_Financials!H37</f>
        <v>321361.38652269624</v>
      </c>
      <c r="I37" s="121">
        <f>Model_Financials!I37</f>
        <v>397832.05819669599</v>
      </c>
      <c r="J37" s="121">
        <f>Model_Financials!J37</f>
        <v>472832.14003081108</v>
      </c>
      <c r="K37" s="121">
        <f>Model_Financials!K37</f>
        <v>546389.91259888548</v>
      </c>
      <c r="L37" s="121">
        <f>Model_Financials!L37</f>
        <v>618533.11261757382</v>
      </c>
      <c r="M37" s="121">
        <f>Model_Financials!M37</f>
        <v>689288.94340513356</v>
      </c>
      <c r="N37" s="121">
        <f>Model_Financials!N37</f>
        <v>758684.08513908635</v>
      </c>
      <c r="O37" s="121">
        <f>Model_Financials!O37</f>
        <v>826744.70491661702</v>
      </c>
      <c r="P37" s="121">
        <f>Model_Financials!P37</f>
        <v>893496.46662150288</v>
      </c>
      <c r="Q37" s="121">
        <f>Model_Financials!Q37</f>
        <v>958964.54060129472</v>
      </c>
      <c r="R37" s="121">
        <f>Model_Financials!R37</f>
        <v>1023173.6131583983</v>
      </c>
      <c r="S37" s="121">
        <f>Model_Financials!S37</f>
        <v>1086147.8958586345</v>
      </c>
      <c r="T37" s="121">
        <f>Model_Financials!T37</f>
        <v>1147911.1346607893</v>
      </c>
      <c r="U37" s="121">
        <f>Model_Financials!U37</f>
        <v>1208486.6188705948</v>
      </c>
      <c r="V37" s="121">
        <f>Model_Financials!V37</f>
        <v>1267897.1899225195</v>
      </c>
    </row>
    <row r="38" spans="1:22" ht="15.75" customHeight="1">
      <c r="A38" s="203"/>
      <c r="B38" s="204"/>
      <c r="C38" s="532" t="str">
        <f>Tr("RETURNS_VARY_NOTE")</f>
        <v>*Note: Certain Returns Vary Depending on the Length of the Analysis Term*</v>
      </c>
      <c r="D38" s="533"/>
      <c r="E38" s="533"/>
      <c r="F38" s="533"/>
      <c r="G38" s="533"/>
      <c r="H38" s="533"/>
      <c r="I38" s="533"/>
      <c r="J38" s="533"/>
      <c r="K38" s="533"/>
      <c r="L38" s="533"/>
      <c r="M38" s="125"/>
      <c r="N38" s="125"/>
      <c r="O38" s="125"/>
      <c r="P38" s="125"/>
      <c r="Q38" s="125"/>
      <c r="R38" s="125"/>
      <c r="S38" s="125"/>
      <c r="T38" s="125"/>
      <c r="U38" s="125"/>
      <c r="V38" s="125"/>
    </row>
    <row r="39" spans="1:22">
      <c r="A39" s="203"/>
      <c r="B39" s="77" t="str">
        <f>Tr("TEN_YEAR")</f>
        <v>10 Year</v>
      </c>
      <c r="C39" s="205" t="str">
        <f>IF(LEFT(SelectedLanguage,4)="ESPA","1 año",IF(LEFT(SelectedLanguage,4)="PORT","1 ano",IF(LEFT(SelectedLanguage,4)="FRAN","1 an","1 Year")))</f>
        <v>1 Year</v>
      </c>
      <c r="D39" s="206" t="str">
        <f>IF(LEFT(SelectedLanguage,4)="ESPA","2 años",IF(LEFT(SelectedLanguage,4)="PORT","2 anos",IF(LEFT(SelectedLanguage,4)="FRAN","2 ans","2 Years")))</f>
        <v>2 Years</v>
      </c>
      <c r="E39" s="206" t="str">
        <f>IF(LEFT(SelectedLanguage,4)="ESPA","3 años",IF(LEFT(SelectedLanguage,4)="PORT","3 anos",IF(LEFT(SelectedLanguage,4)="FRAN","3 ans","3 Years")))</f>
        <v>3 Years</v>
      </c>
      <c r="F39" s="206" t="str">
        <f>IF(LEFT(SelectedLanguage,4)="ESPA","4 años",IF(LEFT(SelectedLanguage,4)="PORT","4 anos",IF(LEFT(SelectedLanguage,4)="FRAN","4 ans","4 Years")))</f>
        <v>4 Years</v>
      </c>
      <c r="G39" s="206" t="str">
        <f>IF(LEFT(SelectedLanguage,4)="ESPA","5 años",IF(LEFT(SelectedLanguage,4)="PORT","5 anos",IF(LEFT(SelectedLanguage,4)="FRAN","5 ans","5 Years")))</f>
        <v>5 Years</v>
      </c>
      <c r="H39" s="206" t="str">
        <f>IF(LEFT(SelectedLanguage,4)="ESPA","6 años",IF(LEFT(SelectedLanguage,4)="PORT","6 anos",IF(LEFT(SelectedLanguage,4)="FRAN","6 ans","6 Years")))</f>
        <v>6 Years</v>
      </c>
      <c r="I39" s="206" t="str">
        <f>IF(LEFT(SelectedLanguage,4)="ESPA","7 años",IF(LEFT(SelectedLanguage,4)="PORT","7 anos",IF(LEFT(SelectedLanguage,4)="FRAN","7 ans","7 Years")))</f>
        <v>7 Years</v>
      </c>
      <c r="J39" s="206" t="str">
        <f>IF(LEFT(SelectedLanguage,4)="ESPA","8 años",IF(LEFT(SelectedLanguage,4)="PORT","8 anos",IF(LEFT(SelectedLanguage,4)="FRAN","8 ans","8 Years")))</f>
        <v>8 Years</v>
      </c>
      <c r="K39" s="206" t="str">
        <f>IF(LEFT(SelectedLanguage,4)="ESPA","9 años",IF(LEFT(SelectedLanguage,4)="PORT","9 anos",IF(LEFT(SelectedLanguage,4)="FRAN","9 ans","9 Years")))</f>
        <v>9 Years</v>
      </c>
      <c r="L39" s="206" t="str">
        <f>IF(LEFT(SelectedLanguage,4)="ESPA","10 años",IF(LEFT(SelectedLanguage,4)="PORT","10 anos",IF(LEFT(SelectedLanguage,4)="FRAN","10 ans","10 Years")))</f>
        <v>10 Years</v>
      </c>
      <c r="M39" s="129" t="str">
        <f>IF(LEFT(SelectedLanguage,4)="ESPA","11 años",IF(LEFT(SelectedLanguage,4)="PORT","11 anos",IF(LEFT(SelectedLanguage,4)="FRAN","11 ans","11 Years")))</f>
        <v>11 Years</v>
      </c>
      <c r="N39" s="129" t="str">
        <f>IF(LEFT(SelectedLanguage,4)="ESPA","12 años",IF(LEFT(SelectedLanguage,4)="PORT","12 anos",IF(LEFT(SelectedLanguage,4)="FRAN","12 ans","12 Years")))</f>
        <v>12 Years</v>
      </c>
      <c r="O39" s="129" t="str">
        <f>IF(LEFT(SelectedLanguage,4)="ESPA","13 años",IF(LEFT(SelectedLanguage,4)="PORT","13 anos",IF(LEFT(SelectedLanguage,4)="FRAN","13 ans","13 Years")))</f>
        <v>13 Years</v>
      </c>
      <c r="P39" s="129" t="str">
        <f>IF(LEFT(SelectedLanguage,4)="ESPA","14 años",IF(LEFT(SelectedLanguage,4)="PORT","14 anos",IF(LEFT(SelectedLanguage,4)="FRAN","14 ans","14 Years")))</f>
        <v>14 Years</v>
      </c>
      <c r="Q39" s="129" t="str">
        <f>IF(LEFT(SelectedLanguage,4)="ESPA","15 años",IF(LEFT(SelectedLanguage,4)="PORT","15 anos",IF(LEFT(SelectedLanguage,4)="FRAN","15 ans","15 Years")))</f>
        <v>15 Years</v>
      </c>
      <c r="R39" s="129" t="str">
        <f>IF(LEFT(SelectedLanguage,4)="ESPA","16 años",IF(LEFT(SelectedLanguage,4)="PORT","16 anos",IF(LEFT(SelectedLanguage,4)="FRAN","16 ans","16 Years")))</f>
        <v>16 Years</v>
      </c>
      <c r="S39" s="129" t="str">
        <f>IF(LEFT(SelectedLanguage,4)="ESPA","17 años",IF(LEFT(SelectedLanguage,4)="PORT","17 anos",IF(LEFT(SelectedLanguage,4)="FRAN","17 ans","17 Years")))</f>
        <v>17 Years</v>
      </c>
      <c r="T39" s="129" t="str">
        <f>IF(LEFT(SelectedLanguage,4)="ESPA","18 años",IF(LEFT(SelectedLanguage,4)="PORT","18 anos",IF(LEFT(SelectedLanguage,4)="FRAN","18 ans","18 Years")))</f>
        <v>18 Years</v>
      </c>
      <c r="U39" s="129" t="str">
        <f>IF(LEFT(SelectedLanguage,4)="ESPA","19 años",IF(LEFT(SelectedLanguage,4)="PORT","19 anos",IF(LEFT(SelectedLanguage,4)="FRAN","19 ans","19 Years")))</f>
        <v>19 Years</v>
      </c>
      <c r="V39" s="129" t="str">
        <f>IF(LEFT(SelectedLanguage,4)="ESPA","20 años",IF(LEFT(SelectedLanguage,4)="PORT","20 anos",IF(LEFT(SelectedLanguage,4)="FRAN","20 ans","20 Years")))</f>
        <v>20 Years</v>
      </c>
    </row>
    <row r="40" spans="1:22">
      <c r="A40" s="106" t="str">
        <f>Tr("NPV_LABEL")&amp;"      "</f>
        <v xml:space="preserve">Net Present Value (NPV)      </v>
      </c>
      <c r="B40" s="196">
        <f>Model_Financials!B40</f>
        <v>618533.11261757382</v>
      </c>
      <c r="C40" s="207">
        <f>Model_Financials!C40</f>
        <v>-84080.070892871503</v>
      </c>
      <c r="D40" s="198">
        <f>Model_Financials!D40</f>
        <v>187.55188527377322</v>
      </c>
      <c r="E40" s="196">
        <f>Model_Financials!E40</f>
        <v>82834.643456146994</v>
      </c>
      <c r="F40" s="198">
        <f>Model_Financials!F40</f>
        <v>163892.36788142647</v>
      </c>
      <c r="G40" s="196">
        <f>Model_Financials!G40</f>
        <v>243391.28991391213</v>
      </c>
      <c r="H40" s="198">
        <f>Model_Financials!H40</f>
        <v>321361.38652269618</v>
      </c>
      <c r="I40" s="196">
        <f>Model_Financials!I40</f>
        <v>397832.05819669587</v>
      </c>
      <c r="J40" s="198">
        <f>Model_Financials!J40</f>
        <v>472832.14003081096</v>
      </c>
      <c r="K40" s="196">
        <f>Model_Financials!K40</f>
        <v>546389.91259888536</v>
      </c>
      <c r="L40" s="197">
        <f>Model_Financials!L40</f>
        <v>618533.1126175737</v>
      </c>
      <c r="M40" s="127">
        <f>Model_Financials!M40</f>
        <v>689288.94340513344</v>
      </c>
      <c r="N40" s="127">
        <f>Model_Financials!N40</f>
        <v>758684.08513908624</v>
      </c>
      <c r="O40" s="127">
        <f>Model_Financials!O40</f>
        <v>826744.7049166169</v>
      </c>
      <c r="P40" s="127">
        <f>Model_Financials!P40</f>
        <v>893496.46662150277</v>
      </c>
      <c r="Q40" s="127">
        <f>Model_Financials!Q40</f>
        <v>958964.54060129472</v>
      </c>
      <c r="R40" s="127">
        <f>Model_Financials!R40</f>
        <v>1023173.6131583983</v>
      </c>
      <c r="S40" s="127">
        <f>Model_Financials!S40</f>
        <v>1086147.8958586345</v>
      </c>
      <c r="T40" s="127">
        <f>Model_Financials!T40</f>
        <v>1147911.1346607893</v>
      </c>
      <c r="U40" s="127">
        <f>Model_Financials!U40</f>
        <v>1208486.6188705948</v>
      </c>
      <c r="V40" s="127">
        <f>Model_Financials!V40</f>
        <v>1267897.1899225195</v>
      </c>
    </row>
    <row r="41" spans="1:22">
      <c r="A41" s="106" t="str">
        <f>Tr("SPP_LABEL")&amp;"      "</f>
        <v xml:space="preserve">Simple Payback Period (SPP)      </v>
      </c>
      <c r="B41" s="208">
        <f>Model_Financials!B41</f>
        <v>1.9024868870379057</v>
      </c>
      <c r="C41" s="209"/>
      <c r="D41" s="40"/>
      <c r="E41" s="40"/>
      <c r="F41" s="40"/>
      <c r="G41" s="40"/>
      <c r="H41" s="40"/>
      <c r="I41" s="40"/>
      <c r="J41" s="40"/>
      <c r="K41" s="40"/>
      <c r="L41" s="40"/>
      <c r="M41" s="123"/>
      <c r="N41" s="123"/>
      <c r="O41" s="123"/>
      <c r="P41" s="123"/>
      <c r="Q41" s="123"/>
      <c r="R41" s="123"/>
      <c r="S41" s="123"/>
      <c r="T41" s="123"/>
      <c r="U41" s="123"/>
      <c r="V41" s="123"/>
    </row>
    <row r="42" spans="1:22">
      <c r="A42" s="106" t="str">
        <f>Tr("ROI_LABEL")&amp;"      "</f>
        <v xml:space="preserve">Return on Investment (ROI)      </v>
      </c>
      <c r="B42" s="210">
        <f>Model_Financials!B42</f>
        <v>0.52562780159655087</v>
      </c>
      <c r="C42" s="209"/>
      <c r="D42" s="40"/>
      <c r="E42" s="40"/>
      <c r="F42" s="40"/>
      <c r="G42" s="40"/>
      <c r="H42" s="40"/>
      <c r="I42" s="40"/>
      <c r="J42" s="40"/>
      <c r="K42" s="40"/>
      <c r="L42" s="40"/>
      <c r="M42" s="123"/>
      <c r="N42" s="123"/>
      <c r="O42" s="123"/>
      <c r="P42" s="123"/>
      <c r="Q42" s="123"/>
      <c r="R42" s="123"/>
      <c r="S42" s="123"/>
      <c r="T42" s="123"/>
      <c r="U42" s="123"/>
      <c r="V42" s="123"/>
    </row>
    <row r="43" spans="1:22">
      <c r="A43" s="106" t="str">
        <f>Tr("IRR_LABEL")&amp;"      "</f>
        <v xml:space="preserve">Internal Rate of Return (IRR)      </v>
      </c>
      <c r="B43" s="211">
        <f>Model_Financials!B43</f>
        <v>0.53691449533643643</v>
      </c>
      <c r="C43" s="212">
        <f>Model_Financials!C43</f>
        <v>-0.47437219840344924</v>
      </c>
      <c r="D43" s="213">
        <f>Model_Financials!D43</f>
        <v>4.0767308195674978E-2</v>
      </c>
      <c r="E43" s="213">
        <f>Model_Financials!E43</f>
        <v>0.27906261963813939</v>
      </c>
      <c r="F43" s="213">
        <f>Model_Financials!F43</f>
        <v>0.39568272965709417</v>
      </c>
      <c r="G43" s="213">
        <f>Model_Financials!G43</f>
        <v>0.45734756499895091</v>
      </c>
      <c r="H43" s="213">
        <f>Model_Financials!H43</f>
        <v>0.49195645813821964</v>
      </c>
      <c r="I43" s="213">
        <f>Model_Financials!I43</f>
        <v>0.51224485015590648</v>
      </c>
      <c r="J43" s="213">
        <f>Model_Financials!J43</f>
        <v>0.52452154731109313</v>
      </c>
      <c r="K43" s="213">
        <f>Model_Financials!K43</f>
        <v>0.53212472323742355</v>
      </c>
      <c r="L43" s="214">
        <f>Model_Financials!L43</f>
        <v>0.53691449533643643</v>
      </c>
      <c r="M43" s="130">
        <f>Model_Financials!M43</f>
        <v>0.51224485015590648</v>
      </c>
      <c r="N43" s="130">
        <f>Model_Financials!N43</f>
        <v>0.52452154731109313</v>
      </c>
      <c r="O43" s="130">
        <f>Model_Financials!O43</f>
        <v>0.53212472323742355</v>
      </c>
      <c r="P43" s="130">
        <f>Model_Financials!P43</f>
        <v>0.53691449533643643</v>
      </c>
      <c r="Q43" s="130">
        <f>Model_Financials!Q43</f>
        <v>0.51224485015590648</v>
      </c>
      <c r="R43" s="130">
        <f>Model_Financials!R43</f>
        <v>0.52452154731109313</v>
      </c>
      <c r="S43" s="130">
        <f>Model_Financials!S43</f>
        <v>0.53212472323742355</v>
      </c>
      <c r="T43" s="130">
        <f>Model_Financials!T43</f>
        <v>0.53691449533643643</v>
      </c>
      <c r="U43" s="130">
        <f>Model_Financials!U43</f>
        <v>0.51224485015590648</v>
      </c>
      <c r="V43" s="130">
        <f>Model_Financials!V43</f>
        <v>0.52452154731109313</v>
      </c>
    </row>
    <row r="44" spans="1:22">
      <c r="A44" s="106" t="str">
        <f>Tr("MIRR_LABEL")&amp;"      "</f>
        <v xml:space="preserve">Mod. Internal Rate of Return (MIRR)      </v>
      </c>
      <c r="B44" s="215">
        <f>Model_Financials!B44</f>
        <v>0.22346146495531549</v>
      </c>
      <c r="C44" s="216">
        <f>Model_Financials!C44</f>
        <v>-0.47437219840344913</v>
      </c>
      <c r="D44" s="217">
        <f>Model_Financials!D44</f>
        <v>4.5612656446365918E-2</v>
      </c>
      <c r="E44" s="217">
        <f>Model_Financials!E44</f>
        <v>0.19483132058678643</v>
      </c>
      <c r="F44" s="217">
        <f>Model_Financials!F44</f>
        <v>0.2402228536000921</v>
      </c>
      <c r="G44" s="217">
        <f>Model_Financials!G44</f>
        <v>0.25204679620722747</v>
      </c>
      <c r="H44" s="217">
        <f>Model_Financials!H44</f>
        <v>0.25147418691728451</v>
      </c>
      <c r="I44" s="217">
        <f>Model_Financials!I44</f>
        <v>0.24606254750465628</v>
      </c>
      <c r="J44" s="217">
        <f>Model_Financials!J44</f>
        <v>0.23884113346856339</v>
      </c>
      <c r="K44" s="213">
        <f>Model_Financials!K44</f>
        <v>0.23111413007510784</v>
      </c>
      <c r="L44" s="214">
        <f>Model_Financials!L44</f>
        <v>0.22346146495531549</v>
      </c>
      <c r="M44" s="130">
        <f>Model_Financials!M44</f>
        <v>0.24606254750465628</v>
      </c>
      <c r="N44" s="130">
        <f>Model_Financials!N44</f>
        <v>0.23884113346856339</v>
      </c>
      <c r="O44" s="130">
        <f>Model_Financials!O44</f>
        <v>0.23111413007510784</v>
      </c>
      <c r="P44" s="130">
        <f>Model_Financials!P44</f>
        <v>0.22346146495531549</v>
      </c>
      <c r="Q44" s="130">
        <f>Model_Financials!Q44</f>
        <v>0.24606254750465628</v>
      </c>
      <c r="R44" s="130">
        <f>Model_Financials!R44</f>
        <v>0.23884113346856339</v>
      </c>
      <c r="S44" s="130">
        <f>Model_Financials!S44</f>
        <v>0.23111413007510784</v>
      </c>
      <c r="T44" s="130">
        <f>Model_Financials!T44</f>
        <v>0.22346146495531549</v>
      </c>
      <c r="U44" s="130">
        <f>Model_Financials!U44</f>
        <v>0.24606254750465628</v>
      </c>
      <c r="V44" s="130">
        <f>Model_Financials!V44</f>
        <v>0.23884113346856339</v>
      </c>
    </row>
    <row r="45" spans="1:22" ht="15" thickBot="1">
      <c r="A45" s="106" t="str">
        <f>Tr("SIR_LABEL")&amp;"      "</f>
        <v xml:space="preserve">Savings-Investment Ratio (SIR)      </v>
      </c>
      <c r="B45" s="218">
        <f>Model_Financials!B45</f>
        <v>4.6384300742210218</v>
      </c>
      <c r="C45" s="219">
        <f>Model_Financials!C45</f>
        <v>0.50541134768899121</v>
      </c>
      <c r="D45" s="220">
        <f>Model_Financials!D45</f>
        <v>1.0011032463839633</v>
      </c>
      <c r="E45" s="221">
        <f>Model_Financials!E45</f>
        <v>1.4872626085655705</v>
      </c>
      <c r="F45" s="221">
        <f>Model_Financials!F45</f>
        <v>1.9640727522436852</v>
      </c>
      <c r="G45" s="221">
        <f>Model_Financials!G45</f>
        <v>2.4317134700818359</v>
      </c>
      <c r="H45" s="221">
        <f>Model_Financials!H45</f>
        <v>2.8903610971923306</v>
      </c>
      <c r="I45" s="222">
        <f>Model_Financials!I45</f>
        <v>3.3401885776276226</v>
      </c>
      <c r="J45" s="221">
        <f>Model_Financials!J45</f>
        <v>3.7813655295930055</v>
      </c>
      <c r="K45" s="221">
        <f>Model_Financials!K45</f>
        <v>4.2140583094052078</v>
      </c>
      <c r="L45" s="220">
        <f>Model_Financials!L45</f>
        <v>4.6384300742210218</v>
      </c>
      <c r="M45" s="131">
        <f>Model_Financials!M45</f>
        <v>5.0546408435596089</v>
      </c>
      <c r="N45" s="131">
        <f>Model_Financials!N45</f>
        <v>5.4628475596416841</v>
      </c>
      <c r="O45" s="131">
        <f>Model_Financials!O45</f>
        <v>5.8632041465683349</v>
      </c>
      <c r="P45" s="131">
        <f>Model_Financials!P45</f>
        <v>6.2558615683617811</v>
      </c>
      <c r="Q45" s="131">
        <f>Model_Financials!Q45</f>
        <v>6.6409678858899692</v>
      </c>
      <c r="R45" s="131">
        <f>Model_Financials!R45</f>
        <v>7.0186683126964606</v>
      </c>
      <c r="S45" s="131">
        <f>Model_Financials!S45</f>
        <v>7.3891052697566737</v>
      </c>
      <c r="T45" s="131">
        <f>Model_Financials!T45</f>
        <v>7.7524184391811133</v>
      </c>
      <c r="U45" s="131">
        <f>Model_Financials!U45</f>
        <v>8.1087448168858511</v>
      </c>
      <c r="V45" s="131">
        <f>Model_Financials!V45</f>
        <v>8.4582187642501143</v>
      </c>
    </row>
    <row r="46" spans="1:22">
      <c r="A46" s="108"/>
      <c r="B46" s="12" t="str">
        <f>Model_Financials!B46</f>
        <v>V.2026.11.0</v>
      </c>
      <c r="C46" s="100"/>
      <c r="D46" s="100"/>
      <c r="E46" s="100"/>
      <c r="F46" s="100"/>
      <c r="G46" s="100"/>
      <c r="H46" s="100"/>
      <c r="I46" s="101"/>
      <c r="J46" s="100"/>
      <c r="K46" s="100"/>
      <c r="L46" s="100"/>
    </row>
    <row r="47" spans="1:22" ht="17.399999999999999">
      <c r="A47" s="109"/>
      <c r="B47" s="531"/>
      <c r="C47" s="531"/>
      <c r="D47" s="531"/>
      <c r="E47" s="531"/>
      <c r="F47" s="531"/>
      <c r="G47" s="531"/>
      <c r="H47" s="531"/>
      <c r="I47" s="531"/>
      <c r="J47" s="531"/>
      <c r="K47" s="531"/>
      <c r="L47" s="531"/>
    </row>
    <row r="48" spans="1:22">
      <c r="A48" s="109"/>
    </row>
    <row r="49" spans="1:1">
      <c r="A49" s="109"/>
    </row>
    <row r="50" spans="1:1">
      <c r="A50" s="109"/>
    </row>
    <row r="51" spans="1:1">
      <c r="A51" s="109"/>
    </row>
    <row r="52" spans="1:1">
      <c r="A52" s="109"/>
    </row>
    <row r="53" spans="1:1">
      <c r="A53" s="109"/>
    </row>
    <row r="54" spans="1:1">
      <c r="A54" s="109"/>
    </row>
    <row r="55" spans="1:1">
      <c r="A55" s="109"/>
    </row>
    <row r="56" spans="1:1">
      <c r="A56" s="109"/>
    </row>
    <row r="57" spans="1:1">
      <c r="A57" s="109"/>
    </row>
    <row r="58" spans="1:1">
      <c r="A58" s="109"/>
    </row>
    <row r="59" spans="1:1">
      <c r="A59" s="109"/>
    </row>
    <row r="60" spans="1:1">
      <c r="A60" s="109"/>
    </row>
    <row r="61" spans="1:1">
      <c r="A61" s="109"/>
    </row>
    <row r="62" spans="1:1">
      <c r="A62" s="109"/>
    </row>
    <row r="63" spans="1:1">
      <c r="A63" s="109"/>
    </row>
    <row r="64" spans="1:1">
      <c r="A64" s="109"/>
    </row>
    <row r="65" spans="1:1">
      <c r="A65" s="109"/>
    </row>
    <row r="66" spans="1:1">
      <c r="A66" s="109"/>
    </row>
    <row r="67" spans="1:1">
      <c r="A67" s="109"/>
    </row>
    <row r="68" spans="1:1">
      <c r="A68" s="109"/>
    </row>
    <row r="69" spans="1:1">
      <c r="A69" s="109"/>
    </row>
    <row r="70" spans="1:1">
      <c r="A70" s="109"/>
    </row>
    <row r="71" spans="1:1">
      <c r="A71" s="109"/>
    </row>
    <row r="72" spans="1:1">
      <c r="A72" s="109"/>
    </row>
    <row r="73" spans="1:1">
      <c r="A73" s="109"/>
    </row>
    <row r="74" spans="1:1">
      <c r="A74" s="109"/>
    </row>
    <row r="75" spans="1:1">
      <c r="A75" s="109"/>
    </row>
    <row r="76" spans="1:1">
      <c r="A76" s="109"/>
    </row>
    <row r="77" spans="1:1" ht="6.75" customHeight="1">
      <c r="A77" s="109"/>
    </row>
    <row r="78" spans="1:1">
      <c r="A78" s="109"/>
    </row>
    <row r="79" spans="1:1">
      <c r="A79" s="109"/>
    </row>
    <row r="80" spans="1:1">
      <c r="A80" s="109"/>
    </row>
    <row r="81" spans="1:1">
      <c r="A81" s="109"/>
    </row>
    <row r="82" spans="1:1">
      <c r="A82" s="109"/>
    </row>
    <row r="83" spans="1:1">
      <c r="A83" s="109"/>
    </row>
    <row r="84" spans="1:1">
      <c r="A84" s="109"/>
    </row>
    <row r="85" spans="1:1">
      <c r="A85" s="109"/>
    </row>
    <row r="86" spans="1:1">
      <c r="A86" s="109"/>
    </row>
    <row r="87" spans="1:1">
      <c r="A87" s="109"/>
    </row>
    <row r="88" spans="1:1">
      <c r="A88" s="109"/>
    </row>
    <row r="89" spans="1:1">
      <c r="A89" s="109"/>
    </row>
    <row r="90" spans="1:1">
      <c r="A90" s="109"/>
    </row>
    <row r="91" spans="1:1">
      <c r="A91" s="109"/>
    </row>
    <row r="92" spans="1:1">
      <c r="A92" s="109"/>
    </row>
    <row r="93" spans="1:1">
      <c r="A93" s="109"/>
    </row>
    <row r="94" spans="1:1">
      <c r="A94" s="109"/>
    </row>
    <row r="95" spans="1:1" ht="2.25" customHeight="1">
      <c r="A95" s="109"/>
    </row>
    <row r="96" spans="1:1">
      <c r="A96" s="109"/>
    </row>
    <row r="97" spans="1:1">
      <c r="A97" s="109"/>
    </row>
    <row r="98" spans="1:1">
      <c r="A98" s="109"/>
    </row>
    <row r="99" spans="1:1">
      <c r="A99" s="109"/>
    </row>
    <row r="100" spans="1:1">
      <c r="A100" s="109"/>
    </row>
    <row r="101" spans="1:1">
      <c r="A101" s="109"/>
    </row>
    <row r="102" spans="1:1">
      <c r="A102" s="109"/>
    </row>
    <row r="103" spans="1:1">
      <c r="A103" s="109"/>
    </row>
    <row r="104" spans="1:1">
      <c r="A104" s="109"/>
    </row>
    <row r="105" spans="1:1">
      <c r="A105" s="109"/>
    </row>
    <row r="106" spans="1:1">
      <c r="A106" s="109"/>
    </row>
    <row r="107" spans="1:1">
      <c r="A107" s="109"/>
    </row>
    <row r="108" spans="1:1">
      <c r="A108" s="109"/>
    </row>
    <row r="109" spans="1:1">
      <c r="A109" s="109"/>
    </row>
    <row r="110" spans="1:1">
      <c r="A110" s="109"/>
    </row>
    <row r="111" spans="1:1">
      <c r="A111" s="109"/>
    </row>
    <row r="112" spans="1:1">
      <c r="A112" s="109"/>
    </row>
    <row r="113" spans="1:1">
      <c r="A113" s="109"/>
    </row>
    <row r="114" spans="1:1">
      <c r="A114" s="109"/>
    </row>
    <row r="115" spans="1:1">
      <c r="A115" s="109"/>
    </row>
    <row r="116" spans="1:1">
      <c r="A116" s="109"/>
    </row>
    <row r="117" spans="1:1">
      <c r="A117" s="109"/>
    </row>
    <row r="118" spans="1:1">
      <c r="A118" s="109"/>
    </row>
    <row r="119" spans="1:1">
      <c r="A119" s="109"/>
    </row>
    <row r="120" spans="1:1">
      <c r="A120" s="109"/>
    </row>
    <row r="121" spans="1:1">
      <c r="A121" s="109"/>
    </row>
    <row r="122" spans="1:1">
      <c r="A122" s="109"/>
    </row>
    <row r="123" spans="1:1">
      <c r="A123" s="109"/>
    </row>
    <row r="124" spans="1:1">
      <c r="A124" s="109"/>
    </row>
    <row r="125" spans="1:1">
      <c r="A125" s="109"/>
    </row>
    <row r="126" spans="1:1">
      <c r="A126" s="109"/>
    </row>
    <row r="127" spans="1:1">
      <c r="A127" s="109"/>
    </row>
    <row r="128" spans="1:1">
      <c r="A128" s="109"/>
    </row>
    <row r="129" spans="1:1">
      <c r="A129" s="109"/>
    </row>
    <row r="130" spans="1:1">
      <c r="A130" s="109"/>
    </row>
    <row r="131" spans="1:1">
      <c r="A131" s="109"/>
    </row>
    <row r="132" spans="1:1">
      <c r="A132" s="109"/>
    </row>
    <row r="133" spans="1:1">
      <c r="A133" s="109"/>
    </row>
    <row r="134" spans="1:1">
      <c r="A134" s="109"/>
    </row>
    <row r="135" spans="1:1">
      <c r="A135" s="109"/>
    </row>
    <row r="136" spans="1:1">
      <c r="A136" s="109"/>
    </row>
    <row r="137" spans="1:1">
      <c r="A137" s="109"/>
    </row>
    <row r="138" spans="1:1">
      <c r="A138" s="109"/>
    </row>
    <row r="139" spans="1:1">
      <c r="A139" s="109"/>
    </row>
    <row r="140" spans="1:1">
      <c r="A140" s="109"/>
    </row>
    <row r="141" spans="1:1">
      <c r="A141" s="109"/>
    </row>
    <row r="142" spans="1:1">
      <c r="A142" s="109"/>
    </row>
    <row r="143" spans="1:1">
      <c r="A143" s="109"/>
    </row>
    <row r="144" spans="1:1">
      <c r="A144" s="109"/>
    </row>
    <row r="145" spans="1:1">
      <c r="A145" s="109"/>
    </row>
    <row r="146" spans="1:1">
      <c r="A146" s="109"/>
    </row>
    <row r="147" spans="1:1">
      <c r="A147" s="109"/>
    </row>
    <row r="148" spans="1:1">
      <c r="A148" s="109"/>
    </row>
    <row r="149" spans="1:1">
      <c r="A149" s="109"/>
    </row>
    <row r="150" spans="1:1">
      <c r="A150" s="109"/>
    </row>
    <row r="151" spans="1:1">
      <c r="A151" s="109"/>
    </row>
    <row r="152" spans="1:1">
      <c r="A152" s="109"/>
    </row>
    <row r="153" spans="1:1">
      <c r="A153" s="109"/>
    </row>
    <row r="154" spans="1:1">
      <c r="A154" s="109"/>
    </row>
    <row r="155" spans="1:1">
      <c r="A155" s="109"/>
    </row>
    <row r="156" spans="1:1">
      <c r="A156" s="109"/>
    </row>
    <row r="157" spans="1:1">
      <c r="A157" s="109"/>
    </row>
    <row r="158" spans="1:1">
      <c r="A158" s="109"/>
    </row>
    <row r="159" spans="1:1">
      <c r="A159" s="109"/>
    </row>
    <row r="160" spans="1:1">
      <c r="A160" s="109"/>
    </row>
    <row r="161" spans="1:1">
      <c r="A161" s="109"/>
    </row>
    <row r="162" spans="1:1">
      <c r="A162" s="109"/>
    </row>
    <row r="163" spans="1:1">
      <c r="A163" s="109"/>
    </row>
    <row r="164" spans="1:1">
      <c r="A164" s="109"/>
    </row>
    <row r="165" spans="1:1">
      <c r="A165" s="109"/>
    </row>
    <row r="166" spans="1:1">
      <c r="A166" s="109"/>
    </row>
    <row r="167" spans="1:1">
      <c r="A167" s="109"/>
    </row>
    <row r="168" spans="1:1">
      <c r="A168" s="109"/>
    </row>
    <row r="169" spans="1:1">
      <c r="A169" s="109"/>
    </row>
    <row r="170" spans="1:1">
      <c r="A170" s="109"/>
    </row>
    <row r="171" spans="1:1">
      <c r="A171" s="109"/>
    </row>
    <row r="172" spans="1:1">
      <c r="A172" s="109"/>
    </row>
    <row r="173" spans="1:1">
      <c r="A173" s="109"/>
    </row>
    <row r="174" spans="1:1">
      <c r="A174" s="109"/>
    </row>
    <row r="175" spans="1:1">
      <c r="A175" s="109"/>
    </row>
    <row r="176" spans="1:1">
      <c r="A176" s="109"/>
    </row>
    <row r="177" spans="1:1">
      <c r="A177" s="109"/>
    </row>
    <row r="178" spans="1:1">
      <c r="A178" s="109"/>
    </row>
    <row r="179" spans="1:1">
      <c r="A179" s="109"/>
    </row>
    <row r="180" spans="1:1">
      <c r="A180" s="109"/>
    </row>
    <row r="181" spans="1:1">
      <c r="A181" s="109"/>
    </row>
    <row r="182" spans="1:1">
      <c r="A182" s="109"/>
    </row>
    <row r="183" spans="1:1">
      <c r="A183" s="109"/>
    </row>
    <row r="184" spans="1:1">
      <c r="A184" s="109"/>
    </row>
    <row r="185" spans="1:1">
      <c r="A185" s="109"/>
    </row>
    <row r="186" spans="1:1">
      <c r="A186" s="109"/>
    </row>
    <row r="187" spans="1:1">
      <c r="A187" s="109"/>
    </row>
    <row r="188" spans="1:1">
      <c r="A188" s="109"/>
    </row>
    <row r="189" spans="1:1">
      <c r="A189" s="109"/>
    </row>
    <row r="190" spans="1:1">
      <c r="A190" s="109"/>
    </row>
    <row r="191" spans="1:1">
      <c r="A191" s="109"/>
    </row>
    <row r="192" spans="1:1">
      <c r="A192" s="109"/>
    </row>
    <row r="193" spans="1:1">
      <c r="A193" s="109"/>
    </row>
    <row r="194" spans="1:1">
      <c r="A194" s="109"/>
    </row>
    <row r="195" spans="1:1">
      <c r="A195" s="109"/>
    </row>
  </sheetData>
  <sheetProtection algorithmName="SHA-512" hashValue="Cg3HgiZ7uc0VdC8GBl+lzlJ8S9wjv5hL8vwIJ+wtaRbZRWwRSNyq9JebwBA5zyZHyk3CQ976L3kJzzpl870FbA==" saltValue="8wjQQ3AceupyM94hHZUB7A==" spinCount="100000" sheet="1" objects="1" scenarios="1" selectLockedCells="1"/>
  <mergeCells count="2">
    <mergeCell ref="B47:L47"/>
    <mergeCell ref="C38:L38"/>
  </mergeCells>
  <dataValidations count="4">
    <dataValidation type="decimal" allowBlank="1" showInputMessage="1" showErrorMessage="1" errorTitle="Invalid Entry" error="Value must be greater than 0.01% and less than or equal to 99%." sqref="B10:B11" xr:uid="{00000000-0002-0000-0400-000000000000}">
      <formula1>0.0001</formula1>
      <formula2>0.99</formula2>
    </dataValidation>
    <dataValidation type="decimal" operator="lessThanOrEqual" allowBlank="1" showInputMessage="1" showErrorMessage="1" errorTitle="Invalid Entry" error="Value must be less than 0." sqref="B19:B20 C18:V20" xr:uid="{00000000-0002-0000-0400-000001000000}">
      <formula1>0</formula1>
    </dataValidation>
    <dataValidation type="decimal" operator="greaterThanOrEqual" allowBlank="1" showInputMessage="1" showErrorMessage="1" errorTitle="Invalid entry" error="Value must be greater than or equal to 0." sqref="C27 C28:V28" xr:uid="{00000000-0002-0000-0400-000002000000}">
      <formula1>0</formula1>
    </dataValidation>
    <dataValidation operator="lessThanOrEqual" allowBlank="1" showInputMessage="1" showErrorMessage="1" errorTitle="Invalid Entry" error="Value must be less than 0." sqref="B22" xr:uid="{00000000-0002-0000-0400-000004000000}"/>
  </dataValidations>
  <printOptions horizontalCentered="1"/>
  <pageMargins left="0.25" right="0.25" top="0.75" bottom="0.75" header="0.3" footer="0.3"/>
  <pageSetup scale="57" orientation="portrait" r:id="rId1"/>
  <headerFooter>
    <oddHeader>&amp;L&amp;G</oddHeader>
    <oddFooter>&amp;C&amp;"Arial,Regular"&amp;10Page &amp;P of &amp;N</oddFooter>
  </headerFooter>
  <rowBreaks count="1" manualBreakCount="1">
    <brk id="46" max="16383"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61"/>
  <sheetViews>
    <sheetView workbookViewId="0">
      <selection activeCell="C5" sqref="C5"/>
    </sheetView>
  </sheetViews>
  <sheetFormatPr defaultColWidth="9.21875" defaultRowHeight="14.4"/>
  <cols>
    <col min="1" max="1" width="13" style="4" customWidth="1"/>
    <col min="2" max="2" width="17.6640625" style="4" customWidth="1"/>
    <col min="3" max="3" width="152.21875" style="4" customWidth="1"/>
    <col min="4" max="16384" width="9.21875" style="4"/>
  </cols>
  <sheetData>
    <row r="1" spans="1:6" s="8" customFormat="1" ht="59.25" customHeight="1">
      <c r="A1" s="8" t="s">
        <v>63</v>
      </c>
      <c r="B1" s="8" t="s">
        <v>64</v>
      </c>
      <c r="C1" s="8" t="s">
        <v>61</v>
      </c>
      <c r="D1" s="8" t="s">
        <v>270</v>
      </c>
      <c r="E1" s="8" t="s">
        <v>271</v>
      </c>
      <c r="F1" s="8" t="s">
        <v>272</v>
      </c>
    </row>
    <row r="2" spans="1:6">
      <c r="A2" s="4" t="s">
        <v>65</v>
      </c>
      <c r="B2" s="4" t="s">
        <v>71</v>
      </c>
      <c r="C2" s="4" t="s">
        <v>66</v>
      </c>
      <c r="D2" s="4" t="s">
        <v>565</v>
      </c>
      <c r="E2" s="4" t="s">
        <v>566</v>
      </c>
      <c r="F2" s="4" t="s">
        <v>567</v>
      </c>
    </row>
    <row r="3" spans="1:6" s="6" customFormat="1" ht="28.8">
      <c r="A3" s="6" t="s">
        <v>75</v>
      </c>
      <c r="B3" s="6" t="s">
        <v>249</v>
      </c>
      <c r="C3" s="7" t="s">
        <v>1705</v>
      </c>
      <c r="D3" s="6" t="s">
        <v>568</v>
      </c>
      <c r="E3" s="6" t="s">
        <v>569</v>
      </c>
      <c r="F3" s="6" t="s">
        <v>570</v>
      </c>
    </row>
    <row r="4" spans="1:6">
      <c r="A4" s="4" t="s">
        <v>75</v>
      </c>
      <c r="B4" s="4" t="s">
        <v>248</v>
      </c>
      <c r="C4" s="5" t="s">
        <v>1733</v>
      </c>
      <c r="D4" s="4" t="s">
        <v>571</v>
      </c>
      <c r="E4" s="4" t="s">
        <v>572</v>
      </c>
      <c r="F4" s="4" t="s">
        <v>573</v>
      </c>
    </row>
    <row r="5" spans="1:6" ht="409.6">
      <c r="A5" s="4" t="s">
        <v>75</v>
      </c>
      <c r="B5" s="4" t="s">
        <v>234</v>
      </c>
      <c r="C5" s="5" t="s">
        <v>1701</v>
      </c>
      <c r="D5" s="5" t="s">
        <v>1702</v>
      </c>
      <c r="E5" s="5" t="s">
        <v>1703</v>
      </c>
      <c r="F5" s="5" t="s">
        <v>1704</v>
      </c>
    </row>
    <row r="6" spans="1:6">
      <c r="A6" s="4" t="s">
        <v>75</v>
      </c>
      <c r="B6" s="4" t="s">
        <v>227</v>
      </c>
      <c r="C6" s="4" t="s">
        <v>175</v>
      </c>
      <c r="D6" s="4" t="s">
        <v>574</v>
      </c>
      <c r="E6" s="4" t="s">
        <v>575</v>
      </c>
      <c r="F6" s="4" t="s">
        <v>576</v>
      </c>
    </row>
    <row r="7" spans="1:6">
      <c r="A7" s="4" t="s">
        <v>72</v>
      </c>
      <c r="B7" s="4" t="s">
        <v>174</v>
      </c>
      <c r="C7" s="4" t="s">
        <v>157</v>
      </c>
      <c r="D7" s="4" t="s">
        <v>577</v>
      </c>
      <c r="E7" s="4" t="s">
        <v>578</v>
      </c>
      <c r="F7" s="4" t="s">
        <v>579</v>
      </c>
    </row>
    <row r="8" spans="1:6" ht="28.8">
      <c r="A8" s="4" t="s">
        <v>72</v>
      </c>
      <c r="B8" s="4" t="s">
        <v>158</v>
      </c>
      <c r="C8" s="5" t="s">
        <v>73</v>
      </c>
      <c r="D8" s="4" t="s">
        <v>580</v>
      </c>
      <c r="E8" s="4" t="s">
        <v>581</v>
      </c>
      <c r="F8" s="4" t="s">
        <v>582</v>
      </c>
    </row>
    <row r="9" spans="1:6" ht="43.2">
      <c r="A9" s="4" t="s">
        <v>72</v>
      </c>
      <c r="B9" s="4" t="s">
        <v>74</v>
      </c>
      <c r="C9" s="5" t="s">
        <v>263</v>
      </c>
      <c r="D9" s="4" t="s">
        <v>583</v>
      </c>
      <c r="E9" s="4" t="s">
        <v>584</v>
      </c>
      <c r="F9" s="4" t="s">
        <v>585</v>
      </c>
    </row>
    <row r="10" spans="1:6" ht="57.6">
      <c r="A10" s="4" t="s">
        <v>72</v>
      </c>
      <c r="B10" s="4" t="s">
        <v>159</v>
      </c>
      <c r="C10" s="5" t="s">
        <v>260</v>
      </c>
      <c r="D10" s="4" t="s">
        <v>586</v>
      </c>
      <c r="E10" s="4" t="s">
        <v>587</v>
      </c>
      <c r="F10" s="4" t="s">
        <v>588</v>
      </c>
    </row>
    <row r="11" spans="1:6" ht="43.2">
      <c r="A11" s="4" t="s">
        <v>162</v>
      </c>
      <c r="B11" s="4" t="s">
        <v>164</v>
      </c>
      <c r="C11" s="249" t="s">
        <v>189</v>
      </c>
      <c r="D11" s="4" t="s">
        <v>589</v>
      </c>
      <c r="E11" s="4" t="s">
        <v>590</v>
      </c>
      <c r="F11" s="4" t="s">
        <v>591</v>
      </c>
    </row>
    <row r="12" spans="1:6">
      <c r="A12" s="4" t="s">
        <v>162</v>
      </c>
      <c r="B12" s="4" t="s">
        <v>167</v>
      </c>
      <c r="C12" s="247" t="s">
        <v>165</v>
      </c>
      <c r="D12" s="4" t="s">
        <v>577</v>
      </c>
      <c r="E12" s="4" t="s">
        <v>578</v>
      </c>
      <c r="F12" s="4" t="s">
        <v>579</v>
      </c>
    </row>
    <row r="13" spans="1:6" ht="57.6">
      <c r="A13" s="4" t="s">
        <v>162</v>
      </c>
      <c r="B13" s="4" t="s">
        <v>163</v>
      </c>
      <c r="C13" s="249" t="s">
        <v>188</v>
      </c>
      <c r="D13" s="4" t="s">
        <v>592</v>
      </c>
      <c r="E13" s="4" t="s">
        <v>593</v>
      </c>
      <c r="F13" s="4" t="s">
        <v>594</v>
      </c>
    </row>
    <row r="14" spans="1:6">
      <c r="A14" s="4" t="s">
        <v>162</v>
      </c>
      <c r="B14" s="4" t="s">
        <v>168</v>
      </c>
      <c r="C14" s="247" t="s">
        <v>166</v>
      </c>
      <c r="D14" s="4" t="s">
        <v>577</v>
      </c>
      <c r="E14" s="4" t="s">
        <v>578</v>
      </c>
      <c r="F14" s="4" t="s">
        <v>579</v>
      </c>
    </row>
    <row r="15" spans="1:6">
      <c r="A15" s="4" t="s">
        <v>65</v>
      </c>
      <c r="B15" s="4" t="s">
        <v>241</v>
      </c>
      <c r="C15" s="247" t="s">
        <v>213</v>
      </c>
      <c r="D15" s="4" t="s">
        <v>595</v>
      </c>
      <c r="E15" s="4" t="s">
        <v>596</v>
      </c>
      <c r="F15" s="4" t="s">
        <v>597</v>
      </c>
    </row>
    <row r="16" spans="1:6" ht="43.2">
      <c r="A16" s="4" t="s">
        <v>65</v>
      </c>
      <c r="B16" s="4" t="s">
        <v>242</v>
      </c>
      <c r="C16" s="249" t="s">
        <v>214</v>
      </c>
      <c r="D16" s="4" t="s">
        <v>598</v>
      </c>
      <c r="E16" s="4" t="s">
        <v>599</v>
      </c>
      <c r="F16" s="4" t="s">
        <v>600</v>
      </c>
    </row>
    <row r="17" spans="1:6" ht="43.2">
      <c r="A17" s="4" t="s">
        <v>65</v>
      </c>
      <c r="B17" s="4" t="s">
        <v>243</v>
      </c>
      <c r="C17" s="249" t="s">
        <v>1731</v>
      </c>
      <c r="D17" s="4" t="s">
        <v>601</v>
      </c>
      <c r="E17" s="4" t="s">
        <v>602</v>
      </c>
      <c r="F17" s="4" t="s">
        <v>603</v>
      </c>
    </row>
    <row r="18" spans="1:6" ht="57.6">
      <c r="A18" s="4" t="s">
        <v>65</v>
      </c>
      <c r="B18" s="4" t="s">
        <v>240</v>
      </c>
      <c r="C18" s="249" t="s">
        <v>190</v>
      </c>
      <c r="D18" s="4" t="s">
        <v>604</v>
      </c>
      <c r="E18" s="4" t="s">
        <v>605</v>
      </c>
      <c r="F18" s="4" t="s">
        <v>606</v>
      </c>
    </row>
    <row r="19" spans="1:6" ht="144">
      <c r="A19" s="4" t="s">
        <v>65</v>
      </c>
      <c r="B19" s="4" t="s">
        <v>169</v>
      </c>
      <c r="C19" s="249" t="str">
        <f>"Net Present Value (NPV) estimates how much the project’s future energy savings are worth in today’s dollars after subtracting the initial investment."&amp;CHAR(10)&amp;CHAR(10)&amp;"The calculation recognizes that money received in the future is worth less than money received today. It also accounts for the selected discount rate and the expected annual increase in energy costs."&amp;CHAR(10)&amp;CHAR(10)&amp;"• A positive NPV means the projected savings are greater than the investment."&amp;CHAR(10)&amp;CHAR(10)&amp;"• A negative NPV means the projected savings are not expected to recover the investment within the selected period."&amp;CHAR(10)&amp;CHAR(10)&amp;"For example, an NPV of "&amp;TEXT(Home!H41,"$#,##0")&amp;" over 5 years means the project is expected to "&amp;IF(Home!H41&gt;=0,"provide approximately $"&amp;TEXT(Home!H41/1000000,"0.00")&amp;" million more value than its initial cost","fall approximately $"&amp;TEXT(ABS(Home!H41)/1000000,"0.00")&amp;" million short of recovering its initial cost")&amp;", expressed in today’s dollars."</f>
        <v>Net Present Value (NPV) estimates how much the project’s future energy savings are worth in today’s dollars after subtracting the initial investment.
The calculation recognizes that money received in the future is worth less than money received today. It also accounts for the selected discount rate and the expected annual increase in energy costs.
• A positive NPV means the projected savings are greater than the investment.
• A negative NPV means the projected savings are not expected to recover the investment within the selected period.
For example, an NPV of $243,391 over 5 years means the project is expected to provide approximately $0.24 million more value than its initial cost, expressed in today’s dollars.</v>
      </c>
      <c r="D19" s="4" t="str">
        <f>"El Valor Presente Neto (VPN) estima cuánto valen hoy los ahorros de energía futuros del proyecto, después de restar la inversión inicial."&amp;CHAR(10)&amp;CHAR(10)&amp;"El cálculo reconoce que el dinero recibido en el futuro vale menos que el dinero recibido hoy. También considera la tasa de descuento seleccionada y el aumento anual previsto del costo de la energía."&amp;CHAR(10)&amp;CHAR(10)&amp;"• Un VPN positivo significa que los ahorros proyectados superan la inversión."&amp;CHAR(10)&amp;CHAR(10)&amp;"• Un VPN negativo significa que no se espera que los ahorros proyectados recuperen la inversión dentro del período seleccionado."&amp;CHAR(10)&amp;CHAR(10)&amp;"Por ejemplo, un VPN de "&amp;TEXT(Home!H41,"$#,##0")&amp;" en 5 años significa que se espera que el proyecto "&amp;IF(Home!H41&gt;=0,"aporte aproximadamente $"&amp;SUBSTITUTE(TEXT(Home!H41/1000000,"0.00"),".",",")&amp;" millones más de valor que su costo inicial","no recupere su costo inicial, quedando aproximadamente $"&amp;SUBSTITUTE(TEXT(ABS(Home!H41)/1000000,"0.00"),".",",")&amp;" millones por debajo")&amp;", expresado en dólares de hoy."</f>
        <v>El Valor Presente Neto (VPN) estima cuánto valen hoy los ahorros de energía futuros del proyecto, después de restar la inversión inicial.
El cálculo reconoce que el dinero recibido en el futuro vale menos que el dinero recibido hoy. También considera la tasa de descuento seleccionada y el aumento anual previsto del costo de la energía.
• Un VPN positivo significa que los ahorros proyectados superan la inversión.
• Un VPN negativo significa que no se espera que los ahorros proyectados recuperen la inversión dentro del período seleccionado.
Por ejemplo, un VPN de $243,391 en 5 años significa que se espera que el proyecto aporte aproximadamente $0,24 millones más de valor que su costo inicial, expresado en dólares de hoy.</v>
      </c>
      <c r="E19" s="4" t="str">
        <f>"O Valor Presente Líquido (VPL) estima quanto valem hoje as economias futuras de energia do projeto, após subtrair o investimento inicial."&amp;CHAR(10)&amp;CHAR(10)&amp;"O cálculo reconhece que o dinheiro recebido no futuro vale menos que o dinheiro recebido hoje. Também considera a taxa de desconto selecionada e o aumento anual previsto do custo da energia."&amp;CHAR(10)&amp;CHAR(10)&amp;"• Um VPL positivo significa que as economias projetadas superam o investimento."&amp;CHAR(10)&amp;CHAR(10)&amp;"• Um VPL negativo significa que não se espera que as economias projetadas recuperem o investimento dentro do período selecionado."&amp;CHAR(10)&amp;CHAR(10)&amp;"Por exemplo, um VPL de "&amp;TEXT(Home!H41,"$#,##0")&amp;" em 5 anos significa que se espera que o projeto "&amp;IF(Home!H41&gt;=0,"gere aproximadamente $"&amp;SUBSTITUTE(TEXT(Home!H41/1000000,"0.00"),".",",")&amp;" milhões a mais de valor do que seu custo inicial","não recupere seu custo inicial, ficando aproximadamente $"&amp;SUBSTITUTE(TEXT(ABS(Home!H41)/1000000,"0.00"),".",",")&amp;" milhões abaixo")&amp;", expresso em dólares de hoje."</f>
        <v>O Valor Presente Líquido (VPL) estima quanto valem hoje as economias futuras de energia do projeto, após subtrair o investimento inicial.
O cálculo reconhece que o dinheiro recebido no futuro vale menos que o dinheiro recebido hoje. Também considera a taxa de desconto selecionada e o aumento anual previsto do custo da energia.
• Um VPL positivo significa que as economias projetadas superam o investimento.
• Um VPL negativo significa que não se espera que as economias projetadas recuperem o investimento dentro do período selecionado.
Por exemplo, um VPL de $243,391 em 5 anos significa que se espera que o projeto gere aproximadamente $0,24 milhões a mais de valor do que seu custo inicial, expresso em dólares de hoje.</v>
      </c>
      <c r="F19" s="4" t="str">
        <f>"La Valeur Actuelle Nette (VAN) estime ce que valent aujourd’hui les économies d’énergie futures du projet, après déduction de l’investissement initial."&amp;CHAR(10)&amp;CHAR(10)&amp;"Le calcul tient compte du fait que l’argent reçu dans le futur vaut moins que l’argent reçu aujourd’hui. Il intègre aussi le taux d’actualisation choisi et la hausse annuelle prévue du coût de l’énergie."&amp;CHAR(10)&amp;CHAR(10)&amp;"• Une VAN positive signifie que les économies prévues dépassent l’investissement."&amp;CHAR(10)&amp;CHAR(10)&amp;"• Une VAN négative signifie que les économies prévues ne devraient pas permettre de récupérer l’investissement sur la période retenue."&amp;CHAR(10)&amp;CHAR(10)&amp;"Par exemple, une VAN de "&amp;TEXT(Home!H41,"$#,##0")&amp;" sur 5 ans signifie que le projet "&amp;IF(Home!H41&gt;=0,"devrait apporter environ $"&amp;SUBSTITUTE(TEXT(Home!H41/1000000,"0.00"),".",",")&amp;IF(Home!H41/1000000&gt;=2," millions"," million")&amp;" de valeur de plus que son coût initial","ne devrait pas récupérer son coût initial, avec un déficit d’environ $"&amp;SUBSTITUTE(TEXT(ABS(Home!H41)/1000000,"0.00"),".",",")&amp;IF(ABS(Home!H41)/1000000&gt;=2," millions"," million"))&amp;", exprimé en dollars d’aujourd’hui."</f>
        <v>La Valeur Actuelle Nette (VAN) estime ce que valent aujourd’hui les économies d’énergie futures du projet, après déduction de l’investissement initial.
Le calcul tient compte du fait que l’argent reçu dans le futur vaut moins que l’argent reçu aujourd’hui. Il intègre aussi le taux d’actualisation choisi et la hausse annuelle prévue du coût de l’énergie.
• Une VAN positive signifie que les économies prévues dépassent l’investissement.
• Une VAN négative signifie que les économies prévues ne devraient pas permettre de récupérer l’investissement sur la période retenue.
Par exemple, une VAN de $243,391 sur 5 ans signifie que le projet devrait apporter environ $0,24 million de valeur de plus que son coût initial, exprimé en dollars d’aujourd’hui.</v>
      </c>
    </row>
    <row r="20" spans="1:6">
      <c r="A20" s="4" t="s">
        <v>65</v>
      </c>
      <c r="B20" s="4" t="s">
        <v>244</v>
      </c>
      <c r="C20" s="247" t="s">
        <v>215</v>
      </c>
      <c r="D20" s="4" t="s">
        <v>577</v>
      </c>
      <c r="E20" s="4" t="s">
        <v>578</v>
      </c>
      <c r="F20" s="4" t="s">
        <v>579</v>
      </c>
    </row>
    <row r="21" spans="1:6" ht="28.8">
      <c r="A21" s="4" t="s">
        <v>65</v>
      </c>
      <c r="B21" s="4" t="s">
        <v>210</v>
      </c>
      <c r="C21" s="5" t="s">
        <v>62</v>
      </c>
      <c r="D21" s="4" t="s">
        <v>577</v>
      </c>
      <c r="E21" s="4" t="s">
        <v>578</v>
      </c>
      <c r="F21" s="4" t="s">
        <v>579</v>
      </c>
    </row>
    <row r="22" spans="1:6" ht="72">
      <c r="A22" s="4" t="s">
        <v>65</v>
      </c>
      <c r="B22" s="4" t="s">
        <v>211</v>
      </c>
      <c r="C22" s="5" t="s">
        <v>258</v>
      </c>
      <c r="D22" s="4" t="s">
        <v>607</v>
      </c>
      <c r="E22" s="4" t="s">
        <v>608</v>
      </c>
      <c r="F22" s="4" t="s">
        <v>609</v>
      </c>
    </row>
    <row r="23" spans="1:6">
      <c r="A23" s="4" t="s">
        <v>65</v>
      </c>
      <c r="B23" s="4" t="s">
        <v>212</v>
      </c>
      <c r="C23" s="4" t="s">
        <v>67</v>
      </c>
      <c r="D23" s="4" t="s">
        <v>610</v>
      </c>
      <c r="E23" s="4" t="s">
        <v>611</v>
      </c>
      <c r="F23" s="4" t="s">
        <v>612</v>
      </c>
    </row>
    <row r="24" spans="1:6">
      <c r="A24" s="4" t="s">
        <v>65</v>
      </c>
      <c r="B24" s="4" t="s">
        <v>245</v>
      </c>
      <c r="C24" s="247" t="s">
        <v>216</v>
      </c>
      <c r="D24" s="4" t="s">
        <v>577</v>
      </c>
      <c r="E24" s="4" t="s">
        <v>578</v>
      </c>
      <c r="F24" s="4" t="s">
        <v>579</v>
      </c>
    </row>
    <row r="25" spans="1:6">
      <c r="A25" s="4" t="s">
        <v>65</v>
      </c>
      <c r="B25" s="4" t="s">
        <v>238</v>
      </c>
      <c r="C25" s="4" t="s">
        <v>68</v>
      </c>
      <c r="D25" s="4" t="s">
        <v>613</v>
      </c>
      <c r="E25" s="4" t="s">
        <v>614</v>
      </c>
      <c r="F25" s="4" t="s">
        <v>615</v>
      </c>
    </row>
    <row r="26" spans="1:6" ht="28.8">
      <c r="A26" s="4" t="s">
        <v>65</v>
      </c>
      <c r="B26" s="4" t="s">
        <v>219</v>
      </c>
      <c r="C26" s="250" t="s">
        <v>170</v>
      </c>
      <c r="D26" s="4" t="s">
        <v>592</v>
      </c>
      <c r="E26" s="4" t="s">
        <v>593</v>
      </c>
      <c r="F26" s="4" t="s">
        <v>594</v>
      </c>
    </row>
    <row r="27" spans="1:6">
      <c r="A27" s="4" t="s">
        <v>65</v>
      </c>
      <c r="B27" s="4" t="s">
        <v>220</v>
      </c>
      <c r="C27" s="251" t="s">
        <v>171</v>
      </c>
      <c r="D27" s="4" t="s">
        <v>589</v>
      </c>
      <c r="E27" s="4" t="s">
        <v>590</v>
      </c>
      <c r="F27" s="4" t="s">
        <v>591</v>
      </c>
    </row>
    <row r="28" spans="1:6">
      <c r="A28" s="4" t="s">
        <v>65</v>
      </c>
      <c r="B28" s="4" t="s">
        <v>239</v>
      </c>
      <c r="C28" s="1" t="s">
        <v>69</v>
      </c>
      <c r="D28" s="4" t="s">
        <v>616</v>
      </c>
      <c r="E28" s="4" t="s">
        <v>617</v>
      </c>
      <c r="F28" s="4" t="s">
        <v>618</v>
      </c>
    </row>
    <row r="29" spans="1:6">
      <c r="A29" s="4" t="s">
        <v>65</v>
      </c>
      <c r="B29" s="4" t="s">
        <v>221</v>
      </c>
      <c r="C29" s="1" t="s">
        <v>69</v>
      </c>
      <c r="D29" s="4" t="s">
        <v>616</v>
      </c>
      <c r="E29" s="4" t="s">
        <v>617</v>
      </c>
      <c r="F29" s="4" t="s">
        <v>618</v>
      </c>
    </row>
    <row r="30" spans="1:6">
      <c r="A30" s="4" t="s">
        <v>65</v>
      </c>
      <c r="B30" s="4" t="s">
        <v>222</v>
      </c>
      <c r="C30" s="1" t="s">
        <v>70</v>
      </c>
      <c r="D30" s="4" t="s">
        <v>616</v>
      </c>
      <c r="E30" s="4" t="s">
        <v>617</v>
      </c>
      <c r="F30" s="4" t="s">
        <v>618</v>
      </c>
    </row>
    <row r="31" spans="1:6">
      <c r="A31" s="4" t="s">
        <v>65</v>
      </c>
      <c r="B31" s="4" t="s">
        <v>246</v>
      </c>
      <c r="C31" t="s">
        <v>217</v>
      </c>
      <c r="D31" s="4" t="s">
        <v>577</v>
      </c>
      <c r="E31" s="4" t="s">
        <v>578</v>
      </c>
      <c r="F31" s="4" t="s">
        <v>579</v>
      </c>
    </row>
    <row r="32" spans="1:6">
      <c r="A32" s="4" t="s">
        <v>65</v>
      </c>
      <c r="B32" s="4" t="s">
        <v>247</v>
      </c>
      <c r="C32" t="s">
        <v>218</v>
      </c>
      <c r="D32" s="4" t="s">
        <v>577</v>
      </c>
      <c r="E32" s="4" t="s">
        <v>578</v>
      </c>
      <c r="F32" s="4" t="s">
        <v>579</v>
      </c>
    </row>
    <row r="33" spans="1:6">
      <c r="A33" s="4" t="s">
        <v>76</v>
      </c>
      <c r="B33" s="4" t="s">
        <v>77</v>
      </c>
      <c r="C33" s="248" t="s">
        <v>257</v>
      </c>
      <c r="D33" s="4" t="s">
        <v>701</v>
      </c>
      <c r="E33" s="4" t="s">
        <v>702</v>
      </c>
      <c r="F33" s="4" t="s">
        <v>703</v>
      </c>
    </row>
    <row r="34" spans="1:6">
      <c r="A34" s="4" t="s">
        <v>76</v>
      </c>
      <c r="B34" s="4" t="s">
        <v>78</v>
      </c>
      <c r="C34" s="248" t="s">
        <v>257</v>
      </c>
      <c r="D34" s="4" t="s">
        <v>701</v>
      </c>
      <c r="E34" s="4" t="s">
        <v>702</v>
      </c>
      <c r="F34" s="4" t="s">
        <v>703</v>
      </c>
    </row>
    <row r="35" spans="1:6">
      <c r="A35" s="4" t="s">
        <v>76</v>
      </c>
      <c r="B35" s="4" t="s">
        <v>79</v>
      </c>
      <c r="C35" s="248" t="s">
        <v>257</v>
      </c>
      <c r="D35" s="4" t="s">
        <v>701</v>
      </c>
      <c r="E35" s="4" t="s">
        <v>702</v>
      </c>
      <c r="F35" s="4" t="s">
        <v>703</v>
      </c>
    </row>
    <row r="36" spans="1:6">
      <c r="A36" s="4" t="s">
        <v>76</v>
      </c>
      <c r="B36" s="4" t="s">
        <v>80</v>
      </c>
      <c r="C36" s="248" t="s">
        <v>257</v>
      </c>
      <c r="D36" s="4" t="s">
        <v>701</v>
      </c>
      <c r="E36" s="4" t="s">
        <v>702</v>
      </c>
      <c r="F36" s="4" t="s">
        <v>703</v>
      </c>
    </row>
    <row r="37" spans="1:6">
      <c r="A37" s="4" t="s">
        <v>76</v>
      </c>
      <c r="B37" s="4" t="s">
        <v>81</v>
      </c>
      <c r="C37" s="248" t="s">
        <v>257</v>
      </c>
      <c r="D37" s="4" t="s">
        <v>701</v>
      </c>
      <c r="E37" s="4" t="s">
        <v>702</v>
      </c>
      <c r="F37" s="4" t="s">
        <v>703</v>
      </c>
    </row>
    <row r="38" spans="1:6" ht="28.8">
      <c r="A38" s="4" t="s">
        <v>76</v>
      </c>
      <c r="B38" s="4" t="s">
        <v>226</v>
      </c>
      <c r="C38" s="248" t="s">
        <v>1705</v>
      </c>
      <c r="D38" s="4" t="s">
        <v>568</v>
      </c>
      <c r="E38" s="4" t="s">
        <v>569</v>
      </c>
      <c r="F38" s="4" t="s">
        <v>570</v>
      </c>
    </row>
    <row r="39" spans="1:6">
      <c r="A39" s="4" t="s">
        <v>76</v>
      </c>
      <c r="B39" s="4" t="s">
        <v>160</v>
      </c>
      <c r="C39" s="248" t="s">
        <v>257</v>
      </c>
      <c r="D39" s="4" t="s">
        <v>701</v>
      </c>
      <c r="E39" s="4" t="s">
        <v>702</v>
      </c>
      <c r="F39" s="4" t="s">
        <v>703</v>
      </c>
    </row>
    <row r="40" spans="1:6" ht="409.6">
      <c r="A40" s="4" t="s">
        <v>76</v>
      </c>
      <c r="B40" s="4" t="s">
        <v>259</v>
      </c>
      <c r="C40" s="248" t="s">
        <v>1706</v>
      </c>
      <c r="D40" s="5" t="s">
        <v>1707</v>
      </c>
      <c r="E40" s="5" t="s">
        <v>1708</v>
      </c>
      <c r="F40" s="5" t="s">
        <v>1709</v>
      </c>
    </row>
    <row r="41" spans="1:6" ht="28.8">
      <c r="A41" s="4" t="s">
        <v>76</v>
      </c>
      <c r="B41" s="4" t="s">
        <v>161</v>
      </c>
      <c r="C41" s="5" t="s">
        <v>176</v>
      </c>
      <c r="D41" s="4" t="s">
        <v>704</v>
      </c>
      <c r="E41" s="4" t="s">
        <v>705</v>
      </c>
      <c r="F41" s="4" t="s">
        <v>706</v>
      </c>
    </row>
    <row r="42" spans="1:6" ht="28.8">
      <c r="A42" s="4" t="s">
        <v>76</v>
      </c>
      <c r="B42" s="4" t="s">
        <v>237</v>
      </c>
      <c r="C42" s="5" t="s">
        <v>1732</v>
      </c>
      <c r="D42" s="4" t="s">
        <v>707</v>
      </c>
      <c r="E42" s="4" t="s">
        <v>708</v>
      </c>
      <c r="F42" s="4" t="s">
        <v>709</v>
      </c>
    </row>
    <row r="43" spans="1:6">
      <c r="A43" s="4" t="s">
        <v>76</v>
      </c>
      <c r="B43" s="4" t="s">
        <v>224</v>
      </c>
      <c r="C43" s="5" t="s">
        <v>225</v>
      </c>
      <c r="D43" s="4" t="s">
        <v>710</v>
      </c>
      <c r="E43" s="4" t="s">
        <v>711</v>
      </c>
      <c r="F43" s="4" t="s">
        <v>712</v>
      </c>
    </row>
    <row r="44" spans="1:6" ht="115.2">
      <c r="A44" s="4" t="s">
        <v>162</v>
      </c>
      <c r="B44" s="4" t="s">
        <v>1670</v>
      </c>
      <c r="C44" s="5" t="str">
        <f>"Present Value (PV) is what money received in the future is worth today."&amp;CHAR(10)&amp;CHAR(10)&amp;"A dollar received years from now is worth less than a dollar today, because today's dollar could be earning interest in the meantime. PV converts a future amount back into today's money using the discount rate entered above."&amp;CHAR(10)&amp;CHAR(10)&amp;"Every future saving in this analysis is discounted this way before being added up."&amp;CHAR(10)&amp;CHAR(10)&amp;"For example, Year 1 savings of "&amp;TEXT(Financials!C26,"$#,##0")&amp;" count as "&amp;TEXT(Financials!C36,"$#,##0")&amp;" in today's money."</f>
        <v>Present Value (PV) is what money received in the future is worth today.
A dollar received years from now is worth less than a dollar today, because today's dollar could be earning interest in the meantime. PV converts a future amount back into today's money using the discount rate entered above.
Every future saving in this analysis is discounted this way before being added up.
For example, Year 1 savings of $89,357 count as $85,920 in today's money.</v>
      </c>
      <c r="D44" s="4" t="str">
        <f>"El Valor Presente (VP) es lo que vale hoy el dinero que se recibirá en el futuro."&amp;CHAR(10)&amp;CHAR(10)&amp;"Un dólar recibido dentro de varios años vale menos que un dólar de hoy, porque el dinero de hoy puede generar intereses mientras tanto. El VP convierte un importe futuro a dinero de hoy usando la tasa de descuento indicada arriba."&amp;CHAR(10)&amp;CHAR(10)&amp;"Todos los ahorros futuros de este análisis se descuentan así antes de sumarse."&amp;CHAR(10)&amp;CHAR(10)&amp;"Por ejemplo, los ahorros del año 1 de "&amp;TEXT(Financials!C26,"$#,##0")&amp;" equivalen a "&amp;TEXT(Financials!C36,"$#,##0")&amp;" en dinero de hoy."</f>
        <v>El Valor Presente (VP) es lo que vale hoy el dinero que se recibirá en el futuro.
Un dólar recibido dentro de varios años vale menos que un dólar de hoy, porque el dinero de hoy puede generar intereses mientras tanto. El VP convierte un importe futuro a dinero de hoy usando la tasa de descuento indicada arriba.
Todos los ahorros futuros de este análisis se descuentan así antes de sumarse.
Por ejemplo, los ahorros del año 1 de $89,357 equivalen a $85,920 en dinero de hoy.</v>
      </c>
      <c r="E44" s="4" t="str">
        <f>"O Valor Presente (VP) é quanto vale hoje o dinheiro que será recebido no futuro."&amp;CHAR(10)&amp;CHAR(10)&amp;"Um dólar recebido daqui a alguns anos vale menos que um dólar de hoje, porque o dinheiro de hoje pode render juros nesse período. O VP converte um valor futuro em dinheiro de hoje usando a taxa de desconto informada acima."&amp;CHAR(10)&amp;CHAR(10)&amp;"Todas as economias futuras desta análise são descontadas assim antes de serem somadas."&amp;CHAR(10)&amp;CHAR(10)&amp;"Por exemplo, as economias do ano 1 de "&amp;TEXT(Financials!C26,"$#,##0")&amp;" equivalem a "&amp;TEXT(Financials!C36,"$#,##0")&amp;" em dinheiro de hoje."</f>
        <v>O Valor Presente (VP) é quanto vale hoje o dinheiro que será recebido no futuro.
Um dólar recebido daqui a alguns anos vale menos que um dólar de hoje, porque o dinheiro de hoje pode render juros nesse período. O VP converte um valor futuro em dinheiro de hoje usando a taxa de desconto informada acima.
Todas as economias futuras desta análise são descontadas assim antes de serem somadas.
Por exemplo, as economias do ano 1 de $89,357 equivalem a $85,920 em dinheiro de hoje.</v>
      </c>
      <c r="F44" s="4" t="str">
        <f>"La Valeur Actuelle (VA) est ce que vaut aujourd'hui l'argent qui sera reçu dans le futur."&amp;CHAR(10)&amp;CHAR(10)&amp;"Un dollar reçu dans plusieurs années vaut moins qu'un dollar d'aujourd'hui, car l'argent d'aujourd'hui peut produire des intérêts entre-temps. La VA convertit un montant futur en argent d'aujourd'hui à l'aide du taux d'actualisation saisi ci-dessus."&amp;CHAR(10)&amp;CHAR(10)&amp;"Toutes les économies futures de cette analyse sont actualisées ainsi avant d'être additionnées."&amp;CHAR(10)&amp;CHAR(10)&amp;"Par exemple, les économies de l'année 1 de "&amp;TEXT(Financials!C26,"$#,##0")&amp;" équivalent à "&amp;TEXT(Financials!C36,"$#,##0")&amp;" en argent d'aujourd'hui."</f>
        <v>La Valeur Actuelle (VA) est ce que vaut aujourd'hui l'argent qui sera reçu dans le futur.
Un dollar reçu dans plusieurs années vaut moins qu'un dollar d'aujourd'hui, car l'argent d'aujourd'hui peut produire des intérêts entre-temps. La VA convertit un montant futur en argent d'aujourd'hui à l'aide du taux d'actualisation saisi ci-dessus.
Toutes les économies futures de cette analyse sont actualisées ainsi avant d'être additionnées.
Par exemple, les économies de l'année 1 de $89,357 équivalent à $85,920 en argent d'aujourd'hui.</v>
      </c>
    </row>
    <row r="45" spans="1:6" ht="144">
      <c r="A45" s="4" t="s">
        <v>162</v>
      </c>
      <c r="B45" s="4" t="s">
        <v>1671</v>
      </c>
      <c r="C45" s="5" t="str">
        <f>"Net Present Value (NPV) is the value of all future savings expressed in today's dollars, minus the initial investment."&amp;CHAR(10)&amp;CHAR(10)&amp;"It answers one question: allowing for the fact that future money is worth less than money today, how much is this project worth right now?"&amp;CHAR(10)&amp;CHAR(10)&amp;"• A positive NPV means the project is worth more than it costs."&amp;CHAR(10)&amp;"• A negative NPV means it is not expected to pay for itself."&amp;CHAR(10)&amp;CHAR(10)&amp;"The columns show NPV over different periods, so it grows as more years of savings are counted."&amp;CHAR(10)&amp;CHAR(10)&amp;"Over 10 years the NPV here is "&amp;TEXT(Financials!B40,"$#,##0")&amp;"."</f>
        <v>Net Present Value (NPV) is the value of all future savings expressed in today's dollars, minus the initial investment.
It answers one question: allowing for the fact that future money is worth less than money today, how much is this project worth right now?
• A positive NPV means the project is worth more than it costs.
• A negative NPV means it is not expected to pay for itself.
The columns show NPV over different periods, so it grows as more years of savings are counted.
Over 10 years the NPV here is $618,533.</v>
      </c>
      <c r="D45" s="4" t="str">
        <f>"El Valor Presente Neto (VPN) es el valor de todos los ahorros futuros expresado en dólares de hoy, menos la inversión inicial."&amp;CHAR(10)&amp;CHAR(10)&amp;"Responde a una pregunta: considerando que el dinero futuro vale menos que el de hoy, ¿cuánto vale este proyecto ahora mismo?"&amp;CHAR(10)&amp;CHAR(10)&amp;"• Un VPN positivo significa que el proyecto vale más de lo que cuesta."&amp;CHAR(10)&amp;"• Un VPN negativo significa que no se espera que se pague solo."&amp;CHAR(10)&amp;CHAR(10)&amp;"Las columnas muestran el VPN en distintos períodos, por lo que aumenta a medida que se cuentan más años de ahorros."&amp;CHAR(10)&amp;CHAR(10)&amp;"En 10 años el VPN aquí es "&amp;TEXT(Financials!B40,"$#,##0")&amp;"."</f>
        <v>El Valor Presente Neto (VPN) es el valor de todos los ahorros futuros expresado en dólares de hoy, menos la inversión inicial.
Responde a una pregunta: considerando que el dinero futuro vale menos que el de hoy, ¿cuánto vale este proyecto ahora mismo?
• Un VPN positivo significa que el proyecto vale más de lo que cuesta.
• Un VPN negativo significa que no se espera que se pague solo.
Las columnas muestran el VPN en distintos períodos, por lo que aumenta a medida que se cuentan más años de ahorros.
En 10 años el VPN aquí es $618,533.</v>
      </c>
      <c r="E45" s="4" t="str">
        <f>"O Valor Presente Líquido (VPL) é o valor de todas as economias futuras expresso em dólares de hoje, menos o investimento inicial."&amp;CHAR(10)&amp;CHAR(10)&amp;"Ele responde a uma pergunta: considerando que o dinheiro futuro vale menos que o de hoje, quanto vale este projeto agora?"&amp;CHAR(10)&amp;CHAR(10)&amp;"• Um VPL positivo significa que o projeto vale mais do que custa."&amp;CHAR(10)&amp;"• Um VPL negativo significa que não se espera que ele se pague."&amp;CHAR(10)&amp;CHAR(10)&amp;"As colunas mostram o VPL em períodos diferentes, por isso ele cresce à medida que mais anos de economia são contados."&amp;CHAR(10)&amp;CHAR(10)&amp;"Em 10 anos o VPL aqui é "&amp;TEXT(Financials!B40,"$#,##0")&amp;"."</f>
        <v>O Valor Presente Líquido (VPL) é o valor de todas as economias futuras expresso em dólares de hoje, menos o investimento inicial.
Ele responde a uma pergunta: considerando que o dinheiro futuro vale menos que o de hoje, quanto vale este projeto agora?
• Um VPL positivo significa que o projeto vale mais do que custa.
• Um VPL negativo significa que não se espera que ele se pague.
As colunas mostram o VPL em períodos diferentes, por isso ele cresce à medida que mais anos de economia são contados.
Em 10 anos o VPL aqui é $618,533.</v>
      </c>
      <c r="F45" s="4" t="str">
        <f>"La Valeur Actuelle Nette (VAN) est la valeur de toutes les économies futures exprimée en dollars d'aujourd'hui, moins l'investissement initial."&amp;CHAR(10)&amp;CHAR(10)&amp;"Elle répond à une question : compte tenu du fait que l'argent futur vaut moins que l'argent d'aujourd'hui, combien vaut ce projet maintenant ?"&amp;CHAR(10)&amp;CHAR(10)&amp;"• Une VAN positive signifie que le projet vaut plus qu'il ne coûte."&amp;CHAR(10)&amp;"• Une VAN négative signifie qu'il ne devrait pas se rentabiliser."&amp;CHAR(10)&amp;CHAR(10)&amp;"Les colonnes montrent la VAN sur différentes périodes ; elle augmente donc à mesure que davantage d'années d'économies sont comptées."&amp;CHAR(10)&amp;CHAR(10)&amp;"Sur 10 ans, la VAN ici est de "&amp;TEXT(Financials!B40,"$#,##0")&amp;"."</f>
        <v>La Valeur Actuelle Nette (VAN) est la valeur de toutes les économies futures exprimée en dollars d'aujourd'hui, moins l'investissement initial.
Elle répond à une question : compte tenu du fait que l'argent futur vaut moins que l'argent d'aujourd'hui, combien vaut ce projet maintenant ?
• Une VAN positive signifie que le projet vaut plus qu'il ne coûte.
• Une VAN négative signifie qu'il ne devrait pas se rentabiliser.
Les colonnes montrent la VAN sur différentes périodes ; elle augmente donc à mesure que davantage d'années d'économies sont comptées.
Sur 10 ans, la VAN ici est de $618,533.</v>
      </c>
    </row>
    <row r="46" spans="1:6" ht="115.2">
      <c r="A46" s="4" t="s">
        <v>162</v>
      </c>
      <c r="B46" s="4" t="s">
        <v>1672</v>
      </c>
      <c r="C46" s="5" t="str">
        <f>"Simple Payback Period (SPP) is how long the savings take to repay what you spent."&amp;CHAR(10)&amp;CHAR(10)&amp;"It simply divides the investment by the annual savings. It ignores the time value of money and any change in energy prices, so it is a quick rough check rather than a precise measure."&amp;CHAR(10)&amp;CHAR(10)&amp;"Shorter is better, but SPP says nothing about what happens after the investment is repaid — a project with a fast payback can still be worth less overall than one that pays back slowly but lasts longer."&amp;CHAR(10)&amp;CHAR(10)&amp;"Here the payback is "&amp;TEXT(Financials!B41,"0.0")&amp;" years, about "&amp;TEXT(Financials!B41*12,"0")&amp;" months."</f>
        <v>Simple Payback Period (SPP) is how long the savings take to repay what you spent.
It simply divides the investment by the annual savings. It ignores the time value of money and any change in energy prices, so it is a quick rough check rather than a precise measure.
Shorter is better, but SPP says nothing about what happens after the investment is repaid — a project with a fast payback can still be worth less overall than one that pays back slowly but lasts longer.
Here the payback is 1.9 years, about 23 months.</v>
      </c>
      <c r="D46" s="4" t="str">
        <f>"El Período Simple de Recuperación (SPP) es el tiempo que tardan los ahorros en devolver lo invertido."&amp;CHAR(10)&amp;CHAR(10)&amp;"Simplemente divide la inversión entre los ahorros anuales. No considera el valor temporal del dinero ni los cambios en el precio de la energía, por lo que es una comprobación rápida y aproximada, no una medida precisa."&amp;CHAR(10)&amp;CHAR(10)&amp;"Cuanto más corto, mejor; pero el SPP no dice nada sobre lo que ocurre después de recuperar la inversión: un proyecto de recuperación rápida puede valer menos en total que otro más lento pero de mayor duración."&amp;CHAR(10)&amp;CHAR(10)&amp;"Aquí la recuperación es de "&amp;SUBSTITUTE(TEXT(Financials!B41,"0.0"),".",",")&amp;" años, unos "&amp;TEXT(Financials!B41*12,"0")&amp;" meses."</f>
        <v>El Período Simple de Recuperación (SPP) es el tiempo que tardan los ahorros en devolver lo invertido.
Simplemente divide la inversión entre los ahorros anuales. No considera el valor temporal del dinero ni los cambios en el precio de la energía, por lo que es una comprobación rápida y aproximada, no una medida precisa.
Cuanto más corto, mejor; pero el SPP no dice nada sobre lo que ocurre después de recuperar la inversión: un proyecto de recuperación rápida puede valer menos en total que otro más lento pero de mayor duración.
Aquí la recuperación es de 1,9 años, unos 23 meses.</v>
      </c>
      <c r="E46" s="4" t="str">
        <f>"O Período Simples de Retorno (SPP) é o tempo que as economias levam para devolver o que foi investido."&amp;CHAR(10)&amp;CHAR(10)&amp;"Ele simplesmente divide o investimento pelas economias anuais. Não considera o valor do dinheiro no tempo nem mudanças no preço da energia, sendo uma verificação rápida e aproximada, não uma medida precisa."&amp;CHAR(10)&amp;CHAR(10)&amp;"Quanto menor, melhor; mas o SPP nada diz sobre o que acontece depois que o investimento é recuperado: um projeto de retorno rápido pode valer menos no total que outro mais lento e de vida mais longa."&amp;CHAR(10)&amp;CHAR(10)&amp;"Aqui o retorno é de "&amp;SUBSTITUTE(TEXT(Financials!B41,"0.0"),".",",")&amp;" anos, cerca de "&amp;TEXT(Financials!B41*12,"0")&amp;" meses."</f>
        <v>O Período Simples de Retorno (SPP) é o tempo que as economias levam para devolver o que foi investido.
Ele simplesmente divide o investimento pelas economias anuais. Não considera o valor do dinheiro no tempo nem mudanças no preço da energia, sendo uma verificação rápida e aproximada, não uma medida precisa.
Quanto menor, melhor; mas o SPP nada diz sobre o que acontece depois que o investimento é recuperado: um projeto de retorno rápido pode valer menos no total que outro mais lento e de vida mais longa.
Aqui o retorno é de 1,9 anos, cerca de 23 meses.</v>
      </c>
      <c r="F46" s="4" t="str">
        <f>"Le Délai de Récupération Simple (SPP) est le temps que mettent les économies à rembourser la dépense."&amp;CHAR(10)&amp;CHAR(10)&amp;"Il divise simplement l'investissement par les économies annuelles. Il ignore la valeur temporelle de l'argent et toute variation du prix de l'énergie : c'est donc une vérification rapide et approximative, pas une mesure précise."&amp;CHAR(10)&amp;CHAR(10)&amp;"Plus il est court, mieux c'est ; mais le SPP ne dit rien de ce qui se passe après le remboursement : un projet à récupération rapide peut valoir moins au total qu'un projet plus lent mais de plus longue durée."&amp;CHAR(10)&amp;CHAR(10)&amp;"Ici la récupération est de "&amp;SUBSTITUTE(TEXT(Financials!B41,"0.0"),".",",")&amp;" ans, environ "&amp;TEXT(Financials!B41*12,"0")&amp;" mois."</f>
        <v>Le Délai de Récupération Simple (SPP) est le temps que mettent les économies à rembourser la dépense.
Il divise simplement l'investissement par les économies annuelles. Il ignore la valeur temporelle de l'argent et toute variation du prix de l'énergie : c'est donc une vérification rapide et approximative, pas une mesure précise.
Plus il est court, mieux c'est ; mais le SPP ne dit rien de ce qui se passe après le remboursement : un projet à récupération rapide peut valoir moins au total qu'un projet plus lent mais de plus longue durée.
Ici la récupération est de 1,9 ans, environ 23 mois.</v>
      </c>
    </row>
    <row r="47" spans="1:6" ht="100.8">
      <c r="A47" s="4" t="s">
        <v>162</v>
      </c>
      <c r="B47" s="4" t="s">
        <v>1673</v>
      </c>
      <c r="C47" s="5" t="str">
        <f>"Return on Investment (ROI) is the total gain expressed as a percentage of what you spent."&amp;CHAR(10)&amp;CHAR(10)&amp;"It compares the savings over the analysis period against the initial investment. 100% means the project returned exactly its own cost again, on top of repaying it."&amp;CHAR(10)&amp;CHAR(10)&amp;"ROI ignores when the money arrives, so a slow project and a fast one can show the same ROI. Read it alongside NPV and IRR rather than on its own."&amp;CHAR(10)&amp;CHAR(10)&amp;"Here the ROI is "&amp;TEXT(Financials!B42,"0.0%")&amp;"."</f>
        <v>Return on Investment (ROI) is the total gain expressed as a percentage of what you spent.
It compares the savings over the analysis period against the initial investment. 100% means the project returned exactly its own cost again, on top of repaying it.
ROI ignores when the money arrives, so a slow project and a fast one can show the same ROI. Read it alongside NPV and IRR rather than on its own.
Here the ROI is 52.6%.</v>
      </c>
      <c r="D47" s="4" t="str">
        <f>"El Retorno sobre la Inversión (ROI) es la ganancia total expresada como porcentaje de lo invertido."&amp;CHAR(10)&amp;CHAR(10)&amp;"Compara los ahorros del período analizado con la inversión inicial. Un 100% significa que el proyecto devolvió exactamente su propio costo, además de recuperarlo."&amp;CHAR(10)&amp;CHAR(10)&amp;"El ROI no considera cuándo llega el dinero, por lo que un proyecto lento y uno rápido pueden mostrar el mismo ROI. Léalo junto al VPN y la TIR, no de forma aislada."&amp;CHAR(10)&amp;CHAR(10)&amp;"Aquí el ROI es "&amp;SUBSTITUTE(TEXT(Financials!B42,"0.0%"),".",",")&amp;"."</f>
        <v>El Retorno sobre la Inversión (ROI) es la ganancia total expresada como porcentaje de lo invertido.
Compara los ahorros del período analizado con la inversión inicial. Un 100% significa que el proyecto devolvió exactamente su propio costo, además de recuperarlo.
El ROI no considera cuándo llega el dinero, por lo que un proyecto lento y uno rápido pueden mostrar el mismo ROI. Léalo junto al VPN y la TIR, no de forma aislada.
Aquí el ROI es 52,6%.</v>
      </c>
      <c r="E47" s="4" t="str">
        <f>"O Retorno sobre o Investimento (ROI) é o ganho total expresso como porcentagem do que foi gasto."&amp;CHAR(10)&amp;CHAR(10)&amp;"Compara as economias do período analisado com o investimento inicial. 100% significa que o projeto devolveu exatamente o próprio custo, além de recuperá-lo."&amp;CHAR(10)&amp;CHAR(10)&amp;"O ROI ignora quando o dinheiro chega, por isso um projeto lento e um rápido podem mostrar o mesmo ROI. Leia-o junto com o VPL e a TIR, não isoladamente."&amp;CHAR(10)&amp;CHAR(10)&amp;"Aqui o ROI é "&amp;SUBSTITUTE(TEXT(Financials!B42,"0.0%"),".",",")&amp;"."</f>
        <v>O Retorno sobre o Investimento (ROI) é o ganho total expresso como porcentagem do que foi gasto.
Compara as economias do período analisado com o investimento inicial. 100% significa que o projeto devolveu exatamente o próprio custo, além de recuperá-lo.
O ROI ignora quando o dinheiro chega, por isso um projeto lento e um rápido podem mostrar o mesmo ROI. Leia-o junto com o VPL e a TIR, não isoladamente.
Aqui o ROI é 52,6%.</v>
      </c>
      <c r="F47" s="4" t="str">
        <f>"Le Retour sur Investissement (ROI) est le gain total exprimé en pourcentage de la dépense."&amp;CHAR(10)&amp;CHAR(10)&amp;"Il compare les économies de la période analysée à l'investissement initial. 100 % signifie que le projet a rapporté exactement son propre coût, en plus de le rembourser."&amp;CHAR(10)&amp;CHAR(10)&amp;"Le ROI ignore le moment où l'argent arrive : un projet lent et un projet rapide peuvent afficher le même ROI. À lire avec la VAN et le TRI, jamais seul."&amp;CHAR(10)&amp;CHAR(10)&amp;"Ici le ROI est de "&amp;SUBSTITUTE(TEXT(Financials!B42,"0.0%"),".",",")&amp;"."</f>
        <v>Le Retour sur Investissement (ROI) est le gain total exprimé en pourcentage de la dépense.
Il compare les économies de la période analysée à l'investissement initial. 100 % signifie que le projet a rapporté exactement son propre coût, en plus de le rembourser.
Le ROI ignore le moment où l'argent arrive : un projet lent et un projet rapide peuvent afficher le même ROI. À lire avec la VAN et le TRI, jamais seul.
Ici le ROI est de 52,6%.</v>
      </c>
    </row>
    <row r="48" spans="1:6" ht="129.6">
      <c r="A48" s="4" t="s">
        <v>162</v>
      </c>
      <c r="B48" s="4" t="s">
        <v>1674</v>
      </c>
      <c r="C48" s="5" t="str">
        <f>"Internal Rate of Return (IRR) is the effective annual return the project earns on the money invested."&amp;CHAR(10)&amp;CHAR(10)&amp;"Technically it is the discount rate at which the project would exactly break even. The higher it is, the stronger the project."&amp;CHAR(10)&amp;CHAR(10)&amp;"Compare it with what your money costs — the finance rate entered above. If IRR is comfortably higher, the project earns more than the funding costs."&amp;CHAR(10)&amp;CHAR(10)&amp;"IRR assumes savings are reinvested at the same high rate, which is often optimistic. See MIRR for the more cautious version."&amp;CHAR(10)&amp;CHAR(10)&amp;"Here the IRR is "&amp;TEXT(Financials!B43,"0.0%")&amp;"."</f>
        <v>Internal Rate of Return (IRR) is the effective annual return the project earns on the money invested.
Technically it is the discount rate at which the project would exactly break even. The higher it is, the stronger the project.
Compare it with what your money costs — the finance rate entered above. If IRR is comfortably higher, the project earns more than the funding costs.
IRR assumes savings are reinvested at the same high rate, which is often optimistic. See MIRR for the more cautious version.
Here the IRR is 53.7%.</v>
      </c>
      <c r="D48" s="4" t="str">
        <f>"La Tasa Interna de Retorno (TIR/IRR) es el rendimiento anual efectivo que el proyecto obtiene sobre el dinero invertido."&amp;CHAR(10)&amp;CHAR(10)&amp;"Técnicamente es la tasa de descuento a la que el proyecto quedaría exactamente en equilibrio. Cuanto más alta, más sólido es el proyecto."&amp;CHAR(10)&amp;CHAR(10)&amp;"Compárela con lo que cuesta su dinero: la tasa de financiamiento indicada arriba. Si la TIR es claramente mayor, el proyecto rinde más de lo que cuesta financiarlo."&amp;CHAR(10)&amp;CHAR(10)&amp;"La TIR supone que los ahorros se reinvierten a esa misma tasa alta, lo que suele ser optimista. Vea la TIRM para la versión más prudente."&amp;CHAR(10)&amp;CHAR(10)&amp;"Aquí la TIR es "&amp;SUBSTITUTE(TEXT(Financials!B43,"0.0%"),".",",")&amp;"."</f>
        <v>La Tasa Interna de Retorno (TIR/IRR) es el rendimiento anual efectivo que el proyecto obtiene sobre el dinero invertido.
Técnicamente es la tasa de descuento a la que el proyecto quedaría exactamente en equilibrio. Cuanto más alta, más sólido es el proyecto.
Compárela con lo que cuesta su dinero: la tasa de financiamiento indicada arriba. Si la TIR es claramente mayor, el proyecto rinde más de lo que cuesta financiarlo.
La TIR supone que los ahorros se reinvierten a esa misma tasa alta, lo que suele ser optimista. Vea la TIRM para la versión más prudente.
Aquí la TIR es 53,7%.</v>
      </c>
      <c r="E48" s="4" t="str">
        <f>"A Taxa Interna de Retorno (TIR/IRR) é o retorno anual efetivo que o projeto obtém sobre o dinheiro investido."&amp;CHAR(10)&amp;CHAR(10)&amp;"Tecnicamente é a taxa de desconto na qual o projeto ficaria exatamente no ponto de equilíbrio. Quanto maior, mais forte o projeto."&amp;CHAR(10)&amp;CHAR(10)&amp;"Compare-a com o custo do seu dinheiro: a taxa de financiamento informada acima. Se a TIR for bem maior, o projeto rende mais do que custa financiá-lo."&amp;CHAR(10)&amp;CHAR(10)&amp;"A TIR supõe que as economias são reinvestidas nessa mesma taxa alta, o que costuma ser otimista. Veja a TIRM para a versão mais cautelosa."&amp;CHAR(10)&amp;CHAR(10)&amp;"Aqui a TIR é "&amp;SUBSTITUTE(TEXT(Financials!B43,"0.0%"),".",",")&amp;"."</f>
        <v>A Taxa Interna de Retorno (TIR/IRR) é o retorno anual efetivo que o projeto obtém sobre o dinheiro investido.
Tecnicamente é a taxa de desconto na qual o projeto ficaria exatamente no ponto de equilíbrio. Quanto maior, mais forte o projeto.
Compare-a com o custo do seu dinheiro: a taxa de financiamento informada acima. Se a TIR for bem maior, o projeto rende mais do que custa financiá-lo.
A TIR supõe que as economias são reinvestidas nessa mesma taxa alta, o que costuma ser otimista. Veja a TIRM para a versão mais cautelosa.
Aqui a TIR é 53,7%.</v>
      </c>
      <c r="F48" s="4" t="str">
        <f>"Le Taux de Rentabilité Interne (TRI/IRR) est le rendement annuel effectif que le projet dégage sur l'argent investi."&amp;CHAR(10)&amp;CHAR(10)&amp;"Techniquement, c'est le taux d'actualisation auquel le projet serait exactement à l'équilibre. Plus il est élevé, plus le projet est solide."&amp;CHAR(10)&amp;CHAR(10)&amp;"Comparez-le au coût de votre argent : le taux de financement saisi ci-dessus. Si le TRI est nettement supérieur, le projet rapporte plus qu'il ne coûte à financer."&amp;CHAR(10)&amp;CHAR(10)&amp;"Le TRI suppose que les économies sont réinvesties à ce même taux élevé, ce qui est souvent optimiste. Voir le TRIM pour la version plus prudente."&amp;CHAR(10)&amp;CHAR(10)&amp;"Ici le TRI est de "&amp;SUBSTITUTE(TEXT(Financials!B43,"0.0%"),".",",")&amp;"."</f>
        <v>Le Taux de Rentabilité Interne (TRI/IRR) est le rendement annuel effectif que le projet dégage sur l'argent investi.
Techniquement, c'est le taux d'actualisation auquel le projet serait exactement à l'équilibre. Plus il est élevé, plus le projet est solide.
Comparez-le au coût de votre argent : le taux de financement saisi ci-dessus. Si le TRI est nettement supérieur, le projet rapporte plus qu'il ne coûte à financer.
Le TRI suppose que les économies sont réinvesties à ce même taux élevé, ce qui est souvent optimiste. Voir le TRIM pour la version plus prudente.
Ici le TRI est de 53,7%.</v>
      </c>
    </row>
    <row r="49" spans="1:6" ht="115.2">
      <c r="A49" s="4" t="s">
        <v>162</v>
      </c>
      <c r="B49" s="4" t="s">
        <v>1675</v>
      </c>
      <c r="C49" s="5" t="str">
        <f>"Modified Internal Rate of Return (MIRR) is a more realistic version of IRR."&amp;CHAR(10)&amp;CHAR(10)&amp;"Plain IRR assumes every dollar saved is reinvested at the project's own high rate, which rarely happens. MIRR instead uses the two rates entered above: the finance rate for borrowed money, and the reinvestment rate for money the project returns."&amp;CHAR(10)&amp;CHAR(10)&amp;"MIRR is normally lower than IRR, and it is the safer figure to put in front of a finance team."&amp;CHAR(10)&amp;CHAR(10)&amp;"Here MIRR is "&amp;TEXT(Financials!B44,"0.0%")&amp;", against an IRR of "&amp;TEXT(Financials!B43,"0.0%")&amp;"."</f>
        <v>Modified Internal Rate of Return (MIRR) is a more realistic version of IRR.
Plain IRR assumes every dollar saved is reinvested at the project's own high rate, which rarely happens. MIRR instead uses the two rates entered above: the finance rate for borrowed money, and the reinvestment rate for money the project returns.
MIRR is normally lower than IRR, and it is the safer figure to put in front of a finance team.
Here MIRR is 22.3%, against an IRR of 53.7%.</v>
      </c>
      <c r="D49" s="4" t="str">
        <f>"La Tasa Interna de Retorno Modificada (TIRM/MIRR) es una versión más realista de la TIR."&amp;CHAR(10)&amp;CHAR(10)&amp;_xlfn._LONGTEXT("La TIR simple supone que cada dólar ahorrado se reinvierte a la misma tasa alta del proyecto, lo que rara vez ocurre. La TIRM usa en cambio las dos tasas indicadas arriba: la de financiamiento para el dinero prestado y la de reinversión para el dinero que"," devuelve el proyecto.")&amp;CHAR(10)&amp;CHAR(10)&amp;"La TIRM suele ser menor que la TIR y es la cifra más prudente para presentar a un equipo financiero."&amp;CHAR(10)&amp;CHAR(10)&amp;"Aquí la TIRM es "&amp;SUBSTITUTE(TEXT(Financials!B44,"0.0%"),".",",")&amp;", frente a una TIR de "&amp;SUBSTITUTE(TEXT(Financials!B43,"0.0%"),".",",")&amp;"."</f>
        <v>La Tasa Interna de Retorno Modificada (TIRM/MIRR) es una versión más realista de la TIR.
La TIR simple supone que cada dólar ahorrado se reinvierte a la misma tasa alta del proyecto, lo que rara vez ocurre. La TIRM usa en cambio las dos tasas indicadas arriba: la de financiamiento para el dinero prestado y la de reinversión para el dinero que devuelve el proyecto.
La TIRM suele ser menor que la TIR y es la cifra más prudente para presentar a un equipo financiero.
Aquí la TIRM es 22,3%, frente a una TIR de 53,7%.</v>
      </c>
      <c r="E49" s="4" t="str">
        <f>"A Taxa Interna de Retorno Modificada (TIRM/MIRR) é uma versão mais realista da TIR."&amp;CHAR(10)&amp;CHAR(10)&amp;_xlfn._LONGTEXT("A TIR simples supõe que cada dólar economizado é reinvestido na mesma taxa alta do projeto, o que raramente acontece. A TIRM usa as duas taxas informadas acima: a de financiamento para o dinheiro emprestado e a de reinvestimento para o dinheiro que o proj","eto devolve.")&amp;CHAR(10)&amp;CHAR(10)&amp;"A TIRM costuma ser menor que a TIR e é o número mais seguro para apresentar a uma equipe financeira."&amp;CHAR(10)&amp;CHAR(10)&amp;"Aqui a TIRM é "&amp;SUBSTITUTE(TEXT(Financials!B44,"0.0%"),".",",")&amp;", contra uma TIR de "&amp;SUBSTITUTE(TEXT(Financials!B43,"0.0%"),".",",")&amp;"."</f>
        <v>A Taxa Interna de Retorno Modificada (TIRM/MIRR) é uma versão mais realista da TIR.
A TIR simples supõe que cada dólar economizado é reinvestido na mesma taxa alta do projeto, o que raramente acontece. A TIRM usa as duas taxas informadas acima: a de financiamento para o dinheiro emprestado e a de reinvestimento para o dinheiro que o projeto devolve.
A TIRM costuma ser menor que a TIR e é o número mais seguro para apresentar a uma equipe financeira.
Aqui a TIRM é 22,3%, contra uma TIR de 53,7%.</v>
      </c>
      <c r="F49" s="4" t="str">
        <f>"Le Taux de Rentabilité Interne Modifié (TRIM/MIRR) est une version plus réaliste du TRI."&amp;CHAR(10)&amp;CHAR(10)&amp;_xlfn._LONGTEXT("Le TRI simple suppose que chaque dollar économisé est réinvesti au taux élevé du projet lui-même, ce qui arrive rarement. Le TRIM utilise plutôt les deux taux saisis ci-dessus : le taux de financement pour l'argent emprunté et le taux de réinvestissement ","pour l'argent que le projet rapporte.")&amp;CHAR(10)&amp;CHAR(10)&amp;"Le TRIM est normalement inférieur au TRI et c'est le chiffre le plus prudent à présenter à une équipe financière."&amp;CHAR(10)&amp;CHAR(10)&amp;"Ici le TRIM est de "&amp;SUBSTITUTE(TEXT(Financials!B44,"0.0%"),".",",")&amp;", contre un TRI de "&amp;SUBSTITUTE(TEXT(Financials!B43,"0.0%"),".",",")&amp;"."</f>
        <v>Le Taux de Rentabilité Interne Modifié (TRIM/MIRR) est une version plus réaliste du TRI.
Le TRI simple suppose que chaque dollar économisé est réinvesti au taux élevé du projet lui-même, ce qui arrive rarement. Le TRIM utilise plutôt les deux taux saisis ci-dessus : le taux de financement pour l'argent emprunté et le taux de réinvestissement pour l'argent que le projet rapporte.
Le TRIM est normalement inférieur au TRI et c'est le chiffre le plus prudent à présenter à une équipe financière.
Ici le TRIM est de 22,3%, contre un TRI de 53,7%.</v>
      </c>
    </row>
    <row r="50" spans="1:6" ht="129.6">
      <c r="A50" s="4" t="s">
        <v>162</v>
      </c>
      <c r="B50" s="4" t="s">
        <v>1676</v>
      </c>
      <c r="C50" s="5" t="str">
        <f>"Savings-Investment Ratio (SIR) is how many dollars of savings you get for each dollar invested, in today's money."&amp;CHAR(10)&amp;CHAR(10)&amp;"It divides the present value of the savings by the present value of the investment."&amp;CHAR(10)&amp;CHAR(10)&amp;"• Above 1.0 means the project returns more than it costs."&amp;CHAR(10)&amp;"• Exactly 1.0 means it breaks even."&amp;CHAR(10)&amp;"• Below 1.0 means it does not pay for itself."&amp;CHAR(10)&amp;CHAR(10)&amp;"Here the SIR is "&amp;TEXT(Financials!B45,"0.0")&amp;", about "&amp;TEXT(Financials!B45,"$#,##0")&amp;" of savings in today's dollars for every $1 spent."</f>
        <v>Savings-Investment Ratio (SIR) is how many dollars of savings you get for each dollar invested, in today's money.
It divides the present value of the savings by the present value of the investment.
• Above 1.0 means the project returns more than it costs.
• Exactly 1.0 means it breaks even.
• Below 1.0 means it does not pay for itself.
Here the SIR is 4.6, about $5 of savings in today's dollars for every $1 spent.</v>
      </c>
      <c r="D50" s="4" t="str">
        <f>"La Relación Ahorro-Inversión (SIR) indica cuántos dólares de ahorro se obtienen por cada dólar invertido, en dinero de hoy."&amp;CHAR(10)&amp;CHAR(10)&amp;"Divide el valor presente de los ahorros entre el valor presente de la inversión."&amp;CHAR(10)&amp;CHAR(10)&amp;"• Mayor que 1,0 significa que el proyecto devuelve más de lo que cuesta."&amp;CHAR(10)&amp;"• Igual a 1,0 significa que queda en equilibrio."&amp;CHAR(10)&amp;"• Menor que 1,0 significa que no se paga solo."&amp;CHAR(10)&amp;CHAR(10)&amp;"Aquí el SIR es "&amp;SUBSTITUTE(TEXT(Financials!B45,"0.0"),".",",")&amp;", unos "&amp;TEXT(Financials!B45,"$#,##0")&amp;" de ahorro en dólares de hoy por cada $1 invertido."</f>
        <v>La Relación Ahorro-Inversión (SIR) indica cuántos dólares de ahorro se obtienen por cada dólar invertido, en dinero de hoy.
Divide el valor presente de los ahorros entre el valor presente de la inversión.
• Mayor que 1,0 significa que el proyecto devuelve más de lo que cuesta.
• Igual a 1,0 significa que queda en equilibrio.
• Menor que 1,0 significa que no se paga solo.
Aquí el SIR es 4,6, unos $5 de ahorro en dólares de hoy por cada $1 invertido.</v>
      </c>
      <c r="E50" s="4" t="str">
        <f>"A Relação Economia-Investimento (SIR) indica quantos dólares de economia se obtêm por cada dólar investido, em dinheiro de hoje."&amp;CHAR(10)&amp;CHAR(10)&amp;"Divide o valor presente das economias pelo valor presente do investimento."&amp;CHAR(10)&amp;CHAR(10)&amp;"• Acima de 1,0 significa que o projeto devolve mais do que custa."&amp;CHAR(10)&amp;"• Igual a 1,0 significa que fica no ponto de equilíbrio."&amp;CHAR(10)&amp;"• Abaixo de 1,0 significa que não se paga."&amp;CHAR(10)&amp;CHAR(10)&amp;"Aqui o SIR é "&amp;SUBSTITUTE(TEXT(Financials!B45,"0.0"),".",",")&amp;", cerca de "&amp;TEXT(Financials!B45,"$#,##0")&amp;" de economia em dólares de hoje para cada $1 investido."</f>
        <v>A Relação Economia-Investimento (SIR) indica quantos dólares de economia se obtêm por cada dólar investido, em dinheiro de hoje.
Divide o valor presente das economias pelo valor presente do investimento.
• Acima de 1,0 significa que o projeto devolve mais do que custa.
• Igual a 1,0 significa que fica no ponto de equilíbrio.
• Abaixo de 1,0 significa que não se paga.
Aqui o SIR é 4,6, cerca de $5 de economia em dólares de hoje para cada $1 investido.</v>
      </c>
      <c r="F50" s="4" t="str">
        <f>"Le Rapport Économies-Investissement (SIR) indique combien de dollars d'économies sont obtenus par dollar investi, en argent d'aujourd'hui."&amp;CHAR(10)&amp;CHAR(10)&amp;"Il divise la valeur actuelle des économies par la valeur actuelle de l'investissement."&amp;CHAR(10)&amp;CHAR(10)&amp;"• Supérieur à 1,0 : le projet rapporte plus qu'il ne coûte."&amp;CHAR(10)&amp;"• Égal à 1,0 : il est à l'équilibre."&amp;CHAR(10)&amp;"• Inférieur à 1,0 : il ne se rentabilise pas."&amp;CHAR(10)&amp;CHAR(10)&amp;"Ici le SIR est de "&amp;SUBSTITUTE(TEXT(Financials!B45,"0.0"),".",",")&amp;", soit environ "&amp;TEXT(Financials!B45,"$#,##0")&amp;" d'économies en dollars d'aujourd'hui pour chaque $1 dépensé."</f>
        <v>Le Rapport Économies-Investissement (SIR) indique combien de dollars d'économies sont obtenus par dollar investi, en argent d'aujourd'hui.
Il divise la valeur actuelle des économies par la valeur actuelle de l'investissement.
• Supérieur à 1,0 : le projet rapporte plus qu'il ne coûte.
• Égal à 1,0 : il est à l'équilibre.
• Inférieur à 1,0 : il ne se rentabilise pas.
Ici le SIR est de 4,6, soit environ $5 d'économies en dollars d'aujourd'hui pour chaque $1 dépensé.</v>
      </c>
    </row>
    <row r="51" spans="1:6">
      <c r="A51" s="4" t="s">
        <v>76</v>
      </c>
      <c r="B51" s="4" t="s">
        <v>1652</v>
      </c>
      <c r="C51" s="5" t="s">
        <v>1653</v>
      </c>
      <c r="D51" s="4" t="s">
        <v>619</v>
      </c>
      <c r="E51" s="4" t="s">
        <v>620</v>
      </c>
      <c r="F51" s="4" t="s">
        <v>621</v>
      </c>
    </row>
    <row r="52" spans="1:6">
      <c r="A52" s="4" t="s">
        <v>162</v>
      </c>
      <c r="B52" s="4" t="s">
        <v>1654</v>
      </c>
      <c r="C52" s="4" t="str">
        <f>"This chart shows the actual money moving in or out each year, before any discounting."&amp;CHAR(10)&amp;CHAR(10)&amp;"The first bar is the investment — money going out. Every bar after it is a year of energy savings coming in, growing slightly each year as energy prices rise."&amp;CHAR(10)&amp;CHAR(10)&amp;"These are plain dollar amounts. They are not adjusted for the fact that money arriving later is worth less today; for that view see the 10-Year Present Value chart."&amp;CHAR(10)&amp;CHAR(10)&amp;"Here the investment is "&amp;TEXT(ABS(Financials!B31),"$#,##0")&amp;" and Year 1 savings are "&amp;TEXT(Financials!C31,"$#,##0")&amp;"."</f>
        <v>This chart shows the actual money moving in or out each year, before any discounting.
The first bar is the investment — money going out. Every bar after it is a year of energy savings coming in, growing slightly each year as energy prices rise.
These are plain dollar amounts. They are not adjusted for the fact that money arriving later is worth less today; for that view see the 10-Year Present Value chart.
Here the investment is $170,000 and Year 1 savings are $89,357.</v>
      </c>
      <c r="D52" s="4" t="str">
        <f>"Este gráfico muestra el dinero real que entra o sale cada año, antes de cualquier descuento."&amp;CHAR(10)&amp;CHAR(10)&amp;"La primera barra es la inversión: dinero que sale. Cada barra siguiente es un año de ahorros de energía que entran, aumentando ligeramente cada año a medida que suben los precios de la energía."&amp;CHAR(10)&amp;CHAR(10)&amp;"Son importes en dólares corrientes. No están ajustados por el hecho de que el dinero que llega más tarde vale menos hoy; para esa vista consulte el gráfico de Valor Presente a 10 años."&amp;CHAR(10)&amp;CHAR(10)&amp;"Aquí la inversión es "&amp;TEXT(ABS(Financials!B31),"$#,##0")&amp;" y los ahorros del año 1 son "&amp;TEXT(Financials!C31,"$#,##0")&amp;"."</f>
        <v>Este gráfico muestra el dinero real que entra o sale cada año, antes de cualquier descuento.
La primera barra es la inversión: dinero que sale. Cada barra siguiente es un año de ahorros de energía que entran, aumentando ligeramente cada año a medida que suben los precios de la energía.
Son importes en dólares corrientes. No están ajustados por el hecho de que el dinero que llega más tarde vale menos hoy; para esa vista consulte el gráfico de Valor Presente a 10 años.
Aquí la inversión es $170,000 y los ahorros del año 1 son $89,357.</v>
      </c>
      <c r="E52" s="4" t="str">
        <f>"Este gráfico mostra o dinheiro real que entra ou sai a cada ano, antes de qualquer desconto."&amp;CHAR(10)&amp;CHAR(10)&amp;"A primeira barra é o investimento: dinheiro que sai. Cada barra seguinte é um ano de economias de energia que entram, crescendo ligeiramente a cada ano à medida que os preços da energia sobem."&amp;CHAR(10)&amp;CHAR(10)&amp;"São valores em dólares correntes. Não estão ajustados pelo fato de que o dinheiro que chega mais tarde vale menos hoje; para essa visão veja o gráfico de Valor Presente de 10 anos."&amp;CHAR(10)&amp;CHAR(10)&amp;"Aqui o investimento é "&amp;TEXT(ABS(Financials!B31),"$#,##0")&amp;" e as economias do ano 1 são "&amp;TEXT(Financials!C31,"$#,##0")&amp;"."</f>
        <v>Este gráfico mostra o dinheiro real que entra ou sai a cada ano, antes de qualquer desconto.
A primeira barra é o investimento: dinheiro que sai. Cada barra seguinte é um ano de economias de energia que entram, crescendo ligeiramente a cada ano à medida que os preços da energia sobem.
São valores em dólares correntes. Não estão ajustados pelo fato de que o dinheiro que chega mais tarde vale menos hoje; para essa visão veja o gráfico de Valor Presente de 10 anos.
Aqui o investimento é $170,000 e as economias do ano 1 são $89,357.</v>
      </c>
      <c r="F52" s="4" t="str">
        <f>"Ce graphique montre l'argent réel qui entre ou sort chaque année, avant toute actualisation."&amp;CHAR(10)&amp;CHAR(10)&amp;"La première barre est l'investissement : de l'argent qui sort. Chaque barre suivante est une année d'économies d'énergie qui entrent, augmentant légèrement chaque année à mesure que les prix de l'énergie montent."&amp;CHAR(10)&amp;CHAR(10)&amp;"Ce sont des montants en dollars courants. Ils ne tiennent pas compte du fait que l'argent reçu plus tard vaut moins aujourd'hui ; pour cette vue, voir le graphique de Valeur Actuelle sur 10 ans."&amp;CHAR(10)&amp;CHAR(10)&amp;"Ici l'investissement est de "&amp;TEXT(ABS(Financials!B31),"$#,##0")&amp;" et les économies de l'année 1 sont de "&amp;TEXT(Financials!C31,"$#,##0")&amp;"."</f>
        <v>Ce graphique montre l'argent réel qui entre ou sort chaque année, avant toute actualisation.
La première barre est l'investissement : de l'argent qui sort. Chaque barre suivante est une année d'économies d'énergie qui entrent, augmentant légèrement chaque année à mesure que les prix de l'énergie montent.
Ce sont des montants en dollars courants. Ils ne tiennent pas compte du fait que l'argent reçu plus tard vaut moins aujourd'hui ; pour cette vue, voir le graphique de Valeur Actuelle sur 10 ans.
Ici l'investissement est de $170,000 et les économies de l'année 1 sont de $89,357.</v>
      </c>
    </row>
    <row r="53" spans="1:6">
      <c r="A53" s="4" t="s">
        <v>162</v>
      </c>
      <c r="B53" s="4" t="s">
        <v>1655</v>
      </c>
      <c r="C53" s="4" t="str">
        <f>"This chart adds each year's cash flow to the ones before it, so it shows the running total."&amp;CHAR(10)&amp;CHAR(10)&amp;"It starts below zero — the investment — and climbs as savings accumulate. The point where it crosses zero is the payback point: the moment the savings have repaid what was spent."&amp;CHAR(10)&amp;CHAR(10)&amp;"Every bar after that is money ahead."&amp;CHAR(10)&amp;CHAR(10)&amp;"By Year 10 the running total reaches "&amp;TEXT(Financials!L35,"$#,##0")&amp;"."</f>
        <v>This chart adds each year's cash flow to the ones before it, so it shows the running total.
It starts below zero — the investment — and climbs as savings accumulate. The point where it crosses zero is the payback point: the moment the savings have repaid what was spent.
Every bar after that is money ahead.
By Year 10 the running total reaches $808,431.</v>
      </c>
      <c r="D53" s="4" t="str">
        <f>"Este gráfico suma el flujo de caja de cada año a los anteriores, mostrando el total acumulado."&amp;CHAR(10)&amp;CHAR(10)&amp;"Comienza por debajo de cero — la inversión — y sube a medida que se acumulan los ahorros. El punto donde cruza el cero es el punto de recuperación: el momento en que los ahorros han devuelto lo invertido."&amp;CHAR(10)&amp;CHAR(10)&amp;"Cada barra posterior es dinero a favor."&amp;CHAR(10)&amp;CHAR(10)&amp;"Al año 10 el total acumulado llega a "&amp;TEXT(Financials!L35,"$#,##0")&amp;"."</f>
        <v>Este gráfico suma el flujo de caja de cada año a los anteriores, mostrando el total acumulado.
Comienza por debajo de cero — la inversión — y sube a medida que se acumulan los ahorros. El punto donde cruza el cero es el punto de recuperación: el momento en que los ahorros han devuelto lo invertido.
Cada barra posterior es dinero a favor.
Al año 10 el total acumulado llega a $808,431.</v>
      </c>
      <c r="E53" s="4" t="str">
        <f>"Este gráfico soma o fluxo de caixa de cada ano aos anteriores, mostrando o total acumulado."&amp;CHAR(10)&amp;CHAR(10)&amp;"Começa abaixo de zero — o investimento — e sobe conforme as economias se acumulam. O ponto em que cruza o zero é o ponto de retorno: o momento em que as economias devolveram o que foi gasto."&amp;CHAR(10)&amp;CHAR(10)&amp;"Cada barra depois disso é dinheiro a favor."&amp;CHAR(10)&amp;CHAR(10)&amp;"No ano 10 o total acumulado chega a "&amp;TEXT(Financials!L35,"$#,##0")&amp;"."</f>
        <v>Este gráfico soma o fluxo de caixa de cada ano aos anteriores, mostrando o total acumulado.
Começa abaixo de zero — o investimento — e sobe conforme as economias se acumulam. O ponto em que cruza o zero é o ponto de retorno: o momento em que as economias devolveram o que foi gasto.
Cada barra depois disso é dinheiro a favor.
No ano 10 o total acumulado chega a $808,431.</v>
      </c>
      <c r="F53" s="4" t="str">
        <f>"Ce graphique ajoute le flux de trésorerie de chaque année aux précédents : il montre le cumul."&amp;CHAR(10)&amp;CHAR(10)&amp;"Il part sous zéro — l'investissement — et monte à mesure que les économies s'accumulent. Le point où il franchit zéro est le point de récupération : le moment où les économies ont remboursé la dépense."&amp;CHAR(10)&amp;CHAR(10)&amp;"Chaque barre au-delà représente un gain net."&amp;CHAR(10)&amp;CHAR(10)&amp;"À l'année 10, le cumul atteint "&amp;TEXT(Financials!L35,"$#,##0")&amp;"."</f>
        <v>Ce graphique ajoute le flux de trésorerie de chaque année aux précédents : il montre le cumul.
Il part sous zéro — l'investissement — et monte à mesure que les économies s'accumulent. Le point où il franchit zéro est le point de récupération : le moment où les économies ont remboursé la dépense.
Chaque barre au-delà représente un gain net.
À l'année 10, le cumul atteint $808,431.</v>
      </c>
    </row>
    <row r="54" spans="1:6">
      <c r="A54" s="4" t="s">
        <v>162</v>
      </c>
      <c r="B54" s="4" t="s">
        <v>1656</v>
      </c>
      <c r="C54" s="4" t="str">
        <f>"This chart shows the same yearly savings, converted into what they are worth in today's money."&amp;CHAR(10)&amp;CHAR(10)&amp;"Because a dollar received in the future is worth less than a dollar today, each year's bar is discounted using the discount rate entered above. Later bars shrink even though the actual savings are growing."&amp;CHAR(10)&amp;CHAR(10)&amp;"Compare it with the 10-Year Cash Flow chart: the same project, valued in today's dollars."&amp;CHAR(10)&amp;CHAR(10)&amp;"Year 1 savings of "&amp;TEXT(Financials!C31,"$#,##0")&amp;" count as "&amp;TEXT(Financials!C36,"$#,##0")&amp;" here."</f>
        <v>This chart shows the same yearly savings, converted into what they are worth in today's money.
Because a dollar received in the future is worth less than a dollar today, each year's bar is discounted using the discount rate entered above. Later bars shrink even though the actual savings are growing.
Compare it with the 10-Year Cash Flow chart: the same project, valued in today's dollars.
Year 1 savings of $89,357 count as $85,920 here.</v>
      </c>
      <c r="D54" s="4" t="str">
        <f>"Este gráfico muestra los mismos ahorros anuales, convertidos a lo que valen en dinero de hoy."&amp;CHAR(10)&amp;CHAR(10)&amp;"Como un dólar recibido en el futuro vale menos que uno de hoy, la barra de cada año se descuenta con la tasa de descuento indicada arriba. Las barras posteriores se reducen aunque los ahorros reales estén creciendo."&amp;CHAR(10)&amp;CHAR(10)&amp;"Compárelo con el gráfico de Flujo de Caja a 10 años: el mismo proyecto, valorado en dólares de hoy."&amp;CHAR(10)&amp;CHAR(10)&amp;"Los ahorros del año 1 de "&amp;TEXT(Financials!C31,"$#,##0")&amp;" equivalen aquí a "&amp;TEXT(Financials!C36,"$#,##0")&amp;"."</f>
        <v>Este gráfico muestra los mismos ahorros anuales, convertidos a lo que valen en dinero de hoy.
Como un dólar recibido en el futuro vale menos que uno de hoy, la barra de cada año se descuenta con la tasa de descuento indicada arriba. Las barras posteriores se reducen aunque los ahorros reales estén creciendo.
Compárelo con el gráfico de Flujo de Caja a 10 años: el mismo proyecto, valorado en dólares de hoy.
Los ahorros del año 1 de $89,357 equivalen aquí a $85,920.</v>
      </c>
      <c r="E54" s="4" t="str">
        <f>"Este gráfico mostra as mesmas economias anuais, convertidas para o que valem em dinheiro de hoje."&amp;CHAR(10)&amp;CHAR(10)&amp;"Como um dólar recebido no futuro vale menos que um de hoje, a barra de cada ano é descontada pela taxa de desconto informada acima. As barras posteriores diminuem mesmo que as economias reais estejam crescendo."&amp;CHAR(10)&amp;CHAR(10)&amp;"Compare com o gráfico de Fluxo de Caixa de 10 anos: o mesmo projeto, avaliado em dólares de hoje."&amp;CHAR(10)&amp;CHAR(10)&amp;"As economias do ano 1 de "&amp;TEXT(Financials!C31,"$#,##0")&amp;" equivalem aqui a "&amp;TEXT(Financials!C36,"$#,##0")&amp;"."</f>
        <v>Este gráfico mostra as mesmas economias anuais, convertidas para o que valem em dinheiro de hoje.
Como um dólar recebido no futuro vale menos que um de hoje, a barra de cada ano é descontada pela taxa de desconto informada acima. As barras posteriores diminuem mesmo que as economias reais estejam crescendo.
Compare com o gráfico de Fluxo de Caixa de 10 anos: o mesmo projeto, avaliado em dólares de hoje.
As economias do ano 1 de $89,357 equivalem aqui a $85,920.</v>
      </c>
      <c r="F54" s="4" t="str">
        <f>"Ce graphique montre les mêmes économies annuelles, converties en ce qu'elles valent en argent d'aujourd'hui."&amp;CHAR(10)&amp;CHAR(10)&amp;"Comme un dollar reçu dans le futur vaut moins qu'un dollar d'aujourd'hui, la barre de chaque année est actualisée au taux d'actualisation saisi ci-dessus. Les barres suivantes diminuent même si les économies réelles augmentent."&amp;CHAR(10)&amp;CHAR(10)&amp;"À comparer au graphique de Flux de Trésorerie sur 10 ans : le même projet, valorisé en dollars d'aujourd'hui."&amp;CHAR(10)&amp;CHAR(10)&amp;"Les économies de l'année 1 de "&amp;TEXT(Financials!C31,"$#,##0")&amp;" valent ici "&amp;TEXT(Financials!C36,"$#,##0")&amp;"."</f>
        <v>Ce graphique montre les mêmes économies annuelles, converties en ce qu'elles valent en argent d'aujourd'hui.
Comme un dollar reçu dans le futur vaut moins qu'un dollar d'aujourd'hui, la barre de chaque année est actualisée au taux d'actualisation saisi ci-dessus. Les barres suivantes diminuent même si les économies réelles augmentent.
À comparer au graphique de Flux de Trésorerie sur 10 ans : le même projet, valorisé en dollars d'aujourd'hui.
Les économies de l'année 1 de $89,357 valent ici $85,920.</v>
      </c>
    </row>
    <row r="55" spans="1:6">
      <c r="A55" s="4" t="s">
        <v>162</v>
      </c>
      <c r="B55" s="4" t="s">
        <v>1657</v>
      </c>
      <c r="C55" s="4" t="str">
        <f>"This chart is the running total of the present-value bars, so it shows how the project's worth in today's money builds up over time."&amp;CHAR(10)&amp;CHAR(10)&amp;"It starts at the investment and climbs as discounted savings accumulate. Where it crosses zero, the project has paid for itself in today's money."&amp;CHAR(10)&amp;CHAR(10)&amp;"The final bar is the 10-year Net Present Value — the same number shown in the NPV row above."&amp;CHAR(10)&amp;CHAR(10)&amp;"Here it reaches "&amp;TEXT(Financials!L37,"$#,##0")&amp;"."</f>
        <v>This chart is the running total of the present-value bars, so it shows how the project's worth in today's money builds up over time.
It starts at the investment and climbs as discounted savings accumulate. Where it crosses zero, the project has paid for itself in today's money.
The final bar is the 10-year Net Present Value — the same number shown in the NPV row above.
Here it reaches $618,533.</v>
      </c>
      <c r="D55" s="4" t="str">
        <f>"Este gráfico es el total acumulado de las barras de valor presente: muestra cómo se acumula con el tiempo el valor del proyecto en dinero de hoy."&amp;CHAR(10)&amp;CHAR(10)&amp;"Comienza en la inversión y sube a medida que se acumulan los ahorros descontados. Donde cruza el cero, el proyecto ya se pagó a sí mismo en dinero de hoy."&amp;CHAR(10)&amp;CHAR(10)&amp;"La última barra es el Valor Presente Neto a 10 años: el mismo número que aparece en la fila VPN de arriba."&amp;CHAR(10)&amp;CHAR(10)&amp;"Aquí llega a "&amp;TEXT(Financials!L37,"$#,##0")&amp;"."</f>
        <v>Este gráfico es el total acumulado de las barras de valor presente: muestra cómo se acumula con el tiempo el valor del proyecto en dinero de hoy.
Comienza en la inversión y sube a medida que se acumulan los ahorros descontados. Donde cruza el cero, el proyecto ya se pagó a sí mismo en dinero de hoy.
La última barra es el Valor Presente Neto a 10 años: el mismo número que aparece en la fila VPN de arriba.
Aquí llega a $618,533.</v>
      </c>
      <c r="E55" s="4" t="str">
        <f>"Este gráfico é o total acumulado das barras de valor presente: mostra como o valor do projeto em dinheiro de hoje se acumula ao longo do tempo."&amp;CHAR(10)&amp;CHAR(10)&amp;"Começa no investimento e sobe conforme as economias descontadas se acumulam. Onde cruza o zero, o projeto já se pagou em dinheiro de hoje."&amp;CHAR(10)&amp;CHAR(10)&amp;"A última barra é o Valor Presente Líquido de 10 anos: o mesmo número mostrado na linha VPL acima."&amp;CHAR(10)&amp;CHAR(10)&amp;"Aqui ele chega a "&amp;TEXT(Financials!L37,"$#,##0")&amp;"."</f>
        <v>Este gráfico é o total acumulado das barras de valor presente: mostra como o valor do projeto em dinheiro de hoje se acumula ao longo do tempo.
Começa no investimento e sobe conforme as economias descontadas se acumulam. Onde cruza o zero, o projeto já se pagou em dinheiro de hoje.
A última barra é o Valor Presente Líquido de 10 anos: o mesmo número mostrado na linha VPL acima.
Aqui ele chega a $618,533.</v>
      </c>
      <c r="F55" s="4" t="str">
        <f>"Ce graphique est le cumul des barres de valeur actuelle : il montre comment la valeur du projet en argent d'aujourd'hui s'accumule au fil du temps."&amp;CHAR(10)&amp;CHAR(10)&amp;"Il part de l'investissement et monte à mesure que les économies actualisées s'accumulent. Là où il franchit zéro, le projet s'est remboursé en argent d'aujourd'hui."&amp;CHAR(10)&amp;CHAR(10)&amp;"La dernière barre est la Valeur Actuelle Nette sur 10 ans : le même chiffre que dans la ligne VAN ci-dessus."&amp;CHAR(10)&amp;CHAR(10)&amp;"Ici, il atteint "&amp;TEXT(Financials!L37,"$#,##0")&amp;"."</f>
        <v>Ce graphique est le cumul des barres de valeur actuelle : il montre comment la valeur du projet en argent d'aujourd'hui s'accumule au fil du temps.
Il part de l'investissement et monte à mesure que les économies actualisées s'accumulent. Là où il franchit zéro, le projet s'est remboursé en argent d'aujourd'hui.
La dernière barre est la Valeur Actuelle Nette sur 10 ans : le même chiffre que dans la ligne VAN ci-dessus.
Ici, il atteint $618,533.</v>
      </c>
    </row>
    <row r="56" spans="1:6" ht="409.6">
      <c r="A56" s="4" t="s">
        <v>75</v>
      </c>
      <c r="B56" s="4" t="s">
        <v>1677</v>
      </c>
      <c r="C56" s="5" t="s">
        <v>1678</v>
      </c>
      <c r="D56" s="5" t="s">
        <v>1679</v>
      </c>
      <c r="E56" s="5" t="s">
        <v>1680</v>
      </c>
      <c r="F56" s="5" t="s">
        <v>1681</v>
      </c>
    </row>
    <row r="57" spans="1:6" ht="409.6">
      <c r="A57" s="4" t="s">
        <v>75</v>
      </c>
      <c r="B57" s="4" t="s">
        <v>1682</v>
      </c>
      <c r="C57" s="5" t="s">
        <v>1683</v>
      </c>
      <c r="D57" s="5" t="s">
        <v>1684</v>
      </c>
      <c r="E57" s="5" t="s">
        <v>1685</v>
      </c>
      <c r="F57" s="5" t="s">
        <v>1686</v>
      </c>
    </row>
    <row r="58" spans="1:6" ht="409.6">
      <c r="A58" s="4" t="s">
        <v>75</v>
      </c>
      <c r="B58" s="4" t="s">
        <v>74</v>
      </c>
      <c r="C58" s="5" t="s">
        <v>1687</v>
      </c>
      <c r="D58" s="5" t="s">
        <v>1688</v>
      </c>
      <c r="E58" s="5" t="s">
        <v>1689</v>
      </c>
      <c r="F58" s="5" t="s">
        <v>1690</v>
      </c>
    </row>
    <row r="59" spans="1:6" ht="409.6">
      <c r="A59" s="4" t="s">
        <v>75</v>
      </c>
      <c r="B59" s="4" t="s">
        <v>1691</v>
      </c>
      <c r="C59" s="5" t="s">
        <v>1692</v>
      </c>
      <c r="D59" s="5" t="s">
        <v>1693</v>
      </c>
      <c r="E59" s="5" t="s">
        <v>1694</v>
      </c>
      <c r="F59" s="5" t="s">
        <v>1695</v>
      </c>
    </row>
    <row r="60" spans="1:6" ht="409.6">
      <c r="A60" s="4" t="s">
        <v>75</v>
      </c>
      <c r="B60" s="4" t="s">
        <v>1696</v>
      </c>
      <c r="C60" s="5" t="s">
        <v>1697</v>
      </c>
      <c r="D60" s="5" t="s">
        <v>1698</v>
      </c>
      <c r="E60" s="5" t="s">
        <v>1699</v>
      </c>
      <c r="F60" s="5" t="s">
        <v>1700</v>
      </c>
    </row>
    <row r="61" spans="1:6" ht="409.6">
      <c r="A61" s="4" t="s">
        <v>75</v>
      </c>
      <c r="B61" s="4" t="s">
        <v>259</v>
      </c>
      <c r="C61" s="5" t="s">
        <v>1725</v>
      </c>
      <c r="D61" s="5" t="s">
        <v>1726</v>
      </c>
      <c r="E61" s="5" t="s">
        <v>1727</v>
      </c>
      <c r="F61" s="5" t="s">
        <v>1728</v>
      </c>
    </row>
  </sheetData>
  <sheetProtection algorithmName="SHA-512" hashValue="VrLtIHpOGzyaA8/SD5fUwrGMw05O2j3+RkC55OQWzxbm+hHjjJ0OydtkFOgHMmDVUdrTcW0kR1jaJUXEErTqlg==" saltValue="+UbIFryn8qXqrVH8sNaz+A==" spinCount="100000" sheet="1" objects="1" scenarios="1"/>
  <sortState xmlns:xlrd2="http://schemas.microsoft.com/office/spreadsheetml/2017/richdata2" ref="A3:C52">
    <sortCondition ref="A3:A52"/>
    <sortCondition ref="B3:B52"/>
  </sortState>
  <pageMargins left="0.7" right="0.7" top="0.75" bottom="0.75" header="0.3" footer="0.3"/>
  <pageSetup orientation="portrait" verticalDpi="30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1E5EC-75F5-4688-8FC1-0DC5140503E0}">
  <sheetPr codeName="Sheet6">
    <tabColor theme="9" tint="-0.249977111117893"/>
    <pageSetUpPr fitToPage="1"/>
  </sheetPr>
  <dimension ref="A1:L89"/>
  <sheetViews>
    <sheetView showGridLines="0" showRowColHeaders="0" workbookViewId="0">
      <pane ySplit="3" topLeftCell="A4" activePane="bottomLeft" state="frozen"/>
      <selection pane="bottomLeft" activeCell="H8" sqref="H8"/>
    </sheetView>
  </sheetViews>
  <sheetFormatPr defaultRowHeight="14.4"/>
  <cols>
    <col min="1" max="1" width="28.88671875" customWidth="1"/>
    <col min="2" max="3" width="12.77734375" customWidth="1"/>
    <col min="4" max="4" width="10.33203125" customWidth="1"/>
    <col min="5" max="5" width="27" customWidth="1"/>
    <col min="6" max="6" width="12.77734375" customWidth="1"/>
    <col min="7" max="11" width="10.77734375" customWidth="1"/>
  </cols>
  <sheetData>
    <row r="1" spans="1:11">
      <c r="A1" s="283"/>
      <c r="B1" s="283"/>
      <c r="C1" s="283"/>
      <c r="D1" s="283"/>
      <c r="E1" s="283"/>
      <c r="F1" s="283"/>
      <c r="G1" s="283"/>
      <c r="H1" s="283"/>
      <c r="I1" s="283"/>
      <c r="J1" s="283"/>
      <c r="K1" s="283"/>
    </row>
    <row r="2" spans="1:11">
      <c r="A2" s="283"/>
      <c r="B2" s="283"/>
      <c r="C2" s="283"/>
      <c r="D2" s="283"/>
      <c r="E2" s="283"/>
      <c r="F2" s="283"/>
      <c r="G2" s="283"/>
      <c r="H2" s="283"/>
      <c r="I2" s="283"/>
      <c r="J2" s="283"/>
      <c r="K2" s="283"/>
    </row>
    <row r="3" spans="1:11">
      <c r="A3" s="284"/>
      <c r="B3" s="284"/>
      <c r="C3" s="284"/>
      <c r="D3" s="284"/>
      <c r="E3" s="284"/>
      <c r="F3" s="284"/>
      <c r="G3" s="284"/>
      <c r="H3" s="284"/>
      <c r="I3" s="284"/>
      <c r="J3" s="284"/>
      <c r="K3" s="284"/>
    </row>
    <row r="5" spans="1:11" ht="17.399999999999999">
      <c r="A5" s="278" t="str">
        <f>Tr("RESULTS")</f>
        <v>Results</v>
      </c>
      <c r="B5" s="277"/>
      <c r="C5" s="277"/>
      <c r="D5" s="277"/>
      <c r="E5" s="277"/>
      <c r="F5" s="277"/>
      <c r="G5" s="277"/>
      <c r="H5" s="277"/>
      <c r="I5" s="277"/>
      <c r="J5" s="277"/>
      <c r="K5" s="277"/>
    </row>
    <row r="6" spans="1:11">
      <c r="A6" s="277"/>
      <c r="B6" s="277"/>
      <c r="C6" s="277"/>
      <c r="D6" s="277"/>
      <c r="E6" s="277"/>
      <c r="F6" s="277"/>
      <c r="G6" s="277"/>
      <c r="H6" s="277"/>
      <c r="I6" s="277"/>
      <c r="J6" s="277"/>
      <c r="K6" s="277"/>
    </row>
    <row r="7" spans="1:11">
      <c r="A7" s="534" t="str">
        <f t="shared" ref="A7" si="0">Tr("MECHANISM_TITLE")</f>
        <v>How Energy Valves Deliver Savings</v>
      </c>
      <c r="B7" s="534"/>
      <c r="C7" s="534"/>
      <c r="D7" s="534"/>
      <c r="E7" s="534"/>
      <c r="F7" s="534"/>
      <c r="G7" s="534"/>
      <c r="H7" s="534"/>
      <c r="I7" s="534"/>
      <c r="J7" s="534"/>
      <c r="K7" s="534"/>
    </row>
    <row r="8" spans="1:11" ht="19.8" customHeight="1">
      <c r="A8" s="321" t="str">
        <f>Tr("EXPLORE_DT_PICK_LABEL_SHORT","Explore a different Delta-T:")</f>
        <v>Explore a different Delta-T:</v>
      </c>
      <c r="B8" s="538" t="str">
        <f ca="1">Tr("EXPLORE_DT_FROM_LABEL","From")&amp;": "&amp;TEXT(Home!B26,"#,##0.0")&amp;" "&amp;UnitText("DELTA")</f>
        <v>From: 8.0 °F</v>
      </c>
      <c r="C8" s="539"/>
      <c r="D8" s="538" t="str">
        <f ca="1">Tr("EXPLORE_DT_TO_LABEL","To")&amp;": "&amp;TEXT($C$65,"#,##0.0")&amp;" "&amp;UnitText("DELTA")</f>
        <v>To: 12.0 °F</v>
      </c>
      <c r="E8" s="539"/>
      <c r="F8" s="277"/>
      <c r="G8" s="277"/>
      <c r="H8" s="277"/>
      <c r="I8" s="277"/>
      <c r="J8" s="277"/>
      <c r="K8" s="277"/>
    </row>
    <row r="9" spans="1:11" ht="47.4" customHeight="1">
      <c r="A9" s="535" t="str">
        <f ca="1">IF(LEFT(SelectedLanguage,4)="ESPA","Al aumentar el Delta-T del agua helada de "&amp;TEXT(Home!B26,"#,##0.0")&amp;" a "&amp;TEXT(Home!B30,"#,##0.0")&amp;" "&amp;UnitText("DELTA")&amp;_xlfn._LONGTEXT(", las Energy Valves reducen el caudal necesario para cubrir la misma carga de refrigeración, lo que reduce el consumo de la bomba, y permiten que la enfriadora funcione con mayor eficiencia, reduciendo también su consumo. Juntos, estos dos efectos generan"," el ahorro total de la planta que se muestra a continuación."),IF(LEFT(SelectedLanguage,4)="PORT","Ao aumentar o Delta-T da água gelada de "&amp;TEXT(Home!B26,"#,##0.0")&amp;" para "&amp;TEXT(Home!B30,"#,##0.0")&amp;" "&amp;UnitText("DELTA")&amp;_xlfn._LONGTEXT(", as Energy Valves reduzem a vazão necessária para atender à mesma carga de resfriamento, reduzindo o consumo da bomba, e permitem que o chiller opere com maior eficiência, reduzindo também seu consumo. Juntos, esses dois efeitos geram a economia total da"," instalação mostrada abaixo."),IF(LEFT(SelectedLanguage,4)="FRAN","En augmentant le Delta-T de l'eau glacée de "&amp;TEXT(Home!B26,"#,##0.0")&amp;" à "&amp;TEXT(Home!B30,"#,##0.0")&amp;" "&amp;UnitText("DELTA")&amp;_xlfn._LONGTEXT(", les Energy Valves réduisent le débit nécessaire pour répondre à la même charge de refroidissement, réduisant la consommation de la pompe, tout en permettant au groupe froid de fonctionner plus efficacement, réduisant également sa consommation. Ensemble,"," ces deux effets génèrent les économies totales de l'installation présentées ci-dessous."),"By raising the chilled water Delta-T from "&amp;TEXT(Home!B26,"#,##0.0")&amp;" to "&amp;TEXT(Home!B30,"#,##0.0")&amp;" "&amp;UnitText("DELTA")&amp;", Energy Valves reduce the flow rate needed to meet the same cooling load, cutting pump energy, while letting the chiller run more efficiently, reducing chiller energy too. Together, these two effects drive the total plant savings shown below.")))</f>
        <v>By raising the chilled water Delta-T from 8.0 to 14.0 °F, Energy Valves reduce the flow rate needed to meet the same cooling load, cutting pump energy, while letting the chiller run more efficiently, reducing chiller energy too. Together, these two effects drive the total plant savings shown below.</v>
      </c>
      <c r="B9" s="535"/>
      <c r="C9" s="535"/>
      <c r="D9" s="535"/>
      <c r="E9" s="535"/>
      <c r="F9" s="535"/>
      <c r="G9" s="535"/>
      <c r="H9" s="535"/>
      <c r="I9" s="535"/>
      <c r="J9" s="535"/>
      <c r="K9" s="535"/>
    </row>
    <row r="10" spans="1:11">
      <c r="A10" s="277"/>
      <c r="B10" s="277"/>
      <c r="C10" s="277"/>
      <c r="D10" s="277"/>
      <c r="E10" s="277"/>
      <c r="F10" s="277"/>
      <c r="G10" s="277"/>
      <c r="H10" s="277"/>
      <c r="I10" s="277"/>
      <c r="J10" s="277"/>
      <c r="K10" s="277"/>
    </row>
    <row r="11" spans="1:11">
      <c r="A11" s="536" t="str">
        <f t="shared" ref="A11" si="1">Tr("HERO_SAVINGS_LABEL")</f>
        <v>Total Annual Savings</v>
      </c>
      <c r="B11" s="536"/>
      <c r="C11" s="536"/>
      <c r="D11" s="536"/>
      <c r="E11" s="536"/>
      <c r="F11" s="277"/>
      <c r="G11" s="536" t="str">
        <f t="shared" ref="G11" si="2">Tr("HERO_ENERGY_LABEL")</f>
        <v>Total Annual Energy Saved</v>
      </c>
      <c r="H11" s="536"/>
      <c r="I11" s="536"/>
      <c r="J11" s="536"/>
      <c r="K11" s="536"/>
    </row>
    <row r="12" spans="1:11" ht="31.95" customHeight="1">
      <c r="A12" s="537" t="str">
        <f ca="1">TEXT($B$20-$C$20,"$#,##0")</f>
        <v>$77,030</v>
      </c>
      <c r="B12" s="537"/>
      <c r="C12" s="537"/>
      <c r="D12" s="537"/>
      <c r="E12" s="537"/>
      <c r="F12" s="277"/>
      <c r="G12" s="537" t="str">
        <f ca="1">TEXT($B$21-$C$21,"#,##0")&amp;" kWh"</f>
        <v>641,913 kWh</v>
      </c>
      <c r="H12" s="537"/>
      <c r="I12" s="537"/>
      <c r="J12" s="537"/>
      <c r="K12" s="537"/>
    </row>
    <row r="13" spans="1:11">
      <c r="A13" s="277"/>
      <c r="B13" s="277"/>
      <c r="C13" s="277"/>
      <c r="D13" s="277"/>
      <c r="E13" s="277"/>
      <c r="F13" s="277"/>
      <c r="G13" s="277"/>
      <c r="H13" s="277"/>
      <c r="I13" s="277"/>
      <c r="J13" s="277"/>
      <c r="K13" s="277"/>
    </row>
    <row r="14" spans="1:11">
      <c r="A14" s="279" t="str">
        <f>Tr("METRIC_NAME")</f>
        <v>Metric</v>
      </c>
      <c r="B14" s="279" t="str">
        <f ca="1">"dT = "&amp;TEXT(Home!B26,"#,##0.0")&amp;" "&amp;UnitText("DELTA")</f>
        <v>dT = 8.0 °F</v>
      </c>
      <c r="C14" s="279" t="str">
        <f ca="1">"dT = "&amp;TEXT($C$65,"#,##0.0")&amp;" "&amp;UnitText("DELTA")</f>
        <v>dT = 12.0 °F</v>
      </c>
      <c r="D14" s="277"/>
      <c r="E14" s="279" t="str">
        <f>Tr("SAVINGS")</f>
        <v>Estimated annual savings</v>
      </c>
      <c r="F14" s="277"/>
      <c r="G14" s="277"/>
      <c r="H14" s="277"/>
      <c r="I14" s="277"/>
      <c r="J14" s="277"/>
      <c r="K14" s="277"/>
    </row>
    <row r="15" spans="1:11" ht="40.200000000000003" customHeight="1">
      <c r="A15" s="277" t="str">
        <f>Tr("DELTA_T")</f>
        <v>Delta-T</v>
      </c>
      <c r="B15" s="302">
        <f ca="1">Home!B26</f>
        <v>8</v>
      </c>
      <c r="C15" s="302">
        <f ca="1">$C$65</f>
        <v>12</v>
      </c>
      <c r="D15" s="277"/>
      <c r="E15" s="282" t="str">
        <f>Tr("PUMP_SAVINGS")&amp;" "&amp;Tr("FROM_REDUCED_FLOW")</f>
        <v>Pumping savings (from reduced pump flow)</v>
      </c>
      <c r="F15" s="305">
        <f ca="1">B18-C18</f>
        <v>22647.932485513062</v>
      </c>
      <c r="G15" s="277"/>
      <c r="H15" s="277"/>
      <c r="I15" s="277"/>
      <c r="J15" s="277"/>
      <c r="K15" s="277"/>
    </row>
    <row r="16" spans="1:11" ht="42" customHeight="1">
      <c r="A16" s="277" t="str">
        <f>Tr("FLOW")</f>
        <v>Average flow</v>
      </c>
      <c r="B16" s="303">
        <f ca="1">Home!D26</f>
        <v>2006.25</v>
      </c>
      <c r="C16" s="303">
        <f ca="1">$C$66</f>
        <v>1533.7310601229376</v>
      </c>
      <c r="D16" s="277"/>
      <c r="E16" s="282" t="str">
        <f>Tr("CHILLER_SAVINGS")&amp;" "&amp;Tr("FROM_IMPROVED_EFFICIENCY")</f>
        <v>Chiller savings (from improved chiller efficiency)</v>
      </c>
      <c r="F16" s="305">
        <f ca="1">B19-C19</f>
        <v>54381.66743209085</v>
      </c>
      <c r="G16" s="277"/>
      <c r="H16" s="277"/>
      <c r="I16" s="277"/>
      <c r="J16" s="277"/>
      <c r="K16" s="277"/>
    </row>
    <row r="17" spans="1:11">
      <c r="A17" s="277" t="str">
        <f>Tr("CAPACITY")</f>
        <v>Average cooling load</v>
      </c>
      <c r="B17" s="304">
        <f ca="1">Home!F26</f>
        <v>668.74999999999989</v>
      </c>
      <c r="C17" s="304">
        <f ca="1">$C$67</f>
        <v>766.86553006146869</v>
      </c>
      <c r="D17" s="277"/>
      <c r="E17" s="277" t="str">
        <f>Tr("TOTAL_SAVINGS")</f>
        <v>Total cost savings</v>
      </c>
      <c r="F17" s="305">
        <f ca="1">B20-C20</f>
        <v>77029.599917603919</v>
      </c>
      <c r="G17" s="277"/>
      <c r="H17" s="277"/>
      <c r="I17" s="277"/>
      <c r="J17" s="277"/>
      <c r="K17" s="277"/>
    </row>
    <row r="18" spans="1:11">
      <c r="A18" s="277" t="str">
        <f>Tr("PUMP_COST")</f>
        <v>Pumping cost per year</v>
      </c>
      <c r="B18" s="305">
        <f>Home!H26</f>
        <v>41411.121786961594</v>
      </c>
      <c r="C18" s="305">
        <f ca="1">$C$68</f>
        <v>18763.189301448532</v>
      </c>
      <c r="D18" s="277"/>
      <c r="E18" s="277" t="str">
        <f>Tr("ENERGY_SAVINGS")</f>
        <v>Energy savings</v>
      </c>
      <c r="F18" s="303">
        <f ca="1">B21-C21</f>
        <v>641913.33264669916</v>
      </c>
      <c r="G18" s="277"/>
      <c r="H18" s="277"/>
      <c r="I18" s="277"/>
      <c r="J18" s="277"/>
      <c r="K18" s="277"/>
    </row>
    <row r="19" spans="1:11">
      <c r="A19" s="277" t="str">
        <f>Tr("CHILLER_COST")</f>
        <v>Chiller cost per year</v>
      </c>
      <c r="B19" s="305">
        <f>Home!J26</f>
        <v>249762.82562730843</v>
      </c>
      <c r="C19" s="305">
        <f ca="1">$C$69</f>
        <v>195381.15819521758</v>
      </c>
      <c r="D19" s="277"/>
      <c r="E19" s="277"/>
      <c r="F19" s="277"/>
      <c r="G19" s="277"/>
      <c r="H19" s="277"/>
      <c r="I19" s="277"/>
      <c r="J19" s="277"/>
      <c r="K19" s="277"/>
    </row>
    <row r="20" spans="1:11">
      <c r="A20" s="277" t="str">
        <f>Tr("TOTAL_COST")</f>
        <v>Total cost per year</v>
      </c>
      <c r="B20" s="305">
        <f>Home!L26</f>
        <v>291173.94741427002</v>
      </c>
      <c r="C20" s="305">
        <f ca="1">$C$70</f>
        <v>214144.3474966661</v>
      </c>
      <c r="D20" s="277"/>
      <c r="E20" s="277"/>
      <c r="F20" s="277"/>
      <c r="G20" s="277"/>
      <c r="H20" s="277"/>
      <c r="I20" s="277"/>
      <c r="J20" s="277"/>
      <c r="K20" s="277"/>
    </row>
    <row r="21" spans="1:11">
      <c r="A21" s="277" t="str">
        <f>Tr("ENERGY")</f>
        <v>Energy per year</v>
      </c>
      <c r="B21" s="303">
        <f>Home!N26</f>
        <v>2426449.5617855834</v>
      </c>
      <c r="C21" s="303">
        <f ca="1">$C$71</f>
        <v>1784536.2291388842</v>
      </c>
      <c r="D21" s="277"/>
      <c r="E21" s="277"/>
      <c r="F21" s="277"/>
      <c r="G21" s="277"/>
      <c r="H21" s="277"/>
      <c r="I21" s="277"/>
      <c r="J21" s="277"/>
      <c r="K21" s="277"/>
    </row>
    <row r="22" spans="1:11">
      <c r="A22" s="277"/>
      <c r="B22" s="277"/>
      <c r="C22" s="277"/>
      <c r="D22" s="277"/>
      <c r="E22" s="277"/>
      <c r="F22" s="277"/>
      <c r="G22" s="277"/>
      <c r="H22" s="277"/>
      <c r="I22" s="277"/>
      <c r="J22" s="277"/>
      <c r="K22" s="277"/>
    </row>
    <row r="23" spans="1:11">
      <c r="A23" s="534" t="str">
        <f ca="1">"dT = "&amp;TEXT(Home!B26,"#,##0.0")&amp;" "&amp;UnitText("DELTA")&amp;" — Layman’s Interpretation"</f>
        <v>dT = 8.0 °F — Layman’s Interpretation</v>
      </c>
      <c r="B23" s="534"/>
      <c r="C23" s="534"/>
      <c r="D23" s="534"/>
      <c r="E23" s="534"/>
      <c r="F23" s="534"/>
      <c r="G23" s="277"/>
      <c r="H23" s="277"/>
      <c r="I23" s="277"/>
      <c r="J23" s="277"/>
      <c r="K23" s="277"/>
    </row>
    <row r="24" spans="1:11" ht="6" customHeight="1">
      <c r="A24" s="277"/>
      <c r="B24" s="277"/>
      <c r="C24" s="277"/>
      <c r="D24" s="277"/>
      <c r="E24" s="277"/>
      <c r="F24" s="277"/>
      <c r="G24" s="277"/>
      <c r="H24" s="277"/>
      <c r="I24" s="277"/>
      <c r="J24" s="277"/>
      <c r="K24" s="277"/>
    </row>
    <row r="25" spans="1:11" ht="18.600000000000001" customHeight="1">
      <c r="A25" s="535" t="str">
        <f ca="1">IF(LEFT(SelectedLanguage,4)="ESPA","Resumen de bombeo actual: "&amp;TEXT(Home!H26,"$#,##0")&amp;"/año; caudal "&amp;TEXT(Home!D26,"#,##0.0")&amp;" "&amp;UnitText("FLOW"),IF(LEFT(SelectedLanguage,4)="PORT","Resumo do bombeamento atual: "&amp;TEXT(Home!H26,"$#,##0")&amp;"/ano; vazão "&amp;TEXT(Home!D26,"#,##0.0")&amp;" "&amp;UnitText("FLOW"),IF(LEFT(SelectedLanguage,4)="FRAN","Résumé du pompage actuel : "&amp;TEXT(Home!H26,"$#,##0")&amp;"/an ; débit "&amp;TEXT(Home!D26,"#,##0.0")&amp;" "&amp;UnitText("FLOW"),"Current pumping summary: "&amp;TEXT(Home!H26,"$#,##0")&amp;"/yr; flow "&amp;TEXT(Home!D26,"#,##0.0")&amp;" "&amp;UnitText("FLOW"))))</f>
        <v>Current pumping summary: $41,411/yr; flow 2,006.3 GPM</v>
      </c>
      <c r="B25" s="535"/>
      <c r="C25" s="535"/>
      <c r="D25" s="535"/>
      <c r="E25" s="535"/>
      <c r="F25" s="535"/>
      <c r="G25" s="277"/>
      <c r="H25" s="277"/>
      <c r="I25" s="277"/>
      <c r="J25" s="277"/>
      <c r="K25" s="277"/>
    </row>
    <row r="26" spans="1:11" ht="7.8" customHeight="1">
      <c r="A26" s="277"/>
      <c r="B26" s="277"/>
      <c r="C26" s="277"/>
      <c r="D26" s="277"/>
      <c r="E26" s="277"/>
      <c r="F26" s="277"/>
      <c r="G26" s="277"/>
      <c r="H26" s="277"/>
      <c r="I26" s="277"/>
      <c r="J26" s="277"/>
      <c r="K26" s="277"/>
    </row>
    <row r="27" spans="1:11" ht="15" customHeight="1">
      <c r="A27" s="535" t="str">
        <f>IF(LEFT(SelectedLanguage,4)="ESPA","Costo anual actual de la enfriadora: "&amp;TEXT(Home!J26,"$#,##0"),IF(LEFT(SelectedLanguage,4)="PORT","Custo anual atual do chiller: "&amp;TEXT(Home!J26,"$#,##0"),IF(LEFT(SelectedLanguage,4)="FRAN","Coût annuel actuel du groupe froid : "&amp;TEXT(Home!J26,"$#,##0"),"Current annual chiller cost: "&amp;TEXT(Home!J26,"$#,##0"))))</f>
        <v>Current annual chiller cost: $249,763</v>
      </c>
      <c r="B27" s="535"/>
      <c r="C27" s="535"/>
      <c r="D27" s="535"/>
      <c r="E27" s="535"/>
      <c r="F27" s="535"/>
      <c r="G27" s="277"/>
      <c r="H27" s="277"/>
      <c r="I27" s="277"/>
      <c r="J27" s="277"/>
      <c r="K27" s="277"/>
    </row>
    <row r="28" spans="1:11" ht="8.4" customHeight="1">
      <c r="A28" s="277"/>
      <c r="B28" s="277"/>
      <c r="C28" s="277"/>
      <c r="D28" s="277"/>
      <c r="E28" s="277"/>
      <c r="F28" s="277"/>
      <c r="G28" s="277"/>
      <c r="H28" s="277"/>
      <c r="I28" s="277"/>
      <c r="J28" s="277"/>
      <c r="K28" s="277"/>
    </row>
    <row r="29" spans="1:11">
      <c r="A29" s="277"/>
      <c r="B29" s="277"/>
      <c r="C29" s="277"/>
      <c r="D29" s="277"/>
      <c r="E29" s="277"/>
      <c r="F29" s="277"/>
      <c r="G29" s="277"/>
      <c r="H29" s="277"/>
      <c r="I29" s="277"/>
      <c r="J29" s="277"/>
      <c r="K29" s="277"/>
    </row>
    <row r="30" spans="1:11">
      <c r="A30" s="534" t="str">
        <f ca="1">"dT = "&amp;TEXT($C$65,"#,##0.0")&amp;" "&amp;UnitText("DELTA")&amp;" — Layman’s Interpretation"</f>
        <v>dT = 12.0 °F — Layman’s Interpretation</v>
      </c>
      <c r="B30" s="534"/>
      <c r="C30" s="534"/>
      <c r="D30" s="534"/>
      <c r="E30" s="534"/>
      <c r="F30" s="534"/>
      <c r="G30" s="277"/>
      <c r="H30" s="277"/>
      <c r="I30" s="277"/>
      <c r="J30" s="277"/>
      <c r="K30" s="277"/>
    </row>
    <row r="31" spans="1:11">
      <c r="A31" s="277"/>
      <c r="B31" s="277"/>
      <c r="C31" s="277"/>
      <c r="D31" s="277"/>
      <c r="E31" s="277"/>
      <c r="F31" s="277"/>
      <c r="G31" s="277"/>
      <c r="H31" s="277"/>
      <c r="I31" s="277"/>
      <c r="J31" s="277"/>
      <c r="K31" s="277"/>
    </row>
    <row r="32" spans="1:11" ht="15" customHeight="1">
      <c r="A32" s="535" t="str">
        <f ca="1">IF(LEFT(SelectedLanguage,4)="ESPA","Resumen de bombeo propuesto: "&amp;TEXT($C$68,"$#,##0")&amp;"/año; caudal "&amp;TEXT($C$66,"#,##0.0")&amp;" "&amp;UnitText("FLOW"),IF(LEFT(SelectedLanguage,4)="PORT","Resumo do bombeamento proposto: "&amp;TEXT($C$68,"$#,##0")&amp;"/ano; vazão "&amp;TEXT($C$66,"#,##0.0")&amp;" "&amp;UnitText("FLOW"),IF(LEFT(SelectedLanguage,4)="FRAN","Résumé du pompage proposé : "&amp;TEXT($C$68,"$#,##0")&amp;"/an ; débit "&amp;TEXT($C$66,"#,##0.0")&amp;" "&amp;UnitText("FLOW"),"Proposed pumping summary: "&amp;TEXT($C$68,"$#,##0")&amp;"/yr; flow "&amp;TEXT($C$66,"#,##0.0")&amp;" "&amp;UnitText("FLOW"))))</f>
        <v>Proposed pumping summary: $18,763/yr; flow 1,533.7 GPM</v>
      </c>
      <c r="B32" s="535"/>
      <c r="C32" s="535"/>
      <c r="D32" s="535"/>
      <c r="E32" s="535"/>
      <c r="F32" s="535"/>
      <c r="G32" s="277"/>
      <c r="H32" s="277"/>
      <c r="I32" s="277"/>
      <c r="J32" s="277"/>
      <c r="K32" s="277"/>
    </row>
    <row r="33" spans="1:11">
      <c r="A33" s="277"/>
      <c r="B33" s="277"/>
      <c r="C33" s="277"/>
      <c r="D33" s="277"/>
      <c r="E33" s="277"/>
      <c r="F33" s="277"/>
      <c r="G33" s="277"/>
      <c r="H33" s="277"/>
      <c r="I33" s="277"/>
      <c r="J33" s="277"/>
      <c r="K33" s="277"/>
    </row>
    <row r="34" spans="1:11" ht="15.6" customHeight="1">
      <c r="A34" s="535" t="str">
        <f ca="1">IF(LEFT(SelectedLanguage,4)="ESPA","Costo anual propuesto de la enfriadora: "&amp;TEXT($C$69,"$#,##0"),IF(LEFT(SelectedLanguage,4)="PORT","Custo anual proposto do chiller: "&amp;TEXT($C$69,"$#,##0"),IF(LEFT(SelectedLanguage,4)="FRAN","Coût annuel proposé du groupe froid : "&amp;TEXT($C$69,"$#,##0"),"Proposed annual chiller cost: "&amp;TEXT($C$69,"$#,##0"))))</f>
        <v>Proposed annual chiller cost: $195,381</v>
      </c>
      <c r="B34" s="535"/>
      <c r="C34" s="535"/>
      <c r="D34" s="535"/>
      <c r="E34" s="535"/>
      <c r="F34" s="535"/>
      <c r="G34" s="277"/>
      <c r="H34" s="277"/>
      <c r="I34" s="277"/>
      <c r="J34" s="277"/>
      <c r="K34" s="277"/>
    </row>
    <row r="35" spans="1:11">
      <c r="A35" s="277"/>
      <c r="B35" s="277"/>
      <c r="C35" s="277"/>
      <c r="D35" s="277"/>
      <c r="E35" s="277"/>
      <c r="F35" s="277"/>
      <c r="G35" s="277"/>
      <c r="H35" s="277"/>
      <c r="I35" s="277"/>
      <c r="J35" s="277"/>
      <c r="K35" s="277"/>
    </row>
    <row r="36" spans="1:11">
      <c r="A36" s="277"/>
      <c r="B36" s="277"/>
      <c r="C36" s="277"/>
      <c r="D36" s="277"/>
      <c r="E36" s="277"/>
      <c r="F36" s="277"/>
      <c r="G36" s="277"/>
      <c r="H36" s="277"/>
      <c r="I36" s="277"/>
      <c r="J36" s="277"/>
      <c r="K36" s="277"/>
    </row>
    <row r="37" spans="1:11">
      <c r="A37" s="534" t="str">
        <f ca="1">Tr("PUMP_BIN_DETAILS","Pump Bin Details")&amp;" – dT = "&amp;TEXT(Home!B26,"#,##0.0")&amp;" "&amp;UnitText("DELTA")</f>
        <v>Pump Bin Details – dT = 8.0 °F</v>
      </c>
      <c r="B37" s="534"/>
      <c r="C37" s="534"/>
      <c r="D37" s="534"/>
      <c r="E37" s="534"/>
      <c r="F37" s="277"/>
      <c r="G37" s="534" t="str">
        <f ca="1">Tr("PUMP_BIN_DETAILS","Pump Bin Details")&amp;" – dT = "&amp;TEXT($C$65,"#,##0.0")&amp;" "&amp;UnitText("DELTA")</f>
        <v>Pump Bin Details – dT = 12.0 °F</v>
      </c>
      <c r="H37" s="534"/>
      <c r="I37" s="534"/>
      <c r="J37" s="534"/>
      <c r="K37" s="534"/>
    </row>
    <row r="38" spans="1:11" ht="28.95" customHeight="1">
      <c r="A38" s="350" t="str">
        <f>Tr("LOAD_PCT")</f>
        <v>Load [%]</v>
      </c>
      <c r="B38" s="350" t="str">
        <f>Tr("TIME_H")</f>
        <v>Time [h]</v>
      </c>
      <c r="C38" s="350" t="str">
        <f>Tr("FLOW_LABEL")&amp;" "&amp;UnitText("FLOW")</f>
        <v>Flow GPM</v>
      </c>
      <c r="D38" s="350" t="str">
        <f>Tr("HEAD_LABEL")&amp;" "&amp;UnitText("HEAD")</f>
        <v>Head ft</v>
      </c>
      <c r="E38" s="350" t="str">
        <f>Tr("PUMP_WORD")&amp;" "&amp;UnitText("POWER")</f>
        <v>Pump HP</v>
      </c>
      <c r="F38" s="277"/>
      <c r="G38" s="351" t="str">
        <f>Tr("LOAD_PCT")</f>
        <v>Load [%]</v>
      </c>
      <c r="H38" s="350" t="str">
        <f>Tr("TIME_H")</f>
        <v>Time [h]</v>
      </c>
      <c r="I38" s="351" t="str">
        <f>Tr("FLOW_LABEL")&amp;" "&amp;UnitText("FLOW")</f>
        <v>Flow GPM</v>
      </c>
      <c r="J38" s="350" t="str">
        <f>Tr("HEAD_LABEL")&amp;" "&amp;UnitText("HEAD")</f>
        <v>Head ft</v>
      </c>
      <c r="K38" s="350" t="str">
        <f>Tr("PUMP_WORD")&amp;" "&amp;UnitText("POWER")</f>
        <v>Pump HP</v>
      </c>
    </row>
    <row r="39" spans="1:11">
      <c r="A39" s="302">
        <f>Pump!B26</f>
        <v>100</v>
      </c>
      <c r="B39" s="303">
        <f>Pump!D26</f>
        <v>747.7572739187417</v>
      </c>
      <c r="C39" s="303">
        <f ca="1">Pump!E26</f>
        <v>3000</v>
      </c>
      <c r="D39" s="304">
        <f ca="1">Pump!F26</f>
        <v>80</v>
      </c>
      <c r="E39" s="304">
        <f ca="1">Pump!G26</f>
        <v>75.757575757575751</v>
      </c>
      <c r="F39" s="277"/>
      <c r="G39" s="302">
        <f>Pump!B54</f>
        <v>100</v>
      </c>
      <c r="H39" s="303">
        <f>Pump!D54</f>
        <v>747.7572739187417</v>
      </c>
      <c r="I39" s="303">
        <f ca="1">Pump!E54</f>
        <v>2571.4285714285716</v>
      </c>
      <c r="J39" s="304">
        <f ca="1">Pump!F54</f>
        <v>58.775510204081641</v>
      </c>
      <c r="K39" s="304">
        <f ca="1">Pump!G54</f>
        <v>47.707394646170165</v>
      </c>
    </row>
    <row r="40" spans="1:11">
      <c r="A40" s="302">
        <f>Pump!B27</f>
        <v>75</v>
      </c>
      <c r="B40" s="303">
        <f>Pump!D27</f>
        <v>2243.2718217562251</v>
      </c>
      <c r="C40" s="303">
        <f ca="1">Pump!E27</f>
        <v>3000</v>
      </c>
      <c r="D40" s="304">
        <f ca="1">Pump!F27</f>
        <v>80</v>
      </c>
      <c r="E40" s="304">
        <f ca="1">Pump!G27</f>
        <v>75.757575757575751</v>
      </c>
      <c r="F40" s="277"/>
      <c r="G40" s="302">
        <f>Pump!B55</f>
        <v>75</v>
      </c>
      <c r="H40" s="303">
        <f>Pump!D55</f>
        <v>2243.2718217562251</v>
      </c>
      <c r="I40" s="303">
        <f ca="1">Pump!E55</f>
        <v>1928.5714285714287</v>
      </c>
      <c r="J40" s="304">
        <f ca="1">Pump!F55</f>
        <v>33.061224489795926</v>
      </c>
      <c r="K40" s="304">
        <f ca="1">Pump!G55</f>
        <v>20.126557116353041</v>
      </c>
    </row>
    <row r="41" spans="1:11">
      <c r="A41" s="302">
        <f>Pump!B28</f>
        <v>50</v>
      </c>
      <c r="B41" s="303">
        <f>Pump!D28</f>
        <v>6729.8154652686753</v>
      </c>
      <c r="C41" s="303">
        <f ca="1">Pump!E28</f>
        <v>2250</v>
      </c>
      <c r="D41" s="304">
        <f ca="1">Pump!F28</f>
        <v>45</v>
      </c>
      <c r="E41" s="304">
        <f ca="1">Pump!G28</f>
        <v>31.960227272727273</v>
      </c>
      <c r="F41" s="277"/>
      <c r="G41" s="302">
        <f>Pump!B56</f>
        <v>50</v>
      </c>
      <c r="H41" s="303">
        <f>Pump!D56</f>
        <v>6729.8154652686753</v>
      </c>
      <c r="I41" s="303">
        <f ca="1">Pump!E56</f>
        <v>1285.7142857142858</v>
      </c>
      <c r="J41" s="304">
        <f ca="1">Pump!F56</f>
        <v>14.69387755102041</v>
      </c>
      <c r="K41" s="304">
        <f ca="1">Pump!G56</f>
        <v>5.9634243307712707</v>
      </c>
    </row>
    <row r="42" spans="1:11">
      <c r="A42" s="302">
        <f>Pump!B29</f>
        <v>25</v>
      </c>
      <c r="B42" s="303">
        <f>Pump!D29</f>
        <v>5234.3009174311919</v>
      </c>
      <c r="C42" s="303">
        <f ca="1">Pump!E29</f>
        <v>1125</v>
      </c>
      <c r="D42" s="304">
        <f ca="1">Pump!F29</f>
        <v>11.25</v>
      </c>
      <c r="E42" s="304">
        <f ca="1">Pump!G29</f>
        <v>3.9950284090909092</v>
      </c>
      <c r="F42" s="277"/>
      <c r="G42" s="302">
        <f>Pump!B57</f>
        <v>25</v>
      </c>
      <c r="H42" s="303">
        <f>Pump!D57</f>
        <v>5234.3009174311919</v>
      </c>
      <c r="I42" s="303">
        <f ca="1">Pump!E57</f>
        <v>1060.6601717798214</v>
      </c>
      <c r="J42" s="304">
        <f ca="1">Pump!F57</f>
        <v>10.000000000000002</v>
      </c>
      <c r="K42" s="304">
        <f ca="1">Pump!G57</f>
        <v>3.3480434715272147</v>
      </c>
    </row>
    <row r="44" spans="1:11">
      <c r="A44" s="534" t="str">
        <f t="shared" ref="A44" si="3">Tr("RESULTS_HIGHLIGHTS_TITLE")</f>
        <v>Financial &amp; Environmental Highlights</v>
      </c>
      <c r="B44" s="534"/>
      <c r="C44" s="534"/>
      <c r="D44" s="534"/>
      <c r="E44" s="534"/>
      <c r="F44" s="534"/>
      <c r="G44" s="534"/>
      <c r="H44" s="534"/>
      <c r="I44" s="534"/>
      <c r="J44" s="534"/>
      <c r="K44" s="534"/>
    </row>
    <row r="46" spans="1:11">
      <c r="A46" s="540" t="str">
        <f t="shared" ref="A46" si="4">Tr("NPV_LABEL")</f>
        <v>Net Present Value (NPV)</v>
      </c>
      <c r="B46" s="540"/>
      <c r="C46" s="540"/>
      <c r="D46" s="540"/>
      <c r="E46" s="540"/>
      <c r="F46" s="541" t="str">
        <f ca="1">TEXT($B$87,"$#,##0")</f>
        <v>$509,752</v>
      </c>
      <c r="G46" s="541"/>
    </row>
    <row r="47" spans="1:11">
      <c r="A47" s="540" t="str">
        <f t="shared" ref="A47" si="5">Tr("SIR_LABEL")</f>
        <v>Savings-Investment Ratio (SIR)</v>
      </c>
      <c r="B47" s="540"/>
      <c r="C47" s="540"/>
      <c r="D47" s="540"/>
      <c r="E47" s="540"/>
      <c r="F47" s="541" t="str">
        <f ca="1">TEXT($B$89,"0.00")</f>
        <v>4.00</v>
      </c>
      <c r="G47" s="541"/>
    </row>
    <row r="48" spans="1:11">
      <c r="A48" s="540" t="str">
        <f t="shared" ref="A48" si="6">Tr("SPP_LABEL")</f>
        <v>Simple Payback Period (SPP)</v>
      </c>
      <c r="B48" s="540"/>
      <c r="C48" s="540"/>
      <c r="D48" s="540"/>
      <c r="E48" s="540"/>
      <c r="F48" s="541" t="str">
        <f ca="1">IF(ISNUMBER($B$88),TEXT($B$88,"#,##0.0")&amp;" "&amp;Tr("YEARS_WORD"),$B$88)</f>
        <v>2.2 years</v>
      </c>
      <c r="G48" s="541"/>
    </row>
    <row r="49" spans="1:11">
      <c r="A49" s="540" t="str">
        <f t="shared" ref="A49" si="7">Tr("CO2")</f>
        <v>Annual carbon dioxide avoided</v>
      </c>
      <c r="B49" s="540"/>
      <c r="C49" s="540"/>
      <c r="D49" s="540"/>
      <c r="E49" s="540"/>
      <c r="F49" s="541" t="str">
        <f ca="1">TEXT(($B$20-$C$70)*1.555,"#,##0")&amp;" "&amp;Home!N44</f>
        <v>119,781 pounds</v>
      </c>
      <c r="G49" s="541"/>
    </row>
    <row r="50" spans="1:11">
      <c r="A50" s="540" t="str">
        <f t="shared" ref="A50" si="8">Tr("TREES")</f>
        <v>Tree seedlings grown for 10 years</v>
      </c>
      <c r="B50" s="540"/>
      <c r="C50" s="540"/>
      <c r="D50" s="540"/>
      <c r="E50" s="540"/>
      <c r="F50" s="541" t="str">
        <f ca="1">TEXT(($B$20-$C$70)*1.555*0.00045359237/0.039,"#,##0")&amp;" "&amp;Tr("TREE_SEEDLINGS_UNIT")</f>
        <v>1,393 tree seedlings</v>
      </c>
      <c r="G50" s="541"/>
    </row>
    <row r="51" spans="1:11">
      <c r="A51" s="540" t="str">
        <f t="shared" ref="A51" si="9">Tr("HOMES")</f>
        <v>Equivalent annual home electricity use</v>
      </c>
      <c r="B51" s="540"/>
      <c r="C51" s="540"/>
      <c r="D51" s="540"/>
      <c r="E51" s="540"/>
      <c r="F51" s="541" t="str">
        <f ca="1">TEXT(($B$20-$C$70)*(0.097/1000),"#,##0")&amp;" "&amp;Tr("HOMES_UNIT")</f>
        <v>7 homes</v>
      </c>
      <c r="G51" s="541"/>
    </row>
    <row r="53" spans="1:11">
      <c r="A53" s="534" t="str">
        <f t="shared" ref="A53" si="10">Tr("UTILITY_REBATE_TITLE")</f>
        <v>Utility Rebate Support</v>
      </c>
      <c r="B53" s="534"/>
      <c r="C53" s="534"/>
      <c r="D53" s="534"/>
      <c r="E53" s="534"/>
      <c r="F53" s="534"/>
      <c r="G53" s="534"/>
      <c r="H53" s="534"/>
      <c r="I53" s="534"/>
      <c r="J53" s="534"/>
      <c r="K53" s="534"/>
    </row>
    <row r="55" spans="1:11">
      <c r="A55" s="540" t="str">
        <f t="shared" ref="A55" si="11">Tr("ENERGY_SAVINGS")</f>
        <v>Energy savings</v>
      </c>
      <c r="B55" s="540"/>
      <c r="C55" s="540"/>
      <c r="D55" s="540"/>
      <c r="E55" s="540"/>
      <c r="F55" s="546" t="str">
        <f ca="1">TEXT($B$21-$C$21,"#,##0")&amp;" kWh"</f>
        <v>641,913 kWh</v>
      </c>
      <c r="G55" s="546"/>
    </row>
    <row r="56" spans="1:11">
      <c r="A56" s="540" t="str">
        <f t="shared" ref="A56" si="12">Tr("CO2")</f>
        <v>Annual carbon dioxide avoided</v>
      </c>
      <c r="B56" s="540"/>
      <c r="C56" s="540"/>
      <c r="D56" s="540"/>
      <c r="E56" s="540"/>
      <c r="F56" s="546" t="str">
        <f ca="1">TEXT(($B$20-$C$70)*1.555,"#,##0")&amp;" "&amp;Home!N44</f>
        <v>119,781 pounds</v>
      </c>
      <c r="G56" s="546"/>
    </row>
    <row r="58" spans="1:11" ht="17.399999999999999" customHeight="1">
      <c r="A58" s="545" t="str">
        <f t="shared" ref="A58" si="13">Tr("METHODOLOGY_NOTE")</f>
        <v>This analysis uses a bin-based energy model built on region-specific weather data and standard pump affinity-law calculations, providing a defensible basis for utility rebate and incentive program verification.</v>
      </c>
      <c r="B58" s="545"/>
      <c r="C58" s="545"/>
      <c r="D58" s="545"/>
      <c r="E58" s="545"/>
      <c r="F58" s="545"/>
      <c r="G58" s="545"/>
      <c r="H58" s="545"/>
      <c r="I58" s="545"/>
      <c r="J58" s="545"/>
      <c r="K58" s="545"/>
    </row>
    <row r="60" spans="1:11" hidden="1">
      <c r="A60" s="534" t="str">
        <f>Tr("EXPLORE_DT_TITLE","Explore a Custom Delta-T Scenario")</f>
        <v>Explore a Custom Delta-T Scenario</v>
      </c>
      <c r="B60" s="542"/>
      <c r="C60" s="542"/>
      <c r="D60" s="542"/>
      <c r="E60" s="542"/>
      <c r="F60" s="542"/>
      <c r="G60" s="542"/>
      <c r="H60" s="542"/>
      <c r="I60" s="542"/>
      <c r="J60" s="542"/>
      <c r="K60" s="542"/>
    </row>
    <row r="61" spans="1:11" hidden="1"/>
    <row r="62" spans="1:11" hidden="1">
      <c r="A62" s="543" t="str">
        <f>Tr("EXPLORE_DT_INTRO","")</f>
        <v>Home's savings table already calculates six Delta-T points between your Actual and Future/Design settings. Use the spinner below to compare your Actual scenario against any of them, not just the Future value shown above.</v>
      </c>
      <c r="B62" s="544"/>
      <c r="C62" s="544"/>
      <c r="D62" s="544"/>
      <c r="E62" s="544"/>
      <c r="F62" s="544"/>
      <c r="G62" s="544"/>
      <c r="H62" s="544"/>
      <c r="I62" s="544"/>
      <c r="J62" s="544"/>
      <c r="K62" s="544"/>
    </row>
    <row r="63" spans="1:11" hidden="1"/>
    <row r="64" spans="1:11" hidden="1">
      <c r="B64" s="279" t="str">
        <f ca="1">Tr("EXPLORE_DT_ACTUAL_HDR","Actual")&amp;" — dT = "&amp;TEXT(Home!B26,"#,##0.0")&amp;" "&amp;UnitText("DELTA")</f>
        <v>Actual — dT = 8.0 °F</v>
      </c>
      <c r="C64" s="279" t="str">
        <f ca="1">Tr("EXPLORE_DT_CUSTOM_HDR","Custom")&amp;" — dT = "&amp;TEXT($C$65,"#,##0.0")&amp;" "&amp;UnitText("DELTA")</f>
        <v>Custom — dT = 12.0 °F</v>
      </c>
    </row>
    <row r="65" spans="1:6" hidden="1">
      <c r="A65" s="277" t="str">
        <f>Tr("DELTA_T","Delta-T")</f>
        <v>Delta-T</v>
      </c>
      <c r="B65" s="330">
        <f ca="1">Home!B26</f>
        <v>8</v>
      </c>
      <c r="C65" s="330">
        <f ca="1">VLOOKUP(DisplayValue($D$79,"DELTA"),Home!$B$25:$N$30,1,TRUE)</f>
        <v>12</v>
      </c>
    </row>
    <row r="66" spans="1:6" hidden="1">
      <c r="A66" s="277" t="str">
        <f>Tr("FLOW","Avg Flow")</f>
        <v>Average flow</v>
      </c>
      <c r="B66" s="331">
        <f ca="1">Home!D26</f>
        <v>2006.25</v>
      </c>
      <c r="C66" s="331">
        <f ca="1">VLOOKUP(DisplayValue($D$79,"DELTA"),Home!$B$25:$N$30,3,TRUE)</f>
        <v>1533.7310601229376</v>
      </c>
    </row>
    <row r="67" spans="1:6" hidden="1">
      <c r="A67" s="277" t="str">
        <f>Tr("CAPACITY","Avg Cooling Load")</f>
        <v>Average cooling load</v>
      </c>
      <c r="B67" s="332">
        <f ca="1">Home!F26</f>
        <v>668.74999999999989</v>
      </c>
      <c r="C67" s="332">
        <f ca="1">VLOOKUP(DisplayValue($D$79,"DELTA"),Home!$B$25:$N$30,5,TRUE)</f>
        <v>766.86553006146869</v>
      </c>
    </row>
    <row r="68" spans="1:6" hidden="1">
      <c r="A68" s="277" t="str">
        <f>Tr("PUMP_COST","Pumping Cost")</f>
        <v>Pumping cost per year</v>
      </c>
      <c r="B68" s="333">
        <f>Home!H26</f>
        <v>41411.121786961594</v>
      </c>
      <c r="C68" s="333">
        <f ca="1">VLOOKUP(DisplayValue($D$79,"DELTA"),Home!$B$25:$N$30,7,TRUE)</f>
        <v>18763.189301448532</v>
      </c>
    </row>
    <row r="69" spans="1:6" hidden="1">
      <c r="A69" s="277" t="str">
        <f>Tr("CHILLER_COST","Chiller Cost")</f>
        <v>Chiller cost per year</v>
      </c>
      <c r="B69" s="333">
        <f>Home!J26</f>
        <v>249762.82562730843</v>
      </c>
      <c r="C69" s="333">
        <f ca="1">VLOOKUP(DisplayValue($D$79,"DELTA"),Home!$B$25:$N$30,9,TRUE)</f>
        <v>195381.15819521758</v>
      </c>
    </row>
    <row r="70" spans="1:6" hidden="1">
      <c r="A70" s="277" t="str">
        <f>Tr("TOTAL_COST","Total Cost")</f>
        <v>Total cost per year</v>
      </c>
      <c r="B70" s="333">
        <f>Home!L26</f>
        <v>291173.94741427002</v>
      </c>
      <c r="C70" s="333">
        <f ca="1">VLOOKUP(DisplayValue($D$79,"DELTA"),Home!$B$25:$N$30,11,TRUE)</f>
        <v>214144.3474966661</v>
      </c>
    </row>
    <row r="71" spans="1:6" hidden="1">
      <c r="A71" s="277" t="str">
        <f>Tr("ENERGY","Energy")</f>
        <v>Energy per year</v>
      </c>
      <c r="B71" s="331">
        <f>Home!N26</f>
        <v>2426449.5617855834</v>
      </c>
      <c r="C71" s="331">
        <f ca="1">VLOOKUP(DisplayValue($D$79,"DELTA"),Home!$B$25:$N$30,13,TRUE)</f>
        <v>1784536.2291388842</v>
      </c>
    </row>
    <row r="72" spans="1:6" hidden="1"/>
    <row r="73" spans="1:6" hidden="1">
      <c r="A73" s="321" t="str">
        <f>Tr("EXPLORE_DT_SAVINGS_LABEL","Estimated savings: Actual → Custom")</f>
        <v>Estimated savings: Actual → Custom</v>
      </c>
    </row>
    <row r="74" spans="1:6" hidden="1">
      <c r="A74" s="277" t="str">
        <f>Tr("PUMP_SAVINGS")&amp;" "&amp;Tr("FROM_REDUCED_FLOW")</f>
        <v>Pumping savings (from reduced pump flow)</v>
      </c>
      <c r="F74" s="333">
        <f ca="1">B68-C68</f>
        <v>22647.932485513062</v>
      </c>
    </row>
    <row r="75" spans="1:6" hidden="1">
      <c r="A75" s="277" t="str">
        <f>Tr("CHILLER_SAVINGS")&amp;" "&amp;Tr("FROM_IMPROVED_EFFICIENCY")</f>
        <v>Chiller savings (from improved chiller efficiency)</v>
      </c>
      <c r="F75" s="333">
        <f ca="1">B69-C69</f>
        <v>54381.66743209085</v>
      </c>
    </row>
    <row r="76" spans="1:6" hidden="1">
      <c r="A76" s="277" t="str">
        <f>Tr("TOTAL_SAVINGS","Total cost savings")</f>
        <v>Total cost savings</v>
      </c>
      <c r="F76" s="333">
        <f ca="1">B70-C70</f>
        <v>77029.599917603919</v>
      </c>
    </row>
    <row r="77" spans="1:6" hidden="1">
      <c r="A77" s="277" t="str">
        <f>Tr("ENERGY_SAVINGS","Energy savings")</f>
        <v>Energy savings</v>
      </c>
      <c r="F77" s="331">
        <f ca="1">B71-C71</f>
        <v>641913.33264669916</v>
      </c>
    </row>
    <row r="78" spans="1:6" hidden="1"/>
    <row r="79" spans="1:6" hidden="1">
      <c r="A79" s="277"/>
      <c r="D79" s="334">
        <v>12</v>
      </c>
    </row>
    <row r="80" spans="1:6" hidden="1"/>
    <row r="81" spans="1:12" hidden="1">
      <c r="A81" t="s">
        <v>1567</v>
      </c>
    </row>
    <row r="82" spans="1:12" hidden="1"/>
    <row r="83" spans="1:12" hidden="1">
      <c r="A83" t="s">
        <v>1568</v>
      </c>
      <c r="C83" s="335">
        <f ca="1">$B$20-$C$70</f>
        <v>77029.599917603919</v>
      </c>
      <c r="D83">
        <f ca="1">C83*(1+Model_Financials!$B$12)</f>
        <v>78570.191915955991</v>
      </c>
      <c r="E83">
        <f ca="1">D83*(1+Model_Financials!$B$12)</f>
        <v>80141.595754275113</v>
      </c>
      <c r="F83">
        <f ca="1">E83*(1+Model_Financials!$B$12)</f>
        <v>81744.427669360623</v>
      </c>
      <c r="G83">
        <f ca="1">F83*(1+Model_Financials!$B$12)</f>
        <v>83379.316222747831</v>
      </c>
      <c r="H83">
        <f ca="1">G83*(1+Model_Financials!$B$12)</f>
        <v>85046.902547202786</v>
      </c>
      <c r="I83">
        <f ca="1">H83*(1+Model_Financials!$B$12)</f>
        <v>86747.840598146839</v>
      </c>
      <c r="J83">
        <f ca="1">I83*(1+Model_Financials!$B$12)</f>
        <v>88482.797410109779</v>
      </c>
      <c r="K83">
        <f ca="1">J83*(1+Model_Financials!$B$12)</f>
        <v>90252.453358311977</v>
      </c>
      <c r="L83">
        <f ca="1">K83*(1+Model_Financials!$B$12)</f>
        <v>92057.502425478218</v>
      </c>
    </row>
    <row r="84" spans="1:12" hidden="1">
      <c r="A84" t="s">
        <v>1569</v>
      </c>
      <c r="B84" s="336">
        <f>Model_Financials!B23</f>
        <v>-170000</v>
      </c>
      <c r="C84" s="335">
        <f t="shared" ref="C84:L84" ca="1" si="14">C83</f>
        <v>77029.599917603919</v>
      </c>
      <c r="D84">
        <f t="shared" ca="1" si="14"/>
        <v>78570.191915955991</v>
      </c>
      <c r="E84">
        <f t="shared" ca="1" si="14"/>
        <v>80141.595754275113</v>
      </c>
      <c r="F84">
        <f t="shared" ca="1" si="14"/>
        <v>81744.427669360623</v>
      </c>
      <c r="G84">
        <f t="shared" ca="1" si="14"/>
        <v>83379.316222747831</v>
      </c>
      <c r="H84">
        <f t="shared" ca="1" si="14"/>
        <v>85046.902547202786</v>
      </c>
      <c r="I84">
        <f t="shared" ca="1" si="14"/>
        <v>86747.840598146839</v>
      </c>
      <c r="J84">
        <f t="shared" ca="1" si="14"/>
        <v>88482.797410109779</v>
      </c>
      <c r="K84">
        <f t="shared" ca="1" si="14"/>
        <v>90252.453358311977</v>
      </c>
      <c r="L84">
        <f t="shared" ca="1" si="14"/>
        <v>92057.502425478218</v>
      </c>
    </row>
    <row r="85" spans="1:12" hidden="1">
      <c r="A85" t="s">
        <v>1570</v>
      </c>
      <c r="B85">
        <f>B84/(1+Model_Financials!$B$9)^Model_Financials!B15</f>
        <v>-170000</v>
      </c>
      <c r="C85">
        <f ca="1">C84/(1+Model_Financials!$B$9)^Model_Financials!C15</f>
        <v>74066.922997696078</v>
      </c>
      <c r="D85">
        <f ca="1">D84/(1+Model_Financials!$B$9)^Model_Financials!D15</f>
        <v>72642.559093894219</v>
      </c>
      <c r="E85">
        <f ca="1">E84/(1+Model_Financials!$B$9)^Model_Financials!E15</f>
        <v>71245.586803627026</v>
      </c>
      <c r="F85">
        <f ca="1">F84/(1+Model_Financials!$B$9)^Model_Financials!F15</f>
        <v>69875.479365095729</v>
      </c>
      <c r="G85">
        <f ca="1">G84/(1+Model_Financials!$B$9)^Model_Financials!G15</f>
        <v>68531.720146536187</v>
      </c>
      <c r="H85">
        <f ca="1">H84/(1+Model_Financials!$B$9)^Model_Financials!H15</f>
        <v>67213.802451410491</v>
      </c>
      <c r="I85">
        <f ca="1">I84/(1+Model_Financials!$B$9)^Model_Financials!I15</f>
        <v>65921.229327344903</v>
      </c>
      <c r="J85">
        <f ca="1">J84/(1+Model_Financials!$B$9)^Model_Financials!J15</f>
        <v>64653.513378742115</v>
      </c>
      <c r="K85">
        <f ca="1">K84/(1+Model_Financials!$B$9)^Model_Financials!K15</f>
        <v>63410.176582997068</v>
      </c>
      <c r="L85">
        <f ca="1">L84/(1+Model_Financials!$B$9)^Model_Financials!L15</f>
        <v>62190.750110247129</v>
      </c>
    </row>
    <row r="86" spans="1:12" hidden="1"/>
    <row r="87" spans="1:12" hidden="1">
      <c r="A87" t="s">
        <v>1571</v>
      </c>
      <c r="B87">
        <f ca="1">SUM(B85:L85)</f>
        <v>509751.74025759095</v>
      </c>
    </row>
    <row r="88" spans="1:12" hidden="1">
      <c r="A88" t="s">
        <v>1572</v>
      </c>
      <c r="B88">
        <f ca="1">IF(C84=0,"N/A",IF(Model_Financials!C21&gt;0,"N/A",-B84/C84))</f>
        <v>2.2069438265529553</v>
      </c>
    </row>
    <row r="89" spans="1:12" hidden="1">
      <c r="A89" t="s">
        <v>1573</v>
      </c>
      <c r="B89">
        <f ca="1">SUM(C85:L85)/ABS(SUM(Model_Financials!B33:L33))</f>
        <v>3.9985396485740647</v>
      </c>
    </row>
  </sheetData>
  <sheetProtection algorithmName="SHA-512" hashValue="JFpPjHhiq1zsN0cGDtRHFCmFxbZynRGsnMHRkiAB99VrjWtWy9bLyaBSG8bEGQX+RNK01oAAVKYN9OymZKILXg==" saltValue="eSiXs9FLUwN+yXW60JJDIg==" spinCount="100000" sheet="1" scenarios="1"/>
  <mergeCells count="37">
    <mergeCell ref="A60:K60"/>
    <mergeCell ref="A62:K62"/>
    <mergeCell ref="A58:K58"/>
    <mergeCell ref="A53:K53"/>
    <mergeCell ref="A55:E55"/>
    <mergeCell ref="F55:G55"/>
    <mergeCell ref="A56:E56"/>
    <mergeCell ref="F56:G56"/>
    <mergeCell ref="A51:E51"/>
    <mergeCell ref="F51:G51"/>
    <mergeCell ref="A48:E48"/>
    <mergeCell ref="F48:G48"/>
    <mergeCell ref="A49:E49"/>
    <mergeCell ref="F49:G49"/>
    <mergeCell ref="A50:E50"/>
    <mergeCell ref="F50:G50"/>
    <mergeCell ref="A44:K44"/>
    <mergeCell ref="A46:E46"/>
    <mergeCell ref="F46:G46"/>
    <mergeCell ref="A47:E47"/>
    <mergeCell ref="F47:G47"/>
    <mergeCell ref="A23:F23"/>
    <mergeCell ref="A30:F30"/>
    <mergeCell ref="A37:E37"/>
    <mergeCell ref="G37:K37"/>
    <mergeCell ref="A25:F25"/>
    <mergeCell ref="A27:F27"/>
    <mergeCell ref="A32:F32"/>
    <mergeCell ref="A34:F34"/>
    <mergeCell ref="A7:K7"/>
    <mergeCell ref="A9:K9"/>
    <mergeCell ref="A11:E11"/>
    <mergeCell ref="G11:K11"/>
    <mergeCell ref="A12:E12"/>
    <mergeCell ref="G12:K12"/>
    <mergeCell ref="B8:C8"/>
    <mergeCell ref="D8:E8"/>
  </mergeCells>
  <printOptions horizontalCentered="1"/>
  <pageMargins left="0.25" right="0.25"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SpinButtonExploreDT">
              <controlPr defaultSize="0" autoPict="0" macro="[0]!SpinButtonExploreDT_Click">
                <anchor moveWithCells="1">
                  <from>
                    <xdr:col>5</xdr:col>
                    <xdr:colOff>0</xdr:colOff>
                    <xdr:row>7</xdr:row>
                    <xdr:rowOff>0</xdr:rowOff>
                  </from>
                  <to>
                    <xdr:col>6</xdr:col>
                    <xdr:colOff>518160</xdr:colOff>
                    <xdr:row>7</xdr:row>
                    <xdr:rowOff>205740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2E8C1-A616-48C1-BEC6-A15F5A48E7AC}">
  <sheetPr codeName="Sheet14">
    <tabColor rgb="FFED7D31"/>
  </sheetPr>
  <dimension ref="B2:G86"/>
  <sheetViews>
    <sheetView workbookViewId="0"/>
  </sheetViews>
  <sheetFormatPr defaultRowHeight="14.4"/>
  <cols>
    <col min="1" max="1" width="3.33203125" customWidth="1"/>
    <col min="2" max="2" width="40.77734375" customWidth="1"/>
    <col min="3" max="3" width="2.33203125" customWidth="1"/>
    <col min="4" max="4" width="20.77734375" style="306" customWidth="1"/>
    <col min="5" max="5" width="11.77734375" customWidth="1"/>
    <col min="6" max="6" width="2.77734375" customWidth="1"/>
    <col min="7" max="7" width="74.77734375" customWidth="1"/>
  </cols>
  <sheetData>
    <row r="2" spans="2:7" ht="17.399999999999999">
      <c r="B2" s="278" t="s">
        <v>1122</v>
      </c>
    </row>
    <row r="3" spans="2:7">
      <c r="B3" s="547" t="s">
        <v>1328</v>
      </c>
      <c r="C3" s="547"/>
      <c r="D3" s="547"/>
      <c r="E3" s="547"/>
      <c r="F3" s="547"/>
      <c r="G3" s="547"/>
    </row>
    <row r="4" spans="2:7">
      <c r="B4" s="547"/>
      <c r="C4" s="547"/>
      <c r="D4" s="547"/>
      <c r="E4" s="547"/>
      <c r="F4" s="547"/>
      <c r="G4" s="547"/>
    </row>
    <row r="5" spans="2:7" ht="0.6" customHeight="1">
      <c r="B5" s="547"/>
      <c r="C5" s="547"/>
      <c r="D5" s="547"/>
      <c r="E5" s="547"/>
      <c r="F5" s="547"/>
      <c r="G5" s="547"/>
    </row>
    <row r="6" spans="2:7">
      <c r="B6" s="547"/>
      <c r="C6" s="547"/>
      <c r="D6" s="547"/>
      <c r="E6" s="547"/>
      <c r="F6" s="547"/>
      <c r="G6" s="548"/>
    </row>
    <row r="7" spans="2:7">
      <c r="B7" s="295" t="s">
        <v>1123</v>
      </c>
      <c r="C7" s="296"/>
      <c r="D7" s="307"/>
      <c r="E7" s="296"/>
      <c r="G7" s="298" t="s">
        <v>1329</v>
      </c>
    </row>
    <row r="8" spans="2:7" ht="22.8">
      <c r="B8" s="280" t="s">
        <v>1129</v>
      </c>
      <c r="C8" s="296"/>
      <c r="D8" s="312" t="s">
        <v>1207</v>
      </c>
      <c r="E8" s="296"/>
      <c r="G8" s="297" t="s">
        <v>1330</v>
      </c>
    </row>
    <row r="9" spans="2:7">
      <c r="B9" s="280" t="s">
        <v>1130</v>
      </c>
      <c r="C9" s="296"/>
      <c r="D9" s="312" t="s">
        <v>1179</v>
      </c>
      <c r="E9" s="296"/>
      <c r="G9" s="297" t="s">
        <v>1331</v>
      </c>
    </row>
    <row r="10" spans="2:7">
      <c r="B10" s="280" t="s">
        <v>1332</v>
      </c>
      <c r="C10" s="296"/>
      <c r="D10" s="312" t="s">
        <v>1306</v>
      </c>
      <c r="E10" s="296"/>
      <c r="G10" s="297" t="s">
        <v>1333</v>
      </c>
    </row>
    <row r="11" spans="2:7">
      <c r="E11" s="296"/>
    </row>
    <row r="12" spans="2:7">
      <c r="B12" s="295" t="s">
        <v>1124</v>
      </c>
      <c r="C12" s="296"/>
      <c r="D12" s="307"/>
      <c r="E12" s="296"/>
      <c r="G12" s="298" t="s">
        <v>1334</v>
      </c>
    </row>
    <row r="13" spans="2:7">
      <c r="B13" s="280" t="s">
        <v>1131</v>
      </c>
      <c r="C13" s="296"/>
      <c r="D13" s="313">
        <v>75</v>
      </c>
      <c r="E13" s="296"/>
      <c r="G13" s="297" t="s">
        <v>1335</v>
      </c>
    </row>
    <row r="14" spans="2:7" ht="22.8">
      <c r="B14" s="280" t="s">
        <v>1132</v>
      </c>
      <c r="C14" s="296"/>
      <c r="D14" s="312" t="s">
        <v>1316</v>
      </c>
      <c r="E14" s="296"/>
      <c r="G14" s="297" t="s">
        <v>1336</v>
      </c>
    </row>
    <row r="15" spans="2:7">
      <c r="B15" s="280" t="s">
        <v>1133</v>
      </c>
      <c r="C15" s="296"/>
      <c r="D15" s="312" t="s">
        <v>1314</v>
      </c>
      <c r="E15" s="296"/>
      <c r="G15" s="297" t="s">
        <v>1337</v>
      </c>
    </row>
    <row r="17" spans="2:7">
      <c r="B17" s="314" t="s">
        <v>1125</v>
      </c>
      <c r="C17" s="315"/>
      <c r="D17" s="316"/>
      <c r="E17" s="315"/>
      <c r="G17" s="298" t="s">
        <v>1338</v>
      </c>
    </row>
    <row r="18" spans="2:7" ht="22.8">
      <c r="B18" s="317" t="s">
        <v>1134</v>
      </c>
      <c r="C18" s="315"/>
      <c r="D18" s="302" t="str">
        <f>IFERROR(INDEX(ConEd_Data!$B$2:$B$79,MATCH($D$8,ConEd_Data!$A$2:$A$79,0)),"")</f>
        <v>Large Commercial</v>
      </c>
      <c r="E18" s="315"/>
      <c r="G18" s="297" t="s">
        <v>1339</v>
      </c>
    </row>
    <row r="19" spans="2:7" ht="22.8">
      <c r="B19" s="317" t="s">
        <v>1135</v>
      </c>
      <c r="C19" s="315"/>
      <c r="D19" s="302" t="str">
        <f>IF($D$8="Dormitory","Fan Coil",IF($D$18&lt;&gt;"Large Commercial","n/a",$D$9))</f>
        <v>VAV econ</v>
      </c>
      <c r="E19" s="315"/>
      <c r="G19" s="297" t="s">
        <v>1340</v>
      </c>
    </row>
    <row r="20" spans="2:7">
      <c r="B20" s="317" t="s">
        <v>1136</v>
      </c>
      <c r="C20" s="315"/>
      <c r="D20" s="303">
        <f>IF($D$8="Multi-Family High-Rise",IFERROR(INDEX(ConEd_Data!$H$2:$H$5,MATCH($D$10,ConEd_Data!$G$2:$G$5,0)),""),IFERROR(INDEX(ConEd_Data!$E$2:$E$79,MATCH($D$8&amp;" "&amp;$D$19,ConEd_Data!$D$2:$D$79,0)),""))</f>
        <v>1129</v>
      </c>
      <c r="E20" s="317" t="s">
        <v>82</v>
      </c>
      <c r="G20" s="297" t="s">
        <v>1341</v>
      </c>
    </row>
    <row r="21" spans="2:7">
      <c r="B21" s="317" t="s">
        <v>1137</v>
      </c>
      <c r="C21" s="315"/>
      <c r="D21" s="303">
        <f>IFERROR(MIN($D$20,Model_Home!$L$15*Model_Home!$L$16*52),"")</f>
        <v>1129</v>
      </c>
      <c r="E21" s="317" t="s">
        <v>82</v>
      </c>
      <c r="G21" s="297" t="s">
        <v>1342</v>
      </c>
    </row>
    <row r="22" spans="2:7" ht="22.8">
      <c r="B22" s="317" t="s">
        <v>1138</v>
      </c>
      <c r="C22" s="315"/>
      <c r="D22" s="318">
        <f>IF(SUMPRODUCT((ConEd_Data!$J$2:$J$185=$D$13)*(ConEd_Data!$K$2:$K$185=$D$14)*(ConEd_Data!$L$2:$L$185=$D$15)*ConEd_Data!$M$2:$M$185)=0,0.9,SUMPRODUCT((ConEd_Data!$J$2:$J$185=$D$13)*(ConEd_Data!$K$2:$K$185=$D$14)*(ConEd_Data!$L$2:$L$185=$D$15)*ConEd_Data!$M$2:$M$185))</f>
        <v>0.95399999999999996</v>
      </c>
      <c r="E22" s="315"/>
      <c r="G22" s="297" t="s">
        <v>1343</v>
      </c>
    </row>
    <row r="24" spans="2:7">
      <c r="B24" s="314" t="s">
        <v>1126</v>
      </c>
      <c r="C24" s="315"/>
      <c r="D24" s="316"/>
      <c r="E24" s="315"/>
      <c r="G24" s="298" t="s">
        <v>1344</v>
      </c>
    </row>
    <row r="25" spans="2:7">
      <c r="B25" s="317" t="s">
        <v>1139</v>
      </c>
      <c r="C25" s="315"/>
      <c r="D25" s="303">
        <f>Model_Home!$L$13*24/Model_Home!$L$20</f>
        <v>3000</v>
      </c>
      <c r="E25" s="317" t="s">
        <v>1153</v>
      </c>
      <c r="G25" s="297" t="s">
        <v>1345</v>
      </c>
    </row>
    <row r="26" spans="2:7">
      <c r="B26" s="317" t="s">
        <v>1140</v>
      </c>
      <c r="C26" s="315"/>
      <c r="D26" s="303">
        <f>IFERROR(VLOOKUP(Model_Home!$L$21,Model_Home!$B$25:$N$30,3),"")</f>
        <v>2006.25</v>
      </c>
      <c r="E26" s="317" t="s">
        <v>1153</v>
      </c>
      <c r="G26" s="297" t="s">
        <v>1346</v>
      </c>
    </row>
    <row r="27" spans="2:7">
      <c r="B27" s="317" t="s">
        <v>1141</v>
      </c>
      <c r="C27" s="315"/>
      <c r="D27" s="303">
        <f>IFERROR(VLOOKUP(Model_Home!$L$22,Model_Home!$B$25:$N$30,3),"")</f>
        <v>1367.6596315515089</v>
      </c>
      <c r="E27" s="317" t="s">
        <v>1153</v>
      </c>
      <c r="G27" s="297" t="s">
        <v>1347</v>
      </c>
    </row>
    <row r="28" spans="2:7" ht="22.8">
      <c r="B28" s="317" t="s">
        <v>1142</v>
      </c>
      <c r="C28" s="315"/>
      <c r="D28" s="318">
        <f>IFERROR(MIN(($D$26-$D$27)/$D$26,(Model_Home!$L$22-Model_Home!$L$21)/Model_Home!$L$20,0.3),"")</f>
        <v>0.3</v>
      </c>
      <c r="E28" s="315"/>
      <c r="G28" s="297" t="s">
        <v>1348</v>
      </c>
    </row>
    <row r="29" spans="2:7" ht="22.8">
      <c r="B29" s="317" t="s">
        <v>1143</v>
      </c>
      <c r="C29" s="315"/>
      <c r="D29" s="303">
        <f>IFERROR($D$13*MIN(1,0.75*($D$26/$D$25)^2.7)*0.746*$D$21/$D$22,"")</f>
        <v>16757.883544575652</v>
      </c>
      <c r="E29" s="317" t="s">
        <v>1349</v>
      </c>
      <c r="G29" s="297" t="s">
        <v>1350</v>
      </c>
    </row>
    <row r="30" spans="2:7">
      <c r="B30" s="317" t="s">
        <v>1144</v>
      </c>
      <c r="C30" s="315"/>
      <c r="D30" s="303">
        <f>IFERROR($D$28*$D$29,"")</f>
        <v>5027.3650633726957</v>
      </c>
      <c r="E30" s="317" t="s">
        <v>1349</v>
      </c>
      <c r="G30" s="297" t="s">
        <v>1351</v>
      </c>
    </row>
    <row r="31" spans="2:7">
      <c r="B31" s="317" t="s">
        <v>1323</v>
      </c>
      <c r="C31" s="315"/>
      <c r="D31" s="303">
        <f>IFERROR(Model_Home!$L$13*Model_Home!$L$17*$D$21,"")</f>
        <v>1066905</v>
      </c>
      <c r="E31" s="317" t="s">
        <v>1349</v>
      </c>
      <c r="G31" s="297" t="s">
        <v>1352</v>
      </c>
    </row>
    <row r="32" spans="2:7" ht="22.8">
      <c r="B32" s="317" t="s">
        <v>1145</v>
      </c>
      <c r="C32" s="315"/>
      <c r="D32" s="303">
        <f>IFERROR($D$31*MIN(0.0012*(Model_Home!$L$22-Model_Home!$L$21),0.005),"")</f>
        <v>5334.5250000000005</v>
      </c>
      <c r="E32" s="317" t="s">
        <v>1349</v>
      </c>
      <c r="G32" s="297" t="s">
        <v>1353</v>
      </c>
    </row>
    <row r="33" spans="2:7">
      <c r="B33" s="317" t="s">
        <v>1146</v>
      </c>
      <c r="C33" s="315"/>
      <c r="D33" s="303">
        <f>IFERROR($D$30+$D$32,"")</f>
        <v>10361.890063372695</v>
      </c>
      <c r="E33" s="317" t="s">
        <v>1349</v>
      </c>
      <c r="G33" s="297" t="s">
        <v>1354</v>
      </c>
    </row>
    <row r="35" spans="2:7">
      <c r="B35" s="314" t="s">
        <v>1127</v>
      </c>
      <c r="C35" s="315"/>
      <c r="D35" s="316"/>
      <c r="E35" s="315"/>
      <c r="G35" s="298" t="s">
        <v>1355</v>
      </c>
    </row>
    <row r="36" spans="2:7">
      <c r="B36" s="317" t="s">
        <v>1147</v>
      </c>
      <c r="C36" s="315"/>
      <c r="D36" s="319">
        <f>0.35</f>
        <v>0.35</v>
      </c>
      <c r="E36" s="315"/>
      <c r="G36" s="297" t="s">
        <v>1356</v>
      </c>
    </row>
    <row r="37" spans="2:7">
      <c r="B37" s="317" t="s">
        <v>1148</v>
      </c>
      <c r="C37" s="315"/>
      <c r="D37" s="305">
        <f>IFERROR($D$33*$D$36,"")</f>
        <v>3626.6615221804432</v>
      </c>
      <c r="E37" s="315"/>
      <c r="G37" s="297" t="s">
        <v>1357</v>
      </c>
    </row>
    <row r="38" spans="2:7">
      <c r="B38" s="317" t="s">
        <v>1149</v>
      </c>
      <c r="C38" s="315"/>
      <c r="D38" s="305">
        <f>Model_Home!$L$35</f>
        <v>170000</v>
      </c>
      <c r="E38" s="315"/>
      <c r="G38" s="297" t="s">
        <v>1358</v>
      </c>
    </row>
    <row r="39" spans="2:7" ht="22.8">
      <c r="B39" s="317" t="s">
        <v>1150</v>
      </c>
      <c r="C39" s="315"/>
      <c r="D39" s="305">
        <f>IFERROR($D$38*0.5,"")</f>
        <v>85000</v>
      </c>
      <c r="E39" s="315"/>
      <c r="G39" s="297" t="s">
        <v>1359</v>
      </c>
    </row>
    <row r="40" spans="2:7">
      <c r="B40" s="317" t="s">
        <v>1151</v>
      </c>
      <c r="C40" s="315"/>
      <c r="D40" s="305">
        <f>IFERROR(MIN($D$37,$D$39),"")</f>
        <v>3626.6615221804432</v>
      </c>
      <c r="E40" s="315"/>
      <c r="G40" s="297" t="s">
        <v>1360</v>
      </c>
    </row>
    <row r="42" spans="2:7">
      <c r="B42" s="314" t="s">
        <v>1128</v>
      </c>
      <c r="C42" s="315"/>
      <c r="D42" s="316"/>
      <c r="E42" s="315"/>
      <c r="G42" s="298" t="s">
        <v>1361</v>
      </c>
    </row>
    <row r="43" spans="2:7">
      <c r="B43" s="317" t="s">
        <v>1324</v>
      </c>
      <c r="C43" s="315"/>
      <c r="D43" s="303">
        <f>IFERROR(Model_Home!$H$32/Model_Home!$L$12,"")</f>
        <v>241786.37617927871</v>
      </c>
      <c r="E43" s="317" t="s">
        <v>1349</v>
      </c>
      <c r="G43" s="297" t="s">
        <v>1362</v>
      </c>
    </row>
    <row r="44" spans="2:7">
      <c r="B44" s="317" t="s">
        <v>1325</v>
      </c>
      <c r="C44" s="315"/>
      <c r="D44" s="303">
        <f>IFERROR($D$30,"")</f>
        <v>5027.3650633726957</v>
      </c>
      <c r="E44" s="317" t="s">
        <v>1349</v>
      </c>
      <c r="G44" s="297" t="s">
        <v>1363</v>
      </c>
    </row>
    <row r="45" spans="2:7">
      <c r="B45" s="317" t="s">
        <v>1326</v>
      </c>
      <c r="C45" s="315"/>
      <c r="D45" s="303">
        <f>IFERROR(Model_Home!$J$32/Model_Home!$L$12,"")</f>
        <v>502853.00941583508</v>
      </c>
      <c r="E45" s="317" t="s">
        <v>1349</v>
      </c>
      <c r="G45" s="297" t="s">
        <v>1364</v>
      </c>
    </row>
    <row r="46" spans="2:7">
      <c r="B46" s="317" t="s">
        <v>1327</v>
      </c>
      <c r="C46" s="315"/>
      <c r="D46" s="303">
        <f>IFERROR($D$32,"")</f>
        <v>5334.5250000000005</v>
      </c>
      <c r="E46" s="317" t="s">
        <v>1349</v>
      </c>
      <c r="G46" s="297" t="s">
        <v>1365</v>
      </c>
    </row>
    <row r="47" spans="2:7">
      <c r="B47" s="317" t="s">
        <v>1366</v>
      </c>
      <c r="C47" s="315"/>
      <c r="D47" s="303">
        <f>IFERROR(VLOOKUP(Model_Home!$L$21,Model_Home!$B$25:$N$30,13)-VLOOKUP(Model_Home!$L$22,Model_Home!$B$25:$N$30,13),"")</f>
        <v>744639.3855951135</v>
      </c>
      <c r="E47" s="317" t="s">
        <v>1349</v>
      </c>
      <c r="G47" s="297" t="s">
        <v>1367</v>
      </c>
    </row>
    <row r="48" spans="2:7">
      <c r="B48" s="317" t="s">
        <v>1152</v>
      </c>
      <c r="C48" s="315"/>
      <c r="D48" s="318">
        <f>IFERROR($D$33/$D$47,"")</f>
        <v>1.3915312920349364E-2</v>
      </c>
      <c r="E48" s="315"/>
      <c r="G48" s="297" t="s">
        <v>1368</v>
      </c>
    </row>
    <row r="50" spans="2:7">
      <c r="B50" s="547" t="s">
        <v>1369</v>
      </c>
      <c r="C50" s="547"/>
      <c r="D50" s="547"/>
      <c r="E50" s="547"/>
      <c r="F50" s="547"/>
      <c r="G50" s="547"/>
    </row>
    <row r="51" spans="2:7">
      <c r="B51" s="547"/>
      <c r="C51" s="547"/>
      <c r="D51" s="547"/>
      <c r="E51" s="547"/>
      <c r="F51" s="547"/>
      <c r="G51" s="547"/>
    </row>
    <row r="52" spans="2:7">
      <c r="B52" s="547"/>
      <c r="C52" s="547"/>
      <c r="D52" s="547"/>
      <c r="E52" s="547"/>
      <c r="F52" s="547"/>
      <c r="G52" s="547"/>
    </row>
    <row r="53" spans="2:7">
      <c r="B53" s="547"/>
      <c r="C53" s="547"/>
      <c r="D53" s="547"/>
      <c r="E53" s="547"/>
      <c r="F53" s="547"/>
      <c r="G53" s="547"/>
    </row>
    <row r="54" spans="2:7">
      <c r="B54" s="547" t="s">
        <v>1370</v>
      </c>
      <c r="C54" s="547"/>
      <c r="D54" s="547"/>
      <c r="E54" s="547"/>
      <c r="F54" s="547"/>
      <c r="G54" s="547"/>
    </row>
    <row r="55" spans="2:7">
      <c r="B55" s="547"/>
      <c r="C55" s="547"/>
      <c r="D55" s="547"/>
      <c r="E55" s="547"/>
      <c r="F55" s="547"/>
      <c r="G55" s="547"/>
    </row>
    <row r="56" spans="2:7">
      <c r="B56" s="547"/>
      <c r="C56" s="547"/>
      <c r="D56" s="547"/>
      <c r="E56" s="547"/>
      <c r="F56" s="547"/>
      <c r="G56" s="547"/>
    </row>
    <row r="57" spans="2:7">
      <c r="B57" s="547"/>
      <c r="C57" s="547"/>
      <c r="D57" s="547"/>
      <c r="E57" s="547"/>
      <c r="F57" s="547"/>
      <c r="G57" s="547"/>
    </row>
    <row r="59" spans="2:7" ht="24">
      <c r="B59" s="295" t="s">
        <v>1371</v>
      </c>
      <c r="C59" s="296"/>
      <c r="D59" s="307"/>
      <c r="E59" s="296"/>
      <c r="G59" s="299" t="s">
        <v>1372</v>
      </c>
    </row>
    <row r="60" spans="2:7">
      <c r="B60" s="280" t="s">
        <v>1373</v>
      </c>
      <c r="D60" s="300" t="str">
        <f>$D$8</f>
        <v>Hospital</v>
      </c>
      <c r="G60" s="297" t="s">
        <v>1374</v>
      </c>
    </row>
    <row r="61" spans="2:7">
      <c r="B61" s="280" t="s">
        <v>1375</v>
      </c>
      <c r="D61" s="300" t="str">
        <f>$D$10</f>
        <v>Prior to 1979</v>
      </c>
      <c r="G61" s="297" t="s">
        <v>1376</v>
      </c>
    </row>
    <row r="62" spans="2:7">
      <c r="B62" s="280" t="s">
        <v>1377</v>
      </c>
      <c r="D62" s="300" t="str">
        <f>$D$9</f>
        <v>VAV econ</v>
      </c>
      <c r="G62" s="297" t="s">
        <v>1374</v>
      </c>
    </row>
    <row r="63" spans="2:7">
      <c r="B63" s="280" t="s">
        <v>1378</v>
      </c>
      <c r="D63" s="301">
        <f>Model_Home!$L$13</f>
        <v>1500</v>
      </c>
      <c r="G63" s="297" t="s">
        <v>1379</v>
      </c>
    </row>
    <row r="64" spans="2:7" ht="22.8">
      <c r="B64" s="280" t="s">
        <v>1380</v>
      </c>
      <c r="D64" s="308"/>
      <c r="G64" s="297" t="s">
        <v>1381</v>
      </c>
    </row>
    <row r="65" spans="2:7">
      <c r="B65" s="280" t="s">
        <v>1382</v>
      </c>
      <c r="D65" s="301">
        <f>Model_Home!$L$15*Model_Home!$L$16*52</f>
        <v>8736</v>
      </c>
      <c r="G65" s="297" t="s">
        <v>1383</v>
      </c>
    </row>
    <row r="66" spans="2:7">
      <c r="B66" s="280" t="s">
        <v>1384</v>
      </c>
      <c r="D66" s="301">
        <f>Model_Home!$L$13/Model_Home!$L$14</f>
        <v>375</v>
      </c>
      <c r="G66" s="297" t="s">
        <v>1385</v>
      </c>
    </row>
    <row r="67" spans="2:7">
      <c r="B67" s="280" t="s">
        <v>1386</v>
      </c>
      <c r="D67" s="301">
        <f>Model_Home!$L$13</f>
        <v>1500</v>
      </c>
      <c r="G67" s="297" t="s">
        <v>1387</v>
      </c>
    </row>
    <row r="68" spans="2:7">
      <c r="B68" s="280" t="s">
        <v>1388</v>
      </c>
      <c r="D68" s="309">
        <f>Model_Home!$L$17</f>
        <v>0.63</v>
      </c>
      <c r="G68" s="297" t="s">
        <v>1389</v>
      </c>
    </row>
    <row r="69" spans="2:7">
      <c r="B69" s="280" t="s">
        <v>1390</v>
      </c>
      <c r="D69" s="308"/>
      <c r="G69" s="297" t="s">
        <v>1391</v>
      </c>
    </row>
    <row r="70" spans="2:7">
      <c r="B70" s="280" t="s">
        <v>1392</v>
      </c>
      <c r="D70" s="308"/>
      <c r="G70" s="297" t="s">
        <v>1393</v>
      </c>
    </row>
    <row r="71" spans="2:7">
      <c r="B71" s="280" t="s">
        <v>1394</v>
      </c>
      <c r="D71" s="301">
        <f>$D$25</f>
        <v>3000</v>
      </c>
    </row>
    <row r="72" spans="2:7" ht="22.8">
      <c r="B72" s="280" t="s">
        <v>1395</v>
      </c>
      <c r="D72" s="301">
        <f>$D$26</f>
        <v>2006.25</v>
      </c>
      <c r="G72" s="297" t="s">
        <v>1396</v>
      </c>
    </row>
    <row r="73" spans="2:7">
      <c r="B73" s="280" t="s">
        <v>1397</v>
      </c>
      <c r="D73" s="301">
        <f>$D$27</f>
        <v>1367.6596315515089</v>
      </c>
    </row>
    <row r="74" spans="2:7">
      <c r="B74" s="280" t="s">
        <v>1398</v>
      </c>
      <c r="D74" s="310">
        <f>$D$13</f>
        <v>75</v>
      </c>
      <c r="G74" s="297" t="s">
        <v>1399</v>
      </c>
    </row>
    <row r="75" spans="2:7">
      <c r="B75" s="280" t="s">
        <v>1400</v>
      </c>
      <c r="D75" s="300" t="str">
        <f>$D$14</f>
        <v>4 Pole - 1,800 RPM</v>
      </c>
    </row>
    <row r="76" spans="2:7">
      <c r="B76" s="280" t="s">
        <v>1401</v>
      </c>
      <c r="D76" s="300" t="str">
        <f>$D$15</f>
        <v>Enclosed</v>
      </c>
    </row>
    <row r="77" spans="2:7">
      <c r="B77" s="280" t="s">
        <v>1402</v>
      </c>
      <c r="D77" s="310">
        <f>Model_Home!$L$20</f>
        <v>12</v>
      </c>
      <c r="G77" s="297" t="s">
        <v>1403</v>
      </c>
    </row>
    <row r="78" spans="2:7">
      <c r="B78" s="280" t="s">
        <v>1404</v>
      </c>
      <c r="D78" s="310">
        <f>Model_Home!$L$21</f>
        <v>8</v>
      </c>
    </row>
    <row r="79" spans="2:7">
      <c r="B79" s="280" t="s">
        <v>1405</v>
      </c>
      <c r="D79" s="310">
        <f>Model_Home!$L$22</f>
        <v>14</v>
      </c>
    </row>
    <row r="80" spans="2:7">
      <c r="B80" s="280" t="s">
        <v>1406</v>
      </c>
      <c r="D80" s="311"/>
      <c r="G80" s="297" t="s">
        <v>1407</v>
      </c>
    </row>
    <row r="81" spans="2:7">
      <c r="B81" s="280" t="s">
        <v>1408</v>
      </c>
      <c r="D81" s="311"/>
      <c r="G81" s="297" t="s">
        <v>1409</v>
      </c>
    </row>
    <row r="83" spans="2:7">
      <c r="B83" s="547" t="s">
        <v>1410</v>
      </c>
      <c r="C83" s="549"/>
      <c r="D83" s="549"/>
      <c r="E83" s="549"/>
      <c r="F83" s="549"/>
      <c r="G83" s="549"/>
    </row>
    <row r="84" spans="2:7">
      <c r="B84" s="549"/>
      <c r="C84" s="549"/>
      <c r="D84" s="549"/>
      <c r="E84" s="549"/>
      <c r="F84" s="549"/>
      <c r="G84" s="549"/>
    </row>
    <row r="85" spans="2:7">
      <c r="B85" s="549"/>
      <c r="C85" s="549"/>
      <c r="D85" s="549"/>
      <c r="E85" s="549"/>
      <c r="F85" s="549"/>
      <c r="G85" s="549"/>
    </row>
    <row r="86" spans="2:7">
      <c r="B86" s="549"/>
      <c r="C86" s="549"/>
      <c r="D86" s="549"/>
      <c r="E86" s="549"/>
      <c r="F86" s="549"/>
      <c r="G86" s="549"/>
    </row>
  </sheetData>
  <sheetProtection algorithmName="SHA-512" hashValue="ZuyFCNWzKKVtJmx1NlLQEE8qocmM7IzfnkkFkapQFPYtwTEdQmxvttapVqfJq9kk+svqi6IKrDwHg6JWbRSg3g==" saltValue="03vBLkLoiA/yfCmQOI+F7g==" spinCount="100000" sheet="1" objects="1" scenarios="1"/>
  <mergeCells count="4">
    <mergeCell ref="B3:G6"/>
    <mergeCell ref="B50:G53"/>
    <mergeCell ref="B54:G57"/>
    <mergeCell ref="B83:G86"/>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4B7529A1-A628-4CD3-9147-A489C577B769}">
          <x14:formula1>
            <xm:f>ConEd_Data!$O$2:$O$58</xm:f>
          </x14:formula1>
          <xm:sqref>D8</xm:sqref>
        </x14:dataValidation>
        <x14:dataValidation type="list" allowBlank="1" showInputMessage="1" showErrorMessage="1" xr:uid="{B331CE69-322C-43F9-BD2F-594A76EBA4F1}">
          <x14:formula1>
            <xm:f>ConEd_Data!$Q$2:$Q$4</xm:f>
          </x14:formula1>
          <xm:sqref>D9</xm:sqref>
        </x14:dataValidation>
        <x14:dataValidation type="list" allowBlank="1" showInputMessage="1" showErrorMessage="1" xr:uid="{FB9712AF-CD90-4BE4-9E92-3AC0ECA88353}">
          <x14:formula1>
            <xm:f>ConEd_Data!$S$2:$S$5</xm:f>
          </x14:formula1>
          <xm:sqref>D10</xm:sqref>
        </x14:dataValidation>
        <x14:dataValidation type="list" allowBlank="1" showInputMessage="1" showErrorMessage="1" xr:uid="{9B36324C-8F18-4A22-ACA5-2F3730BA81AB}">
          <x14:formula1>
            <xm:f>ConEd_Data!$U$2:$U$5</xm:f>
          </x14:formula1>
          <xm:sqref>D14</xm:sqref>
        </x14:dataValidation>
        <x14:dataValidation type="list" allowBlank="1" showInputMessage="1" showErrorMessage="1" xr:uid="{BB1027A1-0787-41E3-8BBD-DD9DBB7F822A}">
          <x14:formula1>
            <xm:f>ConEd_Data!$W$2:$W$3</xm:f>
          </x14:formula1>
          <xm:sqref>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E942A-5231-4C2F-B3CF-D7895C222916}">
  <sheetPr codeName="Sheet16">
    <tabColor rgb="FFED7D31"/>
  </sheetPr>
  <dimension ref="B2:E36"/>
  <sheetViews>
    <sheetView workbookViewId="0"/>
  </sheetViews>
  <sheetFormatPr defaultRowHeight="14.4"/>
  <cols>
    <col min="1" max="1" width="3.33203125" customWidth="1"/>
    <col min="2" max="2" width="34.77734375" customWidth="1"/>
    <col min="3" max="3" width="2.77734375" customWidth="1"/>
    <col min="4" max="4" width="18.77734375" customWidth="1"/>
    <col min="5" max="5" width="12.77734375" customWidth="1"/>
  </cols>
  <sheetData>
    <row r="2" spans="2:5" ht="17.399999999999999">
      <c r="B2" s="320" t="str">
        <f>Tr("CONED_SUM_TITLE","Con Edison C&amp;I Rebate Estimate")</f>
        <v>Con Edison C&amp;I Rebate Estimate</v>
      </c>
    </row>
    <row r="4" spans="2:5">
      <c r="B4" s="543" t="str">
        <f>Tr("CONED_SUM_INTRO","")</f>
        <v>This estimate follows the calculation method of the Con Edison Commercial &amp; Industrial Energy Efficiency Program for Building Automation Systems measures. Final incentive amounts are subject to Con Edison's review of the completed program application.</v>
      </c>
      <c r="C4" s="544"/>
      <c r="D4" s="544"/>
      <c r="E4" s="544"/>
    </row>
    <row r="5" spans="2:5">
      <c r="B5" s="544"/>
      <c r="C5" s="544"/>
      <c r="D5" s="544"/>
      <c r="E5" s="544"/>
    </row>
    <row r="6" spans="2:5">
      <c r="B6" s="544"/>
      <c r="C6" s="544"/>
      <c r="D6" s="544"/>
      <c r="E6" s="544"/>
    </row>
    <row r="8" spans="2:5">
      <c r="B8" s="322" t="str">
        <f>Tr("CONED_SUM_SEC_PROJECT","Project Information")</f>
        <v>Project Information</v>
      </c>
      <c r="C8" s="323"/>
      <c r="D8" s="323"/>
      <c r="E8" s="323"/>
    </row>
    <row r="9" spans="2:5">
      <c r="B9" s="277" t="str">
        <f>Tr("CONED_SUM_BUILDING_TYPE","Building Type")</f>
        <v>Building Type</v>
      </c>
      <c r="D9" s="324" t="str">
        <f>'ConEd Rebate'!$D$8</f>
        <v>Hospital</v>
      </c>
    </row>
    <row r="10" spans="2:5">
      <c r="B10" s="277" t="str">
        <f>Tr("CONED_SUM_HVAC","HVAC System")</f>
        <v>HVAC System</v>
      </c>
      <c r="D10" s="324" t="str">
        <f>'ConEd Rebate'!$D$9</f>
        <v>VAV econ</v>
      </c>
    </row>
    <row r="11" spans="2:5">
      <c r="B11" s="277" t="str">
        <f>Tr("CONED_SUM_VINTAGE","Building Vintage")</f>
        <v>Building Vintage</v>
      </c>
      <c r="D11" s="324" t="str">
        <f>IF('ConEd Rebate'!$D$8="Multi-Family High-Rise",'ConEd Rebate'!$D$10,"")</f>
        <v/>
      </c>
    </row>
    <row r="13" spans="2:5">
      <c r="B13" s="322" t="str">
        <f>Tr("CONED_SUM_SEC_EQUIP","Equipment")</f>
        <v>Equipment</v>
      </c>
      <c r="C13" s="323"/>
      <c r="D13" s="323"/>
      <c r="E13" s="323"/>
    </row>
    <row r="14" spans="2:5">
      <c r="B14" s="277" t="str">
        <f>Tr("CONED_SUM_MOTOR_HP","Pump Motor (HP)")</f>
        <v>Pump Motor (HP)</v>
      </c>
      <c r="D14" s="325">
        <f>'ConEd Rebate'!$D$13</f>
        <v>75</v>
      </c>
    </row>
    <row r="15" spans="2:5">
      <c r="B15" s="277" t="str">
        <f>Tr("CONED_SUM_MOTOR_POLES","Motor Poles")</f>
        <v>Motor Poles</v>
      </c>
      <c r="D15" s="324" t="str">
        <f>'ConEd Rebate'!$D$14</f>
        <v>4 Pole - 1,800 RPM</v>
      </c>
    </row>
    <row r="16" spans="2:5">
      <c r="B16" s="277" t="str">
        <f>Tr("CONED_SUM_MOTOR_ENC","Motor Enclosure")</f>
        <v>Motor Enclosure</v>
      </c>
      <c r="D16" s="324" t="str">
        <f>'ConEd Rebate'!$D$15</f>
        <v>Enclosed</v>
      </c>
    </row>
    <row r="18" spans="2:5">
      <c r="B18" s="322" t="str">
        <f>Tr("CONED_SUM_SEC_SAVINGS","Estimated Program Savings")</f>
        <v>Estimated Program Savings</v>
      </c>
      <c r="C18" s="323"/>
      <c r="D18" s="323"/>
      <c r="E18" s="323"/>
    </row>
    <row r="19" spans="2:5">
      <c r="B19" s="277" t="str">
        <f>Tr("CONED_SUM_EFLH","Equivalent Full Load Hours")</f>
        <v>Equivalent Full Load Hours</v>
      </c>
      <c r="D19" s="326">
        <f>'ConEd Rebate'!$D$20</f>
        <v>1129</v>
      </c>
      <c r="E19" s="277" t="str">
        <f>Tr("CONED_SUM_UNIT_HOURS","hours")</f>
        <v>hours</v>
      </c>
    </row>
    <row r="20" spans="2:5">
      <c r="B20" s="277" t="str">
        <f>Tr("CONED_SUM_PUMP_SAV","Pump Energy Savings")</f>
        <v>Pump Energy Savings</v>
      </c>
      <c r="D20" s="326">
        <f>'ConEd Rebate'!$D$30</f>
        <v>5027.3650633726957</v>
      </c>
      <c r="E20" s="277" t="str">
        <f>Tr("CONED_SUM_UNIT_KWH_YR","kWh / year")</f>
        <v>kWh / year</v>
      </c>
    </row>
    <row r="21" spans="2:5">
      <c r="B21" s="277" t="str">
        <f>Tr("CONED_SUM_CHILLER_SAV","Chiller Energy Savings")</f>
        <v>Chiller Energy Savings</v>
      </c>
      <c r="D21" s="326">
        <f>'ConEd Rebate'!$D$32</f>
        <v>5334.5250000000005</v>
      </c>
      <c r="E21" s="277" t="str">
        <f>Tr("CONED_SUM_UNIT_KWH_YR","kWh / year")</f>
        <v>kWh / year</v>
      </c>
    </row>
    <row r="22" spans="2:5">
      <c r="B22" s="321" t="str">
        <f>Tr("CONED_SUM_TOTAL_SAV","Total Estimated Annual Savings")</f>
        <v>Total Estimated Annual Savings</v>
      </c>
      <c r="D22" s="327">
        <f>'ConEd Rebate'!$D$33</f>
        <v>10361.890063372695</v>
      </c>
      <c r="E22" s="277" t="str">
        <f>Tr("CONED_SUM_UNIT_KWH_YR","kWh / year")</f>
        <v>kWh / year</v>
      </c>
    </row>
    <row r="24" spans="2:5">
      <c r="B24" s="322" t="str">
        <f>Tr("CONED_SUM_SEC_INCENTIVE","Estimated Incentive")</f>
        <v>Estimated Incentive</v>
      </c>
      <c r="C24" s="323"/>
      <c r="D24" s="323"/>
      <c r="E24" s="323"/>
    </row>
    <row r="25" spans="2:5">
      <c r="B25" s="277" t="str">
        <f>Tr("CONED_SUM_RATE","Incentive Rate")</f>
        <v>Incentive Rate</v>
      </c>
      <c r="D25" s="328">
        <f>'ConEd Rebate'!$D$36</f>
        <v>0.35</v>
      </c>
    </row>
    <row r="26" spans="2:5">
      <c r="B26" s="277" t="str">
        <f>Tr("CONED_SUM_PROJ_COST","Project Cost")</f>
        <v>Project Cost</v>
      </c>
      <c r="D26" s="329">
        <f>'ConEd Rebate'!$D$38</f>
        <v>170000</v>
      </c>
    </row>
    <row r="27" spans="2:5">
      <c r="B27" s="277" t="str">
        <f>Tr("CONED_SUM_CAP","Program Cap (50% of Project Cost)")</f>
        <v>Program Cap (50% of Project Cost)</v>
      </c>
      <c r="D27" s="329">
        <f>'ConEd Rebate'!$D$39</f>
        <v>85000</v>
      </c>
    </row>
    <row r="29" spans="2:5">
      <c r="B29" s="550" t="str">
        <f>Tr("CONED_SUM_HERO_LABEL","Estimated Annual Incentive")</f>
        <v>Estimated Annual Incentive</v>
      </c>
      <c r="C29" s="550"/>
      <c r="D29" s="550"/>
      <c r="E29" s="550"/>
    </row>
    <row r="30" spans="2:5" ht="28.2">
      <c r="B30" s="537" t="str">
        <f>TEXT('ConEd Rebate'!$D$40,"$#,##0")</f>
        <v>$3,627</v>
      </c>
      <c r="C30" s="537"/>
      <c r="D30" s="537"/>
      <c r="E30" s="537"/>
    </row>
    <row r="32" spans="2:5">
      <c r="B32" s="322" t="str">
        <f>Tr("CONED_SUM_SEC_BASIS","Program Basis")</f>
        <v>Program Basis</v>
      </c>
      <c r="C32" s="323"/>
      <c r="D32" s="323"/>
      <c r="E32" s="323"/>
    </row>
    <row r="33" spans="2:5">
      <c r="B33" s="551" t="str">
        <f>Tr("CONED_SUM_METHOD_NOTE","")</f>
        <v>Savings are calculated using Con Edison's building-type Equivalent Full Load Hour (EFLH) tables together with the program's standard pump affinity-law and chiller efficiency methodology, consistent with the Commercial &amp; Industrial Energy Efficiency Program Manual.</v>
      </c>
      <c r="C33" s="544"/>
      <c r="D33" s="544"/>
      <c r="E33" s="544"/>
    </row>
    <row r="34" spans="2:5">
      <c r="B34" s="544"/>
      <c r="C34" s="544"/>
      <c r="D34" s="544"/>
      <c r="E34" s="544"/>
    </row>
    <row r="35" spans="2:5">
      <c r="B35" s="544"/>
      <c r="C35" s="544"/>
      <c r="D35" s="544"/>
      <c r="E35" s="544"/>
    </row>
    <row r="36" spans="2:5">
      <c r="B36" s="544"/>
      <c r="C36" s="544"/>
      <c r="D36" s="544"/>
      <c r="E36" s="544"/>
    </row>
  </sheetData>
  <sheetProtection algorithmName="SHA-512" hashValue="oUPVhk6NqHRj0UAplr/2+HJBm0aHLNcmzi5eFM/nab5o2ahVyStM2qF3wEGDUG7avN0v4IQV3tU8x1FZvLlSHQ==" saltValue="P2nc/hS3nbUE96uPfC+p5w==" spinCount="100000" sheet="1" objects="1" scenarios="1"/>
  <mergeCells count="4">
    <mergeCell ref="B4:E6"/>
    <mergeCell ref="B29:E29"/>
    <mergeCell ref="B30:E30"/>
    <mergeCell ref="B33:E3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0A44C-E0C3-4575-8A47-340A6DBB9316}">
  <sheetPr codeName="Sheet8"/>
  <dimension ref="A1:M234"/>
  <sheetViews>
    <sheetView topLeftCell="A67" workbookViewId="0"/>
  </sheetViews>
  <sheetFormatPr defaultRowHeight="14.4"/>
  <cols>
    <col min="1" max="1" width="26.77734375" customWidth="1"/>
  </cols>
  <sheetData>
    <row r="1" spans="1:13">
      <c r="A1" t="s">
        <v>268</v>
      </c>
      <c r="B1" t="s">
        <v>1118</v>
      </c>
      <c r="C1" t="s">
        <v>1119</v>
      </c>
      <c r="D1" t="s">
        <v>1120</v>
      </c>
      <c r="E1" t="s">
        <v>1121</v>
      </c>
      <c r="H1" t="s">
        <v>1584</v>
      </c>
      <c r="I1" t="s">
        <v>1585</v>
      </c>
      <c r="J1" t="s">
        <v>1586</v>
      </c>
      <c r="K1" t="s">
        <v>1587</v>
      </c>
      <c r="L1" t="s">
        <v>1588</v>
      </c>
      <c r="M1" t="s">
        <v>1589</v>
      </c>
    </row>
    <row r="2" spans="1:13">
      <c r="A2" t="s">
        <v>273</v>
      </c>
      <c r="B2" t="s">
        <v>274</v>
      </c>
      <c r="C2" t="s">
        <v>275</v>
      </c>
      <c r="D2" t="s">
        <v>275</v>
      </c>
      <c r="E2" t="s">
        <v>276</v>
      </c>
      <c r="H2" t="s">
        <v>1583</v>
      </c>
    </row>
    <row r="3" spans="1:13">
      <c r="A3" t="s">
        <v>277</v>
      </c>
      <c r="B3" t="s">
        <v>278</v>
      </c>
      <c r="C3" t="s">
        <v>279</v>
      </c>
      <c r="D3" t="s">
        <v>279</v>
      </c>
      <c r="E3" t="s">
        <v>638</v>
      </c>
      <c r="H3" t="s">
        <v>1590</v>
      </c>
      <c r="I3" t="s">
        <v>1591</v>
      </c>
    </row>
    <row r="4" spans="1:13">
      <c r="A4" t="s">
        <v>280</v>
      </c>
      <c r="B4" t="s">
        <v>52</v>
      </c>
      <c r="C4" t="s">
        <v>281</v>
      </c>
      <c r="D4" t="s">
        <v>282</v>
      </c>
      <c r="E4" t="s">
        <v>283</v>
      </c>
      <c r="H4" t="s">
        <v>1592</v>
      </c>
      <c r="I4" t="s">
        <v>1593</v>
      </c>
    </row>
    <row r="5" spans="1:13">
      <c r="A5" t="s">
        <v>284</v>
      </c>
      <c r="B5" t="s">
        <v>202</v>
      </c>
      <c r="C5" t="s">
        <v>639</v>
      </c>
      <c r="D5" t="s">
        <v>640</v>
      </c>
      <c r="E5" t="s">
        <v>285</v>
      </c>
    </row>
    <row r="6" spans="1:13">
      <c r="A6" t="s">
        <v>286</v>
      </c>
      <c r="B6" t="s">
        <v>287</v>
      </c>
      <c r="C6" t="s">
        <v>641</v>
      </c>
      <c r="D6" t="s">
        <v>642</v>
      </c>
      <c r="E6" t="s">
        <v>643</v>
      </c>
    </row>
    <row r="7" spans="1:13">
      <c r="A7" t="s">
        <v>288</v>
      </c>
      <c r="B7" t="s">
        <v>289</v>
      </c>
      <c r="C7" t="s">
        <v>644</v>
      </c>
      <c r="D7" t="s">
        <v>290</v>
      </c>
      <c r="E7" t="s">
        <v>291</v>
      </c>
    </row>
    <row r="8" spans="1:13">
      <c r="A8" t="s">
        <v>292</v>
      </c>
      <c r="B8" t="s">
        <v>293</v>
      </c>
      <c r="C8" t="s">
        <v>645</v>
      </c>
      <c r="D8" t="s">
        <v>646</v>
      </c>
      <c r="E8" t="s">
        <v>1116</v>
      </c>
    </row>
    <row r="9" spans="1:13">
      <c r="A9" t="s">
        <v>294</v>
      </c>
      <c r="B9" t="s">
        <v>295</v>
      </c>
      <c r="C9" t="s">
        <v>296</v>
      </c>
      <c r="D9" t="s">
        <v>647</v>
      </c>
      <c r="E9" t="s">
        <v>648</v>
      </c>
    </row>
    <row r="10" spans="1:13">
      <c r="A10" t="s">
        <v>297</v>
      </c>
      <c r="B10" t="s">
        <v>298</v>
      </c>
      <c r="C10" t="s">
        <v>649</v>
      </c>
      <c r="D10" t="s">
        <v>299</v>
      </c>
      <c r="E10" t="s">
        <v>300</v>
      </c>
    </row>
    <row r="11" spans="1:13">
      <c r="A11" t="s">
        <v>301</v>
      </c>
      <c r="B11" t="s">
        <v>302</v>
      </c>
      <c r="C11" t="s">
        <v>650</v>
      </c>
      <c r="D11" t="s">
        <v>651</v>
      </c>
      <c r="E11" t="s">
        <v>303</v>
      </c>
    </row>
    <row r="12" spans="1:13">
      <c r="A12" t="s">
        <v>304</v>
      </c>
      <c r="B12" t="s">
        <v>305</v>
      </c>
      <c r="C12" t="s">
        <v>652</v>
      </c>
      <c r="D12" t="s">
        <v>653</v>
      </c>
      <c r="E12" t="s">
        <v>306</v>
      </c>
    </row>
    <row r="13" spans="1:13">
      <c r="A13" t="s">
        <v>307</v>
      </c>
      <c r="B13" t="s">
        <v>308</v>
      </c>
      <c r="C13" t="s">
        <v>654</v>
      </c>
      <c r="D13" t="s">
        <v>655</v>
      </c>
      <c r="E13" t="s">
        <v>309</v>
      </c>
    </row>
    <row r="14" spans="1:13">
      <c r="A14" t="s">
        <v>310</v>
      </c>
      <c r="B14" t="s">
        <v>311</v>
      </c>
      <c r="C14" t="s">
        <v>656</v>
      </c>
      <c r="D14" t="s">
        <v>657</v>
      </c>
      <c r="E14" t="s">
        <v>312</v>
      </c>
    </row>
    <row r="15" spans="1:13">
      <c r="A15" t="s">
        <v>313</v>
      </c>
      <c r="B15" t="s">
        <v>314</v>
      </c>
      <c r="C15" t="s">
        <v>315</v>
      </c>
      <c r="D15" t="s">
        <v>658</v>
      </c>
      <c r="E15" t="s">
        <v>316</v>
      </c>
    </row>
    <row r="16" spans="1:13">
      <c r="A16" t="s">
        <v>317</v>
      </c>
      <c r="B16" t="s">
        <v>318</v>
      </c>
      <c r="C16" t="s">
        <v>659</v>
      </c>
      <c r="D16" t="s">
        <v>319</v>
      </c>
      <c r="E16" t="s">
        <v>320</v>
      </c>
    </row>
    <row r="17" spans="1:5">
      <c r="A17" t="s">
        <v>321</v>
      </c>
      <c r="B17" t="s">
        <v>322</v>
      </c>
      <c r="C17" t="s">
        <v>323</v>
      </c>
      <c r="D17" t="s">
        <v>324</v>
      </c>
      <c r="E17" t="s">
        <v>325</v>
      </c>
    </row>
    <row r="18" spans="1:5">
      <c r="A18" t="s">
        <v>326</v>
      </c>
      <c r="B18" t="s">
        <v>327</v>
      </c>
      <c r="C18" t="s">
        <v>328</v>
      </c>
      <c r="D18" t="s">
        <v>329</v>
      </c>
      <c r="E18" t="s">
        <v>330</v>
      </c>
    </row>
    <row r="19" spans="1:5">
      <c r="A19" t="s">
        <v>331</v>
      </c>
      <c r="B19" t="s">
        <v>332</v>
      </c>
      <c r="C19" t="s">
        <v>660</v>
      </c>
      <c r="D19" t="s">
        <v>333</v>
      </c>
      <c r="E19" t="s">
        <v>661</v>
      </c>
    </row>
    <row r="20" spans="1:5">
      <c r="A20" t="s">
        <v>334</v>
      </c>
      <c r="B20" t="s">
        <v>335</v>
      </c>
      <c r="C20" t="s">
        <v>336</v>
      </c>
      <c r="D20" t="s">
        <v>337</v>
      </c>
      <c r="E20" t="s">
        <v>1117</v>
      </c>
    </row>
    <row r="21" spans="1:5">
      <c r="A21" t="s">
        <v>338</v>
      </c>
      <c r="B21" t="s">
        <v>339</v>
      </c>
      <c r="C21" t="s">
        <v>662</v>
      </c>
      <c r="D21" t="s">
        <v>663</v>
      </c>
      <c r="E21" t="s">
        <v>664</v>
      </c>
    </row>
    <row r="22" spans="1:5">
      <c r="A22" t="s">
        <v>340</v>
      </c>
      <c r="B22" t="s">
        <v>267</v>
      </c>
      <c r="C22" t="s">
        <v>341</v>
      </c>
      <c r="D22" t="s">
        <v>341</v>
      </c>
      <c r="E22" t="s">
        <v>665</v>
      </c>
    </row>
    <row r="23" spans="1:5">
      <c r="A23" t="s">
        <v>342</v>
      </c>
      <c r="B23" t="s">
        <v>266</v>
      </c>
      <c r="C23" t="s">
        <v>666</v>
      </c>
      <c r="D23" t="s">
        <v>666</v>
      </c>
      <c r="E23" t="s">
        <v>343</v>
      </c>
    </row>
    <row r="24" spans="1:5">
      <c r="A24" t="s">
        <v>344</v>
      </c>
      <c r="B24" t="s">
        <v>345</v>
      </c>
      <c r="C24" t="s">
        <v>345</v>
      </c>
      <c r="D24" t="s">
        <v>345</v>
      </c>
      <c r="E24" t="s">
        <v>345</v>
      </c>
    </row>
    <row r="25" spans="1:5">
      <c r="A25" t="s">
        <v>346</v>
      </c>
      <c r="B25" t="s">
        <v>347</v>
      </c>
      <c r="C25" t="s">
        <v>348</v>
      </c>
      <c r="D25" t="s">
        <v>667</v>
      </c>
      <c r="E25" t="s">
        <v>668</v>
      </c>
    </row>
    <row r="26" spans="1:5">
      <c r="A26" t="s">
        <v>349</v>
      </c>
      <c r="B26" t="s">
        <v>350</v>
      </c>
      <c r="C26" t="s">
        <v>533</v>
      </c>
      <c r="D26" t="s">
        <v>534</v>
      </c>
      <c r="E26" t="s">
        <v>351</v>
      </c>
    </row>
    <row r="27" spans="1:5">
      <c r="A27" t="s">
        <v>352</v>
      </c>
      <c r="B27" t="s">
        <v>353</v>
      </c>
      <c r="C27" t="s">
        <v>354</v>
      </c>
      <c r="D27" t="s">
        <v>355</v>
      </c>
      <c r="E27" t="s">
        <v>669</v>
      </c>
    </row>
    <row r="28" spans="1:5">
      <c r="A28" t="s">
        <v>356</v>
      </c>
      <c r="B28" t="s">
        <v>357</v>
      </c>
      <c r="C28" t="s">
        <v>358</v>
      </c>
      <c r="D28" t="s">
        <v>359</v>
      </c>
      <c r="E28" t="s">
        <v>670</v>
      </c>
    </row>
    <row r="29" spans="1:5">
      <c r="A29" t="s">
        <v>360</v>
      </c>
      <c r="B29" t="s">
        <v>361</v>
      </c>
      <c r="C29" t="s">
        <v>362</v>
      </c>
      <c r="D29" t="s">
        <v>363</v>
      </c>
      <c r="E29" t="s">
        <v>671</v>
      </c>
    </row>
    <row r="30" spans="1:5">
      <c r="A30" t="s">
        <v>364</v>
      </c>
      <c r="B30" t="s">
        <v>365</v>
      </c>
      <c r="C30" t="s">
        <v>672</v>
      </c>
      <c r="D30" t="s">
        <v>366</v>
      </c>
      <c r="E30" t="s">
        <v>673</v>
      </c>
    </row>
    <row r="31" spans="1:5">
      <c r="A31" t="s">
        <v>367</v>
      </c>
      <c r="B31" t="s">
        <v>368</v>
      </c>
      <c r="C31" t="s">
        <v>369</v>
      </c>
      <c r="D31" t="s">
        <v>370</v>
      </c>
      <c r="E31" t="s">
        <v>674</v>
      </c>
    </row>
    <row r="32" spans="1:5">
      <c r="A32" t="s">
        <v>371</v>
      </c>
      <c r="B32" t="s">
        <v>372</v>
      </c>
      <c r="C32" t="s">
        <v>373</v>
      </c>
      <c r="D32" t="s">
        <v>374</v>
      </c>
      <c r="E32" t="s">
        <v>675</v>
      </c>
    </row>
    <row r="33" spans="1:5">
      <c r="A33" t="s">
        <v>375</v>
      </c>
      <c r="B33" t="s">
        <v>376</v>
      </c>
      <c r="C33" t="s">
        <v>377</v>
      </c>
      <c r="D33" t="s">
        <v>378</v>
      </c>
      <c r="E33" t="s">
        <v>676</v>
      </c>
    </row>
    <row r="34" spans="1:5">
      <c r="A34" t="s">
        <v>379</v>
      </c>
      <c r="B34" t="s">
        <v>380</v>
      </c>
      <c r="C34" t="s">
        <v>381</v>
      </c>
      <c r="D34" t="s">
        <v>382</v>
      </c>
      <c r="E34" t="s">
        <v>677</v>
      </c>
    </row>
    <row r="35" spans="1:5">
      <c r="A35" t="s">
        <v>383</v>
      </c>
      <c r="B35" t="s">
        <v>384</v>
      </c>
      <c r="C35" t="s">
        <v>678</v>
      </c>
      <c r="D35" t="s">
        <v>385</v>
      </c>
      <c r="E35" t="s">
        <v>679</v>
      </c>
    </row>
    <row r="36" spans="1:5">
      <c r="A36" t="s">
        <v>386</v>
      </c>
      <c r="B36" t="s">
        <v>387</v>
      </c>
      <c r="C36" t="s">
        <v>680</v>
      </c>
      <c r="D36" t="s">
        <v>681</v>
      </c>
      <c r="E36" t="s">
        <v>682</v>
      </c>
    </row>
    <row r="37" spans="1:5">
      <c r="A37" t="s">
        <v>388</v>
      </c>
      <c r="B37" t="s">
        <v>389</v>
      </c>
      <c r="C37" t="s">
        <v>683</v>
      </c>
      <c r="D37" t="s">
        <v>684</v>
      </c>
      <c r="E37" t="s">
        <v>685</v>
      </c>
    </row>
    <row r="38" spans="1:5">
      <c r="A38" t="s">
        <v>390</v>
      </c>
      <c r="B38" t="s">
        <v>391</v>
      </c>
      <c r="C38" t="s">
        <v>686</v>
      </c>
      <c r="D38" t="s">
        <v>687</v>
      </c>
      <c r="E38" t="s">
        <v>688</v>
      </c>
    </row>
    <row r="39" spans="1:5">
      <c r="A39" t="s">
        <v>392</v>
      </c>
      <c r="B39" t="s">
        <v>393</v>
      </c>
      <c r="C39" t="s">
        <v>394</v>
      </c>
      <c r="D39" t="s">
        <v>689</v>
      </c>
      <c r="E39" t="s">
        <v>395</v>
      </c>
    </row>
    <row r="40" spans="1:5">
      <c r="A40" t="s">
        <v>396</v>
      </c>
      <c r="B40" t="s">
        <v>397</v>
      </c>
      <c r="C40" t="s">
        <v>398</v>
      </c>
      <c r="D40" t="s">
        <v>399</v>
      </c>
      <c r="E40" t="s">
        <v>400</v>
      </c>
    </row>
    <row r="41" spans="1:5">
      <c r="A41" t="s">
        <v>401</v>
      </c>
      <c r="B41" t="s">
        <v>193</v>
      </c>
      <c r="C41" t="s">
        <v>402</v>
      </c>
      <c r="D41" t="s">
        <v>690</v>
      </c>
      <c r="E41" t="s">
        <v>403</v>
      </c>
    </row>
    <row r="42" spans="1:5">
      <c r="A42" t="s">
        <v>404</v>
      </c>
      <c r="B42" t="s">
        <v>207</v>
      </c>
      <c r="C42" t="s">
        <v>405</v>
      </c>
      <c r="D42" t="s">
        <v>691</v>
      </c>
      <c r="E42" t="s">
        <v>406</v>
      </c>
    </row>
    <row r="43" spans="1:5">
      <c r="A43" t="s">
        <v>407</v>
      </c>
      <c r="B43" t="s">
        <v>56</v>
      </c>
      <c r="C43" t="s">
        <v>408</v>
      </c>
      <c r="D43" t="s">
        <v>409</v>
      </c>
      <c r="E43" t="s">
        <v>410</v>
      </c>
    </row>
    <row r="44" spans="1:5">
      <c r="A44" t="s">
        <v>411</v>
      </c>
      <c r="B44" t="s">
        <v>59</v>
      </c>
      <c r="C44" t="s">
        <v>59</v>
      </c>
      <c r="D44" t="s">
        <v>59</v>
      </c>
      <c r="E44" t="s">
        <v>412</v>
      </c>
    </row>
    <row r="45" spans="1:5">
      <c r="A45" t="s">
        <v>413</v>
      </c>
      <c r="B45" t="s">
        <v>47</v>
      </c>
      <c r="C45" t="s">
        <v>414</v>
      </c>
      <c r="D45" t="s">
        <v>415</v>
      </c>
      <c r="E45" t="s">
        <v>416</v>
      </c>
    </row>
    <row r="46" spans="1:5">
      <c r="A46" t="s">
        <v>417</v>
      </c>
      <c r="B46" t="s">
        <v>48</v>
      </c>
      <c r="C46" t="s">
        <v>418</v>
      </c>
      <c r="D46" t="s">
        <v>419</v>
      </c>
      <c r="E46" t="s">
        <v>420</v>
      </c>
    </row>
    <row r="47" spans="1:5">
      <c r="A47" t="s">
        <v>421</v>
      </c>
      <c r="B47" t="s">
        <v>57</v>
      </c>
      <c r="C47" t="s">
        <v>422</v>
      </c>
      <c r="D47" t="s">
        <v>423</v>
      </c>
      <c r="E47" t="s">
        <v>424</v>
      </c>
    </row>
    <row r="48" spans="1:5">
      <c r="A48" t="s">
        <v>425</v>
      </c>
      <c r="B48" t="s">
        <v>58</v>
      </c>
      <c r="C48" t="s">
        <v>426</v>
      </c>
      <c r="D48" t="s">
        <v>427</v>
      </c>
      <c r="E48" t="s">
        <v>428</v>
      </c>
    </row>
    <row r="49" spans="1:5">
      <c r="A49" t="s">
        <v>429</v>
      </c>
      <c r="B49" t="s">
        <v>430</v>
      </c>
      <c r="C49" t="s">
        <v>431</v>
      </c>
      <c r="D49" t="s">
        <v>432</v>
      </c>
      <c r="E49" t="s">
        <v>433</v>
      </c>
    </row>
    <row r="50" spans="1:5">
      <c r="A50" t="s">
        <v>434</v>
      </c>
      <c r="B50" t="s">
        <v>49</v>
      </c>
      <c r="C50" t="s">
        <v>692</v>
      </c>
      <c r="D50" t="s">
        <v>435</v>
      </c>
      <c r="E50" t="s">
        <v>436</v>
      </c>
    </row>
    <row r="51" spans="1:5">
      <c r="A51" t="s">
        <v>437</v>
      </c>
      <c r="B51" t="s">
        <v>91</v>
      </c>
      <c r="C51" t="s">
        <v>438</v>
      </c>
      <c r="D51" t="s">
        <v>438</v>
      </c>
      <c r="E51" t="s">
        <v>439</v>
      </c>
    </row>
    <row r="52" spans="1:5">
      <c r="A52" t="s">
        <v>440</v>
      </c>
      <c r="B52" t="s">
        <v>441</v>
      </c>
      <c r="C52" t="s">
        <v>442</v>
      </c>
      <c r="D52" t="s">
        <v>442</v>
      </c>
      <c r="E52" t="s">
        <v>443</v>
      </c>
    </row>
    <row r="53" spans="1:5">
      <c r="A53" t="s">
        <v>444</v>
      </c>
      <c r="B53" t="s">
        <v>92</v>
      </c>
      <c r="C53" t="s">
        <v>693</v>
      </c>
      <c r="D53" t="s">
        <v>694</v>
      </c>
      <c r="E53" t="s">
        <v>695</v>
      </c>
    </row>
    <row r="54" spans="1:5">
      <c r="A54" t="s">
        <v>445</v>
      </c>
      <c r="B54" t="s">
        <v>446</v>
      </c>
      <c r="C54" t="s">
        <v>447</v>
      </c>
      <c r="D54" t="s">
        <v>448</v>
      </c>
      <c r="E54" t="s">
        <v>449</v>
      </c>
    </row>
    <row r="55" spans="1:5">
      <c r="A55" t="s">
        <v>450</v>
      </c>
      <c r="B55" t="s">
        <v>84</v>
      </c>
      <c r="C55" t="s">
        <v>451</v>
      </c>
      <c r="D55" t="s">
        <v>452</v>
      </c>
      <c r="E55" t="s">
        <v>453</v>
      </c>
    </row>
    <row r="56" spans="1:5">
      <c r="A56" t="s">
        <v>454</v>
      </c>
      <c r="B56" t="s">
        <v>13</v>
      </c>
      <c r="C56" t="s">
        <v>455</v>
      </c>
      <c r="D56" t="s">
        <v>455</v>
      </c>
      <c r="E56" t="s">
        <v>456</v>
      </c>
    </row>
    <row r="57" spans="1:5">
      <c r="A57" t="s">
        <v>457</v>
      </c>
      <c r="B57" t="s">
        <v>12</v>
      </c>
      <c r="C57" t="s">
        <v>458</v>
      </c>
      <c r="D57" t="s">
        <v>459</v>
      </c>
      <c r="E57" t="s">
        <v>460</v>
      </c>
    </row>
    <row r="58" spans="1:5">
      <c r="A58" t="s">
        <v>461</v>
      </c>
      <c r="B58" t="s">
        <v>11</v>
      </c>
      <c r="C58" t="s">
        <v>462</v>
      </c>
      <c r="D58" t="s">
        <v>463</v>
      </c>
      <c r="E58" t="s">
        <v>464</v>
      </c>
    </row>
    <row r="59" spans="1:5">
      <c r="A59" t="s">
        <v>465</v>
      </c>
      <c r="B59" t="s">
        <v>24</v>
      </c>
      <c r="C59" t="s">
        <v>466</v>
      </c>
      <c r="D59" t="s">
        <v>467</v>
      </c>
      <c r="E59" t="s">
        <v>468</v>
      </c>
    </row>
    <row r="60" spans="1:5">
      <c r="A60" t="s">
        <v>469</v>
      </c>
      <c r="B60" t="s">
        <v>470</v>
      </c>
      <c r="C60" t="s">
        <v>471</v>
      </c>
      <c r="D60" t="s">
        <v>472</v>
      </c>
      <c r="E60" t="s">
        <v>473</v>
      </c>
    </row>
    <row r="61" spans="1:5">
      <c r="A61" t="s">
        <v>474</v>
      </c>
      <c r="B61" t="s">
        <v>475</v>
      </c>
      <c r="C61" t="s">
        <v>476</v>
      </c>
      <c r="D61" t="s">
        <v>477</v>
      </c>
      <c r="E61" t="s">
        <v>478</v>
      </c>
    </row>
    <row r="62" spans="1:5">
      <c r="A62" t="s">
        <v>479</v>
      </c>
      <c r="B62" t="s">
        <v>480</v>
      </c>
      <c r="C62" t="s">
        <v>481</v>
      </c>
      <c r="D62" t="s">
        <v>482</v>
      </c>
      <c r="E62" t="s">
        <v>483</v>
      </c>
    </row>
    <row r="63" spans="1:5">
      <c r="A63" t="s">
        <v>484</v>
      </c>
      <c r="B63" t="s">
        <v>485</v>
      </c>
      <c r="C63" t="s">
        <v>486</v>
      </c>
      <c r="D63" t="s">
        <v>487</v>
      </c>
      <c r="E63" t="s">
        <v>488</v>
      </c>
    </row>
    <row r="64" spans="1:5">
      <c r="A64" t="s">
        <v>489</v>
      </c>
      <c r="B64" t="s">
        <v>490</v>
      </c>
      <c r="C64" t="s">
        <v>491</v>
      </c>
      <c r="D64" t="s">
        <v>492</v>
      </c>
      <c r="E64" t="s">
        <v>493</v>
      </c>
    </row>
    <row r="65" spans="1:5">
      <c r="A65" t="s">
        <v>494</v>
      </c>
      <c r="B65" t="s">
        <v>495</v>
      </c>
      <c r="C65" t="s">
        <v>496</v>
      </c>
      <c r="D65" t="s">
        <v>497</v>
      </c>
      <c r="E65" t="s">
        <v>498</v>
      </c>
    </row>
    <row r="66" spans="1:5">
      <c r="A66" t="s">
        <v>499</v>
      </c>
      <c r="B66" t="s">
        <v>500</v>
      </c>
      <c r="C66" t="s">
        <v>501</v>
      </c>
      <c r="D66" t="s">
        <v>502</v>
      </c>
      <c r="E66" t="s">
        <v>503</v>
      </c>
    </row>
    <row r="67" spans="1:5">
      <c r="A67" t="s">
        <v>504</v>
      </c>
      <c r="B67" t="s">
        <v>505</v>
      </c>
      <c r="C67" t="s">
        <v>506</v>
      </c>
      <c r="D67" t="s">
        <v>507</v>
      </c>
      <c r="E67" t="s">
        <v>508</v>
      </c>
    </row>
    <row r="68" spans="1:5">
      <c r="A68" t="s">
        <v>509</v>
      </c>
      <c r="B68" t="s">
        <v>510</v>
      </c>
      <c r="C68" t="s">
        <v>511</v>
      </c>
      <c r="D68" t="s">
        <v>512</v>
      </c>
      <c r="E68" t="s">
        <v>513</v>
      </c>
    </row>
    <row r="69" spans="1:5">
      <c r="A69" t="s">
        <v>514</v>
      </c>
      <c r="B69" t="s">
        <v>515</v>
      </c>
      <c r="C69" t="s">
        <v>516</v>
      </c>
      <c r="D69" t="s">
        <v>517</v>
      </c>
      <c r="E69" t="s">
        <v>518</v>
      </c>
    </row>
    <row r="70" spans="1:5">
      <c r="A70" t="s">
        <v>519</v>
      </c>
      <c r="B70" t="s">
        <v>520</v>
      </c>
      <c r="C70" t="s">
        <v>521</v>
      </c>
      <c r="D70" t="s">
        <v>521</v>
      </c>
      <c r="E70" t="s">
        <v>522</v>
      </c>
    </row>
    <row r="71" spans="1:5">
      <c r="A71" t="s">
        <v>523</v>
      </c>
      <c r="B71" t="s">
        <v>524</v>
      </c>
      <c r="C71" t="s">
        <v>525</v>
      </c>
      <c r="D71" t="s">
        <v>526</v>
      </c>
      <c r="E71" t="s">
        <v>527</v>
      </c>
    </row>
    <row r="72" spans="1:5">
      <c r="A72" t="s">
        <v>528</v>
      </c>
      <c r="B72" t="s">
        <v>529</v>
      </c>
      <c r="C72" t="s">
        <v>530</v>
      </c>
      <c r="D72" t="s">
        <v>531</v>
      </c>
      <c r="E72" t="s">
        <v>532</v>
      </c>
    </row>
    <row r="73" spans="1:5">
      <c r="A73" t="s">
        <v>535</v>
      </c>
      <c r="B73" t="s">
        <v>536</v>
      </c>
      <c r="C73" t="s">
        <v>537</v>
      </c>
      <c r="D73" t="s">
        <v>538</v>
      </c>
      <c r="E73" t="s">
        <v>539</v>
      </c>
    </row>
    <row r="74" spans="1:5">
      <c r="A74" t="s">
        <v>540</v>
      </c>
      <c r="B74" t="s">
        <v>541</v>
      </c>
      <c r="C74" t="s">
        <v>542</v>
      </c>
      <c r="D74" t="s">
        <v>543</v>
      </c>
      <c r="E74" t="s">
        <v>544</v>
      </c>
    </row>
    <row r="75" spans="1:5">
      <c r="A75" t="s">
        <v>545</v>
      </c>
      <c r="B75" t="s">
        <v>546</v>
      </c>
      <c r="C75" t="s">
        <v>547</v>
      </c>
      <c r="D75" t="s">
        <v>548</v>
      </c>
      <c r="E75" t="s">
        <v>549</v>
      </c>
    </row>
    <row r="76" spans="1:5">
      <c r="A76" t="s">
        <v>550</v>
      </c>
      <c r="B76" t="s">
        <v>551</v>
      </c>
      <c r="C76" t="s">
        <v>552</v>
      </c>
      <c r="D76" t="s">
        <v>553</v>
      </c>
      <c r="E76" t="s">
        <v>554</v>
      </c>
    </row>
    <row r="77" spans="1:5">
      <c r="A77" t="s">
        <v>555</v>
      </c>
      <c r="B77" t="s">
        <v>556</v>
      </c>
      <c r="C77" t="s">
        <v>557</v>
      </c>
      <c r="D77" t="s">
        <v>558</v>
      </c>
      <c r="E77" t="s">
        <v>559</v>
      </c>
    </row>
    <row r="78" spans="1:5">
      <c r="A78" t="s">
        <v>560</v>
      </c>
      <c r="B78" t="s">
        <v>561</v>
      </c>
      <c r="C78" t="s">
        <v>562</v>
      </c>
      <c r="D78" t="s">
        <v>563</v>
      </c>
      <c r="E78" t="s">
        <v>564</v>
      </c>
    </row>
    <row r="79" spans="1:5">
      <c r="A79" t="s">
        <v>622</v>
      </c>
      <c r="B79" t="s">
        <v>623</v>
      </c>
      <c r="C79" t="s">
        <v>624</v>
      </c>
      <c r="D79" t="s">
        <v>625</v>
      </c>
      <c r="E79" t="s">
        <v>626</v>
      </c>
    </row>
    <row r="80" spans="1:5">
      <c r="A80" t="s">
        <v>627</v>
      </c>
      <c r="B80" t="s">
        <v>628</v>
      </c>
      <c r="C80" t="s">
        <v>629</v>
      </c>
      <c r="D80" t="s">
        <v>630</v>
      </c>
      <c r="E80" t="s">
        <v>631</v>
      </c>
    </row>
    <row r="81" spans="1:5">
      <c r="A81" t="s">
        <v>632</v>
      </c>
      <c r="B81" t="s">
        <v>633</v>
      </c>
      <c r="C81" t="s">
        <v>496</v>
      </c>
      <c r="D81" t="s">
        <v>497</v>
      </c>
      <c r="E81" t="s">
        <v>634</v>
      </c>
    </row>
    <row r="82" spans="1:5">
      <c r="A82" t="s">
        <v>635</v>
      </c>
      <c r="B82" t="s">
        <v>636</v>
      </c>
      <c r="C82" t="s">
        <v>501</v>
      </c>
      <c r="D82" t="s">
        <v>502</v>
      </c>
      <c r="E82" t="s">
        <v>637</v>
      </c>
    </row>
    <row r="83" spans="1:5">
      <c r="A83" t="s">
        <v>696</v>
      </c>
      <c r="B83" t="s">
        <v>697</v>
      </c>
      <c r="C83" t="s">
        <v>698</v>
      </c>
      <c r="D83" t="s">
        <v>699</v>
      </c>
      <c r="E83" t="s">
        <v>700</v>
      </c>
    </row>
    <row r="84" spans="1:5">
      <c r="A84" t="s">
        <v>713</v>
      </c>
      <c r="B84" t="s">
        <v>714</v>
      </c>
      <c r="C84" t="s">
        <v>715</v>
      </c>
      <c r="D84" t="s">
        <v>716</v>
      </c>
      <c r="E84" t="s">
        <v>717</v>
      </c>
    </row>
    <row r="85" spans="1:5">
      <c r="A85" t="s">
        <v>718</v>
      </c>
      <c r="B85" t="s">
        <v>719</v>
      </c>
      <c r="C85" t="s">
        <v>720</v>
      </c>
      <c r="D85" t="s">
        <v>721</v>
      </c>
      <c r="E85" t="s">
        <v>722</v>
      </c>
    </row>
    <row r="86" spans="1:5">
      <c r="A86" t="s">
        <v>723</v>
      </c>
      <c r="B86" t="s">
        <v>724</v>
      </c>
      <c r="C86" t="s">
        <v>725</v>
      </c>
      <c r="D86" t="s">
        <v>726</v>
      </c>
      <c r="E86" t="s">
        <v>727</v>
      </c>
    </row>
    <row r="87" spans="1:5">
      <c r="A87" t="s">
        <v>728</v>
      </c>
      <c r="B87" t="s">
        <v>729</v>
      </c>
      <c r="C87" t="s">
        <v>730</v>
      </c>
      <c r="D87" t="s">
        <v>731</v>
      </c>
      <c r="E87" t="s">
        <v>732</v>
      </c>
    </row>
    <row r="88" spans="1:5">
      <c r="A88" t="s">
        <v>733</v>
      </c>
      <c r="B88" t="s">
        <v>734</v>
      </c>
      <c r="C88" t="s">
        <v>735</v>
      </c>
      <c r="D88" t="s">
        <v>736</v>
      </c>
      <c r="E88" t="s">
        <v>737</v>
      </c>
    </row>
    <row r="89" spans="1:5">
      <c r="A89" t="s">
        <v>738</v>
      </c>
      <c r="B89" t="s">
        <v>739</v>
      </c>
      <c r="C89" t="s">
        <v>740</v>
      </c>
      <c r="D89" t="s">
        <v>740</v>
      </c>
      <c r="E89" t="s">
        <v>741</v>
      </c>
    </row>
    <row r="90" spans="1:5" ht="259.2">
      <c r="A90" t="s">
        <v>742</v>
      </c>
      <c r="B90" s="250" t="s">
        <v>743</v>
      </c>
      <c r="C90" s="250" t="s">
        <v>744</v>
      </c>
      <c r="D90" s="250" t="s">
        <v>745</v>
      </c>
      <c r="E90" s="250" t="s">
        <v>746</v>
      </c>
    </row>
    <row r="91" spans="1:5">
      <c r="A91" t="s">
        <v>747</v>
      </c>
      <c r="B91" t="s">
        <v>748</v>
      </c>
      <c r="C91" t="s">
        <v>749</v>
      </c>
      <c r="D91" t="s">
        <v>750</v>
      </c>
      <c r="E91" t="s">
        <v>751</v>
      </c>
    </row>
    <row r="92" spans="1:5">
      <c r="A92" t="s">
        <v>752</v>
      </c>
      <c r="B92" t="s">
        <v>753</v>
      </c>
      <c r="C92" t="s">
        <v>754</v>
      </c>
      <c r="D92" t="s">
        <v>755</v>
      </c>
      <c r="E92" t="s">
        <v>756</v>
      </c>
    </row>
    <row r="93" spans="1:5">
      <c r="A93" t="s">
        <v>757</v>
      </c>
      <c r="B93" t="s">
        <v>758</v>
      </c>
      <c r="C93" t="s">
        <v>759</v>
      </c>
      <c r="D93" t="s">
        <v>760</v>
      </c>
      <c r="E93" t="s">
        <v>761</v>
      </c>
    </row>
    <row r="94" spans="1:5">
      <c r="A94" t="s">
        <v>762</v>
      </c>
      <c r="B94" t="s">
        <v>763</v>
      </c>
      <c r="C94" t="s">
        <v>764</v>
      </c>
      <c r="D94" t="s">
        <v>765</v>
      </c>
      <c r="E94" t="s">
        <v>766</v>
      </c>
    </row>
    <row r="95" spans="1:5">
      <c r="A95" t="s">
        <v>767</v>
      </c>
      <c r="B95" t="s">
        <v>768</v>
      </c>
      <c r="C95" t="s">
        <v>769</v>
      </c>
      <c r="D95" t="s">
        <v>770</v>
      </c>
      <c r="E95" t="s">
        <v>771</v>
      </c>
    </row>
    <row r="96" spans="1:5">
      <c r="A96" t="s">
        <v>772</v>
      </c>
      <c r="B96" t="s">
        <v>773</v>
      </c>
      <c r="C96" t="s">
        <v>774</v>
      </c>
      <c r="D96" t="s">
        <v>775</v>
      </c>
      <c r="E96" t="s">
        <v>776</v>
      </c>
    </row>
    <row r="97" spans="1:5">
      <c r="A97" t="s">
        <v>777</v>
      </c>
      <c r="B97" t="s">
        <v>5</v>
      </c>
      <c r="C97" t="s">
        <v>778</v>
      </c>
      <c r="D97" t="s">
        <v>779</v>
      </c>
      <c r="E97" t="s">
        <v>780</v>
      </c>
    </row>
    <row r="98" spans="1:5">
      <c r="A98" t="s">
        <v>781</v>
      </c>
      <c r="B98" t="s">
        <v>82</v>
      </c>
      <c r="C98" t="s">
        <v>782</v>
      </c>
      <c r="D98" t="s">
        <v>782</v>
      </c>
      <c r="E98" t="s">
        <v>783</v>
      </c>
    </row>
    <row r="99" spans="1:5">
      <c r="A99" t="s">
        <v>784</v>
      </c>
      <c r="B99" t="s">
        <v>83</v>
      </c>
      <c r="C99" t="s">
        <v>785</v>
      </c>
      <c r="D99" t="s">
        <v>786</v>
      </c>
      <c r="E99" t="s">
        <v>787</v>
      </c>
    </row>
    <row r="100" spans="1:5">
      <c r="A100" t="s">
        <v>788</v>
      </c>
      <c r="B100" t="s">
        <v>789</v>
      </c>
      <c r="C100" t="s">
        <v>790</v>
      </c>
      <c r="D100" t="s">
        <v>791</v>
      </c>
      <c r="E100" t="s">
        <v>792</v>
      </c>
    </row>
    <row r="101" spans="1:5">
      <c r="A101" t="s">
        <v>793</v>
      </c>
      <c r="B101" t="s">
        <v>794</v>
      </c>
      <c r="C101" t="s">
        <v>795</v>
      </c>
      <c r="D101" t="s">
        <v>796</v>
      </c>
      <c r="E101" t="s">
        <v>797</v>
      </c>
    </row>
    <row r="102" spans="1:5">
      <c r="A102" t="s">
        <v>798</v>
      </c>
      <c r="B102" t="s">
        <v>223</v>
      </c>
      <c r="C102" t="s">
        <v>799</v>
      </c>
      <c r="D102" t="s">
        <v>800</v>
      </c>
      <c r="E102" t="s">
        <v>801</v>
      </c>
    </row>
    <row r="103" spans="1:5">
      <c r="A103" t="s">
        <v>802</v>
      </c>
      <c r="B103" t="s">
        <v>41</v>
      </c>
      <c r="C103" t="s">
        <v>803</v>
      </c>
      <c r="D103" t="s">
        <v>804</v>
      </c>
      <c r="E103" t="s">
        <v>805</v>
      </c>
    </row>
    <row r="104" spans="1:5">
      <c r="A104" t="s">
        <v>806</v>
      </c>
      <c r="B104" t="s">
        <v>26</v>
      </c>
      <c r="C104" t="s">
        <v>807</v>
      </c>
      <c r="D104" t="s">
        <v>808</v>
      </c>
      <c r="E104" t="s">
        <v>809</v>
      </c>
    </row>
    <row r="105" spans="1:5">
      <c r="A105" t="s">
        <v>810</v>
      </c>
      <c r="B105" t="s">
        <v>811</v>
      </c>
      <c r="C105" t="s">
        <v>812</v>
      </c>
      <c r="D105" t="s">
        <v>813</v>
      </c>
      <c r="E105" t="s">
        <v>814</v>
      </c>
    </row>
    <row r="106" spans="1:5">
      <c r="A106" t="s">
        <v>815</v>
      </c>
      <c r="B106" t="s">
        <v>816</v>
      </c>
      <c r="C106" t="s">
        <v>817</v>
      </c>
      <c r="D106" t="s">
        <v>818</v>
      </c>
      <c r="E106" t="s">
        <v>819</v>
      </c>
    </row>
    <row r="107" spans="1:5">
      <c r="A107" t="s">
        <v>820</v>
      </c>
      <c r="B107" t="s">
        <v>72</v>
      </c>
      <c r="C107" t="s">
        <v>821</v>
      </c>
      <c r="D107" t="s">
        <v>822</v>
      </c>
      <c r="E107" t="s">
        <v>823</v>
      </c>
    </row>
    <row r="108" spans="1:5">
      <c r="A108" t="s">
        <v>824</v>
      </c>
      <c r="B108" t="s">
        <v>9</v>
      </c>
      <c r="C108" t="s">
        <v>825</v>
      </c>
      <c r="D108" t="s">
        <v>825</v>
      </c>
      <c r="E108" t="s">
        <v>826</v>
      </c>
    </row>
    <row r="109" spans="1:5">
      <c r="A109" t="s">
        <v>827</v>
      </c>
      <c r="B109" t="s">
        <v>10</v>
      </c>
      <c r="C109" t="s">
        <v>828</v>
      </c>
      <c r="D109" t="s">
        <v>829</v>
      </c>
      <c r="E109" t="s">
        <v>830</v>
      </c>
    </row>
    <row r="110" spans="1:5">
      <c r="A110" t="s">
        <v>831</v>
      </c>
      <c r="B110" t="s">
        <v>17</v>
      </c>
      <c r="C110" t="s">
        <v>832</v>
      </c>
      <c r="D110" t="s">
        <v>833</v>
      </c>
      <c r="E110" t="s">
        <v>834</v>
      </c>
    </row>
    <row r="111" spans="1:5">
      <c r="A111" t="s">
        <v>835</v>
      </c>
      <c r="B111" t="s">
        <v>85</v>
      </c>
      <c r="C111" t="s">
        <v>836</v>
      </c>
      <c r="D111" t="s">
        <v>837</v>
      </c>
      <c r="E111" t="s">
        <v>838</v>
      </c>
    </row>
    <row r="112" spans="1:5">
      <c r="A112" t="s">
        <v>839</v>
      </c>
      <c r="B112" t="s">
        <v>86</v>
      </c>
      <c r="C112" t="s">
        <v>840</v>
      </c>
      <c r="D112" t="s">
        <v>841</v>
      </c>
      <c r="E112" t="s">
        <v>842</v>
      </c>
    </row>
    <row r="113" spans="1:5">
      <c r="A113" t="s">
        <v>843</v>
      </c>
      <c r="B113" t="s">
        <v>27</v>
      </c>
      <c r="C113" t="s">
        <v>844</v>
      </c>
      <c r="D113" t="s">
        <v>845</v>
      </c>
      <c r="E113" t="s">
        <v>846</v>
      </c>
    </row>
    <row r="114" spans="1:5">
      <c r="A114" t="s">
        <v>847</v>
      </c>
      <c r="B114" t="s">
        <v>38</v>
      </c>
      <c r="C114" t="s">
        <v>848</v>
      </c>
      <c r="D114" t="s">
        <v>849</v>
      </c>
      <c r="E114" t="s">
        <v>38</v>
      </c>
    </row>
    <row r="115" spans="1:5">
      <c r="A115" t="s">
        <v>850</v>
      </c>
      <c r="B115" t="s">
        <v>28</v>
      </c>
      <c r="C115" t="s">
        <v>851</v>
      </c>
      <c r="D115" t="s">
        <v>852</v>
      </c>
      <c r="E115" t="s">
        <v>853</v>
      </c>
    </row>
    <row r="116" spans="1:5">
      <c r="A116" t="s">
        <v>854</v>
      </c>
      <c r="B116" t="s">
        <v>39</v>
      </c>
      <c r="C116" t="s">
        <v>855</v>
      </c>
      <c r="D116" t="s">
        <v>856</v>
      </c>
      <c r="E116" t="s">
        <v>857</v>
      </c>
    </row>
    <row r="117" spans="1:5">
      <c r="A117" t="s">
        <v>858</v>
      </c>
      <c r="B117" t="s">
        <v>29</v>
      </c>
      <c r="C117" t="s">
        <v>859</v>
      </c>
      <c r="D117" t="s">
        <v>282</v>
      </c>
      <c r="E117" t="s">
        <v>860</v>
      </c>
    </row>
    <row r="118" spans="1:5">
      <c r="A118" t="s">
        <v>861</v>
      </c>
      <c r="B118" t="s">
        <v>30</v>
      </c>
      <c r="C118" t="s">
        <v>862</v>
      </c>
      <c r="D118" t="s">
        <v>862</v>
      </c>
      <c r="E118" t="s">
        <v>863</v>
      </c>
    </row>
    <row r="119" spans="1:5">
      <c r="A119" t="s">
        <v>864</v>
      </c>
      <c r="B119" t="s">
        <v>31</v>
      </c>
      <c r="C119" t="s">
        <v>865</v>
      </c>
      <c r="D119" t="s">
        <v>866</v>
      </c>
      <c r="E119" t="s">
        <v>867</v>
      </c>
    </row>
    <row r="120" spans="1:5">
      <c r="A120" t="s">
        <v>868</v>
      </c>
      <c r="B120" t="s">
        <v>32</v>
      </c>
      <c r="C120" t="s">
        <v>869</v>
      </c>
      <c r="D120" t="s">
        <v>869</v>
      </c>
      <c r="E120" t="s">
        <v>32</v>
      </c>
    </row>
    <row r="121" spans="1:5">
      <c r="A121" t="s">
        <v>870</v>
      </c>
      <c r="B121" t="s">
        <v>50</v>
      </c>
      <c r="C121" t="s">
        <v>871</v>
      </c>
      <c r="D121" t="s">
        <v>872</v>
      </c>
      <c r="E121" t="s">
        <v>873</v>
      </c>
    </row>
    <row r="122" spans="1:5">
      <c r="A122" t="s">
        <v>874</v>
      </c>
      <c r="B122" t="s">
        <v>53</v>
      </c>
      <c r="C122" t="s">
        <v>875</v>
      </c>
      <c r="D122" t="s">
        <v>876</v>
      </c>
      <c r="E122" t="s">
        <v>877</v>
      </c>
    </row>
    <row r="123" spans="1:5">
      <c r="A123" t="s">
        <v>878</v>
      </c>
      <c r="B123" t="s">
        <v>55</v>
      </c>
      <c r="C123" t="s">
        <v>879</v>
      </c>
      <c r="D123" t="s">
        <v>879</v>
      </c>
      <c r="E123" t="s">
        <v>880</v>
      </c>
    </row>
    <row r="124" spans="1:5">
      <c r="A124" t="s">
        <v>881</v>
      </c>
      <c r="B124" t="s">
        <v>51</v>
      </c>
      <c r="C124" t="s">
        <v>882</v>
      </c>
      <c r="D124" t="s">
        <v>883</v>
      </c>
      <c r="E124" t="s">
        <v>884</v>
      </c>
    </row>
    <row r="125" spans="1:5">
      <c r="A125" t="s">
        <v>885</v>
      </c>
      <c r="B125" t="s">
        <v>886</v>
      </c>
      <c r="C125" t="s">
        <v>887</v>
      </c>
      <c r="D125" t="s">
        <v>888</v>
      </c>
      <c r="E125" t="s">
        <v>889</v>
      </c>
    </row>
    <row r="126" spans="1:5">
      <c r="A126" t="s">
        <v>890</v>
      </c>
      <c r="B126" t="s">
        <v>43</v>
      </c>
      <c r="C126" t="s">
        <v>891</v>
      </c>
      <c r="D126" t="s">
        <v>892</v>
      </c>
      <c r="E126" t="s">
        <v>43</v>
      </c>
    </row>
    <row r="127" spans="1:5">
      <c r="A127" t="s">
        <v>893</v>
      </c>
      <c r="B127" t="s">
        <v>136</v>
      </c>
      <c r="C127" t="s">
        <v>894</v>
      </c>
      <c r="D127" t="s">
        <v>136</v>
      </c>
      <c r="E127" t="s">
        <v>895</v>
      </c>
    </row>
    <row r="128" spans="1:5">
      <c r="A128" t="s">
        <v>896</v>
      </c>
      <c r="B128" t="s">
        <v>200</v>
      </c>
      <c r="C128" t="s">
        <v>897</v>
      </c>
      <c r="D128" t="s">
        <v>898</v>
      </c>
      <c r="E128" t="s">
        <v>899</v>
      </c>
    </row>
    <row r="129" spans="1:5">
      <c r="A129" t="s">
        <v>900</v>
      </c>
      <c r="B129" t="s">
        <v>201</v>
      </c>
      <c r="C129" t="s">
        <v>901</v>
      </c>
      <c r="D129" t="s">
        <v>902</v>
      </c>
      <c r="E129" t="s">
        <v>903</v>
      </c>
    </row>
    <row r="130" spans="1:5">
      <c r="A130" t="s">
        <v>904</v>
      </c>
      <c r="B130" t="s">
        <v>203</v>
      </c>
      <c r="C130" t="s">
        <v>905</v>
      </c>
      <c r="D130" t="s">
        <v>906</v>
      </c>
      <c r="E130" t="s">
        <v>907</v>
      </c>
    </row>
    <row r="131" spans="1:5">
      <c r="A131" t="s">
        <v>908</v>
      </c>
      <c r="B131" t="s">
        <v>209</v>
      </c>
      <c r="C131" t="s">
        <v>909</v>
      </c>
      <c r="D131" t="s">
        <v>910</v>
      </c>
      <c r="E131" t="s">
        <v>911</v>
      </c>
    </row>
    <row r="132" spans="1:5">
      <c r="A132" t="s">
        <v>912</v>
      </c>
      <c r="B132" t="s">
        <v>1734</v>
      </c>
      <c r="C132" t="s">
        <v>913</v>
      </c>
      <c r="D132" t="s">
        <v>914</v>
      </c>
      <c r="E132" t="s">
        <v>915</v>
      </c>
    </row>
    <row r="133" spans="1:5">
      <c r="A133" t="s">
        <v>916</v>
      </c>
      <c r="B133" t="s">
        <v>250</v>
      </c>
      <c r="C133" t="s">
        <v>917</v>
      </c>
      <c r="D133" t="s">
        <v>918</v>
      </c>
      <c r="E133" t="s">
        <v>919</v>
      </c>
    </row>
    <row r="134" spans="1:5">
      <c r="A134" t="s">
        <v>920</v>
      </c>
      <c r="B134" t="s">
        <v>76</v>
      </c>
      <c r="C134" t="s">
        <v>921</v>
      </c>
      <c r="D134" t="s">
        <v>921</v>
      </c>
      <c r="E134" t="s">
        <v>922</v>
      </c>
    </row>
    <row r="135" spans="1:5">
      <c r="A135" t="s">
        <v>923</v>
      </c>
      <c r="B135" t="s">
        <v>253</v>
      </c>
      <c r="C135" t="s">
        <v>253</v>
      </c>
      <c r="D135" t="s">
        <v>924</v>
      </c>
      <c r="E135" t="s">
        <v>925</v>
      </c>
    </row>
    <row r="136" spans="1:5">
      <c r="A136" t="s">
        <v>926</v>
      </c>
      <c r="B136" t="s">
        <v>255</v>
      </c>
      <c r="C136" t="s">
        <v>927</v>
      </c>
      <c r="D136" t="s">
        <v>927</v>
      </c>
      <c r="E136" t="s">
        <v>928</v>
      </c>
    </row>
    <row r="137" spans="1:5">
      <c r="A137" t="s">
        <v>929</v>
      </c>
      <c r="B137" t="s">
        <v>230</v>
      </c>
      <c r="C137" t="s">
        <v>930</v>
      </c>
      <c r="D137" t="s">
        <v>931</v>
      </c>
      <c r="E137" t="s">
        <v>932</v>
      </c>
    </row>
    <row r="138" spans="1:5">
      <c r="A138" t="s">
        <v>933</v>
      </c>
      <c r="B138" t="s">
        <v>75</v>
      </c>
      <c r="C138" t="s">
        <v>934</v>
      </c>
      <c r="D138" t="s">
        <v>75</v>
      </c>
      <c r="E138" t="s">
        <v>935</v>
      </c>
    </row>
    <row r="139" spans="1:5">
      <c r="A139" t="s">
        <v>936</v>
      </c>
      <c r="B139" t="s">
        <v>233</v>
      </c>
      <c r="C139" t="s">
        <v>937</v>
      </c>
      <c r="D139" t="s">
        <v>938</v>
      </c>
      <c r="E139" t="s">
        <v>939</v>
      </c>
    </row>
    <row r="140" spans="1:5">
      <c r="A140" t="s">
        <v>940</v>
      </c>
      <c r="B140" t="s">
        <v>195</v>
      </c>
      <c r="C140" t="s">
        <v>941</v>
      </c>
      <c r="D140" t="s">
        <v>942</v>
      </c>
      <c r="E140" t="s">
        <v>943</v>
      </c>
    </row>
    <row r="141" spans="1:5">
      <c r="A141" t="s">
        <v>944</v>
      </c>
      <c r="B141" t="s">
        <v>98</v>
      </c>
      <c r="C141" t="s">
        <v>945</v>
      </c>
      <c r="D141" t="s">
        <v>946</v>
      </c>
      <c r="E141" t="s">
        <v>947</v>
      </c>
    </row>
    <row r="142" spans="1:5">
      <c r="A142" t="s">
        <v>948</v>
      </c>
      <c r="B142" t="s">
        <v>99</v>
      </c>
      <c r="C142" t="s">
        <v>949</v>
      </c>
      <c r="D142" t="s">
        <v>950</v>
      </c>
      <c r="E142" t="s">
        <v>951</v>
      </c>
    </row>
    <row r="143" spans="1:5">
      <c r="A143" t="s">
        <v>952</v>
      </c>
      <c r="B143" t="s">
        <v>110</v>
      </c>
      <c r="C143" t="s">
        <v>953</v>
      </c>
      <c r="D143" t="s">
        <v>954</v>
      </c>
      <c r="E143" t="s">
        <v>955</v>
      </c>
    </row>
    <row r="144" spans="1:5">
      <c r="A144" t="s">
        <v>956</v>
      </c>
      <c r="B144" t="s">
        <v>111</v>
      </c>
      <c r="C144" t="s">
        <v>957</v>
      </c>
      <c r="D144" t="s">
        <v>958</v>
      </c>
      <c r="E144" t="s">
        <v>959</v>
      </c>
    </row>
    <row r="145" spans="1:5">
      <c r="A145" t="s">
        <v>960</v>
      </c>
      <c r="B145" t="s">
        <v>112</v>
      </c>
      <c r="C145" t="s">
        <v>961</v>
      </c>
      <c r="D145" t="s">
        <v>962</v>
      </c>
      <c r="E145" t="s">
        <v>963</v>
      </c>
    </row>
    <row r="146" spans="1:5">
      <c r="A146" t="s">
        <v>964</v>
      </c>
      <c r="B146" t="s">
        <v>113</v>
      </c>
      <c r="C146" t="s">
        <v>965</v>
      </c>
      <c r="D146" t="s">
        <v>966</v>
      </c>
      <c r="E146" t="s">
        <v>967</v>
      </c>
    </row>
    <row r="147" spans="1:5">
      <c r="A147" t="s">
        <v>968</v>
      </c>
      <c r="B147" t="s">
        <v>114</v>
      </c>
      <c r="C147" t="s">
        <v>114</v>
      </c>
      <c r="D147" t="s">
        <v>114</v>
      </c>
      <c r="E147" t="s">
        <v>969</v>
      </c>
    </row>
    <row r="148" spans="1:5">
      <c r="A148" t="s">
        <v>970</v>
      </c>
      <c r="B148" t="s">
        <v>231</v>
      </c>
      <c r="C148" t="s">
        <v>971</v>
      </c>
      <c r="D148" t="s">
        <v>972</v>
      </c>
      <c r="E148" t="s">
        <v>973</v>
      </c>
    </row>
    <row r="149" spans="1:5">
      <c r="A149" t="s">
        <v>974</v>
      </c>
      <c r="B149" t="s">
        <v>115</v>
      </c>
      <c r="C149" t="s">
        <v>975</v>
      </c>
      <c r="D149" t="s">
        <v>976</v>
      </c>
      <c r="E149" t="s">
        <v>977</v>
      </c>
    </row>
    <row r="150" spans="1:5">
      <c r="A150" t="s">
        <v>978</v>
      </c>
      <c r="B150" t="s">
        <v>261</v>
      </c>
      <c r="C150" t="s">
        <v>979</v>
      </c>
      <c r="D150" t="s">
        <v>980</v>
      </c>
      <c r="E150" t="s">
        <v>981</v>
      </c>
    </row>
    <row r="151" spans="1:5">
      <c r="A151" t="s">
        <v>982</v>
      </c>
      <c r="B151" t="s">
        <v>232</v>
      </c>
      <c r="C151" t="s">
        <v>983</v>
      </c>
      <c r="D151" t="s">
        <v>984</v>
      </c>
      <c r="E151" t="s">
        <v>985</v>
      </c>
    </row>
    <row r="152" spans="1:5">
      <c r="A152" t="s">
        <v>986</v>
      </c>
      <c r="B152" t="s">
        <v>116</v>
      </c>
      <c r="C152" t="s">
        <v>987</v>
      </c>
      <c r="D152" t="s">
        <v>987</v>
      </c>
      <c r="E152" t="s">
        <v>988</v>
      </c>
    </row>
    <row r="153" spans="1:5">
      <c r="A153" t="s">
        <v>989</v>
      </c>
      <c r="B153" t="s">
        <v>1658</v>
      </c>
      <c r="C153" t="s">
        <v>1659</v>
      </c>
      <c r="D153" t="s">
        <v>1660</v>
      </c>
      <c r="E153" t="s">
        <v>1661</v>
      </c>
    </row>
    <row r="154" spans="1:5">
      <c r="A154" t="s">
        <v>990</v>
      </c>
      <c r="B154" t="s">
        <v>1662</v>
      </c>
      <c r="C154" t="s">
        <v>1663</v>
      </c>
      <c r="D154" t="s">
        <v>1664</v>
      </c>
      <c r="E154" t="s">
        <v>1665</v>
      </c>
    </row>
    <row r="155" spans="1:5">
      <c r="A155" t="s">
        <v>991</v>
      </c>
      <c r="B155" t="s">
        <v>120</v>
      </c>
      <c r="C155" t="s">
        <v>992</v>
      </c>
      <c r="D155" t="s">
        <v>993</v>
      </c>
      <c r="E155" t="s">
        <v>994</v>
      </c>
    </row>
    <row r="156" spans="1:5">
      <c r="A156" t="s">
        <v>995</v>
      </c>
      <c r="B156" t="s">
        <v>121</v>
      </c>
      <c r="C156" t="s">
        <v>996</v>
      </c>
      <c r="D156" t="s">
        <v>996</v>
      </c>
      <c r="E156" t="s">
        <v>997</v>
      </c>
    </row>
    <row r="157" spans="1:5">
      <c r="A157" t="s">
        <v>998</v>
      </c>
      <c r="B157" t="s">
        <v>122</v>
      </c>
      <c r="C157" t="s">
        <v>999</v>
      </c>
      <c r="D157" t="s">
        <v>999</v>
      </c>
      <c r="E157" t="s">
        <v>1000</v>
      </c>
    </row>
    <row r="158" spans="1:5">
      <c r="A158" t="s">
        <v>1001</v>
      </c>
      <c r="B158" t="s">
        <v>133</v>
      </c>
      <c r="C158" t="s">
        <v>1002</v>
      </c>
      <c r="D158" t="s">
        <v>1003</v>
      </c>
      <c r="E158" t="s">
        <v>1004</v>
      </c>
    </row>
    <row r="159" spans="1:5">
      <c r="A159" t="s">
        <v>1005</v>
      </c>
      <c r="B159" t="s">
        <v>123</v>
      </c>
      <c r="C159" t="s">
        <v>1006</v>
      </c>
      <c r="D159" t="s">
        <v>1007</v>
      </c>
      <c r="E159" t="s">
        <v>1008</v>
      </c>
    </row>
    <row r="160" spans="1:5">
      <c r="A160" t="s">
        <v>1009</v>
      </c>
      <c r="B160" t="s">
        <v>21</v>
      </c>
      <c r="C160" t="s">
        <v>1010</v>
      </c>
      <c r="D160" t="s">
        <v>1011</v>
      </c>
      <c r="E160" t="s">
        <v>1012</v>
      </c>
    </row>
    <row r="161" spans="1:5">
      <c r="A161" t="s">
        <v>1013</v>
      </c>
      <c r="B161" t="s">
        <v>182</v>
      </c>
      <c r="C161" t="s">
        <v>1014</v>
      </c>
      <c r="D161" t="s">
        <v>1015</v>
      </c>
      <c r="E161" t="s">
        <v>1016</v>
      </c>
    </row>
    <row r="162" spans="1:5">
      <c r="A162" t="s">
        <v>1017</v>
      </c>
      <c r="B162" t="s">
        <v>181</v>
      </c>
      <c r="C162" t="s">
        <v>1018</v>
      </c>
      <c r="D162" t="s">
        <v>1019</v>
      </c>
      <c r="E162" t="s">
        <v>1020</v>
      </c>
    </row>
    <row r="163" spans="1:5">
      <c r="A163" t="s">
        <v>1021</v>
      </c>
      <c r="B163" t="s">
        <v>179</v>
      </c>
      <c r="C163" t="s">
        <v>1022</v>
      </c>
      <c r="D163" t="s">
        <v>1023</v>
      </c>
      <c r="E163" t="s">
        <v>1024</v>
      </c>
    </row>
    <row r="164" spans="1:5">
      <c r="A164" t="s">
        <v>1025</v>
      </c>
      <c r="B164" t="s">
        <v>1666</v>
      </c>
      <c r="C164" t="s">
        <v>1667</v>
      </c>
      <c r="D164" t="s">
        <v>1668</v>
      </c>
      <c r="E164" t="s">
        <v>1669</v>
      </c>
    </row>
    <row r="165" spans="1:5">
      <c r="A165" t="s">
        <v>1026</v>
      </c>
      <c r="B165" t="s">
        <v>183</v>
      </c>
      <c r="C165" t="s">
        <v>1027</v>
      </c>
      <c r="D165" t="s">
        <v>1028</v>
      </c>
      <c r="E165" t="s">
        <v>1029</v>
      </c>
    </row>
    <row r="166" spans="1:5">
      <c r="A166" t="s">
        <v>1030</v>
      </c>
      <c r="B166" t="s">
        <v>251</v>
      </c>
      <c r="C166" t="s">
        <v>1031</v>
      </c>
      <c r="D166" t="s">
        <v>1032</v>
      </c>
      <c r="E166" t="s">
        <v>1033</v>
      </c>
    </row>
    <row r="167" spans="1:5">
      <c r="A167" t="s">
        <v>1034</v>
      </c>
      <c r="B167" t="s">
        <v>198</v>
      </c>
      <c r="C167" t="s">
        <v>1035</v>
      </c>
      <c r="D167" t="s">
        <v>1036</v>
      </c>
      <c r="E167" t="s">
        <v>1037</v>
      </c>
    </row>
    <row r="168" spans="1:5">
      <c r="A168" t="s">
        <v>1038</v>
      </c>
      <c r="B168" t="s">
        <v>1039</v>
      </c>
      <c r="C168" t="s">
        <v>1040</v>
      </c>
      <c r="D168" t="s">
        <v>1041</v>
      </c>
      <c r="E168" t="s">
        <v>1042</v>
      </c>
    </row>
    <row r="169" spans="1:5">
      <c r="A169" t="s">
        <v>1044</v>
      </c>
      <c r="B169" t="s">
        <v>1045</v>
      </c>
      <c r="C169" t="s">
        <v>1046</v>
      </c>
      <c r="D169" t="s">
        <v>1047</v>
      </c>
      <c r="E169" t="s">
        <v>1048</v>
      </c>
    </row>
    <row r="170" spans="1:5">
      <c r="A170" t="s">
        <v>1049</v>
      </c>
      <c r="B170" t="s">
        <v>1050</v>
      </c>
      <c r="C170" t="s">
        <v>1051</v>
      </c>
      <c r="D170" t="s">
        <v>1052</v>
      </c>
      <c r="E170" t="s">
        <v>1053</v>
      </c>
    </row>
    <row r="171" spans="1:5">
      <c r="A171" t="s">
        <v>1054</v>
      </c>
      <c r="B171" t="s">
        <v>1055</v>
      </c>
      <c r="C171" t="s">
        <v>1056</v>
      </c>
      <c r="D171" t="s">
        <v>1057</v>
      </c>
      <c r="E171" t="s">
        <v>1058</v>
      </c>
    </row>
    <row r="172" spans="1:5">
      <c r="A172" t="s">
        <v>1059</v>
      </c>
      <c r="B172" t="s">
        <v>1060</v>
      </c>
      <c r="C172" t="s">
        <v>1061</v>
      </c>
      <c r="D172" t="s">
        <v>1062</v>
      </c>
      <c r="E172" t="s">
        <v>1063</v>
      </c>
    </row>
    <row r="173" spans="1:5">
      <c r="A173" t="s">
        <v>1064</v>
      </c>
      <c r="B173" t="s">
        <v>1065</v>
      </c>
      <c r="C173" t="s">
        <v>1066</v>
      </c>
      <c r="D173" t="s">
        <v>1067</v>
      </c>
      <c r="E173" t="s">
        <v>1068</v>
      </c>
    </row>
    <row r="174" spans="1:5">
      <c r="A174" t="s">
        <v>1069</v>
      </c>
      <c r="B174" t="s">
        <v>1070</v>
      </c>
      <c r="C174" t="s">
        <v>1071</v>
      </c>
      <c r="D174" t="s">
        <v>1072</v>
      </c>
      <c r="E174" t="s">
        <v>1073</v>
      </c>
    </row>
    <row r="175" spans="1:5">
      <c r="A175" t="s">
        <v>1074</v>
      </c>
      <c r="B175" t="s">
        <v>1075</v>
      </c>
      <c r="C175" t="s">
        <v>1076</v>
      </c>
      <c r="D175" t="s">
        <v>1077</v>
      </c>
      <c r="E175" t="s">
        <v>1078</v>
      </c>
    </row>
    <row r="176" spans="1:5">
      <c r="A176" t="s">
        <v>1079</v>
      </c>
      <c r="B176" t="s">
        <v>1080</v>
      </c>
      <c r="C176" t="s">
        <v>1081</v>
      </c>
      <c r="D176" t="s">
        <v>1082</v>
      </c>
      <c r="E176" t="s">
        <v>1083</v>
      </c>
    </row>
    <row r="177" spans="1:5">
      <c r="A177" t="s">
        <v>1084</v>
      </c>
      <c r="B177" t="s">
        <v>1085</v>
      </c>
      <c r="C177" t="s">
        <v>1086</v>
      </c>
      <c r="D177" t="s">
        <v>1087</v>
      </c>
      <c r="E177" t="s">
        <v>1088</v>
      </c>
    </row>
    <row r="178" spans="1:5">
      <c r="A178" t="s">
        <v>1089</v>
      </c>
      <c r="B178" t="s">
        <v>1090</v>
      </c>
      <c r="C178" t="s">
        <v>1091</v>
      </c>
      <c r="D178" t="s">
        <v>1092</v>
      </c>
      <c r="E178" t="s">
        <v>1093</v>
      </c>
    </row>
    <row r="179" spans="1:5">
      <c r="A179" t="s">
        <v>1094</v>
      </c>
      <c r="B179" t="s">
        <v>1095</v>
      </c>
      <c r="C179" t="s">
        <v>1096</v>
      </c>
      <c r="D179" t="s">
        <v>1097</v>
      </c>
      <c r="E179" t="s">
        <v>1098</v>
      </c>
    </row>
    <row r="180" spans="1:5">
      <c r="A180" t="s">
        <v>1099</v>
      </c>
      <c r="B180" t="s">
        <v>1100</v>
      </c>
      <c r="C180" t="s">
        <v>1101</v>
      </c>
      <c r="D180" t="s">
        <v>1102</v>
      </c>
      <c r="E180" t="s">
        <v>1103</v>
      </c>
    </row>
    <row r="181" spans="1:5">
      <c r="A181" t="s">
        <v>1104</v>
      </c>
      <c r="B181" t="s">
        <v>1105</v>
      </c>
      <c r="C181" t="s">
        <v>1106</v>
      </c>
      <c r="D181" t="s">
        <v>1107</v>
      </c>
      <c r="E181" t="s">
        <v>1108</v>
      </c>
    </row>
    <row r="182" spans="1:5">
      <c r="A182" t="s">
        <v>1109</v>
      </c>
      <c r="B182" t="s">
        <v>1110</v>
      </c>
      <c r="C182" t="s">
        <v>1111</v>
      </c>
      <c r="D182" t="s">
        <v>1112</v>
      </c>
      <c r="E182" t="s">
        <v>1113</v>
      </c>
    </row>
    <row r="183" spans="1:5">
      <c r="A183" t="s">
        <v>1114</v>
      </c>
      <c r="B183" t="s">
        <v>9</v>
      </c>
      <c r="C183" t="s">
        <v>825</v>
      </c>
      <c r="D183" t="s">
        <v>825</v>
      </c>
      <c r="E183" t="s">
        <v>826</v>
      </c>
    </row>
    <row r="184" spans="1:5">
      <c r="A184" t="s">
        <v>1115</v>
      </c>
      <c r="B184" t="s">
        <v>10</v>
      </c>
      <c r="C184" t="s">
        <v>828</v>
      </c>
      <c r="D184" t="s">
        <v>829</v>
      </c>
      <c r="E184" t="s">
        <v>830</v>
      </c>
    </row>
    <row r="185" spans="1:5">
      <c r="A185" t="s">
        <v>1411</v>
      </c>
      <c r="B185" t="s">
        <v>1412</v>
      </c>
      <c r="C185" t="s">
        <v>1413</v>
      </c>
      <c r="D185" t="s">
        <v>1413</v>
      </c>
      <c r="E185" t="s">
        <v>1414</v>
      </c>
    </row>
    <row r="186" spans="1:5">
      <c r="A186" t="s">
        <v>1415</v>
      </c>
      <c r="B186" t="s">
        <v>1122</v>
      </c>
      <c r="C186" t="s">
        <v>1416</v>
      </c>
      <c r="D186" t="s">
        <v>1417</v>
      </c>
      <c r="E186" t="s">
        <v>1418</v>
      </c>
    </row>
    <row r="187" spans="1:5">
      <c r="A187" t="s">
        <v>1419</v>
      </c>
      <c r="B187" t="s">
        <v>1420</v>
      </c>
      <c r="C187" t="s">
        <v>1421</v>
      </c>
      <c r="D187" t="s">
        <v>1422</v>
      </c>
      <c r="E187" t="s">
        <v>1423</v>
      </c>
    </row>
    <row r="188" spans="1:5">
      <c r="A188" t="s">
        <v>1424</v>
      </c>
      <c r="B188" t="s">
        <v>1425</v>
      </c>
      <c r="C188" t="s">
        <v>1426</v>
      </c>
      <c r="D188" t="s">
        <v>1427</v>
      </c>
      <c r="E188" t="s">
        <v>1428</v>
      </c>
    </row>
    <row r="189" spans="1:5">
      <c r="A189" t="s">
        <v>1429</v>
      </c>
      <c r="B189" t="s">
        <v>1154</v>
      </c>
      <c r="C189" t="s">
        <v>1430</v>
      </c>
      <c r="D189" t="s">
        <v>1431</v>
      </c>
      <c r="E189" t="s">
        <v>1432</v>
      </c>
    </row>
    <row r="190" spans="1:5">
      <c r="A190" t="s">
        <v>1433</v>
      </c>
      <c r="B190" t="s">
        <v>1434</v>
      </c>
      <c r="C190" t="s">
        <v>1435</v>
      </c>
      <c r="D190" t="s">
        <v>1435</v>
      </c>
      <c r="E190" t="s">
        <v>1436</v>
      </c>
    </row>
    <row r="191" spans="1:5">
      <c r="A191" t="s">
        <v>1437</v>
      </c>
      <c r="B191" t="s">
        <v>1438</v>
      </c>
      <c r="C191" t="s">
        <v>1439</v>
      </c>
      <c r="D191" t="s">
        <v>1440</v>
      </c>
      <c r="E191" t="s">
        <v>1441</v>
      </c>
    </row>
    <row r="192" spans="1:5">
      <c r="A192" t="s">
        <v>1442</v>
      </c>
      <c r="B192" t="s">
        <v>1443</v>
      </c>
      <c r="C192" t="s">
        <v>1444</v>
      </c>
      <c r="D192" t="s">
        <v>1445</v>
      </c>
      <c r="E192" t="s">
        <v>1446</v>
      </c>
    </row>
    <row r="193" spans="1:5">
      <c r="A193" t="s">
        <v>1447</v>
      </c>
      <c r="B193" t="s">
        <v>1448</v>
      </c>
      <c r="C193" t="s">
        <v>1449</v>
      </c>
      <c r="D193" t="s">
        <v>1450</v>
      </c>
      <c r="E193" t="s">
        <v>1451</v>
      </c>
    </row>
    <row r="194" spans="1:5">
      <c r="A194" t="s">
        <v>1452</v>
      </c>
      <c r="B194" t="s">
        <v>1453</v>
      </c>
      <c r="C194" t="s">
        <v>1454</v>
      </c>
      <c r="D194" t="s">
        <v>1455</v>
      </c>
      <c r="E194" t="s">
        <v>1456</v>
      </c>
    </row>
    <row r="195" spans="1:5">
      <c r="A195" t="s">
        <v>1457</v>
      </c>
      <c r="B195" t="s">
        <v>1458</v>
      </c>
      <c r="C195" t="s">
        <v>1459</v>
      </c>
      <c r="D195" t="s">
        <v>1460</v>
      </c>
      <c r="E195" t="s">
        <v>1461</v>
      </c>
    </row>
    <row r="196" spans="1:5">
      <c r="A196" t="s">
        <v>1462</v>
      </c>
      <c r="B196" t="s">
        <v>1463</v>
      </c>
      <c r="C196" t="s">
        <v>1464</v>
      </c>
      <c r="D196" t="s">
        <v>1465</v>
      </c>
      <c r="E196" t="s">
        <v>1466</v>
      </c>
    </row>
    <row r="197" spans="1:5">
      <c r="A197" t="s">
        <v>1467</v>
      </c>
      <c r="B197" t="s">
        <v>1468</v>
      </c>
      <c r="C197" t="s">
        <v>1469</v>
      </c>
      <c r="D197" t="s">
        <v>1469</v>
      </c>
      <c r="E197" t="s">
        <v>1470</v>
      </c>
    </row>
    <row r="198" spans="1:5">
      <c r="A198" t="s">
        <v>1471</v>
      </c>
      <c r="B198" t="s">
        <v>1472</v>
      </c>
      <c r="C198" t="s">
        <v>1473</v>
      </c>
      <c r="D198" t="s">
        <v>1474</v>
      </c>
      <c r="E198" t="s">
        <v>1475</v>
      </c>
    </row>
    <row r="199" spans="1:5">
      <c r="A199" t="s">
        <v>1476</v>
      </c>
      <c r="B199" t="s">
        <v>1477</v>
      </c>
      <c r="C199" t="s">
        <v>1478</v>
      </c>
      <c r="D199" t="s">
        <v>1479</v>
      </c>
      <c r="E199" t="s">
        <v>1480</v>
      </c>
    </row>
    <row r="200" spans="1:5">
      <c r="A200" t="s">
        <v>1481</v>
      </c>
      <c r="B200" t="s">
        <v>1482</v>
      </c>
      <c r="C200" t="s">
        <v>1483</v>
      </c>
      <c r="D200" t="s">
        <v>1484</v>
      </c>
      <c r="E200" t="s">
        <v>1485</v>
      </c>
    </row>
    <row r="201" spans="1:5">
      <c r="A201" t="s">
        <v>1486</v>
      </c>
      <c r="B201" t="s">
        <v>1487</v>
      </c>
      <c r="C201" t="s">
        <v>1488</v>
      </c>
      <c r="D201" t="s">
        <v>1488</v>
      </c>
      <c r="E201" t="s">
        <v>1489</v>
      </c>
    </row>
    <row r="202" spans="1:5">
      <c r="A202" t="s">
        <v>1490</v>
      </c>
      <c r="B202" t="s">
        <v>1491</v>
      </c>
      <c r="C202" t="s">
        <v>1492</v>
      </c>
      <c r="D202" t="s">
        <v>1493</v>
      </c>
      <c r="E202" t="s">
        <v>1494</v>
      </c>
    </row>
    <row r="203" spans="1:5">
      <c r="A203" t="s">
        <v>1495</v>
      </c>
      <c r="B203" t="s">
        <v>1496</v>
      </c>
      <c r="C203" t="s">
        <v>1497</v>
      </c>
      <c r="D203" t="s">
        <v>1498</v>
      </c>
      <c r="E203" t="s">
        <v>1499</v>
      </c>
    </row>
    <row r="204" spans="1:5">
      <c r="A204" t="s">
        <v>1500</v>
      </c>
      <c r="B204" t="s">
        <v>1501</v>
      </c>
      <c r="C204" t="s">
        <v>1502</v>
      </c>
      <c r="D204" t="s">
        <v>1503</v>
      </c>
      <c r="E204" t="s">
        <v>1504</v>
      </c>
    </row>
    <row r="205" spans="1:5">
      <c r="A205" t="s">
        <v>1505</v>
      </c>
      <c r="B205" t="s">
        <v>1506</v>
      </c>
      <c r="C205" t="s">
        <v>1507</v>
      </c>
      <c r="D205" t="s">
        <v>1507</v>
      </c>
      <c r="E205" t="s">
        <v>1508</v>
      </c>
    </row>
    <row r="206" spans="1:5">
      <c r="A206" t="s">
        <v>1509</v>
      </c>
      <c r="B206" t="s">
        <v>1510</v>
      </c>
      <c r="C206" t="s">
        <v>1511</v>
      </c>
      <c r="D206" t="s">
        <v>1512</v>
      </c>
      <c r="E206" t="s">
        <v>1513</v>
      </c>
    </row>
    <row r="207" spans="1:5">
      <c r="A207" t="s">
        <v>1514</v>
      </c>
      <c r="B207" t="s">
        <v>1515</v>
      </c>
      <c r="C207" t="s">
        <v>1516</v>
      </c>
      <c r="D207" t="s">
        <v>1517</v>
      </c>
      <c r="E207" t="s">
        <v>1518</v>
      </c>
    </row>
    <row r="208" spans="1:5">
      <c r="A208" t="s">
        <v>1519</v>
      </c>
      <c r="B208" t="s">
        <v>1520</v>
      </c>
      <c r="C208" t="s">
        <v>1521</v>
      </c>
      <c r="D208" t="s">
        <v>1522</v>
      </c>
      <c r="E208" t="s">
        <v>1523</v>
      </c>
    </row>
    <row r="209" spans="1:5">
      <c r="A209" t="s">
        <v>1524</v>
      </c>
      <c r="B209" t="s">
        <v>82</v>
      </c>
      <c r="C209" t="s">
        <v>782</v>
      </c>
      <c r="D209" t="s">
        <v>782</v>
      </c>
      <c r="E209" t="s">
        <v>783</v>
      </c>
    </row>
    <row r="210" spans="1:5">
      <c r="A210" t="s">
        <v>1525</v>
      </c>
      <c r="B210" t="s">
        <v>1526</v>
      </c>
      <c r="C210" t="s">
        <v>1527</v>
      </c>
      <c r="D210" t="s">
        <v>1528</v>
      </c>
      <c r="E210" t="s">
        <v>1529</v>
      </c>
    </row>
    <row r="211" spans="1:5">
      <c r="A211" t="s">
        <v>1530</v>
      </c>
      <c r="B211" t="s">
        <v>1531</v>
      </c>
      <c r="C211" t="s">
        <v>1532</v>
      </c>
      <c r="D211" t="s">
        <v>1533</v>
      </c>
      <c r="E211" t="s">
        <v>1534</v>
      </c>
    </row>
    <row r="212" spans="1:5">
      <c r="A212" t="s">
        <v>1535</v>
      </c>
      <c r="B212" t="s">
        <v>1536</v>
      </c>
      <c r="C212" t="s">
        <v>1536</v>
      </c>
      <c r="D212" t="s">
        <v>1537</v>
      </c>
      <c r="E212" t="s">
        <v>1538</v>
      </c>
    </row>
    <row r="213" spans="1:5">
      <c r="A213" t="s">
        <v>1539</v>
      </c>
      <c r="B213" t="s">
        <v>1540</v>
      </c>
      <c r="C213" t="s">
        <v>1541</v>
      </c>
      <c r="D213" t="s">
        <v>1541</v>
      </c>
      <c r="E213" t="s">
        <v>1542</v>
      </c>
    </row>
    <row r="214" spans="1:5">
      <c r="A214" t="s">
        <v>1543</v>
      </c>
      <c r="B214" t="s">
        <v>1544</v>
      </c>
      <c r="C214" t="s">
        <v>1545</v>
      </c>
      <c r="D214" t="s">
        <v>1546</v>
      </c>
      <c r="E214" t="s">
        <v>1547</v>
      </c>
    </row>
    <row r="215" spans="1:5">
      <c r="A215" t="s">
        <v>1548</v>
      </c>
      <c r="B215" t="s">
        <v>1549</v>
      </c>
      <c r="C215" t="s">
        <v>1550</v>
      </c>
      <c r="D215" t="s">
        <v>1551</v>
      </c>
      <c r="E215" t="s">
        <v>1552</v>
      </c>
    </row>
    <row r="216" spans="1:5">
      <c r="A216" t="s">
        <v>1553</v>
      </c>
      <c r="B216" t="s">
        <v>1554</v>
      </c>
      <c r="C216" t="s">
        <v>1555</v>
      </c>
      <c r="D216" t="s">
        <v>1556</v>
      </c>
      <c r="E216" t="s">
        <v>1557</v>
      </c>
    </row>
    <row r="217" spans="1:5">
      <c r="A217" t="s">
        <v>1558</v>
      </c>
      <c r="B217" t="s">
        <v>1559</v>
      </c>
      <c r="C217" t="s">
        <v>1560</v>
      </c>
      <c r="D217" t="s">
        <v>1561</v>
      </c>
      <c r="E217" t="s">
        <v>1561</v>
      </c>
    </row>
    <row r="218" spans="1:5">
      <c r="A218" t="s">
        <v>1562</v>
      </c>
      <c r="B218" t="s">
        <v>1563</v>
      </c>
      <c r="C218" t="s">
        <v>1564</v>
      </c>
      <c r="D218" t="s">
        <v>1565</v>
      </c>
      <c r="E218" t="s">
        <v>1566</v>
      </c>
    </row>
    <row r="219" spans="1:5">
      <c r="A219" t="s">
        <v>1575</v>
      </c>
      <c r="B219" t="s">
        <v>1574</v>
      </c>
      <c r="C219" t="s">
        <v>1576</v>
      </c>
      <c r="D219" t="s">
        <v>1577</v>
      </c>
      <c r="E219" t="s">
        <v>1578</v>
      </c>
    </row>
    <row r="220" spans="1:5">
      <c r="A220" t="s">
        <v>1594</v>
      </c>
      <c r="B220" t="s">
        <v>1595</v>
      </c>
      <c r="C220" t="s">
        <v>1596</v>
      </c>
      <c r="D220" t="s">
        <v>1596</v>
      </c>
      <c r="E220" t="s">
        <v>1597</v>
      </c>
    </row>
    <row r="221" spans="1:5">
      <c r="A221" t="s">
        <v>1598</v>
      </c>
      <c r="B221" t="s">
        <v>1599</v>
      </c>
      <c r="C221" t="s">
        <v>1600</v>
      </c>
      <c r="D221" t="s">
        <v>1601</v>
      </c>
      <c r="E221" t="s">
        <v>1602</v>
      </c>
    </row>
    <row r="222" spans="1:5">
      <c r="A222" t="s">
        <v>1603</v>
      </c>
      <c r="B222" t="s">
        <v>1604</v>
      </c>
      <c r="C222" t="s">
        <v>1605</v>
      </c>
      <c r="D222" t="s">
        <v>1606</v>
      </c>
      <c r="E222" t="s">
        <v>1607</v>
      </c>
    </row>
    <row r="223" spans="1:5">
      <c r="A223" t="s">
        <v>1608</v>
      </c>
      <c r="B223" t="s">
        <v>1609</v>
      </c>
      <c r="C223" t="s">
        <v>1610</v>
      </c>
      <c r="D223" t="s">
        <v>1611</v>
      </c>
      <c r="E223" t="s">
        <v>1612</v>
      </c>
    </row>
    <row r="224" spans="1:5">
      <c r="A224" t="s">
        <v>1613</v>
      </c>
      <c r="B224" t="s">
        <v>1614</v>
      </c>
      <c r="C224" t="s">
        <v>1615</v>
      </c>
      <c r="D224" t="s">
        <v>1616</v>
      </c>
      <c r="E224" t="s">
        <v>1617</v>
      </c>
    </row>
    <row r="225" spans="1:5">
      <c r="A225" t="s">
        <v>1618</v>
      </c>
      <c r="B225" t="s">
        <v>1619</v>
      </c>
      <c r="C225" t="s">
        <v>1620</v>
      </c>
      <c r="D225" t="s">
        <v>1621</v>
      </c>
      <c r="E225" t="s">
        <v>1622</v>
      </c>
    </row>
    <row r="226" spans="1:5">
      <c r="A226" t="s">
        <v>1623</v>
      </c>
      <c r="B226" t="s">
        <v>1624</v>
      </c>
      <c r="C226" t="s">
        <v>1625</v>
      </c>
      <c r="D226" t="s">
        <v>1624</v>
      </c>
      <c r="E226" t="s">
        <v>1626</v>
      </c>
    </row>
    <row r="227" spans="1:5">
      <c r="A227" t="s">
        <v>1627</v>
      </c>
      <c r="B227" t="s">
        <v>1628</v>
      </c>
      <c r="C227" t="s">
        <v>1629</v>
      </c>
      <c r="D227" t="s">
        <v>1630</v>
      </c>
      <c r="E227" t="s">
        <v>1631</v>
      </c>
    </row>
    <row r="228" spans="1:5">
      <c r="A228" t="s">
        <v>1632</v>
      </c>
      <c r="B228" t="s">
        <v>1633</v>
      </c>
      <c r="C228" t="s">
        <v>1634</v>
      </c>
      <c r="D228" t="s">
        <v>1635</v>
      </c>
      <c r="E228" t="s">
        <v>1636</v>
      </c>
    </row>
    <row r="229" spans="1:5">
      <c r="A229" t="s">
        <v>1637</v>
      </c>
      <c r="B229" t="s">
        <v>1638</v>
      </c>
      <c r="C229" t="s">
        <v>1639</v>
      </c>
      <c r="D229" t="s">
        <v>1640</v>
      </c>
      <c r="E229" t="s">
        <v>1641</v>
      </c>
    </row>
    <row r="230" spans="1:5">
      <c r="A230" t="s">
        <v>1642</v>
      </c>
      <c r="B230" t="s">
        <v>1643</v>
      </c>
      <c r="C230" t="s">
        <v>1644</v>
      </c>
      <c r="D230" t="s">
        <v>1645</v>
      </c>
      <c r="E230" t="s">
        <v>1646</v>
      </c>
    </row>
    <row r="231" spans="1:5">
      <c r="A231" t="s">
        <v>1647</v>
      </c>
      <c r="B231" t="s">
        <v>1648</v>
      </c>
      <c r="C231" t="s">
        <v>1649</v>
      </c>
      <c r="D231" t="s">
        <v>1650</v>
      </c>
      <c r="E231" t="s">
        <v>1651</v>
      </c>
    </row>
    <row r="232" spans="1:5">
      <c r="A232" t="s">
        <v>1710</v>
      </c>
      <c r="B232" t="s">
        <v>1711</v>
      </c>
      <c r="C232" t="s">
        <v>1712</v>
      </c>
      <c r="D232" t="s">
        <v>1713</v>
      </c>
      <c r="E232" t="s">
        <v>1714</v>
      </c>
    </row>
    <row r="233" spans="1:5">
      <c r="A233" t="s">
        <v>1715</v>
      </c>
      <c r="B233" t="s">
        <v>1716</v>
      </c>
      <c r="C233" t="s">
        <v>1717</v>
      </c>
      <c r="D233" t="s">
        <v>1718</v>
      </c>
      <c r="E233" t="s">
        <v>1719</v>
      </c>
    </row>
    <row r="234" spans="1:5">
      <c r="A234" t="s">
        <v>1720</v>
      </c>
      <c r="B234" t="s">
        <v>1721</v>
      </c>
      <c r="C234" t="s">
        <v>1722</v>
      </c>
      <c r="D234" t="s">
        <v>1723</v>
      </c>
      <c r="E234" t="s">
        <v>1724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E96F-11DD-4901-A2C3-73FE877D076A}">
  <sheetPr codeName="Sheet9"/>
  <dimension ref="B1:AF59"/>
  <sheetViews>
    <sheetView workbookViewId="0"/>
  </sheetViews>
  <sheetFormatPr defaultRowHeight="14.4"/>
  <sheetData>
    <row r="1" spans="2:32">
      <c r="B1" s="57"/>
      <c r="C1" s="57"/>
      <c r="D1" s="57"/>
      <c r="E1" s="57"/>
      <c r="F1" s="57"/>
      <c r="G1" s="57"/>
      <c r="H1" s="57"/>
      <c r="I1" s="57"/>
      <c r="J1" s="57"/>
      <c r="K1" s="57"/>
      <c r="L1" s="57"/>
      <c r="M1" s="57"/>
      <c r="N1" s="57"/>
      <c r="O1" s="57"/>
      <c r="P1" s="57"/>
      <c r="Q1" s="57"/>
      <c r="R1" s="57"/>
      <c r="S1" s="57"/>
      <c r="T1" s="57"/>
      <c r="U1" s="57"/>
      <c r="V1" s="57"/>
      <c r="W1" s="57"/>
      <c r="X1" s="57"/>
      <c r="Y1" s="57"/>
      <c r="Z1" s="57"/>
      <c r="AA1" s="57"/>
      <c r="AB1" s="57"/>
      <c r="AF1" s="374" t="s">
        <v>1729</v>
      </c>
    </row>
    <row r="2" spans="2:32">
      <c r="B2" s="57"/>
      <c r="C2" s="57"/>
      <c r="D2" s="57"/>
      <c r="E2" s="57"/>
      <c r="F2" s="57"/>
      <c r="G2" s="57"/>
      <c r="H2" s="57"/>
      <c r="I2" s="57"/>
      <c r="J2" s="57"/>
      <c r="K2" s="57"/>
      <c r="L2" s="57"/>
      <c r="M2" s="57"/>
      <c r="N2" s="57"/>
      <c r="O2" s="57"/>
      <c r="P2" s="57"/>
      <c r="Q2" s="57"/>
      <c r="R2" s="57"/>
      <c r="S2" s="57"/>
      <c r="T2" s="57"/>
      <c r="U2" s="57"/>
      <c r="V2" s="57"/>
      <c r="W2" s="57"/>
      <c r="X2" s="57"/>
      <c r="Y2" s="57"/>
      <c r="Z2" s="57"/>
      <c r="AA2" s="57"/>
      <c r="AB2" s="57"/>
      <c r="AF2" s="374" t="s">
        <v>1730</v>
      </c>
    </row>
    <row r="3" spans="2:32" ht="15" thickBot="1">
      <c r="B3" s="58"/>
      <c r="C3" s="58"/>
      <c r="D3" s="58"/>
      <c r="E3" s="58"/>
      <c r="F3" s="58"/>
      <c r="G3" s="58"/>
      <c r="H3" s="58"/>
      <c r="I3" s="58"/>
      <c r="J3" s="58"/>
      <c r="K3" s="58"/>
      <c r="L3" s="58"/>
      <c r="M3" s="58"/>
      <c r="N3" s="58"/>
      <c r="O3" s="58"/>
      <c r="P3" s="58"/>
      <c r="Q3" s="58"/>
      <c r="R3" s="58"/>
      <c r="S3" s="58"/>
      <c r="T3" s="58"/>
      <c r="U3" s="58"/>
      <c r="V3" s="58"/>
      <c r="W3" s="58"/>
      <c r="X3" s="58"/>
      <c r="Y3" s="58"/>
      <c r="Z3" s="58"/>
      <c r="AA3" s="58"/>
      <c r="AB3" s="58"/>
      <c r="AF3" s="374">
        <v>1</v>
      </c>
    </row>
    <row r="4" spans="2:32">
      <c r="B4" s="12"/>
      <c r="C4" s="12"/>
      <c r="D4" s="12"/>
      <c r="E4" s="12"/>
      <c r="F4" s="12"/>
      <c r="G4" s="12"/>
      <c r="H4" s="12"/>
      <c r="I4" s="12"/>
      <c r="J4" s="12"/>
      <c r="K4" s="12"/>
      <c r="L4" s="12"/>
      <c r="M4" s="12"/>
      <c r="N4" s="12"/>
      <c r="O4" s="12"/>
      <c r="P4" s="12"/>
      <c r="Q4" s="12"/>
      <c r="R4" s="12"/>
      <c r="S4" s="12"/>
      <c r="T4" s="12"/>
      <c r="U4" s="12"/>
      <c r="V4" s="12"/>
      <c r="W4" s="12"/>
      <c r="X4" s="12"/>
      <c r="Y4" s="12"/>
      <c r="Z4" s="12"/>
      <c r="AA4" s="12"/>
      <c r="AB4" s="12"/>
    </row>
    <row r="5" spans="2:32">
      <c r="B5" s="12"/>
      <c r="C5" s="12"/>
      <c r="D5" s="12"/>
      <c r="E5" s="12"/>
      <c r="F5" s="12"/>
      <c r="G5" s="12"/>
      <c r="H5" s="12"/>
      <c r="I5" s="12"/>
      <c r="J5" s="12"/>
      <c r="K5" s="12"/>
      <c r="L5" s="12"/>
      <c r="M5" s="12"/>
      <c r="N5" s="12"/>
      <c r="O5" s="12"/>
      <c r="P5" s="59" t="s">
        <v>274</v>
      </c>
      <c r="Q5" s="276" t="s">
        <v>269</v>
      </c>
      <c r="R5" s="12"/>
      <c r="S5" s="12"/>
      <c r="T5" s="12"/>
      <c r="U5" s="12"/>
      <c r="V5" s="12"/>
      <c r="W5" s="12"/>
      <c r="X5" s="12"/>
      <c r="Y5" s="12"/>
      <c r="Z5" s="12"/>
      <c r="AA5" s="12"/>
      <c r="AB5" s="12"/>
    </row>
    <row r="6" spans="2:32">
      <c r="B6" s="13"/>
      <c r="C6" s="13"/>
      <c r="D6" s="13"/>
      <c r="E6" s="13"/>
      <c r="F6" s="13"/>
      <c r="G6" s="13"/>
      <c r="H6" s="13"/>
      <c r="I6" s="13"/>
      <c r="J6" s="13"/>
      <c r="K6" s="13"/>
      <c r="L6" s="13"/>
      <c r="M6" s="13"/>
      <c r="N6" s="13"/>
      <c r="O6" s="12"/>
      <c r="P6" s="12"/>
      <c r="Q6" s="12"/>
      <c r="R6" s="12"/>
      <c r="S6" s="12"/>
      <c r="T6" s="12"/>
      <c r="U6" s="12"/>
      <c r="V6" s="12"/>
      <c r="W6" s="12"/>
      <c r="X6" s="12"/>
      <c r="Y6" s="12"/>
      <c r="Z6" s="12"/>
      <c r="AA6" s="12"/>
      <c r="AB6" s="12"/>
    </row>
    <row r="7" spans="2:32">
      <c r="B7" s="473" t="s">
        <v>52</v>
      </c>
      <c r="C7" s="474"/>
      <c r="D7" s="475"/>
      <c r="E7" s="13"/>
      <c r="F7" s="482" t="s">
        <v>264</v>
      </c>
      <c r="G7" s="483"/>
      <c r="H7" s="483"/>
      <c r="I7" s="483"/>
      <c r="J7" s="483"/>
      <c r="K7" s="483"/>
      <c r="L7" s="483"/>
      <c r="M7" s="483"/>
      <c r="N7" s="484"/>
      <c r="O7" s="12"/>
      <c r="P7" s="59" t="s">
        <v>278</v>
      </c>
      <c r="Q7" s="276"/>
      <c r="R7" s="12"/>
      <c r="S7" s="12"/>
      <c r="T7" s="12"/>
      <c r="U7" s="12"/>
      <c r="V7" s="12"/>
      <c r="W7" s="12"/>
      <c r="X7" s="12"/>
      <c r="Y7" s="12"/>
      <c r="Z7" s="12"/>
      <c r="AA7" s="12"/>
      <c r="AB7" s="12"/>
    </row>
    <row r="8" spans="2:32">
      <c r="B8" s="476" t="s">
        <v>202</v>
      </c>
      <c r="C8" s="477"/>
      <c r="D8" s="478"/>
      <c r="E8" s="13"/>
      <c r="F8" s="485" t="s">
        <v>265</v>
      </c>
      <c r="G8" s="486"/>
      <c r="H8" s="486"/>
      <c r="I8" s="486"/>
      <c r="J8" s="486"/>
      <c r="K8" s="486"/>
      <c r="L8" s="486"/>
      <c r="M8" s="486"/>
      <c r="N8" s="487"/>
      <c r="O8" s="12"/>
      <c r="P8" s="12"/>
      <c r="Q8" s="12"/>
      <c r="R8" s="12"/>
      <c r="S8" s="12"/>
      <c r="T8" s="12"/>
      <c r="U8" s="12"/>
      <c r="V8" s="12"/>
      <c r="W8" s="12"/>
      <c r="X8" s="12"/>
      <c r="Y8" s="12"/>
      <c r="Z8" s="12"/>
      <c r="AA8" s="12"/>
      <c r="AB8" s="12"/>
    </row>
    <row r="9" spans="2:32">
      <c r="B9" s="552" t="s">
        <v>46</v>
      </c>
      <c r="C9" s="553"/>
      <c r="D9" s="554"/>
      <c r="E9" s="13"/>
      <c r="F9" s="261" t="s">
        <v>58</v>
      </c>
      <c r="G9" s="262"/>
      <c r="H9" s="263" t="s">
        <v>204</v>
      </c>
      <c r="I9" s="262"/>
      <c r="J9" s="264" t="s">
        <v>205</v>
      </c>
      <c r="K9" s="262"/>
      <c r="L9" s="263" t="s">
        <v>194</v>
      </c>
      <c r="M9" s="262"/>
      <c r="N9" s="265" t="s">
        <v>193</v>
      </c>
      <c r="O9" s="12"/>
      <c r="P9" s="12"/>
      <c r="Q9" s="12"/>
      <c r="R9" s="12"/>
      <c r="S9" s="12"/>
      <c r="T9" s="12"/>
      <c r="U9" s="12"/>
      <c r="V9" s="12"/>
      <c r="W9" s="12"/>
      <c r="X9" s="12"/>
      <c r="Y9" s="12"/>
      <c r="Z9" s="12"/>
      <c r="AA9" s="12"/>
      <c r="AB9" s="12"/>
    </row>
    <row r="10" spans="2:32">
      <c r="B10" s="555" t="s">
        <v>1574</v>
      </c>
      <c r="C10" s="555"/>
      <c r="D10" s="555"/>
      <c r="E10" s="555"/>
      <c r="F10" s="555"/>
      <c r="G10" s="555"/>
      <c r="H10" s="555"/>
      <c r="I10" s="555"/>
      <c r="J10" s="555"/>
      <c r="K10" s="555"/>
      <c r="L10" s="555"/>
      <c r="M10" s="555"/>
      <c r="N10" s="555"/>
      <c r="O10" s="12"/>
      <c r="P10" s="12"/>
      <c r="Q10" s="12"/>
      <c r="R10" s="12"/>
      <c r="S10" s="12"/>
      <c r="T10" s="12"/>
      <c r="U10" s="12"/>
      <c r="V10" s="12"/>
      <c r="W10" s="12"/>
      <c r="X10" s="12"/>
      <c r="Y10" s="12"/>
      <c r="Z10" s="12"/>
      <c r="AA10" s="12"/>
      <c r="AB10" s="12"/>
    </row>
    <row r="11" spans="2:32">
      <c r="B11" s="377"/>
      <c r="C11" s="377"/>
      <c r="D11" s="377"/>
      <c r="E11" s="377"/>
      <c r="F11" s="377"/>
      <c r="G11" s="377"/>
      <c r="H11" s="377"/>
      <c r="I11" s="377"/>
      <c r="J11" s="377"/>
      <c r="K11" s="16"/>
      <c r="L11" s="40" t="s">
        <v>9</v>
      </c>
      <c r="M11" s="40"/>
      <c r="N11" s="40" t="s">
        <v>10</v>
      </c>
      <c r="O11" s="15"/>
      <c r="P11" s="15"/>
      <c r="Q11" s="12"/>
      <c r="R11" s="12"/>
      <c r="S11" s="15"/>
      <c r="T11" s="15"/>
      <c r="U11" s="15"/>
      <c r="V11" s="15"/>
      <c r="W11" s="15"/>
      <c r="X11" s="15"/>
      <c r="Y11" s="15"/>
      <c r="Z11" s="15"/>
      <c r="AA11" s="15"/>
      <c r="AB11" s="15"/>
    </row>
    <row r="12" spans="2:32">
      <c r="B12" s="378" t="s">
        <v>88</v>
      </c>
      <c r="C12" s="379"/>
      <c r="D12" s="379"/>
      <c r="E12" s="379"/>
      <c r="F12" s="379"/>
      <c r="G12" s="379"/>
      <c r="H12" s="379"/>
      <c r="I12" s="379"/>
      <c r="J12" s="380"/>
      <c r="K12" s="17"/>
      <c r="L12" s="18">
        <v>0.12</v>
      </c>
      <c r="M12" s="19"/>
      <c r="N12" s="20" t="s">
        <v>0</v>
      </c>
      <c r="O12" s="12"/>
      <c r="P12" s="12"/>
      <c r="Q12" s="12"/>
      <c r="R12" s="12"/>
      <c r="S12" s="12"/>
      <c r="T12" s="12"/>
      <c r="U12" s="12"/>
      <c r="V12" s="12"/>
      <c r="W12" s="12"/>
      <c r="X12" s="12"/>
      <c r="Y12" s="12"/>
      <c r="Z12" s="12"/>
      <c r="AA12" s="12"/>
      <c r="AB12" s="12"/>
    </row>
    <row r="13" spans="2:32">
      <c r="B13" s="381" t="s">
        <v>45</v>
      </c>
      <c r="C13" s="382"/>
      <c r="D13" s="382"/>
      <c r="E13" s="382"/>
      <c r="F13" s="382"/>
      <c r="G13" s="382"/>
      <c r="H13" s="382"/>
      <c r="I13" s="382"/>
      <c r="J13" s="383"/>
      <c r="K13" s="17"/>
      <c r="L13" s="21">
        <v>1500</v>
      </c>
      <c r="M13" s="22"/>
      <c r="N13" s="23" t="s">
        <v>1</v>
      </c>
      <c r="O13" s="12"/>
      <c r="P13" s="12"/>
      <c r="Q13" s="12"/>
      <c r="R13" s="12"/>
      <c r="S13" s="12"/>
      <c r="T13" s="12"/>
      <c r="U13" s="12"/>
      <c r="V13" s="12"/>
      <c r="W13" s="12"/>
      <c r="X13" s="12"/>
      <c r="Y13" s="12"/>
      <c r="Z13" s="12"/>
      <c r="AA13" s="12"/>
      <c r="AB13" s="12"/>
    </row>
    <row r="14" spans="2:32">
      <c r="B14" s="384" t="s">
        <v>87</v>
      </c>
      <c r="C14" s="385"/>
      <c r="D14" s="385"/>
      <c r="E14" s="385"/>
      <c r="F14" s="385"/>
      <c r="G14" s="385"/>
      <c r="H14" s="385"/>
      <c r="I14" s="385"/>
      <c r="J14" s="386"/>
      <c r="K14" s="17"/>
      <c r="L14" s="21">
        <v>4</v>
      </c>
      <c r="M14" s="22"/>
      <c r="N14" s="253" t="s">
        <v>5</v>
      </c>
      <c r="O14" s="12"/>
      <c r="P14" s="12"/>
      <c r="Q14" s="12"/>
      <c r="R14" s="12"/>
      <c r="S14" s="12"/>
      <c r="T14" s="12"/>
      <c r="U14" s="12"/>
      <c r="V14" s="12"/>
      <c r="W14" s="12"/>
      <c r="X14" s="12"/>
      <c r="Y14" s="12"/>
      <c r="Z14" s="12"/>
      <c r="AA14" s="12"/>
      <c r="AB14" s="12"/>
    </row>
    <row r="15" spans="2:32">
      <c r="B15" s="493" t="s">
        <v>85</v>
      </c>
      <c r="C15" s="494"/>
      <c r="D15" s="494"/>
      <c r="E15" s="494"/>
      <c r="F15" s="494"/>
      <c r="G15" s="494"/>
      <c r="H15" s="494"/>
      <c r="I15" s="494"/>
      <c r="J15" s="495"/>
      <c r="K15" s="29"/>
      <c r="L15" s="21">
        <v>24</v>
      </c>
      <c r="M15" s="30"/>
      <c r="N15" s="252" t="s">
        <v>82</v>
      </c>
      <c r="O15" s="12"/>
      <c r="P15" s="12"/>
      <c r="Q15" s="12"/>
      <c r="R15" s="12"/>
      <c r="S15" s="12"/>
      <c r="T15" s="12"/>
      <c r="U15" s="12"/>
      <c r="V15" s="12"/>
      <c r="W15" s="12"/>
      <c r="X15" s="12"/>
      <c r="Y15" s="12"/>
      <c r="Z15" s="12"/>
      <c r="AA15" s="12"/>
      <c r="AB15" s="12"/>
    </row>
    <row r="16" spans="2:32">
      <c r="B16" s="493" t="s">
        <v>86</v>
      </c>
      <c r="C16" s="494"/>
      <c r="D16" s="494"/>
      <c r="E16" s="494"/>
      <c r="F16" s="494"/>
      <c r="G16" s="494"/>
      <c r="H16" s="494"/>
      <c r="I16" s="494"/>
      <c r="J16" s="495"/>
      <c r="K16" s="29"/>
      <c r="L16" s="21">
        <v>7</v>
      </c>
      <c r="M16" s="31"/>
      <c r="N16" s="23" t="s">
        <v>83</v>
      </c>
      <c r="O16" s="12"/>
      <c r="P16" s="12"/>
      <c r="Q16" s="14"/>
      <c r="R16" s="12"/>
      <c r="S16" s="12"/>
      <c r="T16" s="12"/>
      <c r="U16" s="12"/>
      <c r="V16" s="12"/>
      <c r="W16" s="12"/>
      <c r="X16" s="12"/>
      <c r="Y16" s="12"/>
      <c r="Z16" s="12"/>
      <c r="AA16" s="12"/>
      <c r="AB16" s="12"/>
    </row>
    <row r="17" spans="2:28">
      <c r="B17" s="384" t="s">
        <v>256</v>
      </c>
      <c r="C17" s="385"/>
      <c r="D17" s="385"/>
      <c r="E17" s="385"/>
      <c r="F17" s="385"/>
      <c r="G17" s="385"/>
      <c r="H17" s="385"/>
      <c r="I17" s="385"/>
      <c r="J17" s="386"/>
      <c r="K17" s="17"/>
      <c r="L17" s="21">
        <v>0.63</v>
      </c>
      <c r="M17" s="22"/>
      <c r="N17" s="23" t="s">
        <v>6</v>
      </c>
      <c r="O17" s="12"/>
      <c r="P17" s="12"/>
      <c r="Q17" s="14"/>
      <c r="R17" s="12"/>
      <c r="S17" s="12"/>
      <c r="T17" s="12"/>
      <c r="U17" s="12"/>
      <c r="V17" s="12"/>
      <c r="W17" s="12"/>
      <c r="X17" s="12"/>
      <c r="Y17" s="12"/>
      <c r="Z17" s="12"/>
      <c r="AA17" s="12"/>
      <c r="AB17" s="12"/>
    </row>
    <row r="18" spans="2:28">
      <c r="B18" s="384" t="str">
        <f>IF($N$9=Model_Chiller!$L$11,"Actual Secondary Pump Head (Design)","Actual Primary Pump Head (Design)")</f>
        <v>Actual Secondary Pump Head (Design)</v>
      </c>
      <c r="C18" s="385"/>
      <c r="D18" s="385"/>
      <c r="E18" s="385"/>
      <c r="F18" s="385"/>
      <c r="G18" s="385"/>
      <c r="H18" s="385"/>
      <c r="I18" s="385"/>
      <c r="J18" s="386"/>
      <c r="K18" s="17"/>
      <c r="L18" s="21">
        <v>80</v>
      </c>
      <c r="M18" s="22"/>
      <c r="N18" s="23" t="s">
        <v>2</v>
      </c>
      <c r="O18" s="12"/>
      <c r="P18" s="12"/>
      <c r="Q18" s="14"/>
      <c r="R18" s="12"/>
      <c r="S18" s="12"/>
      <c r="T18" s="12"/>
      <c r="U18" s="12"/>
      <c r="V18" s="12"/>
      <c r="W18" s="12"/>
      <c r="X18" s="12"/>
      <c r="Y18" s="12"/>
      <c r="Z18" s="12"/>
      <c r="AA18" s="12"/>
      <c r="AB18" s="12"/>
    </row>
    <row r="19" spans="2:28">
      <c r="B19" s="118" t="s">
        <v>208</v>
      </c>
      <c r="C19" s="119"/>
      <c r="D19" s="119"/>
      <c r="E19" s="119"/>
      <c r="F19" s="119"/>
      <c r="G19" s="119"/>
      <c r="H19" s="119"/>
      <c r="I19" s="119"/>
      <c r="J19" s="120"/>
      <c r="K19" s="17"/>
      <c r="L19" s="21">
        <v>80</v>
      </c>
      <c r="M19" s="22"/>
      <c r="N19" s="24" t="s">
        <v>3</v>
      </c>
      <c r="O19" s="12"/>
      <c r="P19" s="12"/>
      <c r="Q19" s="14"/>
      <c r="R19" s="12"/>
      <c r="S19" s="12"/>
      <c r="T19" s="12"/>
      <c r="U19" s="12"/>
      <c r="V19" s="12"/>
      <c r="W19" s="12"/>
      <c r="X19" s="12"/>
      <c r="Y19" s="12"/>
      <c r="Z19" s="12"/>
      <c r="AA19" s="12"/>
      <c r="AB19" s="12"/>
    </row>
    <row r="20" spans="2:28">
      <c r="B20" s="118" t="s">
        <v>134</v>
      </c>
      <c r="C20" s="119"/>
      <c r="D20" s="119"/>
      <c r="E20" s="119"/>
      <c r="F20" s="119"/>
      <c r="G20" s="119"/>
      <c r="H20" s="119"/>
      <c r="I20" s="119"/>
      <c r="J20" s="120"/>
      <c r="K20" s="17"/>
      <c r="L20" s="21">
        <v>12</v>
      </c>
      <c r="M20" s="22"/>
      <c r="N20" s="23" t="s">
        <v>4</v>
      </c>
      <c r="O20" s="12"/>
      <c r="P20" s="12"/>
      <c r="Q20" s="12"/>
      <c r="R20" s="12"/>
      <c r="S20" s="12"/>
      <c r="T20" s="12"/>
      <c r="U20" s="12"/>
      <c r="V20" s="12"/>
      <c r="W20" s="12"/>
      <c r="X20" s="12"/>
      <c r="Y20" s="12"/>
      <c r="Z20" s="12"/>
      <c r="AA20" s="12"/>
      <c r="AB20" s="12"/>
    </row>
    <row r="21" spans="2:28">
      <c r="B21" s="118" t="s">
        <v>89</v>
      </c>
      <c r="C21" s="119"/>
      <c r="D21" s="119"/>
      <c r="E21" s="119"/>
      <c r="F21" s="119"/>
      <c r="G21" s="119"/>
      <c r="H21" s="119"/>
      <c r="I21" s="119"/>
      <c r="J21" s="120"/>
      <c r="K21" s="17"/>
      <c r="L21" s="21">
        <v>8</v>
      </c>
      <c r="M21" s="22"/>
      <c r="N21" s="23" t="s">
        <v>4</v>
      </c>
      <c r="O21" s="12"/>
      <c r="P21" s="12"/>
      <c r="Q21" s="12"/>
      <c r="R21" s="12"/>
      <c r="S21" s="12"/>
      <c r="T21" s="12"/>
      <c r="U21" s="12"/>
      <c r="V21" s="12"/>
      <c r="W21" s="12"/>
      <c r="X21" s="12"/>
      <c r="Y21" s="12"/>
      <c r="Z21" s="12"/>
      <c r="AA21" s="12"/>
      <c r="AB21" s="12"/>
    </row>
    <row r="22" spans="2:28">
      <c r="B22" s="470" t="s">
        <v>90</v>
      </c>
      <c r="C22" s="471"/>
      <c r="D22" s="471"/>
      <c r="E22" s="471"/>
      <c r="F22" s="471"/>
      <c r="G22" s="471"/>
      <c r="H22" s="471"/>
      <c r="I22" s="471"/>
      <c r="J22" s="472"/>
      <c r="K22" s="25"/>
      <c r="L22" s="26">
        <v>14</v>
      </c>
      <c r="M22" s="22"/>
      <c r="N22" s="27" t="s">
        <v>4</v>
      </c>
      <c r="O22" s="15"/>
      <c r="P22" s="15"/>
      <c r="Q22" s="15"/>
      <c r="R22" s="15"/>
      <c r="S22" s="15"/>
      <c r="T22" s="15"/>
      <c r="U22" s="15"/>
      <c r="V22" s="15"/>
      <c r="W22" s="15"/>
      <c r="X22" s="15"/>
      <c r="Y22" s="15"/>
      <c r="Z22" s="15"/>
      <c r="AA22" s="15"/>
      <c r="AB22" s="12"/>
    </row>
    <row r="23" spans="2:28">
      <c r="B23" s="28"/>
      <c r="C23" s="28"/>
      <c r="D23" s="28"/>
      <c r="E23" s="28"/>
      <c r="F23" s="28"/>
      <c r="G23" s="28"/>
      <c r="H23" s="28"/>
      <c r="I23" s="28"/>
      <c r="J23" s="28"/>
      <c r="K23" s="28"/>
      <c r="L23" s="28"/>
      <c r="M23" s="28"/>
      <c r="N23" s="28"/>
      <c r="O23" s="12"/>
      <c r="P23" s="12"/>
      <c r="Q23" s="12"/>
      <c r="R23" s="12"/>
      <c r="S23" s="12"/>
      <c r="T23" s="12"/>
      <c r="U23" s="12"/>
      <c r="V23" s="12"/>
      <c r="W23" s="12"/>
      <c r="X23" s="12"/>
      <c r="Y23" s="12"/>
      <c r="Z23" s="12"/>
      <c r="AA23" s="12"/>
      <c r="AB23" s="12"/>
    </row>
    <row r="24" spans="2:28">
      <c r="B24" s="453" t="s">
        <v>60</v>
      </c>
      <c r="C24" s="454"/>
      <c r="D24" s="455" t="s">
        <v>191</v>
      </c>
      <c r="E24" s="456"/>
      <c r="F24" s="455" t="s">
        <v>192</v>
      </c>
      <c r="G24" s="456"/>
      <c r="H24" s="453" t="s">
        <v>26</v>
      </c>
      <c r="I24" s="454"/>
      <c r="J24" s="468" t="s">
        <v>172</v>
      </c>
      <c r="K24" s="469"/>
      <c r="L24" s="468" t="s">
        <v>173</v>
      </c>
      <c r="M24" s="469"/>
      <c r="N24" s="226" t="s">
        <v>8</v>
      </c>
      <c r="O24" s="12"/>
      <c r="P24" s="12"/>
      <c r="Q24" s="12"/>
      <c r="R24" s="12"/>
      <c r="S24" s="12"/>
      <c r="T24" s="12"/>
      <c r="U24" s="12"/>
      <c r="V24" s="12"/>
      <c r="W24" s="12"/>
      <c r="X24" s="12"/>
      <c r="Y24" s="12"/>
      <c r="Z24" s="12"/>
      <c r="AA24" s="12"/>
      <c r="AB24" s="12"/>
    </row>
    <row r="25" spans="2:28">
      <c r="B25" s="425">
        <f>ROUND(IF($L$21-2&lt;=0,$L$21,$L$21-($B$27-$B26)),0)</f>
        <v>6</v>
      </c>
      <c r="C25" s="426"/>
      <c r="D25" s="398">
        <f>+Model_Pump!I21</f>
        <v>2475</v>
      </c>
      <c r="E25" s="399"/>
      <c r="F25" s="400">
        <f>+Model_Chiller!J20</f>
        <v>618.75</v>
      </c>
      <c r="G25" s="401"/>
      <c r="H25" s="457">
        <f>Model_Pump!I19</f>
        <v>70362.260027403769</v>
      </c>
      <c r="I25" s="457"/>
      <c r="J25" s="395">
        <f>Model_Chiller!J19</f>
        <v>294653.75378768012</v>
      </c>
      <c r="K25" s="395"/>
      <c r="L25" s="395">
        <f t="shared" ref="L25:L30" si="0">J25+H25</f>
        <v>365016.01381508389</v>
      </c>
      <c r="M25" s="395"/>
      <c r="N25" s="32">
        <f t="shared" ref="N25:N30" si="1">L25/$L$12</f>
        <v>3041800.115125699</v>
      </c>
      <c r="O25" s="12"/>
      <c r="P25" s="12"/>
      <c r="Q25" s="12"/>
      <c r="R25" s="12"/>
      <c r="S25" s="12"/>
      <c r="T25" s="12"/>
      <c r="U25" s="12"/>
      <c r="V25" s="12"/>
      <c r="W25" s="12"/>
      <c r="X25" s="12"/>
      <c r="Y25" s="12"/>
      <c r="Z25" s="114"/>
      <c r="AA25" s="12"/>
      <c r="AB25" s="12"/>
    </row>
    <row r="26" spans="2:28">
      <c r="B26" s="458">
        <f>L21</f>
        <v>8</v>
      </c>
      <c r="C26" s="459"/>
      <c r="D26" s="396">
        <f>+Model_Pump!I28</f>
        <v>2006.25</v>
      </c>
      <c r="E26" s="397"/>
      <c r="F26" s="391">
        <f>+Model_Chiller!J28</f>
        <v>668.74999999999989</v>
      </c>
      <c r="G26" s="392"/>
      <c r="H26" s="390">
        <f>Model_Pump!I26</f>
        <v>41411.121786961594</v>
      </c>
      <c r="I26" s="390"/>
      <c r="J26" s="390">
        <f>Model_Chiller!J27</f>
        <v>249762.82562730843</v>
      </c>
      <c r="K26" s="390"/>
      <c r="L26" s="390">
        <f t="shared" si="0"/>
        <v>291173.94741427002</v>
      </c>
      <c r="M26" s="390"/>
      <c r="N26" s="33">
        <f t="shared" si="1"/>
        <v>2426449.5617855834</v>
      </c>
      <c r="O26" s="12"/>
      <c r="P26" s="12"/>
      <c r="Q26" s="12"/>
      <c r="R26" s="12"/>
      <c r="S26" s="12"/>
      <c r="T26" s="12"/>
      <c r="U26" s="12"/>
      <c r="V26" s="12"/>
      <c r="W26" s="12"/>
      <c r="X26" s="12"/>
      <c r="Y26" s="12"/>
      <c r="Z26" s="12"/>
      <c r="AA26" s="12"/>
      <c r="AB26" s="12"/>
    </row>
    <row r="27" spans="2:28">
      <c r="B27" s="421">
        <f>ROUND(QUOTIENT($L$22-$L$21,3)+B26,0)</f>
        <v>10</v>
      </c>
      <c r="C27" s="422"/>
      <c r="D27" s="409">
        <f>+Model_Pump!I35</f>
        <v>1736.2310601229376</v>
      </c>
      <c r="E27" s="410"/>
      <c r="F27" s="404">
        <f>+Model_Chiller!J36</f>
        <v>723.42960838455724</v>
      </c>
      <c r="G27" s="405"/>
      <c r="H27" s="408">
        <f>Model_Pump!I33</f>
        <v>27588.89872812909</v>
      </c>
      <c r="I27" s="408"/>
      <c r="J27" s="408">
        <f>Model_Chiller!J35</f>
        <v>240071.21156064115</v>
      </c>
      <c r="K27" s="408"/>
      <c r="L27" s="408">
        <f t="shared" si="0"/>
        <v>267660.11028877023</v>
      </c>
      <c r="M27" s="408"/>
      <c r="N27" s="34">
        <f t="shared" si="1"/>
        <v>2230500.9190730853</v>
      </c>
      <c r="O27" s="12"/>
      <c r="P27" s="12"/>
      <c r="Q27" s="12"/>
      <c r="R27" s="12"/>
      <c r="S27" s="12"/>
      <c r="T27" s="12"/>
      <c r="U27" s="12"/>
      <c r="V27" s="12"/>
      <c r="W27" s="12"/>
      <c r="X27" s="12"/>
      <c r="Y27" s="12"/>
      <c r="Z27" s="12"/>
      <c r="AA27" s="12"/>
      <c r="AB27" s="12"/>
    </row>
    <row r="28" spans="2:28">
      <c r="B28" s="419">
        <f>ROUND(QUOTIENT($L$22-$L$21,3)+B27,0)</f>
        <v>12</v>
      </c>
      <c r="C28" s="420"/>
      <c r="D28" s="464">
        <f>+Model_Pump!I42</f>
        <v>1533.7310601229376</v>
      </c>
      <c r="E28" s="465"/>
      <c r="F28" s="406">
        <f>+Model_Chiller!J44</f>
        <v>766.86553006146869</v>
      </c>
      <c r="G28" s="407"/>
      <c r="H28" s="423">
        <f>+Model_Pump!I40</f>
        <v>18763.189301448532</v>
      </c>
      <c r="I28" s="423"/>
      <c r="J28" s="423">
        <f>Model_Chiller!J43</f>
        <v>195381.15819521758</v>
      </c>
      <c r="K28" s="423"/>
      <c r="L28" s="423">
        <f t="shared" si="0"/>
        <v>214144.3474966661</v>
      </c>
      <c r="M28" s="423"/>
      <c r="N28" s="35">
        <f t="shared" si="1"/>
        <v>1784536.2291388842</v>
      </c>
      <c r="O28" s="12"/>
      <c r="P28" s="12"/>
      <c r="Q28" s="12"/>
      <c r="R28" s="12"/>
      <c r="S28" s="12"/>
      <c r="T28" s="12"/>
      <c r="U28" s="12"/>
      <c r="V28" s="12"/>
      <c r="W28" s="12"/>
      <c r="X28" s="12"/>
      <c r="Y28" s="12"/>
      <c r="Z28" s="12"/>
      <c r="AA28" s="12"/>
      <c r="AB28" s="12"/>
    </row>
    <row r="29" spans="2:28">
      <c r="B29" s="417">
        <f>ROUND(IF(L22&lt;=L20,L22,L20),0)</f>
        <v>12</v>
      </c>
      <c r="C29" s="418"/>
      <c r="D29" s="393">
        <f>+Model_Pump!I49</f>
        <v>1533.7310601229376</v>
      </c>
      <c r="E29" s="394"/>
      <c r="F29" s="402">
        <f>+Model_Chiller!J52</f>
        <v>766.86553006146869</v>
      </c>
      <c r="G29" s="403"/>
      <c r="H29" s="424">
        <f>+Model_Pump!I47</f>
        <v>18763.189301448532</v>
      </c>
      <c r="I29" s="424"/>
      <c r="J29" s="424">
        <f>Model_Chiller!J51</f>
        <v>195381.15819521758</v>
      </c>
      <c r="K29" s="424"/>
      <c r="L29" s="424">
        <f t="shared" si="0"/>
        <v>214144.3474966661</v>
      </c>
      <c r="M29" s="424"/>
      <c r="N29" s="36">
        <f t="shared" si="1"/>
        <v>1784536.2291388842</v>
      </c>
      <c r="O29" s="12"/>
      <c r="P29" s="12"/>
      <c r="Q29" s="12"/>
      <c r="R29" s="12"/>
      <c r="S29" s="12"/>
      <c r="T29" s="12"/>
      <c r="U29" s="12"/>
      <c r="V29" s="12"/>
      <c r="W29" s="12"/>
      <c r="X29" s="12"/>
      <c r="Y29" s="12"/>
      <c r="Z29" s="12"/>
      <c r="AA29" s="12"/>
      <c r="AB29" s="12"/>
    </row>
    <row r="30" spans="2:28">
      <c r="B30" s="466">
        <f>ROUND(IF(L20&gt;L22,L20,IF(L22&gt;L20,L22,L22+(B29-B28))),0)</f>
        <v>14</v>
      </c>
      <c r="C30" s="467"/>
      <c r="D30" s="462">
        <f>+Model_Pump!I56</f>
        <v>1367.6596315515089</v>
      </c>
      <c r="E30" s="463"/>
      <c r="F30" s="460">
        <f>+Model_Chiller!J60</f>
        <v>797.80145173838014</v>
      </c>
      <c r="G30" s="461"/>
      <c r="H30" s="452">
        <f>+Model_Pump!I54</f>
        <v>12396.756645448148</v>
      </c>
      <c r="I30" s="452"/>
      <c r="J30" s="452">
        <f>Model_Chiller!J59</f>
        <v>189420.46449740822</v>
      </c>
      <c r="K30" s="452"/>
      <c r="L30" s="452">
        <f t="shared" si="0"/>
        <v>201817.22114285638</v>
      </c>
      <c r="M30" s="452"/>
      <c r="N30" s="37">
        <f t="shared" si="1"/>
        <v>1681810.1761904699</v>
      </c>
      <c r="O30" s="12"/>
      <c r="P30" s="255"/>
      <c r="Q30" s="12"/>
      <c r="R30" s="12"/>
      <c r="S30" s="12"/>
      <c r="T30" s="12"/>
      <c r="U30" s="12"/>
      <c r="V30" s="12"/>
      <c r="W30" s="12"/>
      <c r="X30" s="12"/>
      <c r="Y30" s="12"/>
      <c r="Z30" s="12"/>
      <c r="AA30" s="12"/>
      <c r="AB30" s="12"/>
    </row>
    <row r="31" spans="2:28">
      <c r="B31" s="436" t="str">
        <f>CONCATENATE("Annual Energy Savings for 
changing Delta T from ",L21," to ",L22)</f>
        <v>Annual Energy Savings for 
changing Delta T from 8 to 14</v>
      </c>
      <c r="C31" s="437"/>
      <c r="D31" s="437"/>
      <c r="E31" s="437"/>
      <c r="F31" s="437"/>
      <c r="G31" s="438"/>
      <c r="H31" s="411">
        <f>+H32/H26</f>
        <v>0.7006418539149234</v>
      </c>
      <c r="I31" s="411"/>
      <c r="J31" s="411">
        <f>+J32/J26</f>
        <v>0.24159864855125393</v>
      </c>
      <c r="K31" s="411"/>
      <c r="L31" s="411">
        <f>+L32/L26</f>
        <v>0.30688434547435889</v>
      </c>
      <c r="M31" s="411"/>
      <c r="N31" s="38" t="s">
        <v>3</v>
      </c>
      <c r="O31" s="12"/>
      <c r="P31" s="255"/>
      <c r="Q31" s="12"/>
      <c r="R31" s="12"/>
      <c r="S31" s="12"/>
      <c r="T31" s="12"/>
      <c r="U31" s="12"/>
      <c r="V31" s="12"/>
      <c r="W31" s="12"/>
      <c r="X31" s="12"/>
      <c r="Y31" s="12"/>
      <c r="Z31" s="12"/>
      <c r="AA31" s="12"/>
      <c r="AB31" s="12"/>
    </row>
    <row r="32" spans="2:28">
      <c r="B32" s="439"/>
      <c r="C32" s="440"/>
      <c r="D32" s="440"/>
      <c r="E32" s="440"/>
      <c r="F32" s="440"/>
      <c r="G32" s="441"/>
      <c r="H32" s="412">
        <f>VLOOKUP($L$21,$B$25:$N$30,7)-VLOOKUP($L$22,$B$25:$N$30,7)</f>
        <v>29014.365141513445</v>
      </c>
      <c r="I32" s="413"/>
      <c r="J32" s="412">
        <f>VLOOKUP($L$21,$B$25:$N$30,9)-VLOOKUP($L$22,$B$25:$N$30,9)</f>
        <v>60342.361129900208</v>
      </c>
      <c r="K32" s="413"/>
      <c r="L32" s="412">
        <f>VLOOKUP($L$21,$B$25:$N$30,11)-VLOOKUP($L$22,$B$25:$N$30,11)</f>
        <v>89356.726271413645</v>
      </c>
      <c r="M32" s="413"/>
      <c r="N32" s="256">
        <f>N30-N26</f>
        <v>-744639.3855951135</v>
      </c>
      <c r="O32" s="12"/>
      <c r="P32" s="255"/>
      <c r="Q32" s="12"/>
      <c r="R32" s="12"/>
      <c r="S32" s="12"/>
      <c r="T32" s="12"/>
      <c r="U32" s="12"/>
      <c r="V32" s="12"/>
      <c r="W32" s="12"/>
      <c r="X32" s="12"/>
      <c r="Y32" s="12"/>
      <c r="Z32" s="12"/>
      <c r="AA32" s="12"/>
      <c r="AB32" s="12"/>
    </row>
    <row r="33" spans="2:28">
      <c r="B33" s="28"/>
      <c r="C33" s="28"/>
      <c r="D33" s="28"/>
      <c r="E33" s="28"/>
      <c r="F33" s="28"/>
      <c r="G33" s="28"/>
      <c r="H33" s="28"/>
      <c r="I33" s="28"/>
      <c r="J33" s="28"/>
      <c r="K33" s="28"/>
      <c r="L33" s="28"/>
      <c r="M33" s="28"/>
      <c r="N33" s="28"/>
      <c r="O33" s="12"/>
      <c r="P33" s="12"/>
      <c r="Q33" s="12"/>
      <c r="R33" s="12"/>
      <c r="S33" s="12"/>
      <c r="T33" s="12"/>
      <c r="U33" s="12"/>
      <c r="V33" s="12"/>
      <c r="W33" s="12"/>
      <c r="X33" s="12"/>
      <c r="Y33" s="12"/>
      <c r="Z33" s="12"/>
      <c r="AA33" s="12"/>
      <c r="AB33" s="12"/>
    </row>
    <row r="34" spans="2:28">
      <c r="B34" s="39"/>
      <c r="C34" s="15"/>
      <c r="D34" s="15"/>
      <c r="E34" s="15"/>
      <c r="F34" s="15"/>
      <c r="G34" s="15"/>
      <c r="H34" s="15"/>
      <c r="I34" s="15"/>
      <c r="J34" s="15"/>
      <c r="K34" s="15"/>
      <c r="L34" s="40" t="s">
        <v>9</v>
      </c>
      <c r="M34" s="40"/>
      <c r="N34" s="40" t="s">
        <v>10</v>
      </c>
      <c r="O34" s="15"/>
      <c r="P34" s="15"/>
      <c r="Q34" s="15"/>
      <c r="R34" s="15"/>
      <c r="S34" s="15"/>
      <c r="T34" s="15"/>
      <c r="U34" s="15"/>
      <c r="V34" s="15"/>
      <c r="W34" s="15"/>
      <c r="X34" s="15"/>
      <c r="Y34" s="15"/>
      <c r="Z34" s="15"/>
      <c r="AA34" s="15"/>
      <c r="AB34" s="15"/>
    </row>
    <row r="35" spans="2:28">
      <c r="B35" s="442" t="s">
        <v>185</v>
      </c>
      <c r="C35" s="443"/>
      <c r="D35" s="443"/>
      <c r="E35" s="443"/>
      <c r="F35" s="443"/>
      <c r="G35" s="443"/>
      <c r="H35" s="443"/>
      <c r="I35" s="443"/>
      <c r="J35" s="444"/>
      <c r="K35" s="29"/>
      <c r="L35" s="41">
        <v>170000</v>
      </c>
      <c r="M35" s="42"/>
      <c r="N35" s="20" t="s">
        <v>16</v>
      </c>
      <c r="O35" s="12"/>
      <c r="P35" s="12"/>
      <c r="Q35" s="12"/>
      <c r="R35" s="12"/>
      <c r="S35" s="12"/>
      <c r="T35" s="12"/>
      <c r="U35" s="12"/>
      <c r="V35" s="12"/>
      <c r="W35" s="12"/>
      <c r="X35" s="12"/>
      <c r="Y35" s="12"/>
      <c r="Z35" s="12"/>
      <c r="AA35" s="12"/>
      <c r="AB35" s="12"/>
    </row>
    <row r="36" spans="2:28">
      <c r="B36" s="445" t="s">
        <v>184</v>
      </c>
      <c r="C36" s="446"/>
      <c r="D36" s="446"/>
      <c r="E36" s="446"/>
      <c r="F36" s="446"/>
      <c r="G36" s="446"/>
      <c r="H36" s="446"/>
      <c r="I36" s="446"/>
      <c r="J36" s="447"/>
      <c r="K36" s="29"/>
      <c r="L36" s="43">
        <v>4</v>
      </c>
      <c r="M36" s="44"/>
      <c r="N36" s="23" t="s">
        <v>3</v>
      </c>
      <c r="O36" s="12"/>
      <c r="P36" s="12"/>
      <c r="Q36" s="12"/>
      <c r="R36" s="12"/>
      <c r="S36" s="12"/>
      <c r="T36" s="12"/>
      <c r="U36" s="12"/>
      <c r="V36" s="12"/>
      <c r="W36" s="12"/>
      <c r="X36" s="12"/>
      <c r="Y36" s="12"/>
      <c r="Z36" s="12"/>
      <c r="AA36" s="12"/>
      <c r="AB36" s="12"/>
    </row>
    <row r="37" spans="2:28">
      <c r="B37" s="448" t="s">
        <v>187</v>
      </c>
      <c r="C37" s="449"/>
      <c r="D37" s="449"/>
      <c r="E37" s="449"/>
      <c r="F37" s="449"/>
      <c r="G37" s="449"/>
      <c r="H37" s="449"/>
      <c r="I37" s="449"/>
      <c r="J37" s="450"/>
      <c r="K37" s="29"/>
      <c r="L37" s="45">
        <v>2</v>
      </c>
      <c r="M37" s="44"/>
      <c r="N37" s="27" t="s">
        <v>3</v>
      </c>
      <c r="O37" s="12"/>
      <c r="P37" s="12"/>
      <c r="Q37" s="12"/>
      <c r="R37" s="12"/>
      <c r="S37" s="12"/>
      <c r="T37" s="12"/>
      <c r="U37" s="12"/>
      <c r="V37" s="12"/>
      <c r="W37" s="12"/>
      <c r="X37" s="12"/>
      <c r="Y37" s="12"/>
      <c r="Z37" s="12"/>
      <c r="AA37" s="12"/>
      <c r="AB37" s="12"/>
    </row>
    <row r="38" spans="2:28">
      <c r="B38" s="28"/>
      <c r="C38" s="28"/>
      <c r="D38" s="28"/>
      <c r="E38" s="28"/>
      <c r="F38" s="28"/>
      <c r="G38" s="28"/>
      <c r="H38" s="28"/>
      <c r="I38" s="28"/>
      <c r="J38" s="28"/>
      <c r="K38" s="28"/>
      <c r="L38" s="28"/>
      <c r="M38" s="28"/>
      <c r="N38" s="28"/>
      <c r="O38" s="12"/>
      <c r="P38" s="12"/>
      <c r="Q38" s="12"/>
      <c r="R38" s="12"/>
      <c r="S38" s="12"/>
      <c r="T38" s="12"/>
      <c r="U38" s="12"/>
      <c r="V38" s="12"/>
      <c r="W38" s="12"/>
      <c r="X38" s="12"/>
      <c r="Y38" s="12"/>
      <c r="Z38" s="12"/>
      <c r="AA38" s="12"/>
      <c r="AB38" s="12"/>
    </row>
    <row r="39" spans="2:28">
      <c r="B39" s="414" t="s">
        <v>17</v>
      </c>
      <c r="C39" s="415"/>
      <c r="D39" s="415"/>
      <c r="E39" s="415"/>
      <c r="F39" s="416"/>
      <c r="G39" s="13"/>
      <c r="H39" s="110" t="s">
        <v>18</v>
      </c>
      <c r="I39" s="30"/>
      <c r="J39" s="112" t="s">
        <v>19</v>
      </c>
      <c r="K39" s="30"/>
      <c r="L39" s="46" t="s">
        <v>54</v>
      </c>
      <c r="M39" s="30"/>
      <c r="N39" s="47" t="s">
        <v>20</v>
      </c>
      <c r="O39" s="12"/>
      <c r="P39" s="12"/>
      <c r="Q39" s="12"/>
      <c r="R39" s="12"/>
      <c r="S39" s="12"/>
      <c r="T39" s="12"/>
      <c r="U39" s="12"/>
      <c r="V39" s="12"/>
      <c r="W39" s="12"/>
      <c r="X39" s="12"/>
      <c r="Y39" s="12"/>
      <c r="Z39" s="12"/>
      <c r="AA39" s="12"/>
      <c r="AB39" s="12"/>
    </row>
    <row r="40" spans="2:28">
      <c r="B40" s="414" t="s">
        <v>183</v>
      </c>
      <c r="C40" s="415"/>
      <c r="D40" s="415"/>
      <c r="E40" s="415"/>
      <c r="F40" s="416"/>
      <c r="G40" s="13"/>
      <c r="H40" s="228">
        <f>+Model_Financials!G45</f>
        <v>2.4317134700818359</v>
      </c>
      <c r="I40" s="48"/>
      <c r="J40" s="229">
        <f>+Model_Financials!L45</f>
        <v>4.6384300742210218</v>
      </c>
      <c r="K40" s="48"/>
      <c r="L40" s="230">
        <f>+Model_Financials!Q45</f>
        <v>6.6409678858899692</v>
      </c>
      <c r="M40" s="48"/>
      <c r="N40" s="231">
        <f>+Model_Financials!V45</f>
        <v>8.4582187642501143</v>
      </c>
      <c r="O40" s="12"/>
      <c r="P40" s="12"/>
      <c r="Q40" s="12"/>
      <c r="R40" s="12"/>
      <c r="S40" s="12"/>
      <c r="T40" s="12"/>
      <c r="U40" s="12"/>
      <c r="V40" s="12"/>
      <c r="W40" s="12"/>
      <c r="X40" s="12"/>
      <c r="Y40" s="12"/>
      <c r="Z40" s="12"/>
      <c r="AA40" s="12"/>
      <c r="AB40" s="12"/>
    </row>
    <row r="41" spans="2:28">
      <c r="B41" s="414" t="s">
        <v>21</v>
      </c>
      <c r="C41" s="415"/>
      <c r="D41" s="415"/>
      <c r="E41" s="415"/>
      <c r="F41" s="416"/>
      <c r="G41" s="13"/>
      <c r="H41" s="111">
        <f>+Model_Financials!$G$40</f>
        <v>243391.28991391213</v>
      </c>
      <c r="I41" s="49"/>
      <c r="J41" s="113">
        <f>+Model_Financials!$L$40</f>
        <v>618533.1126175737</v>
      </c>
      <c r="K41" s="49"/>
      <c r="L41" s="50">
        <f>+Model_Financials!$Q$40</f>
        <v>958964.54060129472</v>
      </c>
      <c r="M41" s="51"/>
      <c r="N41" s="52">
        <f>+Model_Financials!$V$40</f>
        <v>1267897.1899225195</v>
      </c>
      <c r="O41" s="12"/>
      <c r="P41" s="12"/>
      <c r="Q41" s="12"/>
      <c r="R41" s="12"/>
      <c r="S41" s="12"/>
      <c r="T41" s="12"/>
      <c r="U41" s="12"/>
      <c r="V41" s="12"/>
      <c r="W41" s="12"/>
      <c r="X41" s="12"/>
      <c r="Y41" s="12"/>
      <c r="Z41" s="12"/>
      <c r="AA41" s="12"/>
      <c r="AB41" s="12"/>
    </row>
    <row r="42" spans="2:28">
      <c r="B42" s="28"/>
      <c r="C42" s="28"/>
      <c r="D42" s="28"/>
      <c r="E42" s="28"/>
      <c r="F42" s="28"/>
      <c r="G42" s="28"/>
      <c r="H42" s="28"/>
      <c r="I42" s="28"/>
      <c r="J42" s="28"/>
      <c r="K42" s="28"/>
      <c r="L42" s="28"/>
      <c r="M42" s="28"/>
      <c r="N42" s="28"/>
      <c r="O42" s="12"/>
      <c r="P42" s="12"/>
      <c r="Q42" s="12"/>
      <c r="R42" s="12"/>
      <c r="S42" s="12"/>
      <c r="T42" s="12"/>
      <c r="U42" s="12"/>
      <c r="V42" s="12"/>
      <c r="W42" s="12"/>
      <c r="X42" s="12"/>
      <c r="Y42" s="12"/>
      <c r="Z42" s="12"/>
      <c r="AA42" s="12"/>
      <c r="AB42" s="12"/>
    </row>
    <row r="43" spans="2:28">
      <c r="B43" s="451"/>
      <c r="C43" s="451"/>
      <c r="D43" s="451"/>
      <c r="E43" s="451"/>
      <c r="F43" s="451"/>
      <c r="G43" s="451"/>
      <c r="H43" s="451"/>
      <c r="I43" s="451"/>
      <c r="J43" s="451"/>
      <c r="K43" s="17"/>
      <c r="L43" s="40" t="s">
        <v>9</v>
      </c>
      <c r="M43" s="40"/>
      <c r="N43" s="40" t="s">
        <v>10</v>
      </c>
      <c r="O43" s="15"/>
      <c r="P43" s="15"/>
      <c r="Q43" s="15"/>
      <c r="R43" s="15"/>
      <c r="S43" s="15"/>
      <c r="T43" s="15"/>
      <c r="U43" s="15"/>
      <c r="V43" s="15"/>
      <c r="W43" s="15"/>
      <c r="X43" s="15"/>
      <c r="Y43" s="15"/>
      <c r="Z43" s="15"/>
      <c r="AA43" s="15"/>
      <c r="AB43" s="15"/>
    </row>
    <row r="44" spans="2:28">
      <c r="B44" s="442" t="s">
        <v>177</v>
      </c>
      <c r="C44" s="443"/>
      <c r="D44" s="443"/>
      <c r="E44" s="443"/>
      <c r="F44" s="443"/>
      <c r="G44" s="443"/>
      <c r="H44" s="443"/>
      <c r="I44" s="443"/>
      <c r="J44" s="444"/>
      <c r="K44" s="53"/>
      <c r="L44" s="260">
        <f>L32*1.555</f>
        <v>138949.7093520482</v>
      </c>
      <c r="M44" s="54"/>
      <c r="N44" s="20" t="s">
        <v>40</v>
      </c>
      <c r="O44" s="12"/>
      <c r="P44" s="12"/>
      <c r="Q44" s="12"/>
      <c r="R44" s="12"/>
      <c r="S44" s="12"/>
      <c r="T44" s="12"/>
      <c r="U44" s="12"/>
      <c r="V44" s="12"/>
      <c r="W44" s="12"/>
      <c r="X44" s="12"/>
      <c r="Y44" s="12"/>
      <c r="Z44" s="12"/>
      <c r="AA44" s="12"/>
      <c r="AB44" s="12"/>
    </row>
    <row r="45" spans="2:28">
      <c r="B45" s="445" t="s">
        <v>228</v>
      </c>
      <c r="C45" s="446"/>
      <c r="D45" s="446"/>
      <c r="E45" s="446"/>
      <c r="F45" s="446"/>
      <c r="G45" s="446"/>
      <c r="H45" s="446"/>
      <c r="I45" s="446"/>
      <c r="J45" s="447"/>
      <c r="K45" s="53"/>
      <c r="L45" s="258">
        <f>L44*0.00045359237/0.039</f>
        <v>1616.0648198924796</v>
      </c>
      <c r="M45" s="55"/>
      <c r="N45" s="23" t="s">
        <v>223</v>
      </c>
      <c r="O45" s="12"/>
      <c r="P45" s="12"/>
      <c r="Q45" s="12"/>
      <c r="R45" s="12"/>
      <c r="S45" s="12"/>
      <c r="T45" s="12"/>
      <c r="U45" s="12"/>
      <c r="V45" s="12"/>
      <c r="W45" s="12"/>
      <c r="X45" s="12"/>
      <c r="Y45" s="12"/>
      <c r="Z45" s="12"/>
      <c r="AA45" s="12"/>
      <c r="AB45" s="12"/>
    </row>
    <row r="46" spans="2:28">
      <c r="B46" s="448" t="s">
        <v>178</v>
      </c>
      <c r="C46" s="449"/>
      <c r="D46" s="449"/>
      <c r="E46" s="449"/>
      <c r="F46" s="449"/>
      <c r="G46" s="449"/>
      <c r="H46" s="449"/>
      <c r="I46" s="449"/>
      <c r="J46" s="450"/>
      <c r="K46" s="53"/>
      <c r="L46" s="259">
        <f>L32*(0.097/1000)</f>
        <v>8.6676024483271235</v>
      </c>
      <c r="M46" s="55"/>
      <c r="N46" s="27" t="s">
        <v>41</v>
      </c>
      <c r="O46" s="12"/>
      <c r="P46" s="12"/>
      <c r="Q46" s="12"/>
      <c r="R46" s="12"/>
      <c r="S46" s="12"/>
      <c r="T46" s="12"/>
      <c r="U46" s="12"/>
      <c r="V46" s="12"/>
      <c r="W46" s="12"/>
      <c r="X46" s="12"/>
      <c r="Y46" s="12"/>
      <c r="Z46" s="12"/>
      <c r="AA46" s="12"/>
      <c r="AB46" s="12"/>
    </row>
    <row r="47" spans="2:28">
      <c r="B47" s="28"/>
      <c r="C47" s="28"/>
      <c r="D47" s="28"/>
      <c r="E47" s="28"/>
      <c r="F47" s="28"/>
      <c r="G47" s="28"/>
      <c r="H47" s="28"/>
      <c r="I47" s="28"/>
      <c r="J47" s="28"/>
      <c r="K47" s="28"/>
      <c r="L47" s="28"/>
      <c r="M47" s="28"/>
      <c r="N47" s="28"/>
      <c r="O47" s="12"/>
      <c r="P47" s="12"/>
      <c r="Q47" s="12"/>
      <c r="R47" s="12"/>
      <c r="S47" s="12"/>
      <c r="T47" s="12"/>
      <c r="U47" s="12"/>
      <c r="V47" s="12"/>
      <c r="W47" s="12"/>
      <c r="X47" s="12"/>
      <c r="Y47" s="12"/>
      <c r="Z47" s="12"/>
      <c r="AA47" s="12"/>
      <c r="AB47" s="12"/>
    </row>
    <row r="48" spans="2:28">
      <c r="B48" s="427" t="s">
        <v>251</v>
      </c>
      <c r="C48" s="428"/>
      <c r="D48" s="428"/>
      <c r="E48" s="428"/>
      <c r="F48" s="428"/>
      <c r="G48" s="428"/>
      <c r="H48" s="428"/>
      <c r="I48" s="428"/>
      <c r="J48" s="428"/>
      <c r="K48" s="428"/>
      <c r="L48" s="428"/>
      <c r="M48" s="428"/>
      <c r="N48" s="429"/>
      <c r="O48" s="12"/>
      <c r="P48" s="12"/>
      <c r="Q48" s="12"/>
      <c r="R48" s="12"/>
      <c r="S48" s="12"/>
      <c r="T48" s="12"/>
      <c r="U48" s="12"/>
      <c r="V48" s="12"/>
      <c r="W48" s="12"/>
      <c r="X48" s="12"/>
      <c r="Y48" s="12"/>
      <c r="Z48" s="12"/>
      <c r="AA48" s="12"/>
      <c r="AB48" s="12"/>
    </row>
    <row r="49" spans="2:28">
      <c r="B49" s="430"/>
      <c r="C49" s="431"/>
      <c r="D49" s="431"/>
      <c r="E49" s="431"/>
      <c r="F49" s="431"/>
      <c r="G49" s="431"/>
      <c r="H49" s="431"/>
      <c r="I49" s="431"/>
      <c r="J49" s="431"/>
      <c r="K49" s="431"/>
      <c r="L49" s="431"/>
      <c r="M49" s="431"/>
      <c r="N49" s="432"/>
      <c r="O49" s="12"/>
      <c r="P49" s="12"/>
      <c r="Q49" s="12"/>
      <c r="R49" s="12"/>
      <c r="S49" s="12"/>
      <c r="T49" s="12"/>
      <c r="U49" s="12"/>
      <c r="V49" s="12"/>
      <c r="W49" s="12"/>
      <c r="X49" s="12"/>
      <c r="Y49" s="12"/>
      <c r="Z49" s="12"/>
      <c r="AA49" s="12"/>
      <c r="AB49" s="12"/>
    </row>
    <row r="50" spans="2:28">
      <c r="B50" s="430"/>
      <c r="C50" s="431"/>
      <c r="D50" s="431"/>
      <c r="E50" s="431"/>
      <c r="F50" s="431"/>
      <c r="G50" s="431"/>
      <c r="H50" s="431"/>
      <c r="I50" s="431"/>
      <c r="J50" s="431"/>
      <c r="K50" s="431"/>
      <c r="L50" s="431"/>
      <c r="M50" s="431"/>
      <c r="N50" s="432"/>
      <c r="O50" s="12"/>
      <c r="P50" s="12"/>
      <c r="Q50" s="12"/>
      <c r="R50" s="12"/>
      <c r="S50" s="12"/>
      <c r="T50" s="12"/>
      <c r="U50" s="12"/>
      <c r="V50" s="12"/>
      <c r="W50" s="12"/>
      <c r="X50" s="12"/>
      <c r="Y50" s="12"/>
      <c r="Z50" s="12"/>
      <c r="AA50" s="12"/>
      <c r="AB50" s="12"/>
    </row>
    <row r="51" spans="2:28">
      <c r="B51" s="433"/>
      <c r="C51" s="434"/>
      <c r="D51" s="434"/>
      <c r="E51" s="434"/>
      <c r="F51" s="434"/>
      <c r="G51" s="434"/>
      <c r="H51" s="434"/>
      <c r="I51" s="434"/>
      <c r="J51" s="434"/>
      <c r="K51" s="434"/>
      <c r="L51" s="434"/>
      <c r="M51" s="434"/>
      <c r="N51" s="435"/>
      <c r="O51" s="12"/>
      <c r="P51" s="12"/>
      <c r="Q51" s="12"/>
      <c r="R51" s="12"/>
      <c r="S51" s="12"/>
      <c r="T51" s="12"/>
      <c r="U51" s="12"/>
      <c r="V51" s="12"/>
      <c r="W51" s="12"/>
      <c r="X51" s="12"/>
      <c r="Y51" s="12"/>
      <c r="Z51" s="12"/>
      <c r="AA51" s="12"/>
      <c r="AB51" s="12"/>
    </row>
    <row r="52" spans="2:28">
      <c r="B52" s="227" t="s">
        <v>1043</v>
      </c>
      <c r="C52" s="12"/>
      <c r="D52" s="12"/>
      <c r="E52" s="12"/>
      <c r="F52" s="12"/>
      <c r="G52" s="12"/>
      <c r="H52" s="12"/>
      <c r="I52" s="15"/>
      <c r="J52" s="12"/>
      <c r="K52" s="12"/>
      <c r="L52" s="12"/>
      <c r="M52" s="12"/>
      <c r="N52" s="12"/>
      <c r="O52" s="12"/>
      <c r="P52" s="12"/>
      <c r="Q52" s="12"/>
      <c r="R52" s="12"/>
      <c r="S52" s="12"/>
      <c r="T52" s="12"/>
      <c r="U52" s="12"/>
      <c r="V52" s="12"/>
      <c r="W52" s="12"/>
      <c r="X52" s="12"/>
      <c r="Y52" s="12"/>
      <c r="Z52" s="12"/>
      <c r="AA52" s="12"/>
      <c r="AB52" s="12"/>
    </row>
    <row r="53" spans="2:28">
      <c r="B53" s="59"/>
      <c r="C53" s="59"/>
      <c r="D53" s="12"/>
      <c r="E53" s="12"/>
      <c r="F53" s="12"/>
      <c r="G53" s="12"/>
      <c r="H53" s="12"/>
      <c r="I53" s="12"/>
      <c r="J53" s="12"/>
      <c r="K53" s="12"/>
      <c r="L53" s="12"/>
      <c r="M53" s="12"/>
      <c r="N53" s="12"/>
      <c r="O53" s="12"/>
      <c r="P53" s="12"/>
      <c r="Q53" s="12"/>
      <c r="R53" s="12"/>
      <c r="S53" s="12"/>
      <c r="T53" s="12"/>
      <c r="U53" s="12"/>
      <c r="V53" s="12"/>
      <c r="W53" s="12"/>
      <c r="X53" s="12"/>
      <c r="Y53" s="12"/>
      <c r="Z53" s="12"/>
      <c r="AA53" s="12"/>
      <c r="AB53" s="12"/>
    </row>
    <row r="54" spans="2:28">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row>
    <row r="55" spans="2:28">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row>
    <row r="56" spans="2:28">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row>
    <row r="57" spans="2:28">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row>
    <row r="58" spans="2:28">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row>
    <row r="59" spans="2:28">
      <c r="B59" s="60"/>
      <c r="C59" s="60"/>
      <c r="D59" s="12"/>
      <c r="E59" s="12"/>
      <c r="F59" s="12"/>
      <c r="G59" s="12"/>
      <c r="H59" s="12"/>
      <c r="I59" s="12"/>
      <c r="J59" s="12"/>
      <c r="K59" s="12"/>
      <c r="L59" s="12"/>
      <c r="M59" s="12"/>
      <c r="N59" s="12"/>
      <c r="O59" s="12"/>
      <c r="P59" s="12"/>
      <c r="Q59" s="12"/>
      <c r="R59" s="12"/>
      <c r="S59" s="12"/>
      <c r="T59" s="12"/>
      <c r="U59" s="12"/>
      <c r="V59" s="12"/>
      <c r="W59" s="12"/>
      <c r="X59" s="12"/>
      <c r="Y59" s="12"/>
      <c r="Z59" s="12"/>
      <c r="AA59" s="12"/>
      <c r="AB59" s="12"/>
    </row>
  </sheetData>
  <mergeCells count="75">
    <mergeCell ref="B16:J16"/>
    <mergeCell ref="B7:D7"/>
    <mergeCell ref="F7:N7"/>
    <mergeCell ref="B8:D8"/>
    <mergeCell ref="F8:N8"/>
    <mergeCell ref="B9:D9"/>
    <mergeCell ref="B10:N10"/>
    <mergeCell ref="B11:J11"/>
    <mergeCell ref="B12:J12"/>
    <mergeCell ref="B13:J13"/>
    <mergeCell ref="B14:J14"/>
    <mergeCell ref="B15:J15"/>
    <mergeCell ref="B17:J17"/>
    <mergeCell ref="B18:J18"/>
    <mergeCell ref="B22:J22"/>
    <mergeCell ref="B24:C24"/>
    <mergeCell ref="D24:E24"/>
    <mergeCell ref="F24:G24"/>
    <mergeCell ref="H24:I24"/>
    <mergeCell ref="J24:K24"/>
    <mergeCell ref="L26:M26"/>
    <mergeCell ref="L24:M24"/>
    <mergeCell ref="B25:C25"/>
    <mergeCell ref="D25:E25"/>
    <mergeCell ref="F25:G25"/>
    <mergeCell ref="H25:I25"/>
    <mergeCell ref="J25:K25"/>
    <mergeCell ref="L25:M25"/>
    <mergeCell ref="B26:C26"/>
    <mergeCell ref="D26:E26"/>
    <mergeCell ref="F26:G26"/>
    <mergeCell ref="H26:I26"/>
    <mergeCell ref="J26:K26"/>
    <mergeCell ref="L28:M28"/>
    <mergeCell ref="B27:C27"/>
    <mergeCell ref="D27:E27"/>
    <mergeCell ref="F27:G27"/>
    <mergeCell ref="H27:I27"/>
    <mergeCell ref="J27:K27"/>
    <mergeCell ref="L27:M27"/>
    <mergeCell ref="B28:C28"/>
    <mergeCell ref="D28:E28"/>
    <mergeCell ref="F28:G28"/>
    <mergeCell ref="H28:I28"/>
    <mergeCell ref="J28:K28"/>
    <mergeCell ref="L30:M30"/>
    <mergeCell ref="B29:C29"/>
    <mergeCell ref="D29:E29"/>
    <mergeCell ref="F29:G29"/>
    <mergeCell ref="H29:I29"/>
    <mergeCell ref="J29:K29"/>
    <mergeCell ref="L29:M29"/>
    <mergeCell ref="B30:C30"/>
    <mergeCell ref="D30:E30"/>
    <mergeCell ref="F30:G30"/>
    <mergeCell ref="H30:I30"/>
    <mergeCell ref="J30:K30"/>
    <mergeCell ref="B41:F41"/>
    <mergeCell ref="B31:G32"/>
    <mergeCell ref="H31:I31"/>
    <mergeCell ref="J31:K31"/>
    <mergeCell ref="L31:M31"/>
    <mergeCell ref="H32:I32"/>
    <mergeCell ref="J32:K32"/>
    <mergeCell ref="L32:M32"/>
    <mergeCell ref="B35:J35"/>
    <mergeCell ref="B36:J36"/>
    <mergeCell ref="B37:J37"/>
    <mergeCell ref="B39:F39"/>
    <mergeCell ref="B40:F40"/>
    <mergeCell ref="B43:J43"/>
    <mergeCell ref="B44:J44"/>
    <mergeCell ref="B45:J45"/>
    <mergeCell ref="B46:J46"/>
    <mergeCell ref="B48:N51"/>
  </mergeCells>
  <dataValidations count="12">
    <dataValidation type="list" allowBlank="1" showInputMessage="1" showErrorMessage="1" sqref="Q7" xr:uid="{9D1FCEC0-1084-4481-B4E7-B519DB4C2F8E}">
      <formula1>"US,Metric"</formula1>
    </dataValidation>
    <dataValidation type="list" allowBlank="1" showInputMessage="1" showErrorMessage="1" sqref="Q5" xr:uid="{7DA517CF-2284-4E41-86CA-EB068C85CF64}">
      <formula1>"EN,ES,PT,FR"</formula1>
    </dataValidation>
    <dataValidation type="decimal" operator="lessThan" allowBlank="1" showInputMessage="1" showErrorMessage="1" errorTitle="Invalid Entry" error="Value must be less than Future Delta T by at least 3 degrees." promptTitle="IPLV" sqref="L21" xr:uid="{FB35005E-A3FC-4981-A026-DB8C41464A52}">
      <formula1>L22-2</formula1>
    </dataValidation>
    <dataValidation type="decimal" operator="greaterThan" allowBlank="1" showInputMessage="1" showErrorMessage="1" errorTitle="Invalid Entry" error="Value must be greater than Actual Delta T by at least 3 degrees." promptTitle="IPLV" sqref="L22" xr:uid="{221A08D8-5F6E-4F68-9A64-3DCC1DFE7DE9}">
      <formula1>L21+2</formula1>
    </dataValidation>
    <dataValidation type="decimal" allowBlank="1" showInputMessage="1" showErrorMessage="1" errorTitle="Invalid Entry" error="Value must be greater than 0.01 and less than or equal to 99." sqref="L36:L37" xr:uid="{9D74992C-F266-48BC-A3BD-46BEBA910E29}">
      <formula1>0.01</formula1>
      <formula2>99</formula2>
    </dataValidation>
    <dataValidation type="decimal" allowBlank="1" showInputMessage="1" showErrorMessage="1" errorTitle="Invalid Entry" error="Value must be greater than 1 and less than 99." promptTitle="IPLV" sqref="L19" xr:uid="{26CC5F55-2E30-4893-83FE-29B3088EA084}">
      <formula1>1</formula1>
      <formula2>99</formula2>
    </dataValidation>
    <dataValidation type="decimal" allowBlank="1" showInputMessage="1" showErrorMessage="1" errorTitle="Invalid Entry" error="Value must be greater than 0.1 and less than 0.8." promptTitle="IPLV" sqref="L17" xr:uid="{852866F9-58C0-4F4B-BCC1-399BA4B81DF3}">
      <formula1>0.1</formula1>
      <formula2>0.8</formula2>
    </dataValidation>
    <dataValidation type="decimal" allowBlank="1" showInputMessage="1" showErrorMessage="1" errorTitle="Invalid Entry" error="Value must be greater than 2 and less than 40." promptTitle="IPLV" sqref="L20" xr:uid="{65834F88-B339-4532-A49D-0328476A6B9B}">
      <formula1>2</formula1>
      <formula2>40</formula2>
    </dataValidation>
    <dataValidation type="decimal" allowBlank="1" showInputMessage="1" showErrorMessage="1" errorTitle="Invalid Entry" error="Value must be greater than 0 and less than or equal to 7." promptTitle="IPLV" sqref="L16" xr:uid="{F93C43D3-BE93-4EF9-8D93-F5BB28C7E958}">
      <formula1>0</formula1>
      <formula2>7</formula2>
    </dataValidation>
    <dataValidation type="decimal" allowBlank="1" showInputMessage="1" showErrorMessage="1" errorTitle="Invalid Entry" error="Value must be greater than 0 and less than or equal to 24." promptTitle="IPLV" sqref="L15" xr:uid="{7FFB6F4A-9033-44D4-8F43-B6D6F39C9407}">
      <formula1>0</formula1>
      <formula2>24</formula2>
    </dataValidation>
    <dataValidation type="decimal" operator="greaterThan" allowBlank="1" showInputMessage="1" showErrorMessage="1" errorTitle="Invalid Entry" error="Value must be greater than 0." promptTitle="IPLV" sqref="L12:L14 L18" xr:uid="{3FDEC2F1-C7AC-44D0-914A-2C8A821DA582}">
      <formula1>0</formula1>
    </dataValidation>
    <dataValidation type="decimal" allowBlank="1" showInputMessage="1" showErrorMessage="1" promptTitle="IPLV" sqref="M17" xr:uid="{A25C7261-BFBC-4A0A-A9FA-2406B791255D}">
      <formula1>0.4</formula1>
      <formula2>1.4</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189E5B0-56E7-4EDD-95CD-FE308506D4E5}">
          <x14:formula1>
            <xm:f>Chiller!$L$11:$L$12</xm:f>
          </x14:formula1>
          <xm:sqref>N9</xm:sqref>
        </x14:dataValidation>
        <x14:dataValidation type="list" allowBlank="1" showInputMessage="1" showErrorMessage="1" xr:uid="{5F14857F-67E2-4B25-8FD3-1BC95200F842}">
          <x14:formula1>
            <xm:f>Chiller!$M$11:$M$12</xm:f>
          </x14:formula1>
          <xm:sqref>J9</xm:sqref>
        </x14:dataValidation>
        <x14:dataValidation type="list" allowBlank="1" showInputMessage="1" showErrorMessage="1" xr:uid="{74C272CA-0A61-49F6-B138-63EA50F8CE5B}">
          <x14:formula1>
            <xm:f>Energy!$B$21:$B$32</xm:f>
          </x14:formula1>
          <xm:sqref>M9 F9 K9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CA415-11C2-4786-8229-682A6911E4BC}">
  <sheetPr codeName="Sheet10"/>
  <dimension ref="B1:L34"/>
  <sheetViews>
    <sheetView workbookViewId="0"/>
  </sheetViews>
  <sheetFormatPr defaultRowHeight="14.4"/>
  <sheetData>
    <row r="1" spans="2:12">
      <c r="B1" s="9"/>
      <c r="C1" s="9"/>
      <c r="D1" s="9"/>
      <c r="E1" s="9"/>
      <c r="F1" s="9"/>
      <c r="G1" s="9"/>
      <c r="H1" s="9"/>
      <c r="I1" s="9"/>
      <c r="J1" s="9"/>
      <c r="K1" s="9"/>
      <c r="L1" s="9"/>
    </row>
    <row r="2" spans="2:12">
      <c r="B2" s="9"/>
      <c r="C2" s="9"/>
      <c r="D2" s="9"/>
      <c r="E2" s="9"/>
      <c r="F2" s="9"/>
      <c r="G2" s="9"/>
      <c r="H2" s="9"/>
      <c r="I2" s="9"/>
      <c r="J2" s="9"/>
      <c r="K2" s="9"/>
      <c r="L2" s="9"/>
    </row>
    <row r="3" spans="2:12" ht="15" thickBot="1">
      <c r="B3" s="10"/>
      <c r="C3" s="10"/>
      <c r="D3" s="10"/>
      <c r="E3" s="10"/>
      <c r="F3" s="10"/>
      <c r="G3" s="10"/>
      <c r="H3" s="10"/>
      <c r="I3" s="10"/>
      <c r="J3" s="10"/>
      <c r="K3" s="10"/>
      <c r="L3" s="10"/>
    </row>
    <row r="4" spans="2:12">
      <c r="B4" s="11"/>
      <c r="C4" s="11"/>
      <c r="D4" s="11"/>
      <c r="E4" s="11"/>
      <c r="F4" s="11"/>
      <c r="G4" s="11"/>
      <c r="H4" s="11"/>
      <c r="I4" s="11"/>
      <c r="J4" s="11"/>
      <c r="K4" s="11"/>
      <c r="L4" s="11"/>
    </row>
    <row r="5" spans="2:12">
      <c r="B5" s="61" t="s">
        <v>85</v>
      </c>
      <c r="C5" s="62"/>
      <c r="D5" s="62">
        <f>Model_Home!L15</f>
        <v>24</v>
      </c>
      <c r="E5" s="62" t="s">
        <v>82</v>
      </c>
      <c r="F5" s="11"/>
      <c r="G5" s="63" t="s">
        <v>93</v>
      </c>
      <c r="H5" s="11"/>
      <c r="I5" s="11"/>
      <c r="J5" s="11"/>
      <c r="K5" s="11"/>
      <c r="L5" s="11"/>
    </row>
    <row r="6" spans="2:12">
      <c r="B6" s="61" t="s">
        <v>86</v>
      </c>
      <c r="C6" s="62"/>
      <c r="D6" s="62">
        <f>Model_Home!L16</f>
        <v>7</v>
      </c>
      <c r="E6" s="64" t="s">
        <v>83</v>
      </c>
      <c r="F6" s="11"/>
      <c r="G6" s="65" t="s">
        <v>84</v>
      </c>
      <c r="H6" s="11"/>
      <c r="I6" s="11"/>
      <c r="J6" s="11"/>
      <c r="K6" s="11"/>
      <c r="L6" s="11"/>
    </row>
    <row r="7" spans="2:12">
      <c r="B7" s="88" t="s">
        <v>27</v>
      </c>
      <c r="C7" s="62"/>
      <c r="D7" s="62">
        <f>(D5*D6)/7*365*G34</f>
        <v>14955.145478374836</v>
      </c>
      <c r="E7" s="62" t="s">
        <v>82</v>
      </c>
      <c r="F7" s="11"/>
      <c r="G7" s="11"/>
      <c r="H7" s="11"/>
      <c r="I7" s="11"/>
      <c r="J7" s="11"/>
      <c r="K7" s="11"/>
      <c r="L7" s="11"/>
    </row>
    <row r="8" spans="2:12">
      <c r="B8" s="66"/>
      <c r="C8" s="11"/>
      <c r="D8" s="11"/>
      <c r="E8" s="11"/>
      <c r="F8" s="11"/>
      <c r="G8" s="11"/>
      <c r="H8" s="11"/>
      <c r="I8" s="11"/>
      <c r="J8" s="11"/>
      <c r="K8" s="11"/>
      <c r="L8" s="11"/>
    </row>
    <row r="9" spans="2:12">
      <c r="B9" s="77" t="s">
        <v>38</v>
      </c>
      <c r="C9" s="77" t="s">
        <v>28</v>
      </c>
      <c r="D9" s="77" t="s">
        <v>37</v>
      </c>
      <c r="E9" s="77" t="s">
        <v>262</v>
      </c>
      <c r="F9" s="77" t="s">
        <v>39</v>
      </c>
      <c r="G9" s="75"/>
      <c r="H9" s="75"/>
      <c r="I9" s="75"/>
      <c r="J9" s="75"/>
      <c r="K9" s="75"/>
      <c r="L9" s="75"/>
    </row>
    <row r="10" spans="2:12">
      <c r="B10" s="62" t="s">
        <v>33</v>
      </c>
      <c r="C10" s="62" t="s">
        <v>29</v>
      </c>
      <c r="D10" s="67">
        <v>1</v>
      </c>
      <c r="E10" s="268">
        <v>0.05</v>
      </c>
      <c r="F10" s="62">
        <f>$D$7*E10</f>
        <v>747.75727391874182</v>
      </c>
      <c r="G10" s="11"/>
      <c r="H10" s="11"/>
      <c r="I10" s="11"/>
      <c r="J10" s="11"/>
      <c r="K10" s="11"/>
      <c r="L10" s="11"/>
    </row>
    <row r="11" spans="2:12">
      <c r="B11" s="62" t="s">
        <v>34</v>
      </c>
      <c r="C11" s="62" t="s">
        <v>30</v>
      </c>
      <c r="D11" s="67">
        <v>0.75</v>
      </c>
      <c r="E11" s="268">
        <v>0.15</v>
      </c>
      <c r="F11" s="62">
        <f>$D$7*E11</f>
        <v>2243.2718217562251</v>
      </c>
      <c r="G11" s="11"/>
      <c r="H11" s="11"/>
      <c r="I11" s="11"/>
      <c r="J11" s="11"/>
      <c r="K11" s="11"/>
      <c r="L11" s="11"/>
    </row>
    <row r="12" spans="2:12">
      <c r="B12" s="62" t="s">
        <v>35</v>
      </c>
      <c r="C12" s="62" t="s">
        <v>31</v>
      </c>
      <c r="D12" s="67">
        <v>0.5</v>
      </c>
      <c r="E12" s="268">
        <v>0.45</v>
      </c>
      <c r="F12" s="62">
        <f>$D$7*E12</f>
        <v>6729.8154652686762</v>
      </c>
      <c r="G12" s="11"/>
      <c r="H12" s="11"/>
      <c r="I12" s="11"/>
      <c r="J12" s="11"/>
      <c r="K12" s="11"/>
      <c r="L12" s="11"/>
    </row>
    <row r="13" spans="2:12" ht="15" thickBot="1">
      <c r="B13" s="62" t="s">
        <v>36</v>
      </c>
      <c r="C13" s="62" t="s">
        <v>32</v>
      </c>
      <c r="D13" s="67">
        <v>0.25</v>
      </c>
      <c r="E13" s="269">
        <f>1-SUM(E10:E12)</f>
        <v>0.35</v>
      </c>
      <c r="F13" s="62">
        <f>$D$7*E13</f>
        <v>5234.3009174311919</v>
      </c>
      <c r="G13" s="11"/>
      <c r="H13" s="11"/>
      <c r="I13" s="11"/>
      <c r="J13" s="11"/>
      <c r="K13" s="11"/>
      <c r="L13" s="11"/>
    </row>
    <row r="14" spans="2:12" ht="15.6" thickTop="1" thickBot="1">
      <c r="B14" s="11"/>
      <c r="C14" s="11"/>
      <c r="D14" s="11"/>
      <c r="E14" s="11"/>
      <c r="F14" s="73">
        <f>SUM(F10:F13)</f>
        <v>14955.145478374834</v>
      </c>
      <c r="G14" s="11"/>
      <c r="H14" s="11"/>
      <c r="I14" s="11"/>
      <c r="J14" s="11"/>
      <c r="K14" s="11"/>
      <c r="L14" s="11"/>
    </row>
    <row r="15" spans="2:12">
      <c r="B15" s="11"/>
      <c r="C15" s="11"/>
      <c r="D15" s="11"/>
      <c r="E15" s="11"/>
      <c r="F15" s="11"/>
      <c r="G15" s="11"/>
      <c r="H15" s="11"/>
      <c r="I15" s="11"/>
      <c r="J15" s="11"/>
      <c r="K15" s="11"/>
      <c r="L15" s="11"/>
    </row>
    <row r="16" spans="2:12" ht="15">
      <c r="B16" s="502"/>
      <c r="C16" s="502"/>
      <c r="D16" s="502"/>
      <c r="E16" s="70"/>
      <c r="F16" s="257"/>
      <c r="G16" s="11"/>
      <c r="H16" s="11"/>
      <c r="I16" s="11"/>
      <c r="J16" s="11"/>
      <c r="K16" s="11"/>
      <c r="L16" s="71"/>
    </row>
    <row r="17" spans="2:12" ht="15">
      <c r="B17" s="11"/>
      <c r="C17" s="11"/>
      <c r="D17" s="11"/>
      <c r="E17" s="11"/>
      <c r="F17" s="11"/>
      <c r="G17" s="11"/>
      <c r="H17" s="11"/>
      <c r="I17" s="11"/>
      <c r="J17" s="11"/>
      <c r="K17" s="71"/>
      <c r="L17" s="56"/>
    </row>
    <row r="18" spans="2:12">
      <c r="B18" s="11"/>
      <c r="C18" s="11"/>
      <c r="D18" s="11"/>
      <c r="E18" s="11"/>
      <c r="F18" s="11"/>
      <c r="G18" s="11"/>
      <c r="H18" s="11"/>
      <c r="I18" s="11"/>
      <c r="J18" s="11"/>
      <c r="K18" s="56"/>
      <c r="L18" s="56"/>
    </row>
    <row r="19" spans="2:12">
      <c r="B19" s="22"/>
      <c r="C19" s="22"/>
      <c r="D19" s="22"/>
      <c r="E19" s="510" t="s">
        <v>50</v>
      </c>
      <c r="F19" s="510" t="s">
        <v>53</v>
      </c>
      <c r="G19" s="496" t="s">
        <v>55</v>
      </c>
      <c r="H19" s="75"/>
      <c r="I19" s="75"/>
      <c r="J19" s="75"/>
      <c r="K19" s="76"/>
      <c r="L19" s="76"/>
    </row>
    <row r="20" spans="2:12">
      <c r="B20" s="509" t="s">
        <v>46</v>
      </c>
      <c r="C20" s="509"/>
      <c r="D20" s="509"/>
      <c r="E20" s="511"/>
      <c r="F20" s="511"/>
      <c r="G20" s="496"/>
      <c r="H20" s="75"/>
      <c r="I20" s="75"/>
      <c r="J20" s="75"/>
      <c r="K20" s="76"/>
      <c r="L20" s="76"/>
    </row>
    <row r="21" spans="2:12">
      <c r="B21" s="506" t="s">
        <v>56</v>
      </c>
      <c r="C21" s="507"/>
      <c r="D21" s="508"/>
      <c r="E21" s="78">
        <v>1034</v>
      </c>
      <c r="F21" s="141">
        <v>0.3</v>
      </c>
      <c r="G21" s="79">
        <f t="shared" ref="G21:G32" si="0">E21/$E$32*(1+F21)</f>
        <v>0.88086500655307998</v>
      </c>
      <c r="H21" s="11"/>
      <c r="I21" s="11"/>
      <c r="J21" s="11"/>
      <c r="K21" s="56"/>
      <c r="L21" s="56"/>
    </row>
    <row r="22" spans="2:12">
      <c r="B22" s="506" t="s">
        <v>59</v>
      </c>
      <c r="C22" s="507"/>
      <c r="D22" s="508"/>
      <c r="E22" s="64">
        <v>1090</v>
      </c>
      <c r="F22" s="141">
        <v>0.3</v>
      </c>
      <c r="G22" s="79">
        <f t="shared" si="0"/>
        <v>0.9285714285714286</v>
      </c>
      <c r="H22" s="11"/>
      <c r="I22" s="11"/>
      <c r="J22" s="11"/>
      <c r="K22" s="56"/>
      <c r="L22" s="56"/>
    </row>
    <row r="23" spans="2:12">
      <c r="B23" s="506" t="s">
        <v>47</v>
      </c>
      <c r="C23" s="507"/>
      <c r="D23" s="508"/>
      <c r="E23" s="64">
        <v>975</v>
      </c>
      <c r="F23" s="142">
        <v>0.3</v>
      </c>
      <c r="G23" s="79">
        <f t="shared" si="0"/>
        <v>0.83060288335517696</v>
      </c>
      <c r="H23" s="11"/>
      <c r="I23" s="11"/>
      <c r="J23" s="11"/>
      <c r="K23" s="56"/>
      <c r="L23" s="56"/>
    </row>
    <row r="24" spans="2:12">
      <c r="B24" s="506" t="s">
        <v>48</v>
      </c>
      <c r="C24" s="507"/>
      <c r="D24" s="508"/>
      <c r="E24" s="64">
        <v>1123</v>
      </c>
      <c r="F24" s="143">
        <v>0.15</v>
      </c>
      <c r="G24" s="79">
        <f t="shared" si="0"/>
        <v>0.84629750982961982</v>
      </c>
      <c r="H24" s="11"/>
      <c r="I24" s="11"/>
      <c r="J24" s="11"/>
      <c r="K24" s="56"/>
      <c r="L24" s="56"/>
    </row>
    <row r="25" spans="2:12">
      <c r="B25" s="506" t="s">
        <v>57</v>
      </c>
      <c r="C25" s="507"/>
      <c r="D25" s="508"/>
      <c r="E25" s="64">
        <v>2264</v>
      </c>
      <c r="F25" s="143">
        <v>0.3</v>
      </c>
      <c r="G25" s="79">
        <f t="shared" si="0"/>
        <v>1.92870249017038</v>
      </c>
      <c r="H25" s="72"/>
      <c r="I25" s="11"/>
      <c r="J25" s="11"/>
      <c r="K25" s="56"/>
      <c r="L25" s="56"/>
    </row>
    <row r="26" spans="2:12">
      <c r="B26" s="506" t="s">
        <v>58</v>
      </c>
      <c r="C26" s="507"/>
      <c r="D26" s="508"/>
      <c r="E26" s="64">
        <v>2004</v>
      </c>
      <c r="F26" s="143">
        <v>0.3</v>
      </c>
      <c r="G26" s="79">
        <f t="shared" si="0"/>
        <v>1.7072083879423328</v>
      </c>
      <c r="H26" s="11"/>
      <c r="I26" s="11"/>
      <c r="J26" s="11"/>
      <c r="K26" s="56"/>
      <c r="L26" s="56"/>
    </row>
    <row r="27" spans="2:12">
      <c r="B27" s="506" t="s">
        <v>430</v>
      </c>
      <c r="C27" s="507"/>
      <c r="D27" s="508"/>
      <c r="E27" s="64">
        <v>2750</v>
      </c>
      <c r="F27" s="143">
        <v>0.05</v>
      </c>
      <c r="G27" s="79">
        <f t="shared" si="0"/>
        <v>1.8922018348623852</v>
      </c>
      <c r="H27" s="11"/>
      <c r="I27" s="11"/>
      <c r="J27" s="11"/>
      <c r="K27" s="56"/>
      <c r="L27" s="56"/>
    </row>
    <row r="28" spans="2:12">
      <c r="B28" s="506" t="s">
        <v>49</v>
      </c>
      <c r="C28" s="507"/>
      <c r="D28" s="508"/>
      <c r="E28" s="83">
        <v>1450</v>
      </c>
      <c r="F28" s="141">
        <v>0.05</v>
      </c>
      <c r="G28" s="79">
        <f t="shared" si="0"/>
        <v>0.99770642201834869</v>
      </c>
      <c r="H28" s="11"/>
      <c r="I28" s="11"/>
      <c r="J28" s="11"/>
      <c r="K28" s="56"/>
      <c r="L28" s="56"/>
    </row>
    <row r="29" spans="2:12">
      <c r="B29" s="506" t="s">
        <v>91</v>
      </c>
      <c r="C29" s="507"/>
      <c r="D29" s="508"/>
      <c r="E29" s="64">
        <v>720</v>
      </c>
      <c r="F29" s="141">
        <v>0.05</v>
      </c>
      <c r="G29" s="79">
        <f t="shared" si="0"/>
        <v>0.49541284403669728</v>
      </c>
      <c r="H29" s="11"/>
      <c r="I29" s="11"/>
      <c r="J29" s="11"/>
      <c r="K29" s="56"/>
      <c r="L29" s="56"/>
    </row>
    <row r="30" spans="2:12">
      <c r="B30" s="506" t="s">
        <v>441</v>
      </c>
      <c r="C30" s="507"/>
      <c r="D30" s="508"/>
      <c r="E30" s="64">
        <v>1850</v>
      </c>
      <c r="F30" s="144">
        <v>0.05</v>
      </c>
      <c r="G30" s="81">
        <f t="shared" si="0"/>
        <v>1.272935779816514</v>
      </c>
      <c r="H30" s="11"/>
      <c r="I30" s="11"/>
      <c r="J30" s="11"/>
      <c r="K30" s="56"/>
      <c r="L30" s="56"/>
    </row>
    <row r="31" spans="2:12" ht="15" thickBot="1">
      <c r="B31" s="225" t="s">
        <v>92</v>
      </c>
      <c r="C31" s="223"/>
      <c r="D31" s="224"/>
      <c r="E31" s="140">
        <v>3793</v>
      </c>
      <c r="F31" s="80">
        <v>0.3</v>
      </c>
      <c r="G31" s="82">
        <f t="shared" si="0"/>
        <v>3.231258191349935</v>
      </c>
      <c r="H31" s="11"/>
      <c r="I31" s="11"/>
      <c r="J31" s="11"/>
      <c r="K31" s="56"/>
      <c r="L31" s="56"/>
    </row>
    <row r="32" spans="2:12" ht="15.6" thickTop="1" thickBot="1">
      <c r="B32" s="503" t="s">
        <v>51</v>
      </c>
      <c r="C32" s="504"/>
      <c r="D32" s="505"/>
      <c r="E32" s="73">
        <f>SUM(E21:E30)/10</f>
        <v>1526</v>
      </c>
      <c r="F32" s="74">
        <f>SUM(F21:F30)/10</f>
        <v>0.185</v>
      </c>
      <c r="G32" s="69">
        <f t="shared" si="0"/>
        <v>1.1850000000000001</v>
      </c>
      <c r="H32" s="11"/>
      <c r="I32" s="11"/>
      <c r="J32" s="11"/>
      <c r="K32" s="56"/>
      <c r="L32" s="56"/>
    </row>
    <row r="33" spans="2:12">
      <c r="B33" s="11"/>
      <c r="C33" s="11"/>
      <c r="D33" s="11"/>
      <c r="E33" s="11"/>
      <c r="F33" s="11"/>
      <c r="G33" s="11"/>
      <c r="H33" s="11"/>
      <c r="I33" s="11"/>
      <c r="J33" s="11"/>
      <c r="K33" s="56"/>
      <c r="L33" s="11"/>
    </row>
    <row r="34" spans="2:12">
      <c r="B34" s="497" t="s">
        <v>94</v>
      </c>
      <c r="C34" s="497"/>
      <c r="D34" s="497"/>
      <c r="E34" s="497"/>
      <c r="F34" s="497"/>
      <c r="G34" s="84">
        <f>VLOOKUP(Model_Home!F9,B:G,6,FALSE)</f>
        <v>1.7072083879423328</v>
      </c>
      <c r="H34" s="11"/>
      <c r="I34" s="11"/>
      <c r="J34" s="11"/>
      <c r="K34" s="11"/>
      <c r="L34" s="11"/>
    </row>
  </sheetData>
  <mergeCells count="17">
    <mergeCell ref="B27:D27"/>
    <mergeCell ref="B16:D16"/>
    <mergeCell ref="E19:E20"/>
    <mergeCell ref="F19:F20"/>
    <mergeCell ref="G19:G20"/>
    <mergeCell ref="B20:D20"/>
    <mergeCell ref="B21:D21"/>
    <mergeCell ref="B22:D22"/>
    <mergeCell ref="B23:D23"/>
    <mergeCell ref="B24:D24"/>
    <mergeCell ref="B25:D25"/>
    <mergeCell ref="B26:D26"/>
    <mergeCell ref="B28:D28"/>
    <mergeCell ref="B29:D29"/>
    <mergeCell ref="B30:D30"/>
    <mergeCell ref="B32:D32"/>
    <mergeCell ref="B34:F34"/>
  </mergeCells>
  <dataValidations count="1">
    <dataValidation type="decimal" allowBlank="1" showInputMessage="1" showErrorMessage="1" errorTitle="Invalid Entry" error="Value must be greater than 0.01% and less than or equal to 99%." sqref="F31" xr:uid="{C6DCF8ED-4CFB-4262-BFD0-A36886FD711C}">
      <formula1>0.0001</formula1>
      <formula2>0.99</formula2>
    </dataValidation>
  </dataValidations>
  <hyperlinks>
    <hyperlink ref="B31:D31" r:id="rId1" display="Custom Region" xr:uid="{5548ABEA-0D60-4024-BB7E-90E1DD81036C}"/>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B4AAE-7B37-42D5-BB76-DD83E50BD1F7}">
  <sheetPr codeName="Sheet11"/>
  <dimension ref="B1:S62"/>
  <sheetViews>
    <sheetView workbookViewId="0"/>
  </sheetViews>
  <sheetFormatPr defaultRowHeight="14.4"/>
  <sheetData>
    <row r="1" spans="2:19">
      <c r="B1" s="9"/>
      <c r="C1" s="9"/>
      <c r="D1" s="9"/>
      <c r="E1" s="9"/>
      <c r="F1" s="9"/>
      <c r="G1" s="9"/>
      <c r="H1" s="9"/>
      <c r="I1" s="9"/>
      <c r="J1" s="9"/>
      <c r="K1" s="9"/>
      <c r="L1" s="9"/>
      <c r="M1" s="9"/>
      <c r="N1" s="9"/>
      <c r="O1" s="9"/>
      <c r="P1" s="9"/>
      <c r="Q1" s="9"/>
      <c r="R1" s="9"/>
      <c r="S1" s="9"/>
    </row>
    <row r="2" spans="2:19">
      <c r="B2" s="9"/>
      <c r="C2" s="9"/>
      <c r="D2" s="9"/>
      <c r="E2" s="9"/>
      <c r="F2" s="9"/>
      <c r="G2" s="9"/>
      <c r="H2" s="9"/>
      <c r="I2" s="9"/>
      <c r="J2" s="9"/>
      <c r="K2" s="9"/>
      <c r="L2" s="9"/>
      <c r="M2" s="9"/>
      <c r="N2" s="9"/>
      <c r="O2" s="9"/>
      <c r="P2" s="9"/>
      <c r="Q2" s="9"/>
      <c r="R2" s="9"/>
      <c r="S2" s="9"/>
    </row>
    <row r="3" spans="2:19" ht="15" thickBot="1">
      <c r="B3" s="10"/>
      <c r="C3" s="10"/>
      <c r="D3" s="10"/>
      <c r="E3" s="10"/>
      <c r="F3" s="10"/>
      <c r="G3" s="10"/>
      <c r="H3" s="10"/>
      <c r="I3" s="10"/>
      <c r="J3" s="10"/>
      <c r="K3" s="10"/>
      <c r="L3" s="10"/>
      <c r="M3" s="10"/>
      <c r="N3" s="10"/>
      <c r="O3" s="10"/>
      <c r="P3" s="10"/>
      <c r="Q3" s="10"/>
      <c r="R3" s="10"/>
      <c r="S3" s="10"/>
    </row>
    <row r="4" spans="2:19">
      <c r="B4" s="11"/>
      <c r="C4" s="11"/>
      <c r="D4" s="11"/>
      <c r="E4" s="11"/>
      <c r="F4" s="11"/>
      <c r="G4" s="11"/>
      <c r="H4" s="11"/>
      <c r="I4" s="11"/>
      <c r="J4" s="11"/>
      <c r="K4" s="11"/>
      <c r="L4" s="11"/>
      <c r="M4" s="11"/>
      <c r="N4" s="11"/>
      <c r="O4" s="11"/>
      <c r="P4" s="11"/>
      <c r="Q4" s="11"/>
      <c r="R4" s="11"/>
      <c r="S4" s="11"/>
    </row>
    <row r="5" spans="2:19">
      <c r="B5" s="87" t="s">
        <v>44</v>
      </c>
      <c r="C5" s="87"/>
      <c r="D5" s="87"/>
      <c r="E5" s="87"/>
      <c r="F5" s="77" t="s">
        <v>42</v>
      </c>
      <c r="G5" s="77" t="s">
        <v>43</v>
      </c>
      <c r="H5" s="11"/>
      <c r="I5" s="11"/>
      <c r="J5" s="11"/>
      <c r="K5" s="11"/>
      <c r="L5" s="11"/>
      <c r="M5" s="11"/>
      <c r="N5" s="11"/>
      <c r="O5" s="11"/>
      <c r="P5" s="11"/>
      <c r="Q5" s="11"/>
      <c r="R5" s="11"/>
      <c r="S5" s="11"/>
    </row>
    <row r="6" spans="2:19">
      <c r="B6" s="237" t="s">
        <v>136</v>
      </c>
      <c r="C6" s="238"/>
      <c r="D6" s="238"/>
      <c r="E6" s="239"/>
      <c r="F6" s="68">
        <f>+Model_Home!L17</f>
        <v>0.63</v>
      </c>
      <c r="G6" s="67">
        <f>F6/$F$12</f>
        <v>0.82603801072776639</v>
      </c>
      <c r="H6" s="240"/>
      <c r="I6" s="241" t="s">
        <v>93</v>
      </c>
      <c r="J6" s="11"/>
      <c r="K6" s="11"/>
      <c r="L6" s="11"/>
      <c r="M6" s="11"/>
      <c r="N6" s="11"/>
      <c r="O6" s="11"/>
      <c r="P6" s="11"/>
      <c r="Q6" s="11"/>
      <c r="R6" s="11"/>
      <c r="S6" s="11"/>
    </row>
    <row r="7" spans="2:19">
      <c r="B7" s="237" t="str">
        <f>IF(Model_Home!N9=$L$11,"KW2 Constant Speed Primary Pump","")</f>
        <v>KW2 Constant Speed Primary Pump</v>
      </c>
      <c r="C7" s="238"/>
      <c r="D7" s="238"/>
      <c r="E7" s="239"/>
      <c r="F7" s="236">
        <f>IF(Model_Home!$N$9=$L$11,Model_Pump!$J$8/Model_Home!$L$13,"")</f>
        <v>3.767676767676767E-2</v>
      </c>
      <c r="G7" s="67">
        <f>IF(Model_Home!$N$9=$L$11,F7/$F$12,"")</f>
        <v>4.9400701940268854E-2</v>
      </c>
      <c r="H7" s="240"/>
      <c r="I7" s="242" t="s">
        <v>84</v>
      </c>
      <c r="J7" s="11"/>
      <c r="K7" s="11"/>
      <c r="L7" s="11"/>
      <c r="M7" s="11"/>
      <c r="N7" s="11"/>
      <c r="O7" s="11"/>
      <c r="P7" s="11"/>
      <c r="Q7" s="11"/>
      <c r="R7" s="11"/>
      <c r="S7" s="11"/>
    </row>
    <row r="8" spans="2:19">
      <c r="B8" s="237" t="str">
        <f>IF(Model_Home!J9=$M$11,"KW3 Condenser Pump","")</f>
        <v>KW3 Condenser Pump</v>
      </c>
      <c r="C8" s="238"/>
      <c r="D8" s="238"/>
      <c r="E8" s="239"/>
      <c r="F8" s="116">
        <v>0.04</v>
      </c>
      <c r="G8" s="67">
        <f>IF(Model_Home!$J$9=$M$11,F8/$F$12,"")</f>
        <v>5.2446857823985171E-2</v>
      </c>
      <c r="H8" s="240"/>
      <c r="I8" s="11"/>
      <c r="J8" s="11"/>
      <c r="K8" s="11"/>
      <c r="L8" s="11"/>
      <c r="M8" s="11"/>
      <c r="N8" s="11"/>
      <c r="O8" s="11"/>
      <c r="P8" s="11"/>
      <c r="Q8" s="11"/>
      <c r="R8" s="11"/>
      <c r="S8" s="11"/>
    </row>
    <row r="9" spans="2:19">
      <c r="B9" s="237" t="str">
        <f>IF(Model_Home!J9=$M$11,"KW4 Cooling Tower Fan","")</f>
        <v>KW4 Cooling Tower Fan</v>
      </c>
      <c r="C9" s="238"/>
      <c r="D9" s="238"/>
      <c r="E9" s="239"/>
      <c r="F9" s="116">
        <v>0.04</v>
      </c>
      <c r="G9" s="67">
        <f>IF(Model_Home!$J$9=$M$11,F9/$F$12,"")</f>
        <v>5.2446857823985171E-2</v>
      </c>
      <c r="H9" s="240"/>
      <c r="I9" s="11"/>
      <c r="J9" s="11"/>
      <c r="K9" s="254"/>
      <c r="L9" s="11"/>
      <c r="M9" s="11"/>
      <c r="N9" s="11"/>
      <c r="O9" s="11"/>
      <c r="P9" s="11"/>
      <c r="Q9" s="11"/>
      <c r="R9" s="11"/>
      <c r="S9" s="133"/>
    </row>
    <row r="10" spans="2:19">
      <c r="B10" s="237" t="s">
        <v>200</v>
      </c>
      <c r="C10" s="238"/>
      <c r="D10" s="238"/>
      <c r="E10" s="239"/>
      <c r="F10" s="116">
        <v>5.0000000000000001E-3</v>
      </c>
      <c r="G10" s="86">
        <f>F10/$F$12</f>
        <v>6.5558572279981464E-3</v>
      </c>
      <c r="H10" s="240"/>
      <c r="I10" s="11"/>
      <c r="J10" s="11"/>
      <c r="K10" s="254"/>
      <c r="L10" s="77" t="s">
        <v>203</v>
      </c>
      <c r="M10" s="234" t="s">
        <v>204</v>
      </c>
      <c r="N10" s="11"/>
      <c r="O10" s="11"/>
      <c r="P10" s="11"/>
      <c r="Q10" s="11"/>
      <c r="R10" s="11"/>
      <c r="S10" s="133"/>
    </row>
    <row r="11" spans="2:19" ht="15" thickBot="1">
      <c r="B11" s="237" t="s">
        <v>201</v>
      </c>
      <c r="C11" s="238"/>
      <c r="D11" s="238"/>
      <c r="E11" s="239"/>
      <c r="F11" s="117">
        <v>0.01</v>
      </c>
      <c r="G11" s="86">
        <f>F11/$F$12</f>
        <v>1.3111714455996293E-2</v>
      </c>
      <c r="H11" s="240"/>
      <c r="I11" s="11"/>
      <c r="J11" s="11"/>
      <c r="K11" s="254"/>
      <c r="L11" s="271" t="s">
        <v>193</v>
      </c>
      <c r="M11" s="272" t="s">
        <v>205</v>
      </c>
      <c r="N11" s="11"/>
      <c r="O11" s="11"/>
      <c r="P11" s="11"/>
      <c r="Q11" s="11"/>
      <c r="R11" s="11"/>
      <c r="S11" s="133"/>
    </row>
    <row r="12" spans="2:19" ht="15.6" thickTop="1" thickBot="1">
      <c r="B12" s="517" t="s">
        <v>198</v>
      </c>
      <c r="C12" s="518"/>
      <c r="D12" s="518"/>
      <c r="E12" s="519"/>
      <c r="F12" s="115">
        <f>+$F$6+$F$10+$F$11+IF(Model_Home!N9=$L$11,$F$7,0)+IF(Model_Home!J9=$M$11,$F$8+$F$9,0)</f>
        <v>0.76267676767676762</v>
      </c>
      <c r="G12" s="74">
        <f>F12/$F$12</f>
        <v>1</v>
      </c>
      <c r="H12" s="11"/>
      <c r="I12" s="11"/>
      <c r="J12" s="11"/>
      <c r="K12" s="254"/>
      <c r="L12" s="271" t="s">
        <v>207</v>
      </c>
      <c r="M12" s="272" t="s">
        <v>206</v>
      </c>
      <c r="N12" s="11"/>
      <c r="O12" s="11"/>
      <c r="P12" s="11"/>
      <c r="Q12" s="11"/>
      <c r="R12" s="11"/>
      <c r="S12" s="133"/>
    </row>
    <row r="13" spans="2:19">
      <c r="B13" s="11" t="s">
        <v>1711</v>
      </c>
      <c r="C13" s="11"/>
      <c r="D13" s="11"/>
      <c r="E13" s="11"/>
      <c r="F13" s="11" t="s">
        <v>1721</v>
      </c>
      <c r="G13" s="11"/>
      <c r="H13" s="11"/>
      <c r="I13" s="11"/>
      <c r="J13" s="11"/>
      <c r="K13" s="254"/>
      <c r="L13" s="11" t="s">
        <v>1716</v>
      </c>
      <c r="M13" s="11"/>
      <c r="N13" s="11"/>
      <c r="O13" s="11"/>
      <c r="P13" s="11"/>
      <c r="Q13" s="11"/>
      <c r="R13" s="11"/>
      <c r="S13" s="133"/>
    </row>
    <row r="14" spans="2:19">
      <c r="B14" s="11"/>
      <c r="C14" s="11"/>
      <c r="D14" s="11"/>
      <c r="E14" s="11"/>
      <c r="F14" s="11"/>
      <c r="G14" s="11"/>
      <c r="H14" s="11"/>
      <c r="I14" s="11"/>
      <c r="J14" s="11"/>
      <c r="K14" s="254"/>
      <c r="L14" s="11" t="s">
        <v>1721</v>
      </c>
      <c r="M14" s="11"/>
      <c r="N14" s="11" t="s">
        <v>252</v>
      </c>
      <c r="O14" s="11" t="s">
        <v>253</v>
      </c>
      <c r="P14" s="11" t="s">
        <v>254</v>
      </c>
      <c r="Q14" s="11" t="s">
        <v>255</v>
      </c>
      <c r="R14" s="11"/>
      <c r="S14" s="133"/>
    </row>
    <row r="15" spans="2:19">
      <c r="B15" s="87" t="s">
        <v>230</v>
      </c>
      <c r="C15" s="87"/>
      <c r="D15" s="87"/>
      <c r="E15" s="87"/>
      <c r="F15" s="235">
        <v>0</v>
      </c>
      <c r="G15" s="11"/>
      <c r="H15" s="11"/>
      <c r="I15" s="11"/>
      <c r="J15" s="11"/>
      <c r="K15" s="254"/>
      <c r="L15" s="11"/>
      <c r="M15" s="11" t="s">
        <v>75</v>
      </c>
      <c r="N15" s="273">
        <f>VLOOKUP(Model_Home!$L$21,Model_Home!$B$25:$K$30,7)*$G6</f>
        <v>34207.160662907023</v>
      </c>
      <c r="O15" s="274">
        <f t="shared" ref="O15:O22" si="0">+N15/$N$23*100</f>
        <v>98.082487346455835</v>
      </c>
      <c r="P15" s="273">
        <f>VLOOKUP(Model_Home!$L$22,Model_Home!$B$25:$K$30,7)*$G6</f>
        <v>10240.192198882207</v>
      </c>
      <c r="Q15" s="274">
        <f>+P15/$N$23*100</f>
        <v>29.361791575448002</v>
      </c>
      <c r="R15" s="11"/>
      <c r="S15" s="133"/>
    </row>
    <row r="16" spans="2:19">
      <c r="B16" s="11"/>
      <c r="C16" s="11"/>
      <c r="D16" s="11"/>
      <c r="E16" s="11"/>
      <c r="F16" s="11"/>
      <c r="G16" s="11"/>
      <c r="H16" s="11"/>
      <c r="I16" s="11"/>
      <c r="J16" s="11"/>
      <c r="K16" s="254"/>
      <c r="L16" s="11"/>
      <c r="M16" s="11" t="str">
        <f>CONCATENATE("-",$M$15,"-",B6)</f>
        <v>-Chiller-KW1 Compressor</v>
      </c>
      <c r="N16" s="273">
        <f>+$N$15*$G6</f>
        <v>28256.41494663282</v>
      </c>
      <c r="O16" s="274">
        <f t="shared" si="0"/>
        <v>81.0198627348977</v>
      </c>
      <c r="P16" s="273">
        <f>+$P$15*$G6</f>
        <v>8458.7879934346493</v>
      </c>
      <c r="Q16" s="274">
        <f t="shared" ref="Q16:Q22" si="1">+P16/$P$23*100</f>
        <v>76.633383395351672</v>
      </c>
      <c r="R16" s="11"/>
      <c r="S16" s="133"/>
    </row>
    <row r="17" spans="2:19">
      <c r="B17" s="87" t="s">
        <v>199</v>
      </c>
      <c r="C17" s="87"/>
      <c r="D17" s="87"/>
      <c r="E17" s="87"/>
      <c r="F17" s="89">
        <f>+Model_Pump!F17</f>
        <v>6</v>
      </c>
      <c r="G17" s="11"/>
      <c r="H17" s="11"/>
      <c r="I17" s="11"/>
      <c r="J17" s="11"/>
      <c r="K17" s="254"/>
      <c r="L17" s="11"/>
      <c r="M17" s="11" t="str">
        <f>IF(Model_Home!$N$9=$L$11,CONCATENATE("-",$M$15,"-",B7),"")</f>
        <v>-Chiller-KW2 Constant Speed Primary Pump</v>
      </c>
      <c r="N17" s="273">
        <f>+$N$15*IF(Model_Home!$N$9=$L$11,$G7,0)</f>
        <v>1689.8577481311595</v>
      </c>
      <c r="O17" s="274">
        <f t="shared" si="0"/>
        <v>4.8453437229624567</v>
      </c>
      <c r="P17" s="273">
        <f>+$P$15*IF(Model_Home!$N$9=$L$11,$G7,0)</f>
        <v>505.87268262804622</v>
      </c>
      <c r="Q17" s="274">
        <f t="shared" si="1"/>
        <v>4.5830129880497319</v>
      </c>
      <c r="R17" s="11"/>
      <c r="S17" s="133"/>
    </row>
    <row r="18" spans="2:19">
      <c r="B18" s="77" t="s">
        <v>13</v>
      </c>
      <c r="C18" s="96" t="s">
        <v>12</v>
      </c>
      <c r="D18" s="77" t="s">
        <v>11</v>
      </c>
      <c r="E18" s="77" t="s">
        <v>7</v>
      </c>
      <c r="F18" s="77" t="s">
        <v>229</v>
      </c>
      <c r="G18" s="77" t="s">
        <v>233</v>
      </c>
      <c r="H18" s="77" t="s">
        <v>14</v>
      </c>
      <c r="I18" s="11"/>
      <c r="J18" s="11"/>
      <c r="K18" s="254"/>
      <c r="L18" s="11"/>
      <c r="M18" s="11" t="str">
        <f>IF(Model_Home!$J$9=$M$11,CONCATENATE("-",$M$15,"-",B8),"")</f>
        <v>-Chiller-KW3 Condenser Pump</v>
      </c>
      <c r="N18" s="273">
        <f>+$N$15*IF(Model_Home!$J$9=$M$11,$G8,0)</f>
        <v>1794.058091849703</v>
      </c>
      <c r="O18" s="274">
        <f t="shared" si="0"/>
        <v>5.1441182688823934</v>
      </c>
      <c r="P18" s="273">
        <f>+$P$15*IF(Model_Home!$J$9=$M$11,$G8,0)</f>
        <v>537.06590434505722</v>
      </c>
      <c r="Q18" s="274">
        <f t="shared" si="1"/>
        <v>4.8656116441493138</v>
      </c>
      <c r="R18" s="11"/>
      <c r="S18" s="133"/>
    </row>
    <row r="19" spans="2:19">
      <c r="B19" s="20">
        <v>100</v>
      </c>
      <c r="C19" s="270">
        <f>+Model_Energy!$E$10*100</f>
        <v>5</v>
      </c>
      <c r="D19" s="62">
        <f>+Model_Energy!$F$14*C19*0.01</f>
        <v>747.7572739187417</v>
      </c>
      <c r="E19" s="62">
        <f>+Model_Pump!E19</f>
        <v>3000</v>
      </c>
      <c r="F19" s="62">
        <f>+E19*$F$17/24</f>
        <v>750</v>
      </c>
      <c r="G19" s="62">
        <f>+IF(E19/(Model_Pump!$E$8/Model_Home!$L$14)&gt;Model_Home!$L$14,Model_Home!$L$14,E19/(Model_Pump!$E$8/Model_Home!$L$14))</f>
        <v>4</v>
      </c>
      <c r="H19" s="62">
        <f>IF($F$13=$L$14,ROUNDUP(G19,0)*(Model_Home!$L$13/Model_Home!$L$14)*(IF(Model_Home!$N$9=$L$11,N($F$7),0)+IF(Model_Home!$J$9=$M$11,$F$8,0)+$F$10+$F$11)+IF(Model_Home!$J$9=$M$11,$F$9,0)*MIN(E19*Model_Home!$L$20/24,Model_Home!$L$13),ROUNDDOWN(G19,0)*(Model_Home!$L$13/Model_Home!$L$14)*$F$12+(G19-ROUNDDOWN(G19,0))*(Model_Home!$L$13/Model_Home!$L$14)*$F$12*(1+$F$15))</f>
        <v>199.0151515151515</v>
      </c>
      <c r="I19" s="77" t="s">
        <v>209</v>
      </c>
      <c r="J19" s="243">
        <f>J22*Model_Home!$L$12</f>
        <v>294653.75378768012</v>
      </c>
      <c r="K19" s="254"/>
      <c r="L19" s="11"/>
      <c r="M19" s="11" t="str">
        <f>IF(Model_Home!$J$9=$M$11,CONCATENATE("-",$M$15,"-",B9),"")</f>
        <v>-Chiller-KW4 Cooling Tower Fan</v>
      </c>
      <c r="N19" s="273">
        <f>+$N$15*IF(Model_Home!$J$9=$M$11,G9,0)</f>
        <v>1794.058091849703</v>
      </c>
      <c r="O19" s="274">
        <f t="shared" si="0"/>
        <v>5.1441182688823934</v>
      </c>
      <c r="P19" s="273">
        <f>+$P$15*IF(Model_Home!$J$9=$M$11,G9,0)</f>
        <v>537.06590434505722</v>
      </c>
      <c r="Q19" s="274">
        <f t="shared" si="1"/>
        <v>4.8656116441493138</v>
      </c>
      <c r="R19" s="11"/>
      <c r="S19" s="133"/>
    </row>
    <row r="20" spans="2:19">
      <c r="B20" s="20">
        <v>75</v>
      </c>
      <c r="C20" s="270">
        <f>+Model_Energy!$E$11*100</f>
        <v>15</v>
      </c>
      <c r="D20" s="62">
        <f>+Model_Energy!$F$14*C20*0.01</f>
        <v>2243.2718217562251</v>
      </c>
      <c r="E20" s="62">
        <f>+Model_Pump!E20</f>
        <v>3000</v>
      </c>
      <c r="F20" s="62">
        <f>+E20*$F$17/24</f>
        <v>750</v>
      </c>
      <c r="G20" s="62">
        <f>+IF(E20/(Model_Pump!$E$8/Model_Home!$L$14)&gt;Model_Home!$L$14,Model_Home!$L$14,E20/(Model_Pump!$E$8/Model_Home!$L$14))</f>
        <v>4</v>
      </c>
      <c r="H20" s="62">
        <f>IF($F$13=$L$14,ROUNDUP(G20,0)*(Model_Home!$L$13/Model_Home!$L$14)*(IF(Model_Home!$N$9=$L$11,N($F$7),0)+IF(Model_Home!$J$9=$M$11,$F$8,0)+$F$10+$F$11)+IF(Model_Home!$J$9=$M$11,$F$9,0)*MIN(E20*Model_Home!$L$20/24,Model_Home!$L$13),ROUNDDOWN(G20,0)*(Model_Home!$L$13/Model_Home!$L$14)*$F$12+(G20-ROUNDDOWN(G20,0))*(Model_Home!$L$13/Model_Home!$L$14)*$F$12*(1+$F$15))</f>
        <v>199.0151515151515</v>
      </c>
      <c r="I20" s="77" t="s">
        <v>1734</v>
      </c>
      <c r="J20" s="64">
        <f>+((F19*D19)+(F20*D20)+(F21*D21)+(F22*D22))/Model_Energy!$F$14</f>
        <v>618.75</v>
      </c>
      <c r="K20" s="254"/>
      <c r="L20" s="11"/>
      <c r="M20" s="11" t="str">
        <f>CONCATENATE("-",$M$15,"-",B10)</f>
        <v>-Chiller-KW5 Chiller Controls</v>
      </c>
      <c r="N20" s="273">
        <f>+$N$15*G10</f>
        <v>224.25726148121288</v>
      </c>
      <c r="O20" s="274">
        <f t="shared" si="0"/>
        <v>0.64301478361029918</v>
      </c>
      <c r="P20" s="273">
        <f>+$P$15*G10</f>
        <v>67.133238043132152</v>
      </c>
      <c r="Q20" s="274">
        <f t="shared" si="1"/>
        <v>0.60820145551866422</v>
      </c>
      <c r="R20" s="11"/>
      <c r="S20" s="133"/>
    </row>
    <row r="21" spans="2:19">
      <c r="B21" s="20">
        <v>50</v>
      </c>
      <c r="C21" s="270">
        <f>+Model_Energy!$E$12*100</f>
        <v>45</v>
      </c>
      <c r="D21" s="62">
        <f>+Model_Energy!$F$14*C21*0.01</f>
        <v>6729.8154652686753</v>
      </c>
      <c r="E21" s="62">
        <f>+Model_Pump!E21</f>
        <v>3000</v>
      </c>
      <c r="F21" s="62">
        <f>+E21*$F$17/24</f>
        <v>750</v>
      </c>
      <c r="G21" s="62">
        <f>+IF(E21/(Model_Pump!$E$8/Model_Home!$L$14)&gt;Model_Home!$L$14,Model_Home!$L$14,E21/(Model_Pump!$E$8/Model_Home!$L$14))</f>
        <v>4</v>
      </c>
      <c r="H21" s="62">
        <f>IF($F$13=$L$14,ROUNDUP(G21,0)*(Model_Home!$L$13/Model_Home!$L$14)*(IF(Model_Home!$N$9=$L$11,N($F$7),0)+IF(Model_Home!$J$9=$M$11,$F$8,0)+$F$10+$F$11)+IF(Model_Home!$J$9=$M$11,$F$9,0)*MIN(E21*Model_Home!$L$20/24,Model_Home!$L$13),ROUNDDOWN(G21,0)*(Model_Home!$L$13/Model_Home!$L$14)*$F$12+(G21-ROUNDDOWN(G21,0))*(Model_Home!$L$13/Model_Home!$L$14)*$F$12*(1+$F$15))</f>
        <v>199.0151515151515</v>
      </c>
      <c r="I21" s="77" t="s">
        <v>250</v>
      </c>
      <c r="J21" s="244">
        <f>+J22/Model_Energy!$F$14/J20</f>
        <v>0.26535353535353534</v>
      </c>
      <c r="K21" s="254"/>
      <c r="L21" s="11"/>
      <c r="M21" s="11" t="str">
        <f>CONCATENATE("-",$M$15,"-",B11)</f>
        <v>-Chiller-KW6 Transmission Oil Pump and Heater</v>
      </c>
      <c r="N21" s="273">
        <f>+$N$15*G11</f>
        <v>448.51452296242576</v>
      </c>
      <c r="O21" s="274">
        <f t="shared" si="0"/>
        <v>1.2860295672205984</v>
      </c>
      <c r="P21" s="273">
        <f>+$P$15*G11</f>
        <v>134.2664760862643</v>
      </c>
      <c r="Q21" s="274">
        <f t="shared" si="1"/>
        <v>1.2164029110373284</v>
      </c>
      <c r="R21" s="11"/>
      <c r="S21" s="133"/>
    </row>
    <row r="22" spans="2:19">
      <c r="B22" s="20">
        <v>25</v>
      </c>
      <c r="C22" s="270">
        <f>+Model_Energy!$E$13*100</f>
        <v>35</v>
      </c>
      <c r="D22" s="62">
        <f>+Model_Energy!$F$14*C22*0.01</f>
        <v>5234.3009174311919</v>
      </c>
      <c r="E22" s="62">
        <f>+Model_Pump!E22</f>
        <v>1500</v>
      </c>
      <c r="F22" s="62">
        <f>+E22*$F$17/24</f>
        <v>375</v>
      </c>
      <c r="G22" s="62">
        <f>+IF(E22/(Model_Pump!$E$8/Model_Home!$L$14)&gt;Model_Home!$L$14,Model_Home!$L$14,E22/(Model_Pump!$E$8/Model_Home!$L$14))</f>
        <v>2</v>
      </c>
      <c r="H22" s="62">
        <f>IF($F$13=$L$14,ROUNDUP(G22,0)*(Model_Home!$L$13/Model_Home!$L$14)*(IF(Model_Home!$N$9=$L$11,N($F$7),0)+IF(Model_Home!$J$9=$M$11,$F$8,0)+$F$10+$F$11)+IF(Model_Home!$J$9=$M$11,$F$9,0)*MIN(E22*Model_Home!$L$20/24,Model_Home!$L$13),ROUNDDOWN(G22,0)*(Model_Home!$L$13/Model_Home!$L$14)*$F$12+(G22-ROUNDDOWN(G22,0))*(Model_Home!$L$13/Model_Home!$L$14)*$F$12*(1+$F$15))</f>
        <v>99.507575757575751</v>
      </c>
      <c r="I22" s="77" t="s">
        <v>8</v>
      </c>
      <c r="J22" s="64">
        <f>SUMPRODUCT(D19:D22,H19:H22)</f>
        <v>2455447.948230668</v>
      </c>
      <c r="K22" s="254"/>
      <c r="L22" s="11"/>
      <c r="M22" s="11" t="s">
        <v>76</v>
      </c>
      <c r="N22" s="273">
        <f>VLOOKUP(Model_Home!$L$21,Model_Home!$B$25:$K$30,5)</f>
        <v>668.74999999999989</v>
      </c>
      <c r="O22" s="274">
        <f t="shared" si="0"/>
        <v>1.9175126535441622</v>
      </c>
      <c r="P22" s="273">
        <f>VLOOKUP(Model_Home!$L$22,Model_Home!$B$25:$K$30,5)</f>
        <v>797.80145173838014</v>
      </c>
      <c r="Q22" s="274">
        <f t="shared" si="1"/>
        <v>7.2277759617439665</v>
      </c>
      <c r="R22" s="11"/>
      <c r="S22" s="133"/>
    </row>
    <row r="23" spans="2:19">
      <c r="B23" s="11"/>
      <c r="C23" s="11"/>
      <c r="D23" s="11"/>
      <c r="E23" s="11"/>
      <c r="F23" s="11"/>
      <c r="G23" s="11"/>
      <c r="H23" s="11"/>
      <c r="I23" s="11"/>
      <c r="J23" s="11"/>
      <c r="K23" s="254"/>
      <c r="L23" s="11"/>
      <c r="M23" s="11"/>
      <c r="N23" s="275">
        <f>SUM(N16:N22)</f>
        <v>34875.910662907023</v>
      </c>
      <c r="O23" s="275">
        <v>100</v>
      </c>
      <c r="P23" s="275">
        <f>SUM(P16:P22)</f>
        <v>11037.993650620587</v>
      </c>
      <c r="Q23" s="275">
        <v>100</v>
      </c>
      <c r="R23" s="11"/>
      <c r="S23" s="133"/>
    </row>
    <row r="24" spans="2:19">
      <c r="B24" s="11"/>
      <c r="C24" s="11"/>
      <c r="D24" s="11"/>
      <c r="E24" s="11"/>
      <c r="F24" s="11"/>
      <c r="G24" s="11"/>
      <c r="H24" s="11"/>
      <c r="I24" s="11"/>
      <c r="J24" s="11"/>
      <c r="K24" s="11"/>
      <c r="L24" s="133"/>
      <c r="M24" s="133"/>
      <c r="N24" s="133"/>
      <c r="O24" s="133"/>
      <c r="P24" s="133"/>
      <c r="Q24" s="133"/>
      <c r="R24" s="133"/>
      <c r="S24" s="133"/>
    </row>
    <row r="25" spans="2:19">
      <c r="B25" s="87" t="s">
        <v>199</v>
      </c>
      <c r="C25" s="87"/>
      <c r="D25" s="87"/>
      <c r="E25" s="87"/>
      <c r="F25" s="89">
        <f>+Model_Pump!F24</f>
        <v>8</v>
      </c>
      <c r="G25" s="11"/>
      <c r="H25" s="11"/>
      <c r="I25" s="11"/>
      <c r="J25" s="11"/>
      <c r="K25" s="11"/>
      <c r="L25" s="254"/>
      <c r="M25" s="254"/>
      <c r="N25" s="254"/>
      <c r="O25" s="254"/>
      <c r="P25" s="254"/>
      <c r="Q25" s="254"/>
      <c r="R25" s="254"/>
      <c r="S25" s="11"/>
    </row>
    <row r="26" spans="2:19">
      <c r="B26" s="77" t="s">
        <v>13</v>
      </c>
      <c r="C26" s="96" t="s">
        <v>12</v>
      </c>
      <c r="D26" s="77" t="s">
        <v>11</v>
      </c>
      <c r="E26" s="77" t="s">
        <v>7</v>
      </c>
      <c r="F26" s="77" t="s">
        <v>229</v>
      </c>
      <c r="G26" s="77" t="str">
        <f>+$G$18</f>
        <v>Chillers On</v>
      </c>
      <c r="H26" s="77" t="s">
        <v>14</v>
      </c>
      <c r="I26" s="11"/>
      <c r="J26" s="11"/>
      <c r="K26" s="11"/>
      <c r="L26" s="11"/>
      <c r="M26" s="11"/>
      <c r="N26" s="11"/>
      <c r="O26" s="11"/>
      <c r="P26" s="11"/>
      <c r="Q26" s="11"/>
      <c r="R26" s="11"/>
      <c r="S26" s="11"/>
    </row>
    <row r="27" spans="2:19">
      <c r="B27" s="20">
        <v>100</v>
      </c>
      <c r="C27" s="270">
        <f>+Model_Energy!$E$10*100</f>
        <v>5</v>
      </c>
      <c r="D27" s="62">
        <f>+Model_Energy!$F$14*C27*0.01</f>
        <v>747.7572739187417</v>
      </c>
      <c r="E27" s="62">
        <f>+Model_Pump!E26</f>
        <v>3000</v>
      </c>
      <c r="F27" s="62">
        <f>+E27*$F$25/24</f>
        <v>1000</v>
      </c>
      <c r="G27" s="62">
        <f>+IF(E27/(Model_Pump!$E$8/Model_Home!$L$14)&gt;Model_Home!$L$14,Model_Home!$L$14,E27/(Model_Pump!$E$8/Model_Home!$L$14))</f>
        <v>4</v>
      </c>
      <c r="H27" s="62">
        <f>IF($F$13=$L$14,ROUNDUP(G27,0)*(Model_Home!$L$13/Model_Home!$L$14)*(IF(Model_Home!$N$9=$L$11,N($F$7),0)+IF(Model_Home!$J$9=$M$11,$F$8,0)+$F$10+$F$11)+IF(Model_Home!$J$9=$M$11,$F$9,0)*MIN(E27*Model_Home!$L$20/24,Model_Home!$L$13),ROUNDDOWN(G27,0)*(Model_Home!$L$13/Model_Home!$L$14)*$F$12+(G27-ROUNDDOWN(G27,0))*(Model_Home!$L$13/Model_Home!$L$14)*$F$12*(1+$F$15))</f>
        <v>199.0151515151515</v>
      </c>
      <c r="I27" s="77" t="str">
        <f>+I19</f>
        <v>Chiller costs</v>
      </c>
      <c r="J27" s="243">
        <f>J30*Model_Home!$L$12</f>
        <v>249762.82562730843</v>
      </c>
      <c r="K27" s="11"/>
      <c r="L27" s="11"/>
      <c r="M27" s="11"/>
      <c r="N27" s="11"/>
      <c r="O27" s="11"/>
      <c r="P27" s="11"/>
      <c r="Q27" s="11"/>
      <c r="R27" s="11"/>
      <c r="S27" s="11"/>
    </row>
    <row r="28" spans="2:19">
      <c r="B28" s="20">
        <v>75</v>
      </c>
      <c r="C28" s="270">
        <f>+Model_Energy!$E$11*100</f>
        <v>15</v>
      </c>
      <c r="D28" s="62">
        <f>+Model_Energy!$F$14*C28*0.01</f>
        <v>2243.2718217562251</v>
      </c>
      <c r="E28" s="62">
        <f>+Model_Pump!E27</f>
        <v>3000</v>
      </c>
      <c r="F28" s="62">
        <f>+E28*$F$25/24</f>
        <v>1000</v>
      </c>
      <c r="G28" s="62">
        <f>+IF(E28/(Model_Pump!$E$8/Model_Home!$L$14)&gt;Model_Home!$L$14,Model_Home!$L$14,E28/(Model_Pump!$E$8/Model_Home!$L$14))</f>
        <v>4</v>
      </c>
      <c r="H28" s="62">
        <f>IF($F$13=$L$14,ROUNDUP(G28,0)*(Model_Home!$L$13/Model_Home!$L$14)*(IF(Model_Home!$N$9=$L$11,N($F$7),0)+IF(Model_Home!$J$9=$M$11,$F$8,0)+$F$10+$F$11)+IF(Model_Home!$J$9=$M$11,$F$9,0)*MIN(E28*Model_Home!$L$20/24,Model_Home!$L$13),ROUNDDOWN(G28,0)*(Model_Home!$L$13/Model_Home!$L$14)*$F$12+(G28-ROUNDDOWN(G28,0))*(Model_Home!$L$13/Model_Home!$L$14)*$F$12*(1+$F$15))</f>
        <v>199.0151515151515</v>
      </c>
      <c r="I28" s="77" t="str">
        <f>+I20</f>
        <v>Avg Tonnage</v>
      </c>
      <c r="J28" s="64">
        <f>+((F27*D27)+(F28*D28)+(F29*D29)+(F30*D30))/Model_Energy!$F$14</f>
        <v>668.74999999999989</v>
      </c>
      <c r="K28" s="11"/>
      <c r="L28" s="11"/>
      <c r="M28" s="11"/>
      <c r="N28" s="11"/>
      <c r="O28" s="11"/>
      <c r="P28" s="11"/>
      <c r="Q28" s="11"/>
      <c r="R28" s="11"/>
      <c r="S28" s="11"/>
    </row>
    <row r="29" spans="2:19">
      <c r="B29" s="20">
        <v>50</v>
      </c>
      <c r="C29" s="270">
        <f>+Model_Energy!$E$12*100</f>
        <v>45</v>
      </c>
      <c r="D29" s="62">
        <f>+Model_Energy!$F$14*C29*0.01</f>
        <v>6729.8154652686753</v>
      </c>
      <c r="E29" s="62">
        <f>+Model_Pump!E28</f>
        <v>2250</v>
      </c>
      <c r="F29" s="62">
        <f>+E29*$F$25/24</f>
        <v>750</v>
      </c>
      <c r="G29" s="62">
        <f>+IF(E29/(Model_Pump!$E$8/Model_Home!$L$14)&gt;Model_Home!$L$14,Model_Home!$L$14,E29/(Model_Pump!$E$8/Model_Home!$L$14))</f>
        <v>3</v>
      </c>
      <c r="H29" s="62">
        <f>IF($F$13=$L$14,ROUNDUP(G29,0)*(Model_Home!$L$13/Model_Home!$L$14)*(IF(Model_Home!$N$9=$L$11,N($F$7),0)+IF(Model_Home!$J$9=$M$11,$F$8,0)+$F$10+$F$11)+IF(Model_Home!$J$9=$M$11,$F$9,0)*MIN(E29*Model_Home!$L$20/24,Model_Home!$L$13),ROUNDDOWN(G29,0)*(Model_Home!$L$13/Model_Home!$L$14)*$F$12+(G29-ROUNDDOWN(G29,0))*(Model_Home!$L$13/Model_Home!$L$14)*$F$12*(1+$F$15))</f>
        <v>149.26136363636363</v>
      </c>
      <c r="I29" s="77" t="str">
        <f>+I21</f>
        <v>Plant kW/ton</v>
      </c>
      <c r="J29" s="244">
        <f>+J30/Model_Energy!$F$14/J28</f>
        <v>0.20810960067969414</v>
      </c>
      <c r="K29" s="11"/>
      <c r="L29" s="11"/>
      <c r="M29" s="11"/>
      <c r="N29" s="11"/>
      <c r="O29" s="11"/>
      <c r="P29" s="11"/>
      <c r="Q29" s="11"/>
      <c r="R29" s="11"/>
      <c r="S29" s="11"/>
    </row>
    <row r="30" spans="2:19">
      <c r="B30" s="20">
        <v>25</v>
      </c>
      <c r="C30" s="270">
        <f>+Model_Energy!$E$13*100</f>
        <v>35</v>
      </c>
      <c r="D30" s="62">
        <f>+Model_Energy!$F$14*C30*0.01</f>
        <v>5234.3009174311919</v>
      </c>
      <c r="E30" s="62">
        <f>+Model_Pump!E29</f>
        <v>1125</v>
      </c>
      <c r="F30" s="62">
        <f>+E30*$F$25/24</f>
        <v>375</v>
      </c>
      <c r="G30" s="62">
        <f>+IF(E30/(Model_Pump!$E$8/Model_Home!$L$14)&gt;Model_Home!$L$14,Model_Home!$L$14,E30/(Model_Pump!$E$8/Model_Home!$L$14))</f>
        <v>1.5</v>
      </c>
      <c r="H30" s="62">
        <f>IF($F$13=$L$14,ROUNDUP(G30,0)*(Model_Home!$L$13/Model_Home!$L$14)*(IF(Model_Home!$N$9=$L$11,N($F$7),0)+IF(Model_Home!$J$9=$M$11,$F$8,0)+$F$10+$F$11)+IF(Model_Home!$J$9=$M$11,$F$9,0)*MIN(E30*Model_Home!$L$20/24,Model_Home!$L$13),ROUNDDOWN(G30,0)*(Model_Home!$L$13/Model_Home!$L$14)*$F$12+(G30-ROUNDDOWN(G30,0))*(Model_Home!$L$13/Model_Home!$L$14)*$F$12*(1+$F$15))</f>
        <v>92.007575757575751</v>
      </c>
      <c r="I30" s="77" t="str">
        <f>+I22</f>
        <v>Energy [kWh]</v>
      </c>
      <c r="J30" s="64">
        <f>SUMPRODUCT(D27:D30,H27:H30)</f>
        <v>2081356.8802275702</v>
      </c>
      <c r="K30" s="11"/>
      <c r="L30" s="11"/>
      <c r="M30" s="266"/>
      <c r="N30" s="11"/>
      <c r="O30" s="11"/>
      <c r="P30" s="11"/>
      <c r="Q30" s="11"/>
      <c r="R30" s="11"/>
      <c r="S30" s="11"/>
    </row>
    <row r="31" spans="2:19">
      <c r="B31" s="11"/>
      <c r="C31" s="11"/>
      <c r="D31" s="11"/>
      <c r="E31" s="11"/>
      <c r="F31" s="11"/>
      <c r="G31" s="11"/>
      <c r="H31" s="11"/>
      <c r="I31" s="11"/>
      <c r="J31" s="11"/>
      <c r="K31" s="11"/>
      <c r="L31" s="11"/>
      <c r="M31" s="11"/>
      <c r="N31" s="11"/>
      <c r="O31" s="11"/>
      <c r="P31" s="11"/>
      <c r="Q31" s="11"/>
      <c r="R31" s="11"/>
      <c r="S31" s="11"/>
    </row>
    <row r="32" spans="2:19">
      <c r="B32" s="11"/>
      <c r="C32" s="11"/>
      <c r="D32" s="11"/>
      <c r="E32" s="11"/>
      <c r="F32" s="11"/>
      <c r="G32" s="11"/>
      <c r="H32" s="11"/>
      <c r="I32" s="11"/>
      <c r="J32" s="11"/>
      <c r="K32" s="11"/>
      <c r="L32" s="11"/>
      <c r="M32" s="11"/>
      <c r="N32" s="11"/>
      <c r="O32" s="11"/>
      <c r="P32" s="11"/>
      <c r="Q32" s="11"/>
      <c r="R32" s="11"/>
      <c r="S32" s="11"/>
    </row>
    <row r="33" spans="2:19">
      <c r="B33" s="87" t="s">
        <v>199</v>
      </c>
      <c r="C33" s="87"/>
      <c r="D33" s="87"/>
      <c r="E33" s="87"/>
      <c r="F33" s="89">
        <f>+Model_Pump!F31</f>
        <v>10</v>
      </c>
      <c r="G33" s="11"/>
      <c r="H33" s="11"/>
      <c r="I33" s="11"/>
      <c r="J33" s="11"/>
      <c r="K33" s="11"/>
      <c r="L33" s="11"/>
      <c r="M33" s="11"/>
      <c r="N33" s="11"/>
      <c r="O33" s="11"/>
      <c r="P33" s="11"/>
      <c r="Q33" s="11"/>
      <c r="R33" s="11"/>
      <c r="S33" s="11"/>
    </row>
    <row r="34" spans="2:19">
      <c r="B34" s="77" t="s">
        <v>13</v>
      </c>
      <c r="C34" s="96" t="s">
        <v>12</v>
      </c>
      <c r="D34" s="77" t="s">
        <v>11</v>
      </c>
      <c r="E34" s="77" t="s">
        <v>7</v>
      </c>
      <c r="F34" s="77" t="s">
        <v>229</v>
      </c>
      <c r="G34" s="77" t="str">
        <f>+$G$18</f>
        <v>Chillers On</v>
      </c>
      <c r="H34" s="77" t="s">
        <v>14</v>
      </c>
      <c r="I34" s="77"/>
      <c r="J34" s="11"/>
      <c r="K34" s="11"/>
      <c r="L34" s="11"/>
      <c r="M34" s="11"/>
      <c r="N34" s="11"/>
      <c r="O34" s="11"/>
      <c r="P34" s="11"/>
      <c r="Q34" s="11"/>
      <c r="R34" s="11"/>
      <c r="S34" s="11"/>
    </row>
    <row r="35" spans="2:19">
      <c r="B35" s="20">
        <v>100</v>
      </c>
      <c r="C35" s="270">
        <f>+Model_Energy!$E$10*100</f>
        <v>5</v>
      </c>
      <c r="D35" s="62">
        <f>+Model_Energy!$F$14*C35*0.01</f>
        <v>747.7572739187417</v>
      </c>
      <c r="E35" s="62">
        <f>+Model_Pump!E33</f>
        <v>3000</v>
      </c>
      <c r="F35" s="62">
        <f>+E35*$F$33/24</f>
        <v>1250</v>
      </c>
      <c r="G35" s="62">
        <f>+IF(E35/(Model_Pump!$E$8/Model_Home!$L$14)&gt;Model_Home!$L$14,Model_Home!$L$14,E35/(Model_Pump!$E$8/Model_Home!$L$14))</f>
        <v>4</v>
      </c>
      <c r="H35" s="62">
        <f>IF($F$13=$L$14,ROUNDUP(G35,0)*(Model_Home!$L$13/Model_Home!$L$14)*(IF(Model_Home!$N$9=$L$11,N($F$7),0)+IF(Model_Home!$J$9=$M$11,$F$8,0)+$F$10+$F$11)+IF(Model_Home!$J$9=$M$11,$F$9,0)*MIN(E35*Model_Home!$L$20/24,Model_Home!$L$13),ROUNDDOWN(G35,0)*(Model_Home!$L$13/Model_Home!$L$14)*$F$12+(G35-ROUNDDOWN(G35,0))*(Model_Home!$L$13/Model_Home!$L$14)*$F$12*(1+$F$15))</f>
        <v>199.0151515151515</v>
      </c>
      <c r="I35" s="77" t="str">
        <f>+I19</f>
        <v>Chiller costs</v>
      </c>
      <c r="J35" s="243">
        <f>J38*Model_Home!$L$12</f>
        <v>240071.21156064115</v>
      </c>
      <c r="K35" s="11"/>
      <c r="L35" s="11"/>
      <c r="M35" s="11"/>
      <c r="N35" s="11"/>
      <c r="O35" s="11"/>
      <c r="P35" s="11"/>
      <c r="Q35" s="11"/>
      <c r="R35" s="11"/>
      <c r="S35" s="11"/>
    </row>
    <row r="36" spans="2:19">
      <c r="B36" s="20">
        <v>75</v>
      </c>
      <c r="C36" s="270">
        <f>+Model_Energy!$E$11*100</f>
        <v>15</v>
      </c>
      <c r="D36" s="62">
        <f>+Model_Energy!$F$14*C36*0.01</f>
        <v>2243.2718217562251</v>
      </c>
      <c r="E36" s="62">
        <f>+Model_Pump!E34</f>
        <v>2700</v>
      </c>
      <c r="F36" s="62">
        <f>+E36*$F$33/24</f>
        <v>1125</v>
      </c>
      <c r="G36" s="62">
        <f>+IF(E36/(Model_Pump!$E$8/Model_Home!$L$14)&gt;Model_Home!$L$14,Model_Home!$L$14,E36/(Model_Pump!$E$8/Model_Home!$L$14))</f>
        <v>3.6</v>
      </c>
      <c r="H36" s="62">
        <f>IF($F$13=$L$14,ROUNDUP(G36,0)*(Model_Home!$L$13/Model_Home!$L$14)*(IF(Model_Home!$N$9=$L$11,N($F$7),0)+IF(Model_Home!$J$9=$M$11,$F$8,0)+$F$10+$F$11)+IF(Model_Home!$J$9=$M$11,$F$9,0)*MIN(E36*Model_Home!$L$20/24,Model_Home!$L$13),ROUNDDOWN(G36,0)*(Model_Home!$L$13/Model_Home!$L$14)*$F$12+(G36-ROUNDDOWN(G36,0))*(Model_Home!$L$13/Model_Home!$L$14)*$F$12*(1+$F$15))</f>
        <v>193.0151515151515</v>
      </c>
      <c r="I36" s="77" t="str">
        <f>+I20</f>
        <v>Avg Tonnage</v>
      </c>
      <c r="J36" s="64">
        <f>+((F35*D35)+(F36*D36)+(F37*D37)+(F38*D38))/Model_Energy!$F$14</f>
        <v>723.42960838455724</v>
      </c>
      <c r="K36" s="11"/>
      <c r="L36" s="11"/>
      <c r="M36" s="11"/>
      <c r="N36" s="11"/>
      <c r="O36" s="11"/>
      <c r="P36" s="11"/>
      <c r="Q36" s="11"/>
      <c r="R36" s="11"/>
      <c r="S36" s="11"/>
    </row>
    <row r="37" spans="2:19">
      <c r="B37" s="20">
        <v>50</v>
      </c>
      <c r="C37" s="270">
        <f>+Model_Energy!$E$12*100</f>
        <v>45</v>
      </c>
      <c r="D37" s="62">
        <f>+Model_Energy!$F$14*C37*0.01</f>
        <v>6729.8154652686753</v>
      </c>
      <c r="E37" s="62">
        <f>+Model_Pump!E35</f>
        <v>1800</v>
      </c>
      <c r="F37" s="62">
        <f>+E37*$F$33/24</f>
        <v>750</v>
      </c>
      <c r="G37" s="62">
        <f>+IF(E37/(Model_Pump!$E$8/Model_Home!$L$14)&gt;Model_Home!$L$14,Model_Home!$L$14,E37/(Model_Pump!$E$8/Model_Home!$L$14))</f>
        <v>2.4</v>
      </c>
      <c r="H37" s="62">
        <f>IF($F$13=$L$14,ROUNDUP(G37,0)*(Model_Home!$L$13/Model_Home!$L$14)*(IF(Model_Home!$N$9=$L$11,N($F$7),0)+IF(Model_Home!$J$9=$M$11,$F$8,0)+$F$10+$F$11)+IF(Model_Home!$J$9=$M$11,$F$9,0)*MIN(E37*Model_Home!$L$20/24,Model_Home!$L$13),ROUNDDOWN(G37,0)*(Model_Home!$L$13/Model_Home!$L$14)*$F$12+(G37-ROUNDDOWN(G37,0))*(Model_Home!$L$13/Model_Home!$L$14)*$F$12*(1+$F$15))</f>
        <v>140.26136363636363</v>
      </c>
      <c r="I37" s="77" t="str">
        <f>+I21</f>
        <v>Plant kW/ton</v>
      </c>
      <c r="J37" s="244">
        <f>+J38/Model_Energy!$F$14/J36</f>
        <v>0.18491490409927186</v>
      </c>
      <c r="K37" s="11"/>
      <c r="L37" s="11"/>
      <c r="M37" s="11"/>
      <c r="N37" s="11"/>
      <c r="O37" s="11"/>
      <c r="P37" s="11"/>
      <c r="Q37" s="11"/>
      <c r="R37" s="11"/>
      <c r="S37" s="11"/>
    </row>
    <row r="38" spans="2:19">
      <c r="B38" s="20">
        <v>25</v>
      </c>
      <c r="C38" s="270">
        <f>+Model_Energy!$E$13*100</f>
        <v>35</v>
      </c>
      <c r="D38" s="62">
        <f>+Model_Energy!$F$14*C38*0.01</f>
        <v>5234.3009174311919</v>
      </c>
      <c r="E38" s="62">
        <f>+Model_Pump!E36</f>
        <v>1060.6601717798214</v>
      </c>
      <c r="F38" s="62">
        <f>+E38*$F$33/24</f>
        <v>441.94173824159225</v>
      </c>
      <c r="G38" s="62">
        <f>+IF(E38/(Model_Pump!$E$8/Model_Home!$L$14)&gt;Model_Home!$L$14,Model_Home!$L$14,E38/(Model_Pump!$E$8/Model_Home!$L$14))</f>
        <v>1.4142135623730951</v>
      </c>
      <c r="H38" s="62">
        <f>IF($F$13=$L$14,ROUNDUP(G38,0)*(Model_Home!$L$13/Model_Home!$L$14)*(IF(Model_Home!$N$9=$L$11,N($F$7),0)+IF(Model_Home!$J$9=$M$11,$F$8,0)+$F$10+$F$11)+IF(Model_Home!$J$9=$M$11,$F$9,0)*MIN(E38*Model_Home!$L$20/24,Model_Home!$L$13),ROUNDDOWN(G38,0)*(Model_Home!$L$13/Model_Home!$L$14)*$F$12+(G38-ROUNDDOWN(G38,0))*(Model_Home!$L$13/Model_Home!$L$14)*$F$12*(1+$F$15))</f>
        <v>90.720779193172177</v>
      </c>
      <c r="I38" s="77" t="str">
        <f>+I22</f>
        <v>Energy [kWh]</v>
      </c>
      <c r="J38" s="64">
        <f>SUMPRODUCT(D35:D38,H35:H38)</f>
        <v>2000593.4296720098</v>
      </c>
      <c r="K38" s="11"/>
      <c r="L38" s="11"/>
      <c r="M38" s="11"/>
      <c r="N38" s="11"/>
      <c r="O38" s="11"/>
      <c r="P38" s="11"/>
      <c r="Q38" s="11"/>
      <c r="R38" s="11"/>
      <c r="S38" s="11"/>
    </row>
    <row r="39" spans="2:19">
      <c r="B39" s="11"/>
      <c r="C39" s="11"/>
      <c r="D39" s="11"/>
      <c r="E39" s="11"/>
      <c r="F39" s="11"/>
      <c r="G39" s="11"/>
      <c r="H39" s="11"/>
      <c r="I39" s="11"/>
      <c r="J39" s="11"/>
      <c r="K39" s="11"/>
      <c r="L39" s="11"/>
      <c r="M39" s="11"/>
      <c r="N39" s="11"/>
      <c r="O39" s="11"/>
      <c r="P39" s="11"/>
      <c r="Q39" s="11"/>
      <c r="R39" s="11"/>
      <c r="S39" s="11"/>
    </row>
    <row r="40" spans="2:19">
      <c r="B40" s="11"/>
      <c r="C40" s="11"/>
      <c r="D40" s="11"/>
      <c r="E40" s="11"/>
      <c r="F40" s="11"/>
      <c r="G40" s="11"/>
      <c r="H40" s="11"/>
      <c r="I40" s="11"/>
      <c r="J40" s="11"/>
      <c r="K40" s="11"/>
      <c r="L40" s="11"/>
      <c r="M40" s="11"/>
      <c r="N40" s="11"/>
      <c r="O40" s="11"/>
      <c r="P40" s="11"/>
      <c r="Q40" s="11"/>
      <c r="R40" s="11"/>
      <c r="S40" s="11"/>
    </row>
    <row r="41" spans="2:19">
      <c r="B41" s="87" t="s">
        <v>199</v>
      </c>
      <c r="C41" s="87"/>
      <c r="D41" s="87"/>
      <c r="E41" s="87"/>
      <c r="F41" s="89">
        <f>+Model_Pump!F38</f>
        <v>12</v>
      </c>
      <c r="G41" s="11"/>
      <c r="H41" s="11"/>
      <c r="I41" s="11"/>
      <c r="J41" s="11"/>
      <c r="K41" s="11"/>
      <c r="L41" s="11"/>
      <c r="M41" s="11"/>
      <c r="N41" s="11"/>
      <c r="O41" s="11"/>
      <c r="P41" s="11"/>
      <c r="Q41" s="11"/>
      <c r="R41" s="11"/>
      <c r="S41" s="11"/>
    </row>
    <row r="42" spans="2:19">
      <c r="B42" s="77" t="s">
        <v>13</v>
      </c>
      <c r="C42" s="96" t="s">
        <v>12</v>
      </c>
      <c r="D42" s="77" t="s">
        <v>11</v>
      </c>
      <c r="E42" s="77" t="s">
        <v>7</v>
      </c>
      <c r="F42" s="77" t="s">
        <v>229</v>
      </c>
      <c r="G42" s="77" t="str">
        <f>+$G$18</f>
        <v>Chillers On</v>
      </c>
      <c r="H42" s="77" t="s">
        <v>14</v>
      </c>
      <c r="I42" s="77"/>
      <c r="J42" s="77"/>
      <c r="K42" s="77"/>
      <c r="L42" s="77"/>
      <c r="M42" s="11"/>
      <c r="N42" s="11"/>
      <c r="O42" s="11"/>
      <c r="P42" s="11"/>
      <c r="Q42" s="11"/>
      <c r="R42" s="11"/>
      <c r="S42" s="11"/>
    </row>
    <row r="43" spans="2:19">
      <c r="B43" s="20">
        <v>100</v>
      </c>
      <c r="C43" s="270">
        <f>+Model_Energy!$E$10*100</f>
        <v>5</v>
      </c>
      <c r="D43" s="62">
        <f>+Model_Energy!$F$14*C43*0.01</f>
        <v>747.7572739187417</v>
      </c>
      <c r="E43" s="62">
        <f>+Model_Pump!E40</f>
        <v>3000</v>
      </c>
      <c r="F43" s="62">
        <f>+E43*$F$41/24</f>
        <v>1500</v>
      </c>
      <c r="G43" s="62">
        <f>+IF(E43/(Model_Pump!$E$8/Model_Home!$L$14)&gt;Model_Home!$L$14,Model_Home!$L$14,E43/(Model_Pump!$E$8/Model_Home!$L$14))</f>
        <v>4</v>
      </c>
      <c r="H43" s="62">
        <f>IF($F$13=$L$14,ROUNDUP(G43,0)*(Model_Home!$L$13/Model_Home!$L$14)*(IF(Model_Home!$N$9=$L$11,N($F$7),0)+IF(Model_Home!$J$9=$M$11,$F$8,0)+$F$10+$F$11)+IF(Model_Home!$J$9=$M$11,$F$9,0)*MIN(E43*Model_Home!$L$20/24,Model_Home!$L$13),ROUNDDOWN(G43,0)*(Model_Home!$L$13/Model_Home!$L$14)*$F$12+(G43-ROUNDDOWN(G43,0))*(Model_Home!$L$13/Model_Home!$L$14)*$F$12*(1+$F$15))</f>
        <v>199.0151515151515</v>
      </c>
      <c r="I43" s="77" t="str">
        <f>+I19</f>
        <v>Chiller costs</v>
      </c>
      <c r="J43" s="243">
        <f>J46*Model_Home!$L$12</f>
        <v>195381.15819521758</v>
      </c>
      <c r="K43" s="11"/>
      <c r="L43" s="11"/>
      <c r="M43" s="11"/>
      <c r="N43" s="11"/>
      <c r="O43" s="11"/>
      <c r="P43" s="11"/>
      <c r="Q43" s="11"/>
      <c r="R43" s="11"/>
      <c r="S43" s="11"/>
    </row>
    <row r="44" spans="2:19">
      <c r="B44" s="20">
        <v>75</v>
      </c>
      <c r="C44" s="270">
        <f>+Model_Energy!$E$11*100</f>
        <v>15</v>
      </c>
      <c r="D44" s="62">
        <f>+Model_Energy!$F$14*C44*0.01</f>
        <v>2243.2718217562251</v>
      </c>
      <c r="E44" s="62">
        <f>+Model_Pump!E41</f>
        <v>2250</v>
      </c>
      <c r="F44" s="62">
        <f>+E44*$F$41/24</f>
        <v>1125</v>
      </c>
      <c r="G44" s="62">
        <f>+IF(E44/(Model_Pump!$E$8/Model_Home!$L$14)&gt;Model_Home!$L$14,Model_Home!$L$14,E44/(Model_Pump!$E$8/Model_Home!$L$14))</f>
        <v>3</v>
      </c>
      <c r="H44" s="62">
        <f>IF($F$13=$L$14,ROUNDUP(G44,0)*(Model_Home!$L$13/Model_Home!$L$14)*(IF(Model_Home!$N$9=$L$11,N($F$7),0)+IF(Model_Home!$J$9=$M$11,$F$8,0)+$F$10+$F$11)+IF(Model_Home!$J$9=$M$11,$F$9,0)*MIN(E44*Model_Home!$L$20/24,Model_Home!$L$13),ROUNDDOWN(G44,0)*(Model_Home!$L$13/Model_Home!$L$14)*$F$12+(G44-ROUNDDOWN(G44,0))*(Model_Home!$L$13/Model_Home!$L$14)*$F$12*(1+$F$15))</f>
        <v>149.26136363636363</v>
      </c>
      <c r="I44" s="77" t="str">
        <f>+I20</f>
        <v>Avg Tonnage</v>
      </c>
      <c r="J44" s="64">
        <f>+((F43*D43)+(F44*D44)+(F45*D45)+(F46*D46))/Model_Energy!$F$14</f>
        <v>766.86553006146869</v>
      </c>
      <c r="K44" s="11"/>
      <c r="L44" s="11"/>
      <c r="M44" s="11"/>
      <c r="N44" s="11"/>
      <c r="O44" s="11"/>
      <c r="P44" s="11"/>
      <c r="Q44" s="11"/>
      <c r="R44" s="11"/>
      <c r="S44" s="11"/>
    </row>
    <row r="45" spans="2:19">
      <c r="B45" s="20">
        <v>50</v>
      </c>
      <c r="C45" s="270">
        <f>+Model_Energy!$E$12*100</f>
        <v>45</v>
      </c>
      <c r="D45" s="62">
        <f>+Model_Energy!$F$14*C45*0.01</f>
        <v>6729.8154652686753</v>
      </c>
      <c r="E45" s="62">
        <f>+Model_Pump!E42</f>
        <v>1500</v>
      </c>
      <c r="F45" s="62">
        <f>+E45*$F$41/24</f>
        <v>750</v>
      </c>
      <c r="G45" s="62">
        <f>+IF(E45/(Model_Pump!$E$8/Model_Home!$L$14)&gt;Model_Home!$L$14,Model_Home!$L$14,E45/(Model_Pump!$E$8/Model_Home!$L$14))</f>
        <v>2</v>
      </c>
      <c r="H45" s="62">
        <f>IF($F$13=$L$14,ROUNDUP(G45,0)*(Model_Home!$L$13/Model_Home!$L$14)*(IF(Model_Home!$N$9=$L$11,N($F$7),0)+IF(Model_Home!$J$9=$M$11,$F$8,0)+$F$10+$F$11)+IF(Model_Home!$J$9=$M$11,$F$9,0)*MIN(E45*Model_Home!$L$20/24,Model_Home!$L$13),ROUNDDOWN(G45,0)*(Model_Home!$L$13/Model_Home!$L$14)*$F$12+(G45-ROUNDDOWN(G45,0))*(Model_Home!$L$13/Model_Home!$L$14)*$F$12*(1+$F$15))</f>
        <v>99.507575757575751</v>
      </c>
      <c r="I45" s="77" t="str">
        <f>+I21</f>
        <v>Plant kW/ton</v>
      </c>
      <c r="J45" s="244">
        <f>+J46/Model_Energy!$F$14/J44</f>
        <v>0.14196836298145368</v>
      </c>
      <c r="K45" s="11"/>
      <c r="L45" s="11"/>
      <c r="M45" s="11"/>
      <c r="N45" s="11"/>
      <c r="O45" s="11"/>
      <c r="P45" s="11"/>
      <c r="Q45" s="11"/>
      <c r="R45" s="11"/>
      <c r="S45" s="11"/>
    </row>
    <row r="46" spans="2:19">
      <c r="B46" s="20">
        <v>25</v>
      </c>
      <c r="C46" s="270">
        <f>+Model_Energy!$E$13*100</f>
        <v>35</v>
      </c>
      <c r="D46" s="62">
        <f>+Model_Energy!$F$14*C46*0.01</f>
        <v>5234.3009174311919</v>
      </c>
      <c r="E46" s="62">
        <f>+Model_Pump!E43</f>
        <v>1060.6601717798214</v>
      </c>
      <c r="F46" s="62">
        <f>+E46*$F$41/24</f>
        <v>530.33008588991072</v>
      </c>
      <c r="G46" s="62">
        <f>+IF(E46/(Model_Pump!$E$8/Model_Home!$L$14)&gt;Model_Home!$L$14,Model_Home!$L$14,E46/(Model_Pump!$E$8/Model_Home!$L$14))</f>
        <v>1.4142135623730951</v>
      </c>
      <c r="H46" s="62">
        <f>IF($F$13=$L$14,ROUNDUP(G46,0)*(Model_Home!$L$13/Model_Home!$L$14)*(IF(Model_Home!$N$9=$L$11,N($F$7),0)+IF(Model_Home!$J$9=$M$11,$F$8,0)+$F$10+$F$11)+IF(Model_Home!$J$9=$M$11,$F$9,0)*MIN(E46*Model_Home!$L$20/24,Model_Home!$L$13),ROUNDDOWN(G46,0)*(Model_Home!$L$13/Model_Home!$L$14)*$F$12+(G46-ROUNDDOWN(G46,0))*(Model_Home!$L$13/Model_Home!$L$14)*$F$12*(1+$F$15))</f>
        <v>90.720779193172177</v>
      </c>
      <c r="I46" s="77" t="str">
        <f>+I22</f>
        <v>Energy [kWh]</v>
      </c>
      <c r="J46" s="64">
        <f>SUMPRODUCT(D43:D46,H43:H46)</f>
        <v>1628176.31829348</v>
      </c>
      <c r="K46" s="11"/>
      <c r="L46" s="11"/>
      <c r="M46" s="11"/>
      <c r="N46" s="11"/>
      <c r="O46" s="11"/>
      <c r="P46" s="11"/>
      <c r="Q46" s="11"/>
      <c r="R46" s="11"/>
      <c r="S46" s="11"/>
    </row>
    <row r="47" spans="2:19">
      <c r="B47" s="11"/>
      <c r="C47" s="11"/>
      <c r="D47" s="11"/>
      <c r="E47" s="11"/>
      <c r="F47" s="11"/>
      <c r="G47" s="11"/>
      <c r="H47" s="11"/>
      <c r="I47" s="11"/>
      <c r="J47" s="11"/>
      <c r="K47" s="11"/>
      <c r="L47" s="11"/>
      <c r="M47" s="11"/>
      <c r="N47" s="11"/>
      <c r="O47" s="11"/>
      <c r="P47" s="11"/>
      <c r="Q47" s="11"/>
      <c r="R47" s="11"/>
      <c r="S47" s="11"/>
    </row>
    <row r="48" spans="2:19">
      <c r="B48" s="11"/>
      <c r="C48" s="11"/>
      <c r="D48" s="11"/>
      <c r="E48" s="11"/>
      <c r="F48" s="11"/>
      <c r="G48" s="11"/>
      <c r="H48" s="11"/>
      <c r="I48" s="11"/>
      <c r="J48" s="11"/>
      <c r="K48" s="11"/>
      <c r="L48" s="11"/>
      <c r="M48" s="11"/>
      <c r="N48" s="11"/>
      <c r="O48" s="11"/>
      <c r="P48" s="11"/>
      <c r="Q48" s="11"/>
      <c r="R48" s="11"/>
      <c r="S48" s="11"/>
    </row>
    <row r="49" spans="2:19">
      <c r="B49" s="87" t="s">
        <v>199</v>
      </c>
      <c r="C49" s="87"/>
      <c r="D49" s="87"/>
      <c r="E49" s="87"/>
      <c r="F49" s="89">
        <f>+Model_Pump!F45</f>
        <v>12</v>
      </c>
      <c r="G49" s="11"/>
      <c r="H49" s="11"/>
      <c r="I49" s="11"/>
      <c r="J49" s="11"/>
      <c r="K49" s="11"/>
      <c r="L49" s="11"/>
      <c r="M49" s="11"/>
      <c r="N49" s="11"/>
      <c r="O49" s="11"/>
      <c r="P49" s="11"/>
      <c r="Q49" s="11"/>
      <c r="R49" s="11"/>
      <c r="S49" s="11"/>
    </row>
    <row r="50" spans="2:19">
      <c r="B50" s="77" t="s">
        <v>13</v>
      </c>
      <c r="C50" s="96" t="s">
        <v>12</v>
      </c>
      <c r="D50" s="77" t="s">
        <v>11</v>
      </c>
      <c r="E50" s="77" t="s">
        <v>7</v>
      </c>
      <c r="F50" s="77" t="s">
        <v>229</v>
      </c>
      <c r="G50" s="77" t="str">
        <f>+$G$18</f>
        <v>Chillers On</v>
      </c>
      <c r="H50" s="77" t="s">
        <v>14</v>
      </c>
      <c r="I50" s="11"/>
      <c r="J50" s="77"/>
      <c r="K50" s="77"/>
      <c r="L50" s="77"/>
      <c r="M50" s="11"/>
      <c r="N50" s="11"/>
      <c r="O50" s="11"/>
      <c r="P50" s="11"/>
      <c r="Q50" s="11"/>
      <c r="R50" s="11"/>
      <c r="S50" s="11"/>
    </row>
    <row r="51" spans="2:19">
      <c r="B51" s="20">
        <v>100</v>
      </c>
      <c r="C51" s="270">
        <f>+Model_Energy!$E$10*100</f>
        <v>5</v>
      </c>
      <c r="D51" s="62">
        <f>+Model_Energy!$F$14*C51*0.01</f>
        <v>747.7572739187417</v>
      </c>
      <c r="E51" s="62">
        <f>+Model_Pump!E47</f>
        <v>3000</v>
      </c>
      <c r="F51" s="62">
        <f>+E51*$F$49/24</f>
        <v>1500</v>
      </c>
      <c r="G51" s="62">
        <f>+IF(E51/(Model_Pump!$E$8/Model_Home!$L$14)&gt;Model_Home!$L$14,Model_Home!$L$14,E51/(Model_Pump!$E$8/Model_Home!$L$14))</f>
        <v>4</v>
      </c>
      <c r="H51" s="62">
        <f>IF($F$13=$L$14,ROUNDUP(G51,0)*(Model_Home!$L$13/Model_Home!$L$14)*(IF(Model_Home!$N$9=$L$11,N($F$7),0)+IF(Model_Home!$J$9=$M$11,$F$8,0)+$F$10+$F$11)+IF(Model_Home!$J$9=$M$11,$F$9,0)*MIN(E51*Model_Home!$L$20/24,Model_Home!$L$13),ROUNDDOWN(G51,0)*(Model_Home!$L$13/Model_Home!$L$14)*$F$12+(G51-ROUNDDOWN(G51,0))*(Model_Home!$L$13/Model_Home!$L$14)*$F$12*(1+$F$15))</f>
        <v>199.0151515151515</v>
      </c>
      <c r="I51" s="77" t="str">
        <f>+I19</f>
        <v>Chiller costs</v>
      </c>
      <c r="J51" s="243">
        <f>J54*Model_Home!$L$12</f>
        <v>195381.15819521758</v>
      </c>
      <c r="K51" s="11"/>
      <c r="L51" s="11"/>
      <c r="M51" s="11"/>
      <c r="N51" s="11"/>
      <c r="O51" s="11"/>
      <c r="P51" s="11"/>
      <c r="Q51" s="11"/>
      <c r="R51" s="11"/>
      <c r="S51" s="11"/>
    </row>
    <row r="52" spans="2:19">
      <c r="B52" s="20">
        <v>75</v>
      </c>
      <c r="C52" s="270">
        <f>+Model_Energy!$E$11*100</f>
        <v>15</v>
      </c>
      <c r="D52" s="62">
        <f>+Model_Energy!$F$14*C52*0.01</f>
        <v>2243.2718217562251</v>
      </c>
      <c r="E52" s="62">
        <f>+Model_Pump!E48</f>
        <v>2250</v>
      </c>
      <c r="F52" s="62">
        <f>+E52*$F$49/24</f>
        <v>1125</v>
      </c>
      <c r="G52" s="62">
        <f>+IF(E52/(Model_Pump!$E$8/Model_Home!$L$14)&gt;Model_Home!$L$14,Model_Home!$L$14,E52/(Model_Pump!$E$8/Model_Home!$L$14))</f>
        <v>3</v>
      </c>
      <c r="H52" s="62">
        <f>IF($F$13=$L$14,ROUNDUP(G52,0)*(Model_Home!$L$13/Model_Home!$L$14)*(IF(Model_Home!$N$9=$L$11,N($F$7),0)+IF(Model_Home!$J$9=$M$11,$F$8,0)+$F$10+$F$11)+IF(Model_Home!$J$9=$M$11,$F$9,0)*MIN(E52*Model_Home!$L$20/24,Model_Home!$L$13),ROUNDDOWN(G52,0)*(Model_Home!$L$13/Model_Home!$L$14)*$F$12+(G52-ROUNDDOWN(G52,0))*(Model_Home!$L$13/Model_Home!$L$14)*$F$12*(1+$F$15))</f>
        <v>149.26136363636363</v>
      </c>
      <c r="I52" s="77" t="str">
        <f>+I20</f>
        <v>Avg Tonnage</v>
      </c>
      <c r="J52" s="62">
        <f>+((F51*D51)+(F52*D52)+(F53*D53)+(F54*D54))/Model_Energy!$F$14</f>
        <v>766.86553006146869</v>
      </c>
      <c r="K52" s="11"/>
      <c r="L52" s="11"/>
      <c r="M52" s="11"/>
      <c r="N52" s="11"/>
      <c r="O52" s="11"/>
      <c r="P52" s="11"/>
      <c r="Q52" s="11"/>
      <c r="R52" s="11"/>
      <c r="S52" s="11"/>
    </row>
    <row r="53" spans="2:19">
      <c r="B53" s="20">
        <v>50</v>
      </c>
      <c r="C53" s="270">
        <f>+Model_Energy!$E$12*100</f>
        <v>45</v>
      </c>
      <c r="D53" s="62">
        <f>+Model_Energy!$F$14*C53*0.01</f>
        <v>6729.8154652686753</v>
      </c>
      <c r="E53" s="62">
        <f>+Model_Pump!E49</f>
        <v>1500</v>
      </c>
      <c r="F53" s="62">
        <f>+E53*$F$49/24</f>
        <v>750</v>
      </c>
      <c r="G53" s="62">
        <f>+IF(E53/(Model_Pump!$E$8/Model_Home!$L$14)&gt;Model_Home!$L$14,Model_Home!$L$14,E53/(Model_Pump!$E$8/Model_Home!$L$14))</f>
        <v>2</v>
      </c>
      <c r="H53" s="62">
        <f>IF($F$13=$L$14,ROUNDUP(G53,0)*(Model_Home!$L$13/Model_Home!$L$14)*(IF(Model_Home!$N$9=$L$11,N($F$7),0)+IF(Model_Home!$J$9=$M$11,$F$8,0)+$F$10+$F$11)+IF(Model_Home!$J$9=$M$11,$F$9,0)*MIN(E53*Model_Home!$L$20/24,Model_Home!$L$13),ROUNDDOWN(G53,0)*(Model_Home!$L$13/Model_Home!$L$14)*$F$12+(G53-ROUNDDOWN(G53,0))*(Model_Home!$L$13/Model_Home!$L$14)*$F$12*(1+$F$15))</f>
        <v>99.507575757575751</v>
      </c>
      <c r="I53" s="77" t="str">
        <f>+I21</f>
        <v>Plant kW/ton</v>
      </c>
      <c r="J53" s="244">
        <f>+J54/Model_Energy!$F$14/J52</f>
        <v>0.14196836298145368</v>
      </c>
      <c r="K53" s="11"/>
      <c r="L53" s="11"/>
      <c r="M53" s="11"/>
      <c r="N53" s="11"/>
      <c r="O53" s="11"/>
      <c r="P53" s="11"/>
      <c r="Q53" s="11"/>
      <c r="R53" s="11"/>
      <c r="S53" s="11"/>
    </row>
    <row r="54" spans="2:19">
      <c r="B54" s="20">
        <v>25</v>
      </c>
      <c r="C54" s="270">
        <f>+Model_Energy!$E$13*100</f>
        <v>35</v>
      </c>
      <c r="D54" s="62">
        <f>+Model_Energy!$F$14*C54*0.01</f>
        <v>5234.3009174311919</v>
      </c>
      <c r="E54" s="62">
        <f>+Model_Pump!E50</f>
        <v>1060.6601717798214</v>
      </c>
      <c r="F54" s="62">
        <f>+E54*$F$49/24</f>
        <v>530.33008588991072</v>
      </c>
      <c r="G54" s="62">
        <f>+IF(E54/(Model_Pump!$E$8/Model_Home!$L$14)&gt;Model_Home!$L$14,Model_Home!$L$14,E54/(Model_Pump!$E$8/Model_Home!$L$14))</f>
        <v>1.4142135623730951</v>
      </c>
      <c r="H54" s="62">
        <f>IF($F$13=$L$14,ROUNDUP(G54,0)*(Model_Home!$L$13/Model_Home!$L$14)*(IF(Model_Home!$N$9=$L$11,N($F$7),0)+IF(Model_Home!$J$9=$M$11,$F$8,0)+$F$10+$F$11)+IF(Model_Home!$J$9=$M$11,$F$9,0)*MIN(E54*Model_Home!$L$20/24,Model_Home!$L$13),ROUNDDOWN(G54,0)*(Model_Home!$L$13/Model_Home!$L$14)*$F$12+(G54-ROUNDDOWN(G54,0))*(Model_Home!$L$13/Model_Home!$L$14)*$F$12*(1+$F$15))</f>
        <v>90.720779193172177</v>
      </c>
      <c r="I54" s="77" t="str">
        <f>+I22</f>
        <v>Energy [kWh]</v>
      </c>
      <c r="J54" s="64">
        <f>SUMPRODUCT(D51:D54,H51:H54)</f>
        <v>1628176.31829348</v>
      </c>
      <c r="K54" s="11"/>
      <c r="L54" s="11"/>
      <c r="M54" s="11"/>
      <c r="N54" s="11"/>
      <c r="O54" s="11"/>
      <c r="P54" s="11"/>
      <c r="Q54" s="11"/>
      <c r="R54" s="11"/>
      <c r="S54" s="11"/>
    </row>
    <row r="55" spans="2:19">
      <c r="B55" s="11"/>
      <c r="C55" s="11"/>
      <c r="D55" s="11"/>
      <c r="E55" s="11"/>
      <c r="F55" s="11"/>
      <c r="G55" s="11"/>
      <c r="H55" s="11"/>
      <c r="I55" s="11"/>
      <c r="J55" s="11"/>
      <c r="K55" s="11"/>
      <c r="L55" s="11"/>
      <c r="M55" s="11"/>
      <c r="N55" s="11"/>
      <c r="O55" s="11"/>
      <c r="P55" s="11"/>
      <c r="Q55" s="11"/>
      <c r="R55" s="11"/>
      <c r="S55" s="11"/>
    </row>
    <row r="56" spans="2:19">
      <c r="B56" s="11"/>
      <c r="C56" s="11"/>
      <c r="D56" s="11"/>
      <c r="E56" s="11"/>
      <c r="F56" s="11"/>
      <c r="G56" s="11"/>
      <c r="H56" s="11"/>
      <c r="I56" s="11"/>
      <c r="J56" s="11"/>
      <c r="K56" s="11"/>
      <c r="L56" s="11"/>
      <c r="M56" s="11"/>
      <c r="N56" s="11"/>
      <c r="O56" s="11"/>
      <c r="P56" s="11"/>
      <c r="Q56" s="11"/>
      <c r="R56" s="11"/>
      <c r="S56" s="11"/>
    </row>
    <row r="57" spans="2:19">
      <c r="B57" s="87" t="s">
        <v>199</v>
      </c>
      <c r="C57" s="87"/>
      <c r="D57" s="87"/>
      <c r="E57" s="87"/>
      <c r="F57" s="89">
        <f>+Model_Pump!F52</f>
        <v>14</v>
      </c>
      <c r="G57" s="11"/>
      <c r="H57" s="11"/>
      <c r="I57" s="11"/>
      <c r="J57" s="11"/>
      <c r="K57" s="11"/>
      <c r="L57" s="11"/>
      <c r="M57" s="11"/>
      <c r="N57" s="11"/>
      <c r="O57" s="11"/>
      <c r="P57" s="11"/>
      <c r="Q57" s="11"/>
      <c r="R57" s="11"/>
      <c r="S57" s="11"/>
    </row>
    <row r="58" spans="2:19">
      <c r="B58" s="77" t="s">
        <v>13</v>
      </c>
      <c r="C58" s="96" t="s">
        <v>12</v>
      </c>
      <c r="D58" s="77" t="s">
        <v>11</v>
      </c>
      <c r="E58" s="77" t="s">
        <v>7</v>
      </c>
      <c r="F58" s="77" t="s">
        <v>229</v>
      </c>
      <c r="G58" s="77" t="str">
        <f>+$G$18</f>
        <v>Chillers On</v>
      </c>
      <c r="H58" s="77" t="s">
        <v>14</v>
      </c>
      <c r="I58" s="77"/>
      <c r="J58" s="77"/>
      <c r="K58" s="77"/>
      <c r="L58" s="77"/>
      <c r="M58" s="11"/>
      <c r="N58" s="11"/>
      <c r="O58" s="11"/>
      <c r="P58" s="11"/>
      <c r="Q58" s="11"/>
      <c r="R58" s="11"/>
      <c r="S58" s="11"/>
    </row>
    <row r="59" spans="2:19" ht="15" thickBot="1">
      <c r="B59" s="20">
        <v>100</v>
      </c>
      <c r="C59" s="270">
        <f>+Model_Energy!$E$10*100</f>
        <v>5</v>
      </c>
      <c r="D59" s="62">
        <f>+Model_Energy!$F$14*C59*0.01</f>
        <v>747.7572739187417</v>
      </c>
      <c r="E59" s="62">
        <f>+Model_Pump!E54</f>
        <v>2571.4285714285716</v>
      </c>
      <c r="F59" s="62">
        <f>+E59*$F$57/24</f>
        <v>1500</v>
      </c>
      <c r="G59" s="62">
        <f>+IF(E59/(Model_Pump!$E$8/Model_Home!$L$14)&gt;Model_Home!$L$14,Model_Home!$L$14,E59/(Model_Pump!$E$8/Model_Home!$L$14))</f>
        <v>3.4285714285714288</v>
      </c>
      <c r="H59" s="62">
        <f>IF($F$13=$L$14,ROUNDUP(G59,0)*(Model_Home!$L$13/Model_Home!$L$14)*(IF(Model_Home!$N$9=$L$11,N($F$7),0)+IF(Model_Home!$J$9=$M$11,$F$8,0)+$F$10+$F$11)+IF(Model_Home!$J$9=$M$11,$F$9,0)*MIN(E59*Model_Home!$L$20/24,Model_Home!$L$13),ROUNDDOWN(G59,0)*(Model_Home!$L$13/Model_Home!$L$14)*$F$12+(G59-ROUNDDOWN(G59,0))*(Model_Home!$L$13/Model_Home!$L$14)*$F$12*(1+$F$15))</f>
        <v>190.44372294372295</v>
      </c>
      <c r="I59" s="77" t="str">
        <f>+I19</f>
        <v>Chiller costs</v>
      </c>
      <c r="J59" s="97">
        <f>J62*Model_Home!$L$12</f>
        <v>189420.46449740822</v>
      </c>
      <c r="K59" s="11"/>
      <c r="L59" s="11"/>
      <c r="M59" s="11"/>
      <c r="N59" s="11"/>
      <c r="O59" s="11"/>
      <c r="P59" s="11"/>
      <c r="Q59" s="11"/>
      <c r="R59" s="11"/>
      <c r="S59" s="11"/>
    </row>
    <row r="60" spans="2:19" ht="15" thickTop="1">
      <c r="B60" s="20">
        <v>75</v>
      </c>
      <c r="C60" s="270">
        <f>+Model_Energy!$E$11*100</f>
        <v>15</v>
      </c>
      <c r="D60" s="62">
        <f>+Model_Energy!$F$14*C60*0.01</f>
        <v>2243.2718217562251</v>
      </c>
      <c r="E60" s="62">
        <f>+Model_Pump!E55</f>
        <v>1928.5714285714287</v>
      </c>
      <c r="F60" s="62">
        <f>+E60*$F$57/24</f>
        <v>1125</v>
      </c>
      <c r="G60" s="62">
        <f>+IF(E60/(Model_Pump!$E$8/Model_Home!$L$14)&gt;Model_Home!$L$14,Model_Home!$L$14,E60/(Model_Pump!$E$8/Model_Home!$L$14))</f>
        <v>2.5714285714285716</v>
      </c>
      <c r="H60" s="62">
        <f>IF($F$13=$L$14,ROUNDUP(G60,0)*(Model_Home!$L$13/Model_Home!$L$14)*(IF(Model_Home!$N$9=$L$11,N($F$7),0)+IF(Model_Home!$J$9=$M$11,$F$8,0)+$F$10+$F$11)+IF(Model_Home!$J$9=$M$11,$F$9,0)*MIN(E60*Model_Home!$L$20/24,Model_Home!$L$13),ROUNDDOWN(G60,0)*(Model_Home!$L$13/Model_Home!$L$14)*$F$12+(G60-ROUNDDOWN(G60,0))*(Model_Home!$L$13/Model_Home!$L$14)*$F$12*(1+$F$15))</f>
        <v>142.83279220779221</v>
      </c>
      <c r="I60" s="77" t="str">
        <f>+I20</f>
        <v>Avg Tonnage</v>
      </c>
      <c r="J60" s="62">
        <f>+((F59*D59)+(F60*D60)+(F61*D61)+(F62*D62))/Model_Energy!$F$14</f>
        <v>797.80145173838014</v>
      </c>
      <c r="K60" s="11"/>
      <c r="L60" s="11"/>
      <c r="M60" s="11"/>
      <c r="N60" s="11"/>
      <c r="O60" s="11"/>
      <c r="P60" s="11"/>
      <c r="Q60" s="11"/>
      <c r="R60" s="11"/>
      <c r="S60" s="11"/>
    </row>
    <row r="61" spans="2:19">
      <c r="B61" s="20">
        <v>50</v>
      </c>
      <c r="C61" s="270">
        <f>+Model_Energy!$E$12*100</f>
        <v>45</v>
      </c>
      <c r="D61" s="62">
        <f>+Model_Energy!$F$14*C61*0.01</f>
        <v>6729.8154652686753</v>
      </c>
      <c r="E61" s="62">
        <f>+Model_Pump!E56</f>
        <v>1285.7142857142858</v>
      </c>
      <c r="F61" s="62">
        <f>+E61*$F$57/24</f>
        <v>750</v>
      </c>
      <c r="G61" s="62">
        <f>+IF(E61/(Model_Pump!$E$8/Model_Home!$L$14)&gt;Model_Home!$L$14,Model_Home!$L$14,E61/(Model_Pump!$E$8/Model_Home!$L$14))</f>
        <v>1.7142857142857144</v>
      </c>
      <c r="H61" s="62">
        <f>IF($F$13=$L$14,ROUNDUP(G61,0)*(Model_Home!$L$13/Model_Home!$L$14)*(IF(Model_Home!$N$9=$L$11,N($F$7),0)+IF(Model_Home!$J$9=$M$11,$F$8,0)+$F$10+$F$11)+IF(Model_Home!$J$9=$M$11,$F$9,0)*MIN(E61*Model_Home!$L$20/24,Model_Home!$L$13),ROUNDDOWN(G61,0)*(Model_Home!$L$13/Model_Home!$L$14)*$F$12+(G61-ROUNDDOWN(G61,0))*(Model_Home!$L$13/Model_Home!$L$14)*$F$12*(1+$F$15))</f>
        <v>95.221861471861473</v>
      </c>
      <c r="I61" s="77" t="str">
        <f>+I21</f>
        <v>Plant kW/ton</v>
      </c>
      <c r="J61" s="68">
        <f>+J62/Model_Energy!$F$14/J60</f>
        <v>0.13230010440356435</v>
      </c>
      <c r="K61" s="11"/>
      <c r="L61" s="11"/>
      <c r="M61" s="11"/>
      <c r="N61" s="11"/>
      <c r="O61" s="11"/>
      <c r="P61" s="11"/>
      <c r="Q61" s="11"/>
      <c r="R61" s="11"/>
      <c r="S61" s="11"/>
    </row>
    <row r="62" spans="2:19">
      <c r="B62" s="20">
        <v>25</v>
      </c>
      <c r="C62" s="270">
        <f>+Model_Energy!$E$13*100</f>
        <v>35</v>
      </c>
      <c r="D62" s="62">
        <f>+Model_Energy!$F$14*C62*0.01</f>
        <v>5234.3009174311919</v>
      </c>
      <c r="E62" s="62">
        <f>+Model_Pump!E57</f>
        <v>1060.6601717798214</v>
      </c>
      <c r="F62" s="62">
        <f>+E62*$F$57/24</f>
        <v>618.71843353822919</v>
      </c>
      <c r="G62" s="62">
        <f>+IF(E62/(Model_Pump!$E$8/Model_Home!$L$14)&gt;Model_Home!$L$14,Model_Home!$L$14,E62/(Model_Pump!$E$8/Model_Home!$L$14))</f>
        <v>1.4142135623730951</v>
      </c>
      <c r="H62" s="62">
        <f>IF($F$13=$L$14,ROUNDUP(G62,0)*(Model_Home!$L$13/Model_Home!$L$14)*(IF(Model_Home!$N$9=$L$11,N($F$7),0)+IF(Model_Home!$J$9=$M$11,$F$8,0)+$F$10+$F$11)+IF(Model_Home!$J$9=$M$11,$F$9,0)*MIN(E62*Model_Home!$L$20/24,Model_Home!$L$13),ROUNDDOWN(G62,0)*(Model_Home!$L$13/Model_Home!$L$14)*$F$12+(G62-ROUNDDOWN(G62,0))*(Model_Home!$L$13/Model_Home!$L$14)*$F$12*(1+$F$15))</f>
        <v>90.720779193172177</v>
      </c>
      <c r="I62" s="77" t="str">
        <f>+I22</f>
        <v>Energy [kWh]</v>
      </c>
      <c r="J62" s="64">
        <f>SUMPRODUCT(D59:D62,H59:H62)</f>
        <v>1578503.8708117353</v>
      </c>
      <c r="K62" s="11"/>
      <c r="L62" s="11"/>
      <c r="M62" s="11"/>
      <c r="N62" s="11"/>
      <c r="O62" s="11"/>
      <c r="P62" s="11"/>
      <c r="Q62" s="11"/>
      <c r="R62" s="11"/>
      <c r="S62" s="11"/>
    </row>
  </sheetData>
  <mergeCells count="1">
    <mergeCell ref="B12:E12"/>
  </mergeCells>
  <dataValidations count="1">
    <dataValidation type="decimal" allowBlank="1" showInputMessage="1" showErrorMessage="1" errorTitle="Entry Error" error="Value must be between 0% and 50%." sqref="F15" xr:uid="{64F66D61-60CD-4925-B7A8-67979675F0C5}">
      <formula1>0</formula1>
      <formula2>0.5</formula2>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A0D7D-CA97-4AB6-9FB5-573BC1631C32}">
  <sheetPr codeName="Sheet12"/>
  <dimension ref="B1:S59"/>
  <sheetViews>
    <sheetView workbookViewId="0"/>
  </sheetViews>
  <sheetFormatPr defaultRowHeight="14.4"/>
  <sheetData>
    <row r="1" spans="2:19">
      <c r="B1" s="57"/>
      <c r="C1" s="57"/>
      <c r="D1" s="57"/>
      <c r="E1" s="57"/>
      <c r="F1" s="57"/>
      <c r="G1" s="57"/>
      <c r="H1" s="57"/>
      <c r="I1" s="57"/>
      <c r="J1" s="57"/>
      <c r="K1" s="57"/>
      <c r="L1" s="57"/>
      <c r="M1" s="57"/>
      <c r="N1" s="57"/>
      <c r="O1" s="57"/>
      <c r="P1" s="57"/>
      <c r="Q1" s="57"/>
      <c r="R1" s="57"/>
      <c r="S1" s="57"/>
    </row>
    <row r="2" spans="2:19">
      <c r="B2" s="57"/>
      <c r="C2" s="57"/>
      <c r="D2" s="57"/>
      <c r="E2" s="57"/>
      <c r="F2" s="57"/>
      <c r="G2" s="57"/>
      <c r="H2" s="57"/>
      <c r="I2" s="57"/>
      <c r="J2" s="57"/>
      <c r="K2" s="57"/>
      <c r="L2" s="57"/>
      <c r="M2" s="57"/>
      <c r="N2" s="57"/>
      <c r="O2" s="57"/>
      <c r="P2" s="57"/>
      <c r="Q2" s="57"/>
      <c r="R2" s="57"/>
      <c r="S2" s="57"/>
    </row>
    <row r="3" spans="2:19" ht="15" thickBot="1">
      <c r="B3" s="58"/>
      <c r="C3" s="58"/>
      <c r="D3" s="58"/>
      <c r="E3" s="58"/>
      <c r="F3" s="58"/>
      <c r="G3" s="58"/>
      <c r="H3" s="58"/>
      <c r="I3" s="58"/>
      <c r="J3" s="58"/>
      <c r="K3" s="58"/>
      <c r="L3" s="58"/>
      <c r="M3" s="58"/>
      <c r="N3" s="58"/>
      <c r="O3" s="58"/>
      <c r="P3" s="58"/>
      <c r="Q3" s="58"/>
      <c r="R3" s="58"/>
      <c r="S3" s="58"/>
    </row>
    <row r="4" spans="2:19">
      <c r="B4" s="12"/>
      <c r="C4" s="12"/>
      <c r="D4" s="12"/>
      <c r="E4" s="12"/>
      <c r="F4" s="12"/>
      <c r="G4" s="12"/>
      <c r="H4" s="12"/>
      <c r="I4" s="12"/>
      <c r="J4" s="245" t="s">
        <v>93</v>
      </c>
      <c r="K4" s="12"/>
      <c r="L4" s="12"/>
      <c r="M4" s="12"/>
      <c r="N4" s="12"/>
      <c r="O4" s="12"/>
      <c r="P4" s="12"/>
      <c r="Q4" s="12"/>
      <c r="R4" s="12"/>
      <c r="S4" s="12"/>
    </row>
    <row r="5" spans="2:19">
      <c r="B5" s="95" t="s">
        <v>196</v>
      </c>
      <c r="C5" s="90"/>
      <c r="D5" s="90"/>
      <c r="E5" s="91"/>
      <c r="F5" s="235">
        <v>1</v>
      </c>
      <c r="G5" s="12"/>
      <c r="H5" s="12"/>
      <c r="I5" s="12"/>
      <c r="J5" s="242" t="s">
        <v>84</v>
      </c>
      <c r="K5" s="12"/>
      <c r="L5" s="12"/>
      <c r="M5" s="12"/>
      <c r="N5" s="12"/>
      <c r="O5" s="12"/>
      <c r="P5" s="12"/>
      <c r="Q5" s="12"/>
      <c r="R5" s="12"/>
      <c r="S5" s="12"/>
    </row>
    <row r="6" spans="2:19">
      <c r="B6" s="95" t="s">
        <v>135</v>
      </c>
      <c r="C6" s="90"/>
      <c r="D6" s="90"/>
      <c r="E6" s="91"/>
      <c r="F6" s="89">
        <f>+Model_Home!$L$20</f>
        <v>12</v>
      </c>
      <c r="G6" s="12"/>
      <c r="H6" s="530"/>
      <c r="I6" s="530"/>
      <c r="J6" s="12"/>
      <c r="K6" s="12"/>
      <c r="L6" s="12"/>
      <c r="M6" s="12"/>
      <c r="N6" s="12"/>
      <c r="O6" s="12"/>
      <c r="P6" s="12"/>
      <c r="Q6" s="12"/>
      <c r="R6" s="12"/>
      <c r="S6" s="12"/>
    </row>
    <row r="7" spans="2:19">
      <c r="B7" s="77" t="s">
        <v>13</v>
      </c>
      <c r="C7" s="96" t="s">
        <v>12</v>
      </c>
      <c r="D7" s="77" t="s">
        <v>11</v>
      </c>
      <c r="E7" s="77" t="s">
        <v>7</v>
      </c>
      <c r="F7" s="77" t="s">
        <v>23</v>
      </c>
      <c r="G7" s="77" t="s">
        <v>22</v>
      </c>
      <c r="H7" s="12"/>
      <c r="I7" s="12"/>
      <c r="J7" s="77" t="s">
        <v>14</v>
      </c>
      <c r="K7" s="12"/>
      <c r="L7" s="59"/>
      <c r="M7" s="12"/>
      <c r="N7" s="12"/>
      <c r="O7" s="12"/>
      <c r="P7" s="12"/>
      <c r="Q7" s="12"/>
      <c r="R7" s="12"/>
      <c r="S7" s="12"/>
    </row>
    <row r="8" spans="2:19">
      <c r="B8" s="20">
        <v>100</v>
      </c>
      <c r="C8" s="270">
        <f>+Model_Energy!E10*100</f>
        <v>5</v>
      </c>
      <c r="D8" s="62">
        <f>+Model_Energy!$F$14*C8*0.01</f>
        <v>747.7572739187417</v>
      </c>
      <c r="E8" s="62">
        <f>+Model_Home!$L$13*24/Model_Home!$L$20</f>
        <v>3000</v>
      </c>
      <c r="F8" s="62">
        <f>+Model_Home!L18</f>
        <v>80</v>
      </c>
      <c r="G8" s="85">
        <f>(E8*F8)/(3960*Model_Home!$L$19/100)</f>
        <v>75.757575757575751</v>
      </c>
      <c r="H8" s="77" t="s">
        <v>24</v>
      </c>
      <c r="I8" s="243">
        <f>I11*Model_Home!$L$12</f>
        <v>18763.189301448532</v>
      </c>
      <c r="J8" s="62">
        <f>G8*0.746</f>
        <v>56.515151515151508</v>
      </c>
      <c r="K8" s="12"/>
      <c r="L8" s="12"/>
      <c r="M8" s="12"/>
      <c r="N8" s="12"/>
      <c r="O8" s="12"/>
      <c r="P8" s="12"/>
      <c r="Q8" s="12"/>
      <c r="R8" s="12"/>
      <c r="S8" s="12"/>
    </row>
    <row r="9" spans="2:19">
      <c r="B9" s="20">
        <v>75</v>
      </c>
      <c r="C9" s="270">
        <f>+Model_Energy!E11*100</f>
        <v>15</v>
      </c>
      <c r="D9" s="62">
        <f>+Model_Energy!$F$14*C9*0.01</f>
        <v>2243.2718217562251</v>
      </c>
      <c r="E9" s="62">
        <f>+IF(($E$8*B9/100)&lt;$E$15,$E$15,($E$8*B9/100))</f>
        <v>2250</v>
      </c>
      <c r="F9" s="62">
        <f>IF(($F$8*(E9/$E$8)^2)&lt;$F$13,$F$13,($F$8*(E9/$E$8)^2))</f>
        <v>45</v>
      </c>
      <c r="G9" s="85">
        <f>(E9*F9)/(3960*Model_Home!$L$19/100)</f>
        <v>31.960227272727273</v>
      </c>
      <c r="H9" s="234" t="s">
        <v>195</v>
      </c>
      <c r="I9" s="64">
        <f>SUMPRODUCT(E8:E11,D8:D11)*60</f>
        <v>1376230267.7304354</v>
      </c>
      <c r="J9" s="12"/>
      <c r="K9" s="12"/>
      <c r="L9" s="12"/>
      <c r="M9" s="12"/>
      <c r="N9" s="12"/>
      <c r="O9" s="12"/>
      <c r="P9" s="12"/>
      <c r="Q9" s="12"/>
      <c r="R9" s="12"/>
      <c r="S9" s="12"/>
    </row>
    <row r="10" spans="2:19">
      <c r="B10" s="20">
        <v>50</v>
      </c>
      <c r="C10" s="270">
        <f>+Model_Energy!E12*100</f>
        <v>45</v>
      </c>
      <c r="D10" s="62">
        <f>+Model_Energy!$F$14*C10*0.01</f>
        <v>6729.8154652686753</v>
      </c>
      <c r="E10" s="62">
        <f>+IF(($E$8*B10/100)&lt;$E$15,$E$15,($E$8*B10/100))</f>
        <v>1500</v>
      </c>
      <c r="F10" s="62">
        <f>IF(($F$8*(E10/$E$8)^2)&lt;$F$13,$F$13,($F$8*(E10/$E$8)^2))</f>
        <v>20</v>
      </c>
      <c r="G10" s="85">
        <f>(E10*F10)/(3960*Model_Home!$L$19/100)</f>
        <v>9.4696969696969688</v>
      </c>
      <c r="H10" s="234" t="s">
        <v>197</v>
      </c>
      <c r="I10" s="233">
        <f>+I9/(60*Model_Energy!$F$14)</f>
        <v>1533.7310601229376</v>
      </c>
      <c r="J10" s="12"/>
      <c r="K10" s="12"/>
      <c r="L10" s="12"/>
      <c r="M10" s="12"/>
      <c r="N10" s="12"/>
      <c r="O10" s="12"/>
      <c r="P10" s="12"/>
      <c r="Q10" s="12"/>
      <c r="R10" s="12"/>
      <c r="S10" s="12"/>
    </row>
    <row r="11" spans="2:19">
      <c r="B11" s="20">
        <v>25</v>
      </c>
      <c r="C11" s="270">
        <f>+Model_Energy!E13*100</f>
        <v>35</v>
      </c>
      <c r="D11" s="62">
        <f>+Model_Energy!$F$14*C11*0.01</f>
        <v>5234.3009174311919</v>
      </c>
      <c r="E11" s="62">
        <f>+IF(($E$8*B11/100)&lt;$E$15,$E$15,($E$8*B11/100))</f>
        <v>1060.6601717798214</v>
      </c>
      <c r="F11" s="62">
        <f>IF(($F$8*(E11/$E$8)^2)&lt;$F$13,$F$13,($F$8*(E11/$E$8)^2))</f>
        <v>10.000000000000002</v>
      </c>
      <c r="G11" s="85">
        <f>(E11*F11)/(3960*Model_Home!$L$19/100)</f>
        <v>3.3480434715272147</v>
      </c>
      <c r="H11" s="77" t="s">
        <v>8</v>
      </c>
      <c r="I11" s="64">
        <f>SUMPRODUCT(D8:D11,G8:G11)*0.746</f>
        <v>156359.91084540443</v>
      </c>
      <c r="J11" s="12"/>
      <c r="K11" s="12"/>
      <c r="L11" s="12"/>
      <c r="M11" s="12"/>
      <c r="N11" s="12"/>
      <c r="O11" s="12"/>
      <c r="P11" s="12"/>
      <c r="Q11" s="12"/>
      <c r="R11" s="12"/>
      <c r="S11" s="12"/>
    </row>
    <row r="12" spans="2:19">
      <c r="B12" s="92" t="s">
        <v>15</v>
      </c>
      <c r="C12" s="92" t="s">
        <v>15</v>
      </c>
      <c r="D12" s="92" t="s">
        <v>15</v>
      </c>
      <c r="E12" s="114"/>
      <c r="F12" s="114"/>
      <c r="G12" s="12"/>
      <c r="H12" s="12"/>
      <c r="I12" s="12"/>
      <c r="J12" s="12"/>
      <c r="K12" s="12"/>
      <c r="L12" s="12"/>
      <c r="M12" s="12"/>
      <c r="N12" s="12"/>
      <c r="O12" s="12"/>
      <c r="P12" s="12"/>
      <c r="Q12" s="12"/>
      <c r="R12" s="12"/>
      <c r="S12" s="12"/>
    </row>
    <row r="13" spans="2:19">
      <c r="B13" s="95" t="s">
        <v>235</v>
      </c>
      <c r="C13" s="90"/>
      <c r="D13" s="90" t="s">
        <v>236</v>
      </c>
      <c r="E13" s="91"/>
      <c r="F13" s="267">
        <f>+F8/Model_Home!L14/2</f>
        <v>10</v>
      </c>
      <c r="G13" s="12"/>
      <c r="H13" s="12"/>
      <c r="I13" s="12"/>
      <c r="J13" s="12"/>
      <c r="K13" s="12"/>
      <c r="L13" s="12"/>
      <c r="M13" s="12"/>
      <c r="N13" s="12"/>
      <c r="O13" s="12"/>
      <c r="P13" s="12"/>
      <c r="Q13" s="12"/>
      <c r="R13" s="12"/>
      <c r="S13" s="12"/>
    </row>
    <row r="14" spans="2:19">
      <c r="B14" s="77"/>
      <c r="C14" s="96"/>
      <c r="D14" s="77"/>
      <c r="E14" s="77" t="s">
        <v>7</v>
      </c>
      <c r="F14" s="96" t="s">
        <v>23</v>
      </c>
      <c r="G14" s="77" t="s">
        <v>22</v>
      </c>
      <c r="H14" s="77" t="s">
        <v>14</v>
      </c>
      <c r="I14" s="22"/>
      <c r="J14" s="77"/>
      <c r="K14" s="77"/>
      <c r="L14" s="22"/>
      <c r="M14" s="12"/>
      <c r="N14" s="22"/>
      <c r="O14" s="22"/>
      <c r="P14" s="22"/>
      <c r="Q14" s="22"/>
      <c r="R14" s="22"/>
      <c r="S14" s="22"/>
    </row>
    <row r="15" spans="2:19">
      <c r="B15" s="77"/>
      <c r="C15" s="96"/>
      <c r="D15" s="77"/>
      <c r="E15" s="62">
        <f>SQRT(F15/$F$8)*$E$8</f>
        <v>1060.6601717798214</v>
      </c>
      <c r="F15" s="62">
        <f>+F13</f>
        <v>10</v>
      </c>
      <c r="G15" s="85">
        <f>(E15*F15)/(3960*Model_Home!L19/100)</f>
        <v>3.3480434715272138</v>
      </c>
      <c r="H15" s="85">
        <f>G15*0.746</f>
        <v>2.4976404297593016</v>
      </c>
      <c r="I15" s="12"/>
      <c r="J15" s="12"/>
      <c r="K15" s="12"/>
      <c r="L15" s="12"/>
      <c r="M15" s="12"/>
      <c r="N15" s="12"/>
      <c r="O15" s="12"/>
      <c r="P15" s="12"/>
      <c r="Q15" s="12"/>
      <c r="R15" s="12"/>
      <c r="S15" s="12"/>
    </row>
    <row r="16" spans="2:19">
      <c r="B16" s="12"/>
      <c r="C16" s="12"/>
      <c r="D16" s="12"/>
      <c r="E16" s="12"/>
      <c r="F16" s="12"/>
      <c r="G16" s="12"/>
      <c r="H16" s="12"/>
      <c r="I16" s="12"/>
      <c r="J16" s="12"/>
      <c r="K16" s="12"/>
      <c r="L16" s="12"/>
      <c r="M16" s="12"/>
      <c r="N16" s="12"/>
      <c r="O16" s="12"/>
      <c r="P16" s="12"/>
      <c r="Q16" s="12"/>
      <c r="R16" s="12"/>
      <c r="S16" s="12"/>
    </row>
    <row r="17" spans="2:19">
      <c r="B17" s="95" t="s">
        <v>25</v>
      </c>
      <c r="C17" s="90"/>
      <c r="D17" s="90"/>
      <c r="E17" s="94"/>
      <c r="F17" s="89">
        <f>Model_Home!B25</f>
        <v>6</v>
      </c>
      <c r="G17" s="12"/>
      <c r="H17" s="12"/>
      <c r="I17" s="12"/>
      <c r="J17" s="12"/>
      <c r="K17" s="12"/>
      <c r="L17" s="12"/>
      <c r="M17" s="12"/>
      <c r="N17" s="12"/>
      <c r="O17" s="12"/>
      <c r="P17" s="12"/>
      <c r="Q17" s="232"/>
      <c r="R17" s="232"/>
      <c r="S17" s="232"/>
    </row>
    <row r="18" spans="2:19">
      <c r="B18" s="77" t="s">
        <v>13</v>
      </c>
      <c r="C18" s="96" t="s">
        <v>12</v>
      </c>
      <c r="D18" s="77" t="s">
        <v>11</v>
      </c>
      <c r="E18" s="77" t="s">
        <v>7</v>
      </c>
      <c r="F18" s="77" t="s">
        <v>23</v>
      </c>
      <c r="G18" s="77" t="s">
        <v>22</v>
      </c>
      <c r="H18" s="77"/>
      <c r="I18" s="77"/>
      <c r="J18" s="22"/>
      <c r="K18" s="22"/>
      <c r="L18" s="22"/>
      <c r="M18" s="22"/>
      <c r="N18" s="234"/>
      <c r="O18" s="22"/>
      <c r="P18" s="22"/>
      <c r="Q18" s="22"/>
      <c r="R18" s="22"/>
      <c r="S18" s="22"/>
    </row>
    <row r="19" spans="2:19">
      <c r="B19" s="20">
        <v>100</v>
      </c>
      <c r="C19" s="270">
        <f>+Model_Energy!$E$10*100</f>
        <v>5</v>
      </c>
      <c r="D19" s="62">
        <f>+Model_Energy!$F$14*C19*0.01</f>
        <v>747.7572739187417</v>
      </c>
      <c r="E19" s="62">
        <f>IF(Model_Home!$L$13*B19*0.01*24/F17&gt;$E$8*$F$5,$E$8*$F$5,Model_Home!$L$13*B19*0.01*24/F17)</f>
        <v>3000</v>
      </c>
      <c r="F19" s="62">
        <f>IF(($F$8*(E19/$E$8)^2)&lt;$F$13,$F$13,($F$8*(E19/$E$8)^2))</f>
        <v>80</v>
      </c>
      <c r="G19" s="85">
        <f>(E19*F19)/(3960*Model_Home!$L$19/100)</f>
        <v>75.757575757575751</v>
      </c>
      <c r="H19" s="77" t="s">
        <v>24</v>
      </c>
      <c r="I19" s="243">
        <f>I22*Model_Home!$L$12</f>
        <v>70362.260027403769</v>
      </c>
      <c r="J19" s="12"/>
      <c r="K19" s="12"/>
      <c r="L19" s="12"/>
      <c r="M19" s="12"/>
      <c r="N19" s="12"/>
      <c r="O19" s="12"/>
      <c r="P19" s="12"/>
      <c r="Q19" s="12"/>
      <c r="R19" s="12"/>
      <c r="S19" s="12"/>
    </row>
    <row r="20" spans="2:19">
      <c r="B20" s="20">
        <v>75</v>
      </c>
      <c r="C20" s="270">
        <f>+Model_Energy!$E$11*100</f>
        <v>15</v>
      </c>
      <c r="D20" s="62">
        <f>+Model_Energy!$F$14*C20*0.01</f>
        <v>2243.2718217562251</v>
      </c>
      <c r="E20" s="62">
        <f>IF(IF(Model_Home!$L$13*12000*B20/(100*500*$F$17)&gt;$E$8*$F$5,$E$8*$F$5,Model_Home!$L$13*12000*B20/(100*500*$F$17))&lt;$E$15,$E$15,IF(Model_Home!$L$13*12000*B20/(100*500*$F$17)&gt;$E$8*$F$5,$E$8*$F$5,Model_Home!$L$13*12000*B20/(100*500*$F$17)))</f>
        <v>3000</v>
      </c>
      <c r="F20" s="62">
        <f>IF(($F$8*(E20/$E$8)^2)&lt;$F$13,$F$13,($F$8*(E20/$E$8)^2))</f>
        <v>80</v>
      </c>
      <c r="G20" s="85">
        <f>(E20*F20)/(3960*Model_Home!$L$19/100)</f>
        <v>75.757575757575751</v>
      </c>
      <c r="H20" s="234" t="s">
        <v>195</v>
      </c>
      <c r="I20" s="246">
        <f>SUMPRODUCT(E19:E22,D19:D22)*60</f>
        <v>2220839103.5386629</v>
      </c>
      <c r="J20" s="12"/>
      <c r="K20" s="12"/>
      <c r="L20" s="12"/>
      <c r="M20" s="12"/>
      <c r="N20" s="12"/>
      <c r="O20" s="12"/>
      <c r="P20" s="12"/>
      <c r="Q20" s="12"/>
      <c r="R20" s="12"/>
      <c r="S20" s="12"/>
    </row>
    <row r="21" spans="2:19">
      <c r="B21" s="20">
        <v>50</v>
      </c>
      <c r="C21" s="270">
        <f>+Model_Energy!$E$12*100</f>
        <v>45</v>
      </c>
      <c r="D21" s="62">
        <f>+Model_Energy!$F$14*C21*0.01</f>
        <v>6729.8154652686753</v>
      </c>
      <c r="E21" s="62">
        <f>IF(IF(Model_Home!$L$13*12000*B21/(100*500*$F$17)&gt;$E$8*$F$5,$E$8*$F$5,Model_Home!$L$13*12000*B21/(100*500*$F$17))&lt;$E$15,$E$15,IF(Model_Home!$L$13*12000*B21/(100*500*$F$17)&gt;$E$8*$F$5,$E$8*$F$5,Model_Home!$L$13*12000*B21/(100*500*$F$17)))</f>
        <v>3000</v>
      </c>
      <c r="F21" s="62">
        <f>IF(($F$8*(E21/$E$8)^2)&lt;$F$13,$F$13,($F$8*(E21/$E$8)^2))</f>
        <v>80</v>
      </c>
      <c r="G21" s="85">
        <f>(E21*F21)/(3960*Model_Home!$L$19/100)</f>
        <v>75.757575757575751</v>
      </c>
      <c r="H21" s="234" t="s">
        <v>197</v>
      </c>
      <c r="I21" s="233">
        <f>+I20/(60*Model_Energy!$F$14)</f>
        <v>2475</v>
      </c>
      <c r="J21" s="12"/>
      <c r="K21" s="12"/>
      <c r="L21" s="12"/>
      <c r="M21" s="12"/>
      <c r="N21" s="12"/>
      <c r="O21" s="12"/>
      <c r="P21" s="12"/>
      <c r="Q21" s="12"/>
      <c r="R21" s="12"/>
      <c r="S21" s="12"/>
    </row>
    <row r="22" spans="2:19">
      <c r="B22" s="20">
        <v>25</v>
      </c>
      <c r="C22" s="270">
        <f>+Model_Energy!$E$13*100</f>
        <v>35</v>
      </c>
      <c r="D22" s="62">
        <f>+Model_Energy!$F$14*C22*0.01</f>
        <v>5234.3009174311919</v>
      </c>
      <c r="E22" s="62">
        <f>IF(IF(Model_Home!$L$13*12000*B22/(100*500*$F$17)&gt;$E$8*$F$5,$E$8*$F$5,Model_Home!$L$13*12000*B22/(100*500*$F$17))&lt;$E$15,$E$15,IF(Model_Home!$L$13*12000*B22/(100*500*$F$17)&gt;$E$8*$F$5,$E$8*$F$5,Model_Home!$L$13*12000*B22/(100*500*$F$17)))</f>
        <v>1500</v>
      </c>
      <c r="F22" s="62">
        <f>IF(($F$8*(E22/$E$8)^2)&lt;$F$13,$F$13,($F$8*(E22/$E$8)^2))</f>
        <v>20</v>
      </c>
      <c r="G22" s="85">
        <f>(E22*F22)/(3960*Model_Home!$L$19/100)</f>
        <v>9.4696969696969688</v>
      </c>
      <c r="H22" s="77" t="s">
        <v>8</v>
      </c>
      <c r="I22" s="64">
        <f>SUMPRODUCT(D19:D22,G19:G22)*0.746</f>
        <v>586352.16689503146</v>
      </c>
      <c r="J22" s="12"/>
      <c r="K22" s="12"/>
      <c r="L22" s="12"/>
      <c r="M22" s="12"/>
      <c r="N22" s="12"/>
      <c r="O22" s="12"/>
      <c r="P22" s="12"/>
      <c r="Q22" s="12"/>
      <c r="R22" s="12"/>
      <c r="S22" s="12"/>
    </row>
    <row r="23" spans="2:19">
      <c r="B23" s="92" t="s">
        <v>15</v>
      </c>
      <c r="C23" s="92" t="s">
        <v>15</v>
      </c>
      <c r="D23" s="92" t="s">
        <v>15</v>
      </c>
      <c r="E23" s="114"/>
      <c r="F23" s="114"/>
      <c r="G23" s="12"/>
      <c r="H23" s="12"/>
      <c r="I23" s="12"/>
      <c r="J23" s="12"/>
      <c r="K23" s="12"/>
      <c r="L23" s="12"/>
      <c r="M23" s="12"/>
      <c r="N23" s="12"/>
      <c r="O23" s="12"/>
      <c r="P23" s="12"/>
      <c r="Q23" s="12"/>
      <c r="R23" s="12"/>
      <c r="S23" s="12"/>
    </row>
    <row r="24" spans="2:19">
      <c r="B24" s="95" t="s">
        <v>25</v>
      </c>
      <c r="C24" s="90"/>
      <c r="D24" s="90"/>
      <c r="E24" s="91"/>
      <c r="F24" s="89">
        <f>Model_Home!B26</f>
        <v>8</v>
      </c>
      <c r="G24" s="12"/>
      <c r="H24" s="12"/>
      <c r="I24" s="12"/>
      <c r="J24" s="12"/>
      <c r="K24" s="12"/>
      <c r="L24" s="12"/>
      <c r="M24" s="93"/>
      <c r="N24" s="12"/>
      <c r="O24" s="12"/>
      <c r="P24" s="12"/>
      <c r="Q24" s="12"/>
      <c r="R24" s="12"/>
      <c r="S24" s="12"/>
    </row>
    <row r="25" spans="2:19">
      <c r="B25" s="77" t="s">
        <v>13</v>
      </c>
      <c r="C25" s="96" t="s">
        <v>12</v>
      </c>
      <c r="D25" s="77" t="s">
        <v>11</v>
      </c>
      <c r="E25" s="77" t="s">
        <v>7</v>
      </c>
      <c r="F25" s="77" t="s">
        <v>23</v>
      </c>
      <c r="G25" s="77" t="s">
        <v>22</v>
      </c>
      <c r="H25" s="77"/>
      <c r="I25" s="77" t="s">
        <v>24</v>
      </c>
      <c r="J25" s="22"/>
      <c r="K25" s="22"/>
      <c r="L25" s="77"/>
      <c r="M25" s="93"/>
      <c r="N25" s="12"/>
      <c r="O25" s="12"/>
      <c r="P25" s="22"/>
      <c r="Q25" s="22"/>
      <c r="R25" s="22"/>
      <c r="S25" s="22"/>
    </row>
    <row r="26" spans="2:19">
      <c r="B26" s="20">
        <v>100</v>
      </c>
      <c r="C26" s="270">
        <f>+Model_Energy!$E$10*100</f>
        <v>5</v>
      </c>
      <c r="D26" s="62">
        <f>+Model_Energy!$F$14*C26*0.01</f>
        <v>747.7572739187417</v>
      </c>
      <c r="E26" s="62">
        <f>IF(Model_Home!$L$13*B26*0.01*24/(F24)&gt;$E$8*$F$5,$E$8*$F$5,Model_Home!$L$13*B26*0.01*24/(F24))</f>
        <v>3000</v>
      </c>
      <c r="F26" s="62">
        <f>IF(($F$8*(E26/$E$8)^2)&lt;$F$13,$F$13,($F$8*(E26/$E$8)^2))</f>
        <v>80</v>
      </c>
      <c r="G26" s="85">
        <f>(E26*F26)/(3960*Model_Home!$L$19/100)</f>
        <v>75.757575757575751</v>
      </c>
      <c r="H26" s="77" t="s">
        <v>24</v>
      </c>
      <c r="I26" s="243">
        <f>I29*Model_Home!$L$12</f>
        <v>41411.121786961594</v>
      </c>
      <c r="J26" s="12"/>
      <c r="K26" s="12"/>
      <c r="L26" s="12"/>
      <c r="M26" s="93"/>
      <c r="N26" s="12"/>
      <c r="O26" s="12"/>
      <c r="P26" s="12"/>
      <c r="Q26" s="12"/>
      <c r="R26" s="12"/>
      <c r="S26" s="12"/>
    </row>
    <row r="27" spans="2:19">
      <c r="B27" s="20">
        <v>75</v>
      </c>
      <c r="C27" s="270">
        <f>+Model_Energy!$E$11*100</f>
        <v>15</v>
      </c>
      <c r="D27" s="62">
        <f>+Model_Energy!$F$14*C27*0.01</f>
        <v>2243.2718217562251</v>
      </c>
      <c r="E27" s="62">
        <f>IF(IF(Model_Home!$L$13*12000*B27/(100*500*$F$24)&gt;$E$8*$F$5,$E$8*$F$5,Model_Home!$L$13*12000*B27/(100*500*$F$24))&lt;$E$15,$E$15,IF(Model_Home!$L$13*12000*B27/(100*500*$F$24)&gt;$E$8*$F$5,$E$8*$F$5,Model_Home!$L$13*12000*B27/(100*500*$F$24)))</f>
        <v>3000</v>
      </c>
      <c r="F27" s="62">
        <f>IF(($F$8*(E27/$E$8)^2)&lt;$F$13,$F$13,($F$8*(E27/$E$8)^2))</f>
        <v>80</v>
      </c>
      <c r="G27" s="85">
        <f>(E27*F27)/(3960*Model_Home!$L$19/100)</f>
        <v>75.757575757575751</v>
      </c>
      <c r="H27" s="234" t="s">
        <v>195</v>
      </c>
      <c r="I27" s="246">
        <f>SUMPRODUCT(E26:E29,D26:D29)*60</f>
        <v>1800225636.9593706</v>
      </c>
      <c r="J27" s="12"/>
      <c r="K27" s="12"/>
      <c r="L27" s="12"/>
      <c r="M27" s="93"/>
      <c r="N27" s="12"/>
      <c r="O27" s="12"/>
      <c r="P27" s="12"/>
      <c r="Q27" s="12"/>
      <c r="R27" s="12"/>
      <c r="S27" s="12"/>
    </row>
    <row r="28" spans="2:19">
      <c r="B28" s="20">
        <v>50</v>
      </c>
      <c r="C28" s="270">
        <f>+Model_Energy!$E$12*100</f>
        <v>45</v>
      </c>
      <c r="D28" s="62">
        <f>+Model_Energy!$F$14*C28*0.01</f>
        <v>6729.8154652686753</v>
      </c>
      <c r="E28" s="62">
        <f>IF(IF(Model_Home!$L$13*12000*B28/(100*500*$F$24)&gt;$E$8*$F$5,$E$8*$F$5,Model_Home!$L$13*12000*B28/(100*500*$F$24))&lt;$E$15,$E$15,IF(Model_Home!$L$13*12000*B28/(100*500*$F$24)&gt;$E$8*$F$5,$E$8*$F$5,Model_Home!$L$13*12000*B28/(100*500*$F$24)))</f>
        <v>2250</v>
      </c>
      <c r="F28" s="62">
        <f>IF(($F$8*(E28/$E$8)^2)&lt;$F$13,$F$13,($F$8*(E28/$E$8)^2))</f>
        <v>45</v>
      </c>
      <c r="G28" s="85">
        <f>(E28*F28)/(3960*Model_Home!$L$19/100)</f>
        <v>31.960227272727273</v>
      </c>
      <c r="H28" s="234" t="s">
        <v>197</v>
      </c>
      <c r="I28" s="233">
        <f>+I27/(60*Model_Energy!$F$14)</f>
        <v>2006.25</v>
      </c>
      <c r="J28" s="12"/>
      <c r="K28" s="12"/>
      <c r="L28" s="12"/>
      <c r="M28" s="93"/>
      <c r="N28" s="12"/>
      <c r="O28" s="12"/>
      <c r="P28" s="12"/>
      <c r="Q28" s="12"/>
      <c r="R28" s="12"/>
      <c r="S28" s="12"/>
    </row>
    <row r="29" spans="2:19">
      <c r="B29" s="20">
        <v>25</v>
      </c>
      <c r="C29" s="270">
        <f>+Model_Energy!$E$13*100</f>
        <v>35</v>
      </c>
      <c r="D29" s="62">
        <f>+Model_Energy!$F$14*C29*0.01</f>
        <v>5234.3009174311919</v>
      </c>
      <c r="E29" s="62">
        <f>IF(IF(Model_Home!$L$13*12000*B29/(100*500*$F$24)&gt;$E$8*$F$5,$E$8*$F$5,Model_Home!$L$13*12000*B29/(100*500*$F$24))&lt;$E$15,$E$15,IF(Model_Home!$L$13*12000*B29/(100*500*$F$24)&gt;$E$8*$F$5,$E$8*$F$5,Model_Home!$L$13*12000*B29/(100*500*$F$24)))</f>
        <v>1125</v>
      </c>
      <c r="F29" s="62">
        <f>IF(($F$8*(E29/$E$8)^2)&lt;$F$13,$F$13,($F$8*(E29/$E$8)^2))</f>
        <v>11.25</v>
      </c>
      <c r="G29" s="85">
        <f>(E29*F29)/(3960*Model_Home!$L$19/100)</f>
        <v>3.9950284090909092</v>
      </c>
      <c r="H29" s="77" t="s">
        <v>8</v>
      </c>
      <c r="I29" s="64">
        <f>SUMPRODUCT(D26:D29,G26:G29)*0.746</f>
        <v>345092.68155801331</v>
      </c>
      <c r="J29" s="12"/>
      <c r="K29" s="12"/>
      <c r="L29" s="12"/>
      <c r="M29" s="93"/>
      <c r="N29" s="12"/>
      <c r="O29" s="12"/>
      <c r="P29" s="12"/>
      <c r="Q29" s="12"/>
      <c r="R29" s="12"/>
      <c r="S29" s="12"/>
    </row>
    <row r="30" spans="2:19">
      <c r="B30" s="92" t="s">
        <v>15</v>
      </c>
      <c r="C30" s="92" t="s">
        <v>15</v>
      </c>
      <c r="D30" s="92" t="s">
        <v>15</v>
      </c>
      <c r="E30" s="114"/>
      <c r="F30" s="114"/>
      <c r="G30" s="12"/>
      <c r="H30" s="12"/>
      <c r="I30" s="12"/>
      <c r="J30" s="12"/>
      <c r="K30" s="12"/>
      <c r="L30" s="12"/>
      <c r="M30" s="93"/>
      <c r="N30" s="12"/>
      <c r="O30" s="12"/>
      <c r="P30" s="12"/>
      <c r="Q30" s="12"/>
      <c r="R30" s="12"/>
      <c r="S30" s="12"/>
    </row>
    <row r="31" spans="2:19">
      <c r="B31" s="95" t="s">
        <v>25</v>
      </c>
      <c r="C31" s="90"/>
      <c r="D31" s="90"/>
      <c r="E31" s="91"/>
      <c r="F31" s="89">
        <f>+Model_Home!B27</f>
        <v>10</v>
      </c>
      <c r="G31" s="12"/>
      <c r="H31" s="12"/>
      <c r="I31" s="12"/>
      <c r="J31" s="12"/>
      <c r="K31" s="12"/>
      <c r="L31" s="12"/>
      <c r="M31" s="93"/>
      <c r="N31" s="12"/>
      <c r="O31" s="12"/>
      <c r="P31" s="12"/>
      <c r="Q31" s="12"/>
      <c r="R31" s="12"/>
      <c r="S31" s="12"/>
    </row>
    <row r="32" spans="2:19">
      <c r="B32" s="77" t="s">
        <v>13</v>
      </c>
      <c r="C32" s="96" t="s">
        <v>12</v>
      </c>
      <c r="D32" s="77" t="s">
        <v>11</v>
      </c>
      <c r="E32" s="77" t="s">
        <v>7</v>
      </c>
      <c r="F32" s="77" t="s">
        <v>23</v>
      </c>
      <c r="G32" s="77" t="s">
        <v>22</v>
      </c>
      <c r="H32" s="77"/>
      <c r="I32" s="77" t="s">
        <v>24</v>
      </c>
      <c r="J32" s="22"/>
      <c r="K32" s="22"/>
      <c r="L32" s="77"/>
      <c r="M32" s="93"/>
      <c r="N32" s="12"/>
      <c r="O32" s="12"/>
      <c r="P32" s="22"/>
      <c r="Q32" s="22"/>
      <c r="R32" s="22"/>
      <c r="S32" s="22"/>
    </row>
    <row r="33" spans="2:19">
      <c r="B33" s="20">
        <v>100</v>
      </c>
      <c r="C33" s="270">
        <f>+Model_Energy!$E$10*100</f>
        <v>5</v>
      </c>
      <c r="D33" s="62">
        <f>+Model_Energy!$F$14*C33*0.01</f>
        <v>747.7572739187417</v>
      </c>
      <c r="E33" s="62">
        <f>IF(Model_Home!$L$13*B33*0.01*24/(F31)&gt;$E$8*$F$5,$E$8*$F$5,Model_Home!$L$13*B33*0.01*24/(F31))</f>
        <v>3000</v>
      </c>
      <c r="F33" s="62">
        <f>IF(($F$8*(E33/$E$8)^2)&lt;$F$13,$F$13,($F$8*(E33/$E$8)^2))</f>
        <v>80</v>
      </c>
      <c r="G33" s="85">
        <f>(E33*F33)/(3960*Model_Home!$L$19/100)</f>
        <v>75.757575757575751</v>
      </c>
      <c r="H33" s="77" t="s">
        <v>24</v>
      </c>
      <c r="I33" s="243">
        <f>I36*Model_Home!$L$12</f>
        <v>27588.89872812909</v>
      </c>
      <c r="J33" s="12"/>
      <c r="K33" s="12"/>
      <c r="L33" s="12"/>
      <c r="M33" s="93"/>
      <c r="N33" s="12"/>
      <c r="O33" s="12"/>
      <c r="P33" s="12"/>
      <c r="Q33" s="12"/>
      <c r="R33" s="12"/>
      <c r="S33" s="12"/>
    </row>
    <row r="34" spans="2:19">
      <c r="B34" s="20">
        <v>75</v>
      </c>
      <c r="C34" s="270">
        <f>+Model_Energy!$E$11*100</f>
        <v>15</v>
      </c>
      <c r="D34" s="62">
        <f>+Model_Energy!$F$14*C34*0.01</f>
        <v>2243.2718217562251</v>
      </c>
      <c r="E34" s="62">
        <f>IF(IF(Model_Home!$L$13*12000*B34/(100*500*$F$31)&gt;$E$8*$F$5,$E$8*$F$5,Model_Home!$L$13*12000*B34/(100*500*$F$31))&lt;$E$15,$E$15,IF(Model_Home!$L$13*12000*B34/(100*500*$F$31)&gt;$E$8*$F$5,$E$8*$F$5,Model_Home!$L$13*12000*B34/(100*500*$F$31)))</f>
        <v>2700</v>
      </c>
      <c r="F34" s="62">
        <f>IF(($F$8*(E34/$E$8)^2)&lt;$F$13,$F$13,($F$8*(E34/$E$8)^2))</f>
        <v>64.800000000000011</v>
      </c>
      <c r="G34" s="85">
        <f>(E34*F34)/(3960*Model_Home!$L$19/100)</f>
        <v>55.227272727272734</v>
      </c>
      <c r="H34" s="234" t="s">
        <v>195</v>
      </c>
      <c r="I34" s="64">
        <f>SUMPRODUCT(E33:E36,D33:D36)*60</f>
        <v>1557935285.2926896</v>
      </c>
      <c r="J34" s="12"/>
      <c r="K34" s="12"/>
      <c r="L34" s="12"/>
      <c r="M34" s="93"/>
      <c r="N34" s="12"/>
      <c r="O34" s="12"/>
      <c r="P34" s="12"/>
      <c r="Q34" s="12"/>
      <c r="R34" s="12"/>
      <c r="S34" s="12"/>
    </row>
    <row r="35" spans="2:19">
      <c r="B35" s="20">
        <v>50</v>
      </c>
      <c r="C35" s="270">
        <f>+Model_Energy!$E$12*100</f>
        <v>45</v>
      </c>
      <c r="D35" s="62">
        <f>+Model_Energy!$F$14*C35*0.01</f>
        <v>6729.8154652686753</v>
      </c>
      <c r="E35" s="62">
        <f>IF(IF(Model_Home!$L$13*12000*B35/(100*500*$F$31)&gt;$E$8*$F$5,$E$8*$F$5,Model_Home!$L$13*12000*B35/(100*500*$F$31))&lt;$E$15,$E$15,IF(Model_Home!$L$13*12000*B35/(100*500*$F$31)&gt;$E$8*$F$5,$E$8*$F$5,Model_Home!$L$13*12000*B35/(100*500*$F$31)))</f>
        <v>1800</v>
      </c>
      <c r="F35" s="62">
        <f>IF(($F$8*(E35/$E$8)^2)&lt;$F$13,$F$13,($F$8*(E35/$E$8)^2))</f>
        <v>28.799999999999997</v>
      </c>
      <c r="G35" s="85">
        <f>(E35*F35)/(3960*Model_Home!$L$19/100)</f>
        <v>16.36363636363636</v>
      </c>
      <c r="H35" s="234" t="s">
        <v>197</v>
      </c>
      <c r="I35" s="233">
        <f>+I34/(60*Model_Energy!$F$14)</f>
        <v>1736.2310601229376</v>
      </c>
      <c r="J35" s="12"/>
      <c r="K35" s="12"/>
      <c r="L35" s="12"/>
      <c r="M35" s="93"/>
      <c r="N35" s="12"/>
      <c r="O35" s="12"/>
      <c r="P35" s="12"/>
      <c r="Q35" s="12"/>
      <c r="R35" s="12"/>
      <c r="S35" s="12"/>
    </row>
    <row r="36" spans="2:19">
      <c r="B36" s="20">
        <v>25</v>
      </c>
      <c r="C36" s="270">
        <f>+Model_Energy!$E$13*100</f>
        <v>35</v>
      </c>
      <c r="D36" s="62">
        <f>+Model_Energy!$F$14*C36*0.01</f>
        <v>5234.3009174311919</v>
      </c>
      <c r="E36" s="62">
        <f>IF(IF(Model_Home!$L$13*12000*B36/(100*500*$F$31)&gt;$E$8*$F$5,$E$8*$F$5,Model_Home!$L$13*12000*B36/(100*500*$F$31))&lt;$E$15,$E$15,IF(Model_Home!$L$13*12000*B36/(100*500*$F$31)&gt;$E$8*$F$5,$E$8*$F$5,Model_Home!$L$13*12000*B36/(100*500*$F$31)))</f>
        <v>1060.6601717798214</v>
      </c>
      <c r="F36" s="62">
        <f>IF(($F$8*(E36/$E$8)^2)&lt;$F$13,$F$13,($F$8*(E36/$E$8)^2))</f>
        <v>10.000000000000002</v>
      </c>
      <c r="G36" s="85">
        <f>(E36*F36)/(3960*Model_Home!$L$19/100)</f>
        <v>3.3480434715272147</v>
      </c>
      <c r="H36" s="77" t="s">
        <v>8</v>
      </c>
      <c r="I36" s="64">
        <f>SUMPRODUCT(D33:D36,G33:G36)*0.746</f>
        <v>229907.48940107576</v>
      </c>
      <c r="J36" s="12"/>
      <c r="K36" s="12"/>
      <c r="L36" s="12"/>
      <c r="M36" s="93"/>
      <c r="N36" s="12"/>
      <c r="O36" s="12"/>
      <c r="P36" s="12"/>
      <c r="Q36" s="12"/>
      <c r="R36" s="12"/>
      <c r="S36" s="12"/>
    </row>
    <row r="37" spans="2:19">
      <c r="B37" s="92" t="s">
        <v>15</v>
      </c>
      <c r="C37" s="92" t="s">
        <v>15</v>
      </c>
      <c r="D37" s="92" t="s">
        <v>15</v>
      </c>
      <c r="E37" s="114"/>
      <c r="F37" s="114"/>
      <c r="G37" s="12"/>
      <c r="H37" s="12"/>
      <c r="I37" s="12"/>
      <c r="J37" s="12"/>
      <c r="K37" s="12"/>
      <c r="L37" s="12"/>
      <c r="M37" s="93"/>
      <c r="N37" s="12"/>
      <c r="O37" s="12"/>
      <c r="P37" s="12"/>
      <c r="Q37" s="12"/>
      <c r="R37" s="12"/>
      <c r="S37" s="12"/>
    </row>
    <row r="38" spans="2:19">
      <c r="B38" s="95" t="s">
        <v>25</v>
      </c>
      <c r="C38" s="90"/>
      <c r="D38" s="90"/>
      <c r="E38" s="91"/>
      <c r="F38" s="89">
        <f>Model_Home!B28</f>
        <v>12</v>
      </c>
      <c r="G38" s="12"/>
      <c r="H38" s="12"/>
      <c r="I38" s="12"/>
      <c r="J38" s="12"/>
      <c r="K38" s="12"/>
      <c r="L38" s="12"/>
      <c r="M38" s="93"/>
      <c r="N38" s="12"/>
      <c r="O38" s="12"/>
      <c r="P38" s="12"/>
      <c r="Q38" s="12"/>
      <c r="R38" s="12"/>
      <c r="S38" s="12"/>
    </row>
    <row r="39" spans="2:19">
      <c r="B39" s="77" t="s">
        <v>13</v>
      </c>
      <c r="C39" s="96" t="s">
        <v>12</v>
      </c>
      <c r="D39" s="77" t="s">
        <v>11</v>
      </c>
      <c r="E39" s="77" t="s">
        <v>7</v>
      </c>
      <c r="F39" s="77" t="s">
        <v>23</v>
      </c>
      <c r="G39" s="77" t="s">
        <v>22</v>
      </c>
      <c r="H39" s="77"/>
      <c r="I39" s="77" t="s">
        <v>24</v>
      </c>
      <c r="J39" s="22"/>
      <c r="K39" s="22"/>
      <c r="L39" s="12"/>
      <c r="M39" s="93"/>
      <c r="N39" s="12"/>
      <c r="O39" s="12"/>
      <c r="P39" s="12"/>
      <c r="Q39" s="22"/>
      <c r="R39" s="22"/>
      <c r="S39" s="22"/>
    </row>
    <row r="40" spans="2:19">
      <c r="B40" s="20">
        <v>100</v>
      </c>
      <c r="C40" s="270">
        <f>+Model_Energy!$E$10*100</f>
        <v>5</v>
      </c>
      <c r="D40" s="62">
        <f>+Model_Energy!$F$14*C40*0.01</f>
        <v>747.7572739187417</v>
      </c>
      <c r="E40" s="62">
        <f>IF(Model_Home!$L$13*B40*0.01*24/(F38)&gt;$E$8*$F$5,$E$8*$F$5,Model_Home!$L$13*B40*0.01*24/(F38))</f>
        <v>3000</v>
      </c>
      <c r="F40" s="62">
        <f>IF(($F$8*(E40/$E$8)^2)&lt;$F$13,$F$13,($F$8*(E40/$E$8)^2))</f>
        <v>80</v>
      </c>
      <c r="G40" s="85">
        <f>(E40*F40)/(3960*Model_Home!$L$19/100)</f>
        <v>75.757575757575751</v>
      </c>
      <c r="H40" s="77" t="s">
        <v>24</v>
      </c>
      <c r="I40" s="243">
        <f>I43*Model_Home!$L$12</f>
        <v>18763.189301448532</v>
      </c>
      <c r="J40" s="12"/>
      <c r="K40" s="12"/>
      <c r="L40" s="12"/>
      <c r="M40" s="93"/>
      <c r="N40" s="12"/>
      <c r="O40" s="12"/>
      <c r="P40" s="12"/>
      <c r="Q40" s="12"/>
      <c r="R40" s="12"/>
      <c r="S40" s="12"/>
    </row>
    <row r="41" spans="2:19">
      <c r="B41" s="20">
        <v>75</v>
      </c>
      <c r="C41" s="270">
        <f>+Model_Energy!$E$11*100</f>
        <v>15</v>
      </c>
      <c r="D41" s="62">
        <f>+Model_Energy!$F$14*C41*0.01</f>
        <v>2243.2718217562251</v>
      </c>
      <c r="E41" s="62">
        <f>IF(IF(Model_Home!$L$13*12000*B41/(100*500*$F$38)&gt;$E$8*$F$5,$E$8*$F$5,Model_Home!$L$13*12000*B41/(100*500*$F$38))&lt;$E$15,$E$15,IF(Model_Home!$L$13*12000*B41/(100*500*$F$38)&gt;$E$8*$F$5,$E$8*$F$5,Model_Home!$L$13*12000*B41/(100*500*$F$38)))</f>
        <v>2250</v>
      </c>
      <c r="F41" s="62">
        <f>IF(($F$8*(E41/$E$8)^2)&lt;$F$13,$F$13,($F$8*(E41/$E$8)^2))</f>
        <v>45</v>
      </c>
      <c r="G41" s="85">
        <f>(E41*F41)/(3960*Model_Home!$L$19/100)</f>
        <v>31.960227272727273</v>
      </c>
      <c r="H41" s="234" t="s">
        <v>195</v>
      </c>
      <c r="I41" s="64">
        <f>SUMPRODUCT(E40:E43,D40:D43)*60</f>
        <v>1376230267.7304354</v>
      </c>
      <c r="J41" s="12"/>
      <c r="K41" s="12"/>
      <c r="L41" s="12"/>
      <c r="M41" s="93"/>
      <c r="N41" s="12"/>
      <c r="O41" s="12"/>
      <c r="P41" s="12"/>
      <c r="Q41" s="12"/>
      <c r="R41" s="12"/>
      <c r="S41" s="12"/>
    </row>
    <row r="42" spans="2:19">
      <c r="B42" s="20">
        <v>50</v>
      </c>
      <c r="C42" s="270">
        <f>+Model_Energy!$E$12*100</f>
        <v>45</v>
      </c>
      <c r="D42" s="62">
        <f>+Model_Energy!$F$14*C42*0.01</f>
        <v>6729.8154652686753</v>
      </c>
      <c r="E42" s="62">
        <f>IF(IF(Model_Home!$L$13*12000*B42/(100*500*$F$38)&gt;$E$8*$F$5,$E$8*$F$5,Model_Home!$L$13*12000*B42/(100*500*$F$38))&lt;$E$15,$E$15,IF(Model_Home!$L$13*12000*B42/(100*500*$F$38)&gt;$E$8*$F$5,$E$8*$F$5,Model_Home!$L$13*12000*B42/(100*500*$F$38)))</f>
        <v>1500</v>
      </c>
      <c r="F42" s="62">
        <f>IF(($F$8*(E42/$E$8)^2)&lt;$F$13,$F$13,($F$8*(E42/$E$8)^2))</f>
        <v>20</v>
      </c>
      <c r="G42" s="85">
        <f>(E42*F42)/(3960*Model_Home!$L$19/100)</f>
        <v>9.4696969696969688</v>
      </c>
      <c r="H42" s="234" t="s">
        <v>197</v>
      </c>
      <c r="I42" s="233">
        <f>+I41/(60*Model_Energy!$F$14)</f>
        <v>1533.7310601229376</v>
      </c>
      <c r="J42" s="12"/>
      <c r="K42" s="12"/>
      <c r="L42" s="12"/>
      <c r="M42" s="93"/>
      <c r="N42" s="12"/>
      <c r="O42" s="12"/>
      <c r="P42" s="12"/>
      <c r="Q42" s="12"/>
      <c r="R42" s="12"/>
      <c r="S42" s="12"/>
    </row>
    <row r="43" spans="2:19">
      <c r="B43" s="20">
        <v>25</v>
      </c>
      <c r="C43" s="270">
        <f>+Model_Energy!$E$13*100</f>
        <v>35</v>
      </c>
      <c r="D43" s="62">
        <f>+Model_Energy!$F$14*C43*0.01</f>
        <v>5234.3009174311919</v>
      </c>
      <c r="E43" s="62">
        <f>IF(IF(Model_Home!$L$13*12000*B43/(100*500*$F$38)&gt;$E$8*$F$5,$E$8*$F$5,Model_Home!$L$13*12000*B43/(100*500*$F$38))&lt;$E$15,$E$15,IF(Model_Home!$L$13*12000*B43/(100*500*$F$38)&gt;$E$8*$F$5,$E$8*$F$5,Model_Home!$L$13*12000*B43/(100*500*$F$38)))</f>
        <v>1060.6601717798214</v>
      </c>
      <c r="F43" s="62">
        <f>IF(($F$8*(E43/$E$8)^2)&lt;$F$13,$F$13,($F$8*(E43/$E$8)^2))</f>
        <v>10.000000000000002</v>
      </c>
      <c r="G43" s="85">
        <f>(E43*F43)/(3960*Model_Home!$L$19/100)</f>
        <v>3.3480434715272147</v>
      </c>
      <c r="H43" s="77" t="s">
        <v>8</v>
      </c>
      <c r="I43" s="64">
        <f>SUMPRODUCT(D40:D43,G40:G43)*0.746</f>
        <v>156359.91084540443</v>
      </c>
      <c r="J43" s="12"/>
      <c r="K43" s="12"/>
      <c r="L43" s="12"/>
      <c r="M43" s="93"/>
      <c r="N43" s="12"/>
      <c r="O43" s="12"/>
      <c r="P43" s="12"/>
      <c r="Q43" s="12"/>
      <c r="R43" s="12"/>
      <c r="S43" s="12"/>
    </row>
    <row r="44" spans="2:19">
      <c r="B44" s="92" t="s">
        <v>15</v>
      </c>
      <c r="C44" s="92" t="s">
        <v>15</v>
      </c>
      <c r="D44" s="92" t="s">
        <v>15</v>
      </c>
      <c r="E44" s="92" t="s">
        <v>15</v>
      </c>
      <c r="F44" s="114"/>
      <c r="G44" s="12"/>
      <c r="H44" s="12"/>
      <c r="I44" s="12"/>
      <c r="J44" s="12"/>
      <c r="K44" s="12"/>
      <c r="L44" s="12"/>
      <c r="M44" s="93"/>
      <c r="N44" s="12"/>
      <c r="O44" s="12"/>
      <c r="P44" s="12"/>
      <c r="Q44" s="12"/>
      <c r="R44" s="12"/>
      <c r="S44" s="12"/>
    </row>
    <row r="45" spans="2:19">
      <c r="B45" s="95" t="s">
        <v>25</v>
      </c>
      <c r="C45" s="90"/>
      <c r="D45" s="90"/>
      <c r="E45" s="91"/>
      <c r="F45" s="89">
        <f>Model_Home!B29</f>
        <v>12</v>
      </c>
      <c r="G45" s="12"/>
      <c r="H45" s="12"/>
      <c r="I45" s="12"/>
      <c r="J45" s="12"/>
      <c r="K45" s="12"/>
      <c r="L45" s="12"/>
      <c r="M45" s="93"/>
      <c r="N45" s="12"/>
      <c r="O45" s="12"/>
      <c r="P45" s="12"/>
      <c r="Q45" s="12"/>
      <c r="R45" s="12"/>
      <c r="S45" s="12"/>
    </row>
    <row r="46" spans="2:19">
      <c r="B46" s="77" t="s">
        <v>13</v>
      </c>
      <c r="C46" s="96" t="s">
        <v>12</v>
      </c>
      <c r="D46" s="77" t="s">
        <v>11</v>
      </c>
      <c r="E46" s="77" t="s">
        <v>7</v>
      </c>
      <c r="F46" s="77" t="s">
        <v>23</v>
      </c>
      <c r="G46" s="77" t="s">
        <v>22</v>
      </c>
      <c r="H46" s="77"/>
      <c r="I46" s="77" t="s">
        <v>24</v>
      </c>
      <c r="J46" s="22"/>
      <c r="K46" s="22"/>
      <c r="L46" s="12"/>
      <c r="M46" s="93"/>
      <c r="N46" s="12"/>
      <c r="O46" s="12"/>
      <c r="P46" s="12"/>
      <c r="Q46" s="22"/>
      <c r="R46" s="22"/>
      <c r="S46" s="22"/>
    </row>
    <row r="47" spans="2:19">
      <c r="B47" s="20">
        <v>100</v>
      </c>
      <c r="C47" s="270">
        <f>+Model_Energy!$E$10*100</f>
        <v>5</v>
      </c>
      <c r="D47" s="62">
        <f>+Model_Energy!$F$14*C47*0.01</f>
        <v>747.7572739187417</v>
      </c>
      <c r="E47" s="62">
        <f>IF(Model_Home!$L$13*B47*0.01*24/(F45)&gt;$E$8*$F$5,$E$8*$F$5,Model_Home!$L$13*B47*0.01*24/(F45))</f>
        <v>3000</v>
      </c>
      <c r="F47" s="62">
        <f>IF(($F$8*(E47/$E$8)^2)&lt;$F$13,$F$13,($F$8*(E47/$E$8)^2))</f>
        <v>80</v>
      </c>
      <c r="G47" s="85">
        <f>(E47*F47)/(3960*Model_Home!$L$19/100)</f>
        <v>75.757575757575751</v>
      </c>
      <c r="H47" s="77" t="s">
        <v>24</v>
      </c>
      <c r="I47" s="243">
        <f>I50*Model_Home!$L$12</f>
        <v>18763.189301448532</v>
      </c>
      <c r="J47" s="12"/>
      <c r="K47" s="12"/>
      <c r="L47" s="12"/>
      <c r="M47" s="93"/>
      <c r="N47" s="12"/>
      <c r="O47" s="12"/>
      <c r="P47" s="12"/>
      <c r="Q47" s="12"/>
      <c r="R47" s="12"/>
      <c r="S47" s="12"/>
    </row>
    <row r="48" spans="2:19">
      <c r="B48" s="20">
        <v>75</v>
      </c>
      <c r="C48" s="270">
        <f>+Model_Energy!$E$11*100</f>
        <v>15</v>
      </c>
      <c r="D48" s="62">
        <f>+Model_Energy!$F$14*C48*0.01</f>
        <v>2243.2718217562251</v>
      </c>
      <c r="E48" s="62">
        <f>IF(IF(Model_Home!$L$13*12000*B48/(100*500*$F$45)&gt;$E$8*$F$5,$E$8*$F$5,Model_Home!$L$13*12000*B48/(100*500*$F$45))&lt;$E$15,$E$15,IF(Model_Home!$L$13*12000*B48/(100*500*$F$45)&gt;$E$8*$F$5,$E$8*$F$5,Model_Home!$L$13*12000*B48/(100*500*$F$45)))</f>
        <v>2250</v>
      </c>
      <c r="F48" s="62">
        <f>IF(($F$8*(E48/$E$8)^2)&lt;$F$13,$F$13,($F$8*(E48/$E$8)^2))</f>
        <v>45</v>
      </c>
      <c r="G48" s="85">
        <f>(E48*F48)/(3960*Model_Home!$L$19/100)</f>
        <v>31.960227272727273</v>
      </c>
      <c r="H48" s="234" t="s">
        <v>195</v>
      </c>
      <c r="I48" s="64">
        <f>SUMPRODUCT(E47:E50,D47:D50)*60</f>
        <v>1376230267.7304354</v>
      </c>
      <c r="J48" s="12"/>
      <c r="K48" s="12"/>
      <c r="L48" s="12"/>
      <c r="M48" s="93"/>
      <c r="N48" s="12"/>
      <c r="O48" s="12"/>
      <c r="P48" s="12"/>
      <c r="Q48" s="12"/>
      <c r="R48" s="12"/>
      <c r="S48" s="12"/>
    </row>
    <row r="49" spans="2:19">
      <c r="B49" s="20">
        <v>50</v>
      </c>
      <c r="C49" s="270">
        <f>+Model_Energy!$E$12*100</f>
        <v>45</v>
      </c>
      <c r="D49" s="62">
        <f>+Model_Energy!$F$14*C49*0.01</f>
        <v>6729.8154652686753</v>
      </c>
      <c r="E49" s="62">
        <f>IF(IF(Model_Home!$L$13*12000*B49/(100*500*$F$45)&gt;$E$8*$F$5,$E$8*$F$5,Model_Home!$L$13*12000*B49/(100*500*$F$45))&lt;$E$15,$E$15,IF(Model_Home!$L$13*12000*B49/(100*500*$F$45)&gt;$E$8*$F$5,$E$8*$F$5,Model_Home!$L$13*12000*B49/(100*500*$F$45)))</f>
        <v>1500</v>
      </c>
      <c r="F49" s="62">
        <f>IF(($F$8*(E49/$E$8)^2)&lt;$F$13,$F$13,($F$8*(E49/$E$8)^2))</f>
        <v>20</v>
      </c>
      <c r="G49" s="85">
        <f>(E49*F49)/(3960*Model_Home!$L$19/100)</f>
        <v>9.4696969696969688</v>
      </c>
      <c r="H49" s="234" t="s">
        <v>197</v>
      </c>
      <c r="I49" s="233">
        <f>+I48/(60*Model_Energy!$F$14)</f>
        <v>1533.7310601229376</v>
      </c>
      <c r="J49" s="12"/>
      <c r="K49" s="12"/>
      <c r="L49" s="12"/>
      <c r="M49" s="93"/>
      <c r="N49" s="12"/>
      <c r="O49" s="12"/>
      <c r="P49" s="12"/>
      <c r="Q49" s="12"/>
      <c r="R49" s="12"/>
      <c r="S49" s="12"/>
    </row>
    <row r="50" spans="2:19">
      <c r="B50" s="20">
        <v>25</v>
      </c>
      <c r="C50" s="270">
        <f>+Model_Energy!$E$13*100</f>
        <v>35</v>
      </c>
      <c r="D50" s="62">
        <f>+Model_Energy!$F$14*C50*0.01</f>
        <v>5234.3009174311919</v>
      </c>
      <c r="E50" s="62">
        <f>IF(IF(Model_Home!$L$13*12000*B50/(100*500*$F$45)&gt;$E$8*$F$5,$E$8*$F$5,Model_Home!$L$13*12000*B50/(100*500*$F$45))&lt;$E$15,$E$15,IF(Model_Home!$L$13*12000*B50/(100*500*$F$45)&gt;$E$8*$F$5,$E$8*$F$5,Model_Home!$L$13*12000*B50/(100*500*$F$45)))</f>
        <v>1060.6601717798214</v>
      </c>
      <c r="F50" s="62">
        <f>IF(($F$8*(E50/$E$8)^2)&lt;$F$13,$F$13,($F$8*(E50/$E$8)^2))</f>
        <v>10.000000000000002</v>
      </c>
      <c r="G50" s="85">
        <f>(E50*F50)/(3960*Model_Home!$L$19/100)</f>
        <v>3.3480434715272147</v>
      </c>
      <c r="H50" s="77" t="s">
        <v>8</v>
      </c>
      <c r="I50" s="64">
        <f>SUMPRODUCT(D47:D50,G47:G50)*0.746</f>
        <v>156359.91084540443</v>
      </c>
      <c r="J50" s="12"/>
      <c r="K50" s="12"/>
      <c r="L50" s="12"/>
      <c r="M50" s="93"/>
      <c r="N50" s="12"/>
      <c r="O50" s="12"/>
      <c r="P50" s="12"/>
      <c r="Q50" s="12"/>
      <c r="R50" s="12"/>
      <c r="S50" s="12"/>
    </row>
    <row r="51" spans="2:19">
      <c r="B51" s="92" t="s">
        <v>15</v>
      </c>
      <c r="C51" s="92" t="s">
        <v>15</v>
      </c>
      <c r="D51" s="92" t="s">
        <v>15</v>
      </c>
      <c r="E51" s="114"/>
      <c r="F51" s="114"/>
      <c r="G51" s="12"/>
      <c r="H51" s="12"/>
      <c r="I51" s="12"/>
      <c r="J51" s="12"/>
      <c r="K51" s="12"/>
      <c r="L51" s="12"/>
      <c r="M51" s="93"/>
      <c r="N51" s="12"/>
      <c r="O51" s="12"/>
      <c r="P51" s="12"/>
      <c r="Q51" s="12"/>
      <c r="R51" s="12"/>
      <c r="S51" s="12"/>
    </row>
    <row r="52" spans="2:19">
      <c r="B52" s="95" t="s">
        <v>25</v>
      </c>
      <c r="C52" s="90"/>
      <c r="D52" s="90"/>
      <c r="E52" s="91"/>
      <c r="F52" s="89">
        <f>Model_Home!B30</f>
        <v>14</v>
      </c>
      <c r="G52" s="12"/>
      <c r="H52" s="12"/>
      <c r="I52" s="12"/>
      <c r="J52" s="12"/>
      <c r="K52" s="12"/>
      <c r="L52" s="12"/>
      <c r="M52" s="93"/>
      <c r="N52" s="12"/>
      <c r="O52" s="12"/>
      <c r="P52" s="12"/>
      <c r="Q52" s="12"/>
      <c r="R52" s="12"/>
      <c r="S52" s="12"/>
    </row>
    <row r="53" spans="2:19">
      <c r="B53" s="77" t="s">
        <v>13</v>
      </c>
      <c r="C53" s="96" t="s">
        <v>12</v>
      </c>
      <c r="D53" s="77" t="s">
        <v>11</v>
      </c>
      <c r="E53" s="77" t="s">
        <v>7</v>
      </c>
      <c r="F53" s="77" t="s">
        <v>23</v>
      </c>
      <c r="G53" s="77" t="s">
        <v>22</v>
      </c>
      <c r="H53" s="77"/>
      <c r="I53" s="77" t="s">
        <v>24</v>
      </c>
      <c r="J53" s="22"/>
      <c r="K53" s="22"/>
      <c r="L53" s="12"/>
      <c r="M53" s="93"/>
      <c r="N53" s="12"/>
      <c r="O53" s="12"/>
      <c r="P53" s="12"/>
      <c r="Q53" s="22"/>
      <c r="R53" s="22"/>
      <c r="S53" s="22"/>
    </row>
    <row r="54" spans="2:19">
      <c r="B54" s="20">
        <v>100</v>
      </c>
      <c r="C54" s="270">
        <f>+Model_Energy!$E$10*100</f>
        <v>5</v>
      </c>
      <c r="D54" s="62">
        <f>+Model_Energy!$F$14*C54*0.01</f>
        <v>747.7572739187417</v>
      </c>
      <c r="E54" s="62">
        <f>IF(Model_Home!$L$13*B54*0.01*24/(F52)&gt;$E$8*$F$5,$E$8*$F$5,Model_Home!$L$13*B54*0.01*24/(F52))</f>
        <v>2571.4285714285716</v>
      </c>
      <c r="F54" s="62">
        <f>IF(($F$8*(E54/$E$8)^2)&lt;$F$13,$F$13,($F$8*(E54/$E$8)^2))</f>
        <v>58.775510204081641</v>
      </c>
      <c r="G54" s="85">
        <f>(E54*F54)/(3960*Model_Home!$L$19/100)</f>
        <v>47.707394646170165</v>
      </c>
      <c r="H54" s="77" t="s">
        <v>24</v>
      </c>
      <c r="I54" s="243">
        <f>I57*Model_Home!$L$12</f>
        <v>12396.756645448148</v>
      </c>
      <c r="J54" s="12"/>
      <c r="K54" s="12"/>
      <c r="L54" s="12"/>
      <c r="M54" s="93"/>
      <c r="N54" s="12"/>
      <c r="O54" s="12"/>
      <c r="P54" s="12"/>
      <c r="Q54" s="12"/>
      <c r="R54" s="12"/>
      <c r="S54" s="12"/>
    </row>
    <row r="55" spans="2:19">
      <c r="B55" s="20">
        <v>75</v>
      </c>
      <c r="C55" s="270">
        <f>+Model_Energy!$E$11*100</f>
        <v>15</v>
      </c>
      <c r="D55" s="62">
        <f>+Model_Energy!$F$14*C55*0.01</f>
        <v>2243.2718217562251</v>
      </c>
      <c r="E55" s="62">
        <f>IF(IF(Model_Home!$L$13*12000*B55/(100*500*$F$52)&gt;$E$8*$F$5,$E$8*$F$5,Model_Home!$L$13*12000*B55/(100*500*$F$52))&lt;$E$15,$E$15,IF(Model_Home!$L$13*12000*B55/(100*500*$F$52)&gt;$E$8*$F$5,$E$8*$F$5,Model_Home!$L$13*12000*B55/(100*500*$F$52)))</f>
        <v>1928.5714285714287</v>
      </c>
      <c r="F55" s="62">
        <f>IF(($F$8*(E55/$E$8)^2)&lt;$F$13,$F$13,($F$8*(E55/$E$8)^2))</f>
        <v>33.061224489795926</v>
      </c>
      <c r="G55" s="85">
        <f>(E55*F55)/(3960*Model_Home!$L$19/100)</f>
        <v>20.126557116353041</v>
      </c>
      <c r="H55" s="234" t="s">
        <v>195</v>
      </c>
      <c r="I55" s="64">
        <f>SUMPRODUCT(E54:E57,D54:D57)*60</f>
        <v>1227212925.2852004</v>
      </c>
      <c r="J55" s="12"/>
      <c r="K55" s="12"/>
      <c r="L55" s="12"/>
      <c r="M55" s="93"/>
      <c r="N55" s="12"/>
      <c r="O55" s="12"/>
      <c r="P55" s="12"/>
      <c r="Q55" s="12"/>
      <c r="R55" s="12"/>
      <c r="S55" s="12"/>
    </row>
    <row r="56" spans="2:19">
      <c r="B56" s="20">
        <v>50</v>
      </c>
      <c r="C56" s="270">
        <f>+Model_Energy!$E$12*100</f>
        <v>45</v>
      </c>
      <c r="D56" s="62">
        <f>+Model_Energy!$F$14*C56*0.01</f>
        <v>6729.8154652686753</v>
      </c>
      <c r="E56" s="62">
        <f>IF(IF(Model_Home!$L$13*12000*B56/(100*500*$F$52)&gt;$E$8*$F$5,$E$8*$F$5,Model_Home!$L$13*12000*B56/(100*500*$F$52))&lt;$E$15,$E$15,IF(Model_Home!$L$13*12000*B56/(100*500*$F$52)&gt;$E$8*$F$5,$E$8*$F$5,Model_Home!$L$13*12000*B56/(100*500*$F$52)))</f>
        <v>1285.7142857142858</v>
      </c>
      <c r="F56" s="62">
        <f>IF(($F$8*(E56/$E$8)^2)&lt;$F$13,$F$13,($F$8*(E56/$E$8)^2))</f>
        <v>14.69387755102041</v>
      </c>
      <c r="G56" s="85">
        <f>(E56*F56)/(3960*Model_Home!$L$19/100)</f>
        <v>5.9634243307712707</v>
      </c>
      <c r="H56" s="234" t="s">
        <v>197</v>
      </c>
      <c r="I56" s="233">
        <f>+I55/(60*Model_Energy!$F$14)</f>
        <v>1367.6596315515089</v>
      </c>
      <c r="J56" s="12"/>
      <c r="K56" s="12"/>
      <c r="L56" s="12"/>
      <c r="M56" s="93"/>
      <c r="N56" s="12"/>
      <c r="O56" s="12"/>
      <c r="P56" s="12"/>
      <c r="Q56" s="12"/>
      <c r="R56" s="12"/>
      <c r="S56" s="12"/>
    </row>
    <row r="57" spans="2:19">
      <c r="B57" s="20">
        <v>25</v>
      </c>
      <c r="C57" s="270">
        <f>+Model_Energy!$E$13*100</f>
        <v>35</v>
      </c>
      <c r="D57" s="62">
        <f>+Model_Energy!$F$14*C57*0.01</f>
        <v>5234.3009174311919</v>
      </c>
      <c r="E57" s="62">
        <f>IF(IF(Model_Home!$L$13*12000*B57/(100*500*$F$52)&gt;$E$8*$F$5,$E$8*$F$5,Model_Home!$L$13*12000*B57/(100*500*$F$52))&lt;$E$15,$E$15,IF(Model_Home!$L$13*12000*B57/(100*500*$F$52)&gt;$E$8*$F$5,$E$8*$F$5,Model_Home!$L$13*12000*B57/(100*500*$F$52)))</f>
        <v>1060.6601717798214</v>
      </c>
      <c r="F57" s="62">
        <f>IF(($F$8*(E57/$E$8)^2)&lt;$F$13,$F$13,($F$8*(E57/$E$8)^2))</f>
        <v>10.000000000000002</v>
      </c>
      <c r="G57" s="85">
        <f>(E57*F57)/(3960*Model_Home!$L$19/100)</f>
        <v>3.3480434715272147</v>
      </c>
      <c r="H57" s="77" t="s">
        <v>8</v>
      </c>
      <c r="I57" s="64">
        <f>SUMPRODUCT(D54:D57,G54:G57)*0.746</f>
        <v>103306.30537873457</v>
      </c>
      <c r="J57" s="12"/>
      <c r="K57" s="12"/>
      <c r="L57" s="12"/>
      <c r="M57" s="93"/>
      <c r="N57" s="12"/>
      <c r="O57" s="12"/>
      <c r="P57" s="12"/>
      <c r="Q57" s="12"/>
      <c r="R57" s="12"/>
      <c r="S57" s="12"/>
    </row>
    <row r="58" spans="2:19">
      <c r="B58" s="92" t="s">
        <v>15</v>
      </c>
      <c r="C58" s="92" t="s">
        <v>15</v>
      </c>
      <c r="D58" s="92" t="s">
        <v>15</v>
      </c>
      <c r="E58" s="114"/>
      <c r="F58" s="114"/>
      <c r="G58" s="12"/>
      <c r="H58" s="12"/>
      <c r="I58" s="12"/>
      <c r="J58" s="12"/>
      <c r="K58" s="12"/>
      <c r="L58" s="12"/>
      <c r="M58" s="93"/>
      <c r="N58" s="12"/>
      <c r="O58" s="12"/>
      <c r="P58" s="12"/>
      <c r="Q58" s="12"/>
      <c r="R58" s="12"/>
      <c r="S58" s="12"/>
    </row>
    <row r="59" spans="2:19">
      <c r="B59" s="12"/>
      <c r="C59" s="12"/>
      <c r="D59" s="12"/>
      <c r="E59" s="12"/>
      <c r="F59" s="12"/>
      <c r="G59" s="12"/>
      <c r="H59" s="12"/>
      <c r="I59" s="12"/>
      <c r="J59" s="12"/>
      <c r="K59" s="12"/>
      <c r="L59" s="12"/>
      <c r="M59" s="93"/>
      <c r="N59" s="12"/>
      <c r="O59" s="12"/>
      <c r="P59" s="12"/>
      <c r="Q59" s="12"/>
      <c r="R59" s="12"/>
      <c r="S59" s="12"/>
    </row>
  </sheetData>
  <mergeCells count="1">
    <mergeCell ref="H6:I6"/>
  </mergeCells>
  <dataValidations count="1">
    <dataValidation type="decimal" allowBlank="1" showInputMessage="1" showErrorMessage="1" errorTitle="Entry Error" error="Values must be between 100% and 800%." sqref="F5" xr:uid="{2A5522D9-CC66-4E61-8FBC-D87C67CEB58B}">
      <formula1>1</formula1>
      <formula2>8</formula2>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D8DC7-74CB-4F67-A93C-6E278846668B}">
  <sheetPr codeName="Sheet13"/>
  <dimension ref="A1:AD195"/>
  <sheetViews>
    <sheetView workbookViewId="0"/>
  </sheetViews>
  <sheetFormatPr defaultRowHeight="14.4"/>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spans="1:30" ht="15" thickBot="1">
      <c r="A3" s="3"/>
      <c r="B3" s="3"/>
      <c r="C3" s="3"/>
      <c r="D3" s="3"/>
      <c r="E3" s="3"/>
      <c r="F3" s="3"/>
      <c r="G3" s="3"/>
      <c r="H3" s="3"/>
      <c r="I3" s="3"/>
      <c r="J3" s="3"/>
      <c r="K3" s="3"/>
      <c r="L3" s="3"/>
      <c r="M3" s="3"/>
      <c r="N3" s="3"/>
      <c r="O3" s="3"/>
      <c r="P3" s="3"/>
      <c r="Q3" s="3"/>
      <c r="R3" s="3"/>
      <c r="S3" s="3"/>
      <c r="T3" s="3"/>
      <c r="U3" s="3"/>
      <c r="V3" s="3"/>
      <c r="W3" s="3"/>
      <c r="X3" s="3"/>
      <c r="Y3" s="3"/>
      <c r="Z3" s="3"/>
      <c r="AA3" s="3"/>
      <c r="AB3" s="3"/>
      <c r="AC3" s="3"/>
      <c r="AD3" s="3"/>
    </row>
    <row r="4" spans="1:30">
      <c r="A4" s="105"/>
      <c r="B4" s="1"/>
      <c r="C4" s="1"/>
      <c r="D4" s="1"/>
      <c r="E4" s="1"/>
      <c r="F4" s="1"/>
      <c r="G4" s="1"/>
      <c r="H4" s="1"/>
      <c r="I4" s="1"/>
      <c r="J4" s="1"/>
      <c r="K4" s="1"/>
      <c r="L4" s="1"/>
      <c r="M4" s="1"/>
      <c r="N4" s="1"/>
      <c r="O4" s="1"/>
      <c r="P4" s="1"/>
      <c r="Q4" s="1"/>
      <c r="R4" s="1"/>
      <c r="S4" s="1"/>
      <c r="T4" s="1"/>
      <c r="U4" s="1"/>
      <c r="V4" s="1"/>
      <c r="W4" s="1"/>
      <c r="X4" s="1"/>
      <c r="Y4" s="1"/>
      <c r="Z4" s="1"/>
      <c r="AA4" s="1"/>
      <c r="AB4" s="1"/>
      <c r="AC4" s="1"/>
      <c r="AD4" s="1"/>
    </row>
    <row r="5" spans="1:30">
      <c r="A5" s="106"/>
      <c r="B5" s="12"/>
      <c r="C5" s="12"/>
      <c r="D5" s="12"/>
      <c r="E5" s="1"/>
      <c r="F5" s="1"/>
      <c r="G5" s="1"/>
      <c r="H5" s="1"/>
      <c r="I5" s="1"/>
      <c r="J5" s="1"/>
      <c r="K5" s="1"/>
      <c r="L5" s="1"/>
      <c r="M5" s="1"/>
      <c r="N5" s="1"/>
      <c r="O5" s="1"/>
      <c r="P5" s="1"/>
      <c r="Q5" s="1"/>
      <c r="R5" s="1"/>
      <c r="S5" s="1"/>
      <c r="T5" s="1"/>
      <c r="U5" s="1"/>
      <c r="V5" s="1"/>
      <c r="W5" s="125"/>
      <c r="X5" s="125"/>
      <c r="Y5" s="125"/>
      <c r="Z5" s="125"/>
      <c r="AA5" s="125"/>
      <c r="AB5" s="125"/>
      <c r="AC5" s="125"/>
      <c r="AD5" s="125"/>
    </row>
    <row r="6" spans="1:30">
      <c r="A6" s="106"/>
      <c r="B6" s="12"/>
      <c r="C6" s="1"/>
      <c r="D6" s="1"/>
      <c r="E6" s="1"/>
      <c r="F6" s="1"/>
      <c r="G6" s="1"/>
      <c r="H6" s="1"/>
      <c r="I6" s="1"/>
      <c r="J6" s="1"/>
      <c r="K6" s="1"/>
      <c r="L6" s="1"/>
      <c r="M6" s="1"/>
      <c r="N6" s="1"/>
      <c r="O6" s="1"/>
      <c r="P6" s="1"/>
      <c r="Q6" s="1"/>
      <c r="R6" s="1"/>
      <c r="S6" s="1"/>
      <c r="T6" s="1"/>
      <c r="U6" s="1"/>
      <c r="V6" s="1"/>
      <c r="W6" s="125"/>
      <c r="X6" s="132"/>
      <c r="Y6" s="132"/>
      <c r="Z6" s="133"/>
      <c r="AA6" s="133"/>
      <c r="AB6" s="133"/>
      <c r="AC6" s="133"/>
      <c r="AD6" s="125"/>
    </row>
    <row r="7" spans="1:30">
      <c r="A7" s="106"/>
      <c r="B7" s="12"/>
      <c r="C7" s="1"/>
      <c r="D7" s="1"/>
      <c r="E7" s="1"/>
      <c r="F7" s="1"/>
      <c r="G7" s="1"/>
      <c r="H7" s="1"/>
      <c r="I7" s="1"/>
      <c r="J7" s="1"/>
      <c r="K7" s="1"/>
      <c r="L7" s="1"/>
      <c r="M7" s="1"/>
      <c r="N7" s="1"/>
      <c r="O7" s="1"/>
      <c r="P7" s="1"/>
      <c r="Q7" s="1"/>
      <c r="R7" s="1"/>
      <c r="S7" s="1"/>
      <c r="T7" s="1"/>
      <c r="U7" s="1"/>
      <c r="V7" s="1"/>
      <c r="W7" s="125"/>
      <c r="X7" s="132"/>
      <c r="Y7" s="134"/>
      <c r="Z7" s="133"/>
      <c r="AA7" s="133"/>
      <c r="AB7" s="132"/>
      <c r="AC7" s="135"/>
      <c r="AD7" s="125"/>
    </row>
    <row r="8" spans="1:30">
      <c r="A8" s="106"/>
      <c r="B8" s="12"/>
      <c r="C8" s="12"/>
      <c r="D8" s="12"/>
      <c r="E8" s="12"/>
      <c r="F8" s="12"/>
      <c r="G8" s="12"/>
      <c r="H8" s="12"/>
      <c r="I8" s="12"/>
      <c r="J8" s="12"/>
      <c r="K8" s="12"/>
      <c r="L8" s="12"/>
      <c r="M8" s="1"/>
      <c r="N8" s="1"/>
      <c r="O8" s="1"/>
      <c r="P8" s="1"/>
      <c r="Q8" s="1"/>
      <c r="R8" s="1"/>
      <c r="S8" s="1"/>
      <c r="T8" s="1"/>
      <c r="U8" s="1"/>
      <c r="V8" s="1"/>
      <c r="W8" s="125"/>
      <c r="X8" s="132"/>
      <c r="Y8" s="134"/>
      <c r="Z8" s="133"/>
      <c r="AA8" s="133"/>
      <c r="AB8" s="133"/>
      <c r="AC8" s="133"/>
      <c r="AD8" s="125"/>
    </row>
    <row r="9" spans="1:30">
      <c r="A9" s="145" t="s">
        <v>95</v>
      </c>
      <c r="B9" s="146">
        <f>Model_Home!L36/100</f>
        <v>0.04</v>
      </c>
      <c r="C9" s="1"/>
      <c r="D9" s="1"/>
      <c r="E9" s="1"/>
      <c r="F9" s="1"/>
      <c r="G9" s="1"/>
      <c r="H9" s="1"/>
      <c r="I9" s="1"/>
      <c r="J9" s="1"/>
      <c r="K9" s="1"/>
      <c r="L9" s="1"/>
      <c r="M9" s="1"/>
      <c r="N9" s="1"/>
      <c r="O9" s="1"/>
      <c r="P9" s="1"/>
      <c r="Q9" s="1"/>
      <c r="R9" s="1"/>
      <c r="S9" s="1"/>
      <c r="T9" s="1"/>
      <c r="U9" s="1"/>
      <c r="V9" s="1"/>
      <c r="W9" s="125"/>
      <c r="X9" s="132"/>
      <c r="Y9" s="134"/>
      <c r="Z9" s="133"/>
      <c r="AA9" s="133"/>
      <c r="AB9" s="133"/>
      <c r="AC9" s="133"/>
      <c r="AD9" s="125"/>
    </row>
    <row r="10" spans="1:30">
      <c r="A10" s="145" t="s">
        <v>96</v>
      </c>
      <c r="B10" s="147">
        <v>0.06</v>
      </c>
      <c r="C10" s="1"/>
      <c r="D10" s="1"/>
      <c r="E10" s="1"/>
      <c r="F10" s="1"/>
      <c r="G10" s="1"/>
      <c r="H10" s="1"/>
      <c r="I10" s="1"/>
      <c r="J10" s="1"/>
      <c r="K10" s="1"/>
      <c r="L10" s="1"/>
      <c r="M10" s="1"/>
      <c r="N10" s="1"/>
      <c r="O10" s="1"/>
      <c r="P10" s="1"/>
      <c r="Q10" s="1"/>
      <c r="R10" s="1"/>
      <c r="S10" s="1"/>
      <c r="T10" s="1"/>
      <c r="U10" s="1"/>
      <c r="V10" s="1"/>
      <c r="W10" s="125"/>
      <c r="X10" s="132"/>
      <c r="Y10" s="134"/>
      <c r="Z10" s="133"/>
      <c r="AA10" s="133"/>
      <c r="AB10" s="133"/>
      <c r="AC10" s="133"/>
      <c r="AD10" s="125"/>
    </row>
    <row r="11" spans="1:30">
      <c r="A11" s="145" t="s">
        <v>97</v>
      </c>
      <c r="B11" s="148">
        <v>0.06</v>
      </c>
      <c r="C11" s="1"/>
      <c r="D11" s="1"/>
      <c r="E11" s="1"/>
      <c r="F11" s="1"/>
      <c r="G11" s="1"/>
      <c r="H11" s="1"/>
      <c r="I11" s="1"/>
      <c r="J11" s="1"/>
      <c r="K11" s="1"/>
      <c r="L11" s="1"/>
      <c r="M11" s="1"/>
      <c r="N11" s="1"/>
      <c r="O11" s="1"/>
      <c r="P11" s="1"/>
      <c r="Q11" s="1"/>
      <c r="R11" s="1"/>
      <c r="S11" s="1"/>
      <c r="T11" s="1"/>
      <c r="U11" s="1"/>
      <c r="V11" s="1"/>
      <c r="W11" s="125"/>
      <c r="X11" s="132"/>
      <c r="Y11" s="134"/>
      <c r="Z11" s="133"/>
      <c r="AA11" s="133"/>
      <c r="AB11" s="133"/>
      <c r="AC11" s="133"/>
      <c r="AD11" s="125"/>
    </row>
    <row r="12" spans="1:30">
      <c r="A12" s="145" t="s">
        <v>98</v>
      </c>
      <c r="B12" s="146">
        <f>Model_Home!L37/100</f>
        <v>0.02</v>
      </c>
      <c r="C12" s="1"/>
      <c r="D12" s="1"/>
      <c r="E12" s="1"/>
      <c r="F12" s="1"/>
      <c r="G12" s="1"/>
      <c r="H12" s="1"/>
      <c r="I12" s="1"/>
      <c r="J12" s="1"/>
      <c r="K12" s="1"/>
      <c r="L12" s="1"/>
      <c r="M12" s="1"/>
      <c r="N12" s="1"/>
      <c r="O12" s="1"/>
      <c r="P12" s="1"/>
      <c r="Q12" s="1"/>
      <c r="R12" s="1"/>
      <c r="S12" s="1"/>
      <c r="T12" s="1"/>
      <c r="U12" s="1"/>
      <c r="V12" s="1"/>
      <c r="W12" s="125"/>
      <c r="X12" s="132"/>
      <c r="Y12" s="134"/>
      <c r="Z12" s="133"/>
      <c r="AA12" s="133"/>
      <c r="AB12" s="133"/>
      <c r="AC12" s="133"/>
      <c r="AD12" s="125"/>
    </row>
    <row r="13" spans="1:30">
      <c r="A13" s="107"/>
      <c r="B13" s="103"/>
      <c r="C13" s="1"/>
      <c r="D13" s="1"/>
      <c r="E13" s="1"/>
      <c r="F13" s="1"/>
      <c r="G13" s="1"/>
      <c r="H13" s="1"/>
      <c r="I13" s="1"/>
      <c r="J13" s="1"/>
      <c r="K13" s="1"/>
      <c r="L13" s="1"/>
      <c r="M13" s="1"/>
      <c r="N13" s="1"/>
      <c r="O13" s="1"/>
      <c r="P13" s="1"/>
      <c r="Q13" s="1"/>
      <c r="R13" s="1"/>
      <c r="S13" s="1"/>
      <c r="T13" s="1"/>
      <c r="U13" s="1"/>
      <c r="V13" s="1"/>
      <c r="W13" s="125"/>
      <c r="X13" s="132"/>
      <c r="Y13" s="134"/>
      <c r="Z13" s="133"/>
      <c r="AA13" s="133"/>
      <c r="AB13" s="133"/>
      <c r="AC13" s="133"/>
      <c r="AD13" s="125"/>
    </row>
    <row r="14" spans="1:30" ht="28.2">
      <c r="A14" s="149" t="s">
        <v>15</v>
      </c>
      <c r="B14" s="150" t="s">
        <v>99</v>
      </c>
      <c r="C14" s="151" t="s">
        <v>100</v>
      </c>
      <c r="D14" s="151" t="s">
        <v>101</v>
      </c>
      <c r="E14" s="151" t="s">
        <v>102</v>
      </c>
      <c r="F14" s="151" t="s">
        <v>103</v>
      </c>
      <c r="G14" s="151" t="s">
        <v>104</v>
      </c>
      <c r="H14" s="151" t="s">
        <v>105</v>
      </c>
      <c r="I14" s="151" t="s">
        <v>106</v>
      </c>
      <c r="J14" s="151" t="s">
        <v>107</v>
      </c>
      <c r="K14" s="151" t="s">
        <v>108</v>
      </c>
      <c r="L14" s="151" t="s">
        <v>109</v>
      </c>
      <c r="M14" s="124" t="s">
        <v>137</v>
      </c>
      <c r="N14" s="124" t="s">
        <v>138</v>
      </c>
      <c r="O14" s="124" t="s">
        <v>139</v>
      </c>
      <c r="P14" s="124" t="s">
        <v>140</v>
      </c>
      <c r="Q14" s="124" t="s">
        <v>141</v>
      </c>
      <c r="R14" s="124" t="s">
        <v>142</v>
      </c>
      <c r="S14" s="124" t="s">
        <v>143</v>
      </c>
      <c r="T14" s="124" t="s">
        <v>144</v>
      </c>
      <c r="U14" s="124" t="s">
        <v>145</v>
      </c>
      <c r="V14" s="124" t="s">
        <v>146</v>
      </c>
      <c r="W14" s="125"/>
      <c r="X14" s="132"/>
      <c r="Y14" s="134"/>
      <c r="Z14" s="133"/>
      <c r="AA14" s="133"/>
      <c r="AB14" s="133"/>
      <c r="AC14" s="133"/>
      <c r="AD14" s="125"/>
    </row>
    <row r="15" spans="1:30">
      <c r="A15" s="152" t="s">
        <v>110</v>
      </c>
      <c r="B15" s="22">
        <v>0</v>
      </c>
      <c r="C15" s="22">
        <v>1</v>
      </c>
      <c r="D15" s="22">
        <v>2</v>
      </c>
      <c r="E15" s="22">
        <v>3</v>
      </c>
      <c r="F15" s="22">
        <v>4</v>
      </c>
      <c r="G15" s="22">
        <v>5</v>
      </c>
      <c r="H15" s="22">
        <v>6</v>
      </c>
      <c r="I15" s="22">
        <v>7</v>
      </c>
      <c r="J15" s="22">
        <v>8</v>
      </c>
      <c r="K15" s="22">
        <v>9</v>
      </c>
      <c r="L15" s="22">
        <v>10</v>
      </c>
      <c r="M15" s="123">
        <v>11</v>
      </c>
      <c r="N15" s="123">
        <v>12</v>
      </c>
      <c r="O15" s="123">
        <v>13</v>
      </c>
      <c r="P15" s="123">
        <v>14</v>
      </c>
      <c r="Q15" s="123">
        <v>15</v>
      </c>
      <c r="R15" s="123">
        <v>16</v>
      </c>
      <c r="S15" s="123">
        <v>17</v>
      </c>
      <c r="T15" s="123">
        <v>18</v>
      </c>
      <c r="U15" s="123">
        <v>19</v>
      </c>
      <c r="V15" s="123">
        <v>20</v>
      </c>
      <c r="W15" s="125"/>
      <c r="X15" s="132"/>
      <c r="Y15" s="134"/>
      <c r="Z15" s="133"/>
      <c r="AA15" s="133"/>
      <c r="AB15" s="133"/>
      <c r="AC15" s="133"/>
      <c r="AD15" s="125"/>
    </row>
    <row r="16" spans="1:30">
      <c r="A16" s="145"/>
      <c r="B16" s="98"/>
      <c r="C16" s="98"/>
      <c r="D16" s="98"/>
      <c r="E16" s="98"/>
      <c r="F16" s="98"/>
      <c r="G16" s="98"/>
      <c r="H16" s="98"/>
      <c r="I16" s="98"/>
      <c r="J16" s="98"/>
      <c r="K16" s="98"/>
      <c r="L16" s="98"/>
      <c r="M16" s="125"/>
      <c r="N16" s="125"/>
      <c r="O16" s="125"/>
      <c r="P16" s="125"/>
      <c r="Q16" s="125"/>
      <c r="R16" s="125"/>
      <c r="S16" s="125"/>
      <c r="T16" s="125"/>
      <c r="U16" s="125"/>
      <c r="V16" s="125"/>
      <c r="W16" s="125"/>
      <c r="X16" s="132"/>
      <c r="Y16" s="134"/>
      <c r="Z16" s="133"/>
      <c r="AA16" s="133"/>
      <c r="AB16" s="133"/>
      <c r="AC16" s="133"/>
      <c r="AD16" s="125"/>
    </row>
    <row r="17" spans="1:30">
      <c r="A17" s="106"/>
      <c r="B17" s="12"/>
      <c r="C17" s="12"/>
      <c r="D17" s="12"/>
      <c r="E17" s="12"/>
      <c r="F17" s="12"/>
      <c r="G17" s="12"/>
      <c r="H17" s="12"/>
      <c r="I17" s="12"/>
      <c r="J17" s="12"/>
      <c r="K17" s="12"/>
      <c r="L17" s="12"/>
      <c r="M17" s="125"/>
      <c r="N17" s="125"/>
      <c r="O17" s="125"/>
      <c r="P17" s="125"/>
      <c r="Q17" s="125"/>
      <c r="R17" s="125"/>
      <c r="S17" s="125"/>
      <c r="T17" s="125"/>
      <c r="U17" s="125"/>
      <c r="V17" s="125"/>
      <c r="W17" s="125"/>
      <c r="X17" s="132"/>
      <c r="Y17" s="134"/>
      <c r="Z17" s="133"/>
      <c r="AA17" s="133"/>
      <c r="AB17" s="133"/>
      <c r="AC17" s="133"/>
      <c r="AD17" s="125"/>
    </row>
    <row r="18" spans="1:30">
      <c r="A18" s="145" t="s">
        <v>111</v>
      </c>
      <c r="B18" s="153">
        <f>Model_Home!L35*-1</f>
        <v>-170000</v>
      </c>
      <c r="C18" s="154">
        <v>0</v>
      </c>
      <c r="D18" s="154">
        <v>0</v>
      </c>
      <c r="E18" s="154">
        <v>0</v>
      </c>
      <c r="F18" s="154">
        <v>0</v>
      </c>
      <c r="G18" s="154">
        <v>0</v>
      </c>
      <c r="H18" s="154">
        <v>0</v>
      </c>
      <c r="I18" s="154">
        <v>0</v>
      </c>
      <c r="J18" s="154">
        <v>0</v>
      </c>
      <c r="K18" s="154">
        <v>0</v>
      </c>
      <c r="L18" s="155">
        <v>0</v>
      </c>
      <c r="M18" s="126">
        <f t="shared" ref="M18:V18" si="0">+L18*(1+$B$12)</f>
        <v>0</v>
      </c>
      <c r="N18" s="126">
        <f t="shared" si="0"/>
        <v>0</v>
      </c>
      <c r="O18" s="126">
        <f t="shared" si="0"/>
        <v>0</v>
      </c>
      <c r="P18" s="126">
        <f t="shared" si="0"/>
        <v>0</v>
      </c>
      <c r="Q18" s="126">
        <f t="shared" si="0"/>
        <v>0</v>
      </c>
      <c r="R18" s="126">
        <f t="shared" si="0"/>
        <v>0</v>
      </c>
      <c r="S18" s="126">
        <f t="shared" si="0"/>
        <v>0</v>
      </c>
      <c r="T18" s="126">
        <f t="shared" si="0"/>
        <v>0</v>
      </c>
      <c r="U18" s="126">
        <f t="shared" si="0"/>
        <v>0</v>
      </c>
      <c r="V18" s="126">
        <f t="shared" si="0"/>
        <v>0</v>
      </c>
      <c r="W18" s="125"/>
      <c r="X18" s="132"/>
      <c r="Y18" s="134"/>
      <c r="Z18" s="133"/>
      <c r="AA18" s="133"/>
      <c r="AB18" s="133"/>
      <c r="AC18" s="133"/>
      <c r="AD18" s="125"/>
    </row>
    <row r="19" spans="1:30">
      <c r="A19" s="156" t="s">
        <v>112</v>
      </c>
      <c r="B19" s="157">
        <v>0</v>
      </c>
      <c r="C19" s="158">
        <v>0</v>
      </c>
      <c r="D19" s="158">
        <v>0</v>
      </c>
      <c r="E19" s="158">
        <v>0</v>
      </c>
      <c r="F19" s="158">
        <v>0</v>
      </c>
      <c r="G19" s="158">
        <v>0</v>
      </c>
      <c r="H19" s="158">
        <v>0</v>
      </c>
      <c r="I19" s="158">
        <v>0</v>
      </c>
      <c r="J19" s="158">
        <v>0</v>
      </c>
      <c r="K19" s="158">
        <v>0</v>
      </c>
      <c r="L19" s="159">
        <v>0</v>
      </c>
      <c r="M19" s="126">
        <f t="shared" ref="M19:V19" si="1">+L19*(1+$B$12)</f>
        <v>0</v>
      </c>
      <c r="N19" s="126">
        <f t="shared" si="1"/>
        <v>0</v>
      </c>
      <c r="O19" s="126">
        <f t="shared" si="1"/>
        <v>0</v>
      </c>
      <c r="P19" s="126">
        <f t="shared" si="1"/>
        <v>0</v>
      </c>
      <c r="Q19" s="126">
        <f t="shared" si="1"/>
        <v>0</v>
      </c>
      <c r="R19" s="126">
        <f t="shared" si="1"/>
        <v>0</v>
      </c>
      <c r="S19" s="126">
        <f t="shared" si="1"/>
        <v>0</v>
      </c>
      <c r="T19" s="126">
        <f t="shared" si="1"/>
        <v>0</v>
      </c>
      <c r="U19" s="126">
        <f t="shared" si="1"/>
        <v>0</v>
      </c>
      <c r="V19" s="126">
        <f t="shared" si="1"/>
        <v>0</v>
      </c>
      <c r="W19" s="125"/>
      <c r="X19" s="132"/>
      <c r="Y19" s="134"/>
      <c r="Z19" s="133"/>
      <c r="AA19" s="133"/>
      <c r="AB19" s="133"/>
      <c r="AC19" s="133"/>
      <c r="AD19" s="125"/>
    </row>
    <row r="20" spans="1:30">
      <c r="A20" s="145" t="s">
        <v>113</v>
      </c>
      <c r="B20" s="160">
        <v>0</v>
      </c>
      <c r="C20" s="161">
        <v>0</v>
      </c>
      <c r="D20" s="161">
        <v>0</v>
      </c>
      <c r="E20" s="161">
        <v>0</v>
      </c>
      <c r="F20" s="161">
        <v>0</v>
      </c>
      <c r="G20" s="161">
        <v>0</v>
      </c>
      <c r="H20" s="161">
        <v>0</v>
      </c>
      <c r="I20" s="161">
        <v>0</v>
      </c>
      <c r="J20" s="161">
        <v>0</v>
      </c>
      <c r="K20" s="161">
        <v>0</v>
      </c>
      <c r="L20" s="162">
        <v>0</v>
      </c>
      <c r="M20" s="126">
        <f t="shared" ref="M20:V20" si="2">+L20*(1+$B$12)</f>
        <v>0</v>
      </c>
      <c r="N20" s="126">
        <f t="shared" si="2"/>
        <v>0</v>
      </c>
      <c r="O20" s="126">
        <f t="shared" si="2"/>
        <v>0</v>
      </c>
      <c r="P20" s="126">
        <f t="shared" si="2"/>
        <v>0</v>
      </c>
      <c r="Q20" s="126">
        <f t="shared" si="2"/>
        <v>0</v>
      </c>
      <c r="R20" s="126">
        <f t="shared" si="2"/>
        <v>0</v>
      </c>
      <c r="S20" s="126">
        <f t="shared" si="2"/>
        <v>0</v>
      </c>
      <c r="T20" s="126">
        <f t="shared" si="2"/>
        <v>0</v>
      </c>
      <c r="U20" s="126">
        <f t="shared" si="2"/>
        <v>0</v>
      </c>
      <c r="V20" s="126">
        <f t="shared" si="2"/>
        <v>0</v>
      </c>
      <c r="W20" s="125"/>
      <c r="X20" s="132"/>
      <c r="Y20" s="134"/>
      <c r="Z20" s="133"/>
      <c r="AA20" s="133"/>
      <c r="AB20" s="133"/>
      <c r="AC20" s="133"/>
      <c r="AD20" s="125"/>
    </row>
    <row r="21" spans="1:30">
      <c r="A21" s="163" t="s">
        <v>114</v>
      </c>
      <c r="B21" s="164">
        <f t="shared" ref="B21:V21" si="3">SUM(B18:B20)</f>
        <v>-170000</v>
      </c>
      <c r="C21" s="165">
        <f t="shared" si="3"/>
        <v>0</v>
      </c>
      <c r="D21" s="166">
        <f t="shared" si="3"/>
        <v>0</v>
      </c>
      <c r="E21" s="165">
        <f t="shared" si="3"/>
        <v>0</v>
      </c>
      <c r="F21" s="165">
        <f t="shared" si="3"/>
        <v>0</v>
      </c>
      <c r="G21" s="165">
        <f t="shared" si="3"/>
        <v>0</v>
      </c>
      <c r="H21" s="167">
        <f t="shared" si="3"/>
        <v>0</v>
      </c>
      <c r="I21" s="167">
        <f t="shared" si="3"/>
        <v>0</v>
      </c>
      <c r="J21" s="166">
        <f t="shared" si="3"/>
        <v>0</v>
      </c>
      <c r="K21" s="165">
        <f t="shared" si="3"/>
        <v>0</v>
      </c>
      <c r="L21" s="168">
        <f t="shared" si="3"/>
        <v>0</v>
      </c>
      <c r="M21" s="127">
        <f t="shared" si="3"/>
        <v>0</v>
      </c>
      <c r="N21" s="127">
        <f t="shared" si="3"/>
        <v>0</v>
      </c>
      <c r="O21" s="127">
        <f t="shared" si="3"/>
        <v>0</v>
      </c>
      <c r="P21" s="127">
        <f t="shared" si="3"/>
        <v>0</v>
      </c>
      <c r="Q21" s="127">
        <f t="shared" si="3"/>
        <v>0</v>
      </c>
      <c r="R21" s="127">
        <f t="shared" si="3"/>
        <v>0</v>
      </c>
      <c r="S21" s="127">
        <f t="shared" si="3"/>
        <v>0</v>
      </c>
      <c r="T21" s="127">
        <f t="shared" si="3"/>
        <v>0</v>
      </c>
      <c r="U21" s="127">
        <f t="shared" si="3"/>
        <v>0</v>
      </c>
      <c r="V21" s="127">
        <f t="shared" si="3"/>
        <v>0</v>
      </c>
      <c r="W21" s="125"/>
      <c r="X21" s="132"/>
      <c r="Y21" s="134"/>
      <c r="Z21" s="133"/>
      <c r="AA21" s="133"/>
      <c r="AB21" s="133"/>
      <c r="AC21" s="133"/>
      <c r="AD21" s="125"/>
    </row>
    <row r="22" spans="1:30" ht="54" thickBot="1">
      <c r="A22" s="169" t="s">
        <v>231</v>
      </c>
      <c r="B22" s="160">
        <v>0</v>
      </c>
      <c r="C22" s="170"/>
      <c r="D22" s="171"/>
      <c r="E22" s="171"/>
      <c r="F22" s="171"/>
      <c r="G22" s="171"/>
      <c r="H22" s="171"/>
      <c r="I22" s="172"/>
      <c r="J22" s="172"/>
      <c r="K22" s="172"/>
      <c r="L22" s="172"/>
      <c r="M22" s="128"/>
      <c r="N22" s="128"/>
      <c r="O22" s="128"/>
      <c r="P22" s="128"/>
      <c r="Q22" s="128"/>
      <c r="R22" s="128"/>
      <c r="S22" s="128"/>
      <c r="T22" s="128"/>
      <c r="U22" s="128"/>
      <c r="V22" s="128"/>
      <c r="W22" s="125"/>
      <c r="X22" s="132"/>
      <c r="Y22" s="134"/>
      <c r="Z22" s="133"/>
      <c r="AA22" s="133"/>
      <c r="AB22" s="133"/>
      <c r="AC22" s="133"/>
      <c r="AD22" s="125"/>
    </row>
    <row r="23" spans="1:30" ht="27.6" thickTop="1">
      <c r="A23" s="173" t="s">
        <v>115</v>
      </c>
      <c r="B23" s="174">
        <f t="shared" ref="B23:V23" si="4">SUM(B21:B22)</f>
        <v>-170000</v>
      </c>
      <c r="C23" s="175">
        <f t="shared" si="4"/>
        <v>0</v>
      </c>
      <c r="D23" s="176">
        <f t="shared" si="4"/>
        <v>0</v>
      </c>
      <c r="E23" s="176">
        <f t="shared" si="4"/>
        <v>0</v>
      </c>
      <c r="F23" s="174">
        <f t="shared" si="4"/>
        <v>0</v>
      </c>
      <c r="G23" s="176">
        <f t="shared" si="4"/>
        <v>0</v>
      </c>
      <c r="H23" s="176">
        <f t="shared" si="4"/>
        <v>0</v>
      </c>
      <c r="I23" s="174">
        <f t="shared" si="4"/>
        <v>0</v>
      </c>
      <c r="J23" s="175">
        <f t="shared" si="4"/>
        <v>0</v>
      </c>
      <c r="K23" s="175">
        <f t="shared" si="4"/>
        <v>0</v>
      </c>
      <c r="L23" s="175">
        <f t="shared" si="4"/>
        <v>0</v>
      </c>
      <c r="M23" s="127">
        <f t="shared" si="4"/>
        <v>0</v>
      </c>
      <c r="N23" s="127">
        <f t="shared" si="4"/>
        <v>0</v>
      </c>
      <c r="O23" s="127">
        <f t="shared" si="4"/>
        <v>0</v>
      </c>
      <c r="P23" s="127">
        <f t="shared" si="4"/>
        <v>0</v>
      </c>
      <c r="Q23" s="127">
        <f t="shared" si="4"/>
        <v>0</v>
      </c>
      <c r="R23" s="127">
        <f t="shared" si="4"/>
        <v>0</v>
      </c>
      <c r="S23" s="127">
        <f t="shared" si="4"/>
        <v>0</v>
      </c>
      <c r="T23" s="127">
        <f t="shared" si="4"/>
        <v>0</v>
      </c>
      <c r="U23" s="127">
        <f t="shared" si="4"/>
        <v>0</v>
      </c>
      <c r="V23" s="127">
        <f t="shared" si="4"/>
        <v>0</v>
      </c>
      <c r="W23" s="125"/>
      <c r="X23" s="132"/>
      <c r="Y23" s="134"/>
      <c r="Z23" s="133"/>
      <c r="AA23" s="133"/>
      <c r="AB23" s="133"/>
      <c r="AC23" s="133"/>
      <c r="AD23" s="125"/>
    </row>
    <row r="24" spans="1:30">
      <c r="A24" s="177"/>
      <c r="B24" s="99"/>
      <c r="C24" s="99"/>
      <c r="D24" s="99"/>
      <c r="E24" s="99"/>
      <c r="F24" s="99"/>
      <c r="G24" s="99"/>
      <c r="H24" s="99"/>
      <c r="I24" s="99"/>
      <c r="J24" s="99"/>
      <c r="K24" s="99"/>
      <c r="L24" s="99"/>
      <c r="M24" s="125"/>
      <c r="N24" s="125"/>
      <c r="O24" s="125"/>
      <c r="P24" s="125"/>
      <c r="Q24" s="125"/>
      <c r="R24" s="125"/>
      <c r="S24" s="125"/>
      <c r="T24" s="125"/>
      <c r="U24" s="125"/>
      <c r="V24" s="125"/>
      <c r="W24" s="125"/>
      <c r="X24" s="132"/>
      <c r="Y24" s="134"/>
      <c r="Z24" s="133"/>
      <c r="AA24" s="133"/>
      <c r="AB24" s="133"/>
      <c r="AC24" s="133"/>
      <c r="AD24" s="125"/>
    </row>
    <row r="25" spans="1:30">
      <c r="A25" s="178"/>
      <c r="B25" s="12"/>
      <c r="C25" s="12"/>
      <c r="D25" s="12"/>
      <c r="E25" s="12"/>
      <c r="F25" s="12"/>
      <c r="G25" s="12"/>
      <c r="H25" s="12"/>
      <c r="I25" s="12"/>
      <c r="J25" s="12"/>
      <c r="K25" s="12"/>
      <c r="L25" s="12"/>
      <c r="M25" s="125"/>
      <c r="N25" s="125"/>
      <c r="O25" s="125"/>
      <c r="P25" s="125"/>
      <c r="Q25" s="125"/>
      <c r="R25" s="125"/>
      <c r="S25" s="125"/>
      <c r="T25" s="125"/>
      <c r="U25" s="125"/>
      <c r="V25" s="125"/>
      <c r="W25" s="125"/>
      <c r="X25" s="132"/>
      <c r="Y25" s="134"/>
      <c r="Z25" s="133"/>
      <c r="AA25" s="133"/>
      <c r="AB25" s="133"/>
      <c r="AC25" s="133"/>
      <c r="AD25" s="125"/>
    </row>
    <row r="26" spans="1:30" ht="27">
      <c r="A26" s="179" t="s">
        <v>186</v>
      </c>
      <c r="B26" s="180"/>
      <c r="C26" s="181">
        <f>Model_Home!L32</f>
        <v>89356.726271413645</v>
      </c>
      <c r="D26" s="182">
        <f t="shared" ref="D26:V26" si="5">C26*(1+$B$12)</f>
        <v>91143.860796841924</v>
      </c>
      <c r="E26" s="183">
        <f t="shared" si="5"/>
        <v>92966.738012778762</v>
      </c>
      <c r="F26" s="183">
        <f t="shared" si="5"/>
        <v>94826.072773034335</v>
      </c>
      <c r="G26" s="183">
        <f t="shared" si="5"/>
        <v>96722.594228495029</v>
      </c>
      <c r="H26" s="183">
        <f t="shared" si="5"/>
        <v>98657.046113064935</v>
      </c>
      <c r="I26" s="183">
        <f t="shared" si="5"/>
        <v>100630.18703532623</v>
      </c>
      <c r="J26" s="183">
        <f t="shared" si="5"/>
        <v>102642.79077603277</v>
      </c>
      <c r="K26" s="183">
        <f t="shared" si="5"/>
        <v>104695.64659155342</v>
      </c>
      <c r="L26" s="184">
        <f t="shared" si="5"/>
        <v>106789.55952338449</v>
      </c>
      <c r="M26" s="128">
        <f t="shared" si="5"/>
        <v>108925.35071385218</v>
      </c>
      <c r="N26" s="128">
        <f t="shared" si="5"/>
        <v>111103.85772812922</v>
      </c>
      <c r="O26" s="128">
        <f t="shared" si="5"/>
        <v>113325.93488269181</v>
      </c>
      <c r="P26" s="128">
        <f t="shared" si="5"/>
        <v>115592.45358034565</v>
      </c>
      <c r="Q26" s="128">
        <f t="shared" si="5"/>
        <v>117904.30265195257</v>
      </c>
      <c r="R26" s="128">
        <f t="shared" si="5"/>
        <v>120262.38870499162</v>
      </c>
      <c r="S26" s="128">
        <f t="shared" si="5"/>
        <v>122667.63647909145</v>
      </c>
      <c r="T26" s="128">
        <f t="shared" si="5"/>
        <v>125120.98920867329</v>
      </c>
      <c r="U26" s="128">
        <f t="shared" si="5"/>
        <v>127623.40899284676</v>
      </c>
      <c r="V26" s="128">
        <f t="shared" si="5"/>
        <v>130175.87717270369</v>
      </c>
      <c r="W26" s="125"/>
      <c r="X26" s="132"/>
      <c r="Y26" s="134"/>
      <c r="Z26" s="133"/>
      <c r="AA26" s="133"/>
      <c r="AB26" s="133"/>
      <c r="AC26" s="133"/>
      <c r="AD26" s="125"/>
    </row>
    <row r="27" spans="1:30" ht="53.4">
      <c r="A27" s="169" t="s">
        <v>261</v>
      </c>
      <c r="B27" s="180"/>
      <c r="C27" s="158">
        <v>0</v>
      </c>
      <c r="D27" s="185">
        <f t="shared" ref="D27:V27" si="6">C27*(1+$B$12)</f>
        <v>0</v>
      </c>
      <c r="E27" s="186">
        <f t="shared" si="6"/>
        <v>0</v>
      </c>
      <c r="F27" s="186">
        <f t="shared" si="6"/>
        <v>0</v>
      </c>
      <c r="G27" s="186">
        <f t="shared" si="6"/>
        <v>0</v>
      </c>
      <c r="H27" s="186">
        <f t="shared" si="6"/>
        <v>0</v>
      </c>
      <c r="I27" s="186">
        <f t="shared" si="6"/>
        <v>0</v>
      </c>
      <c r="J27" s="186">
        <f t="shared" si="6"/>
        <v>0</v>
      </c>
      <c r="K27" s="187">
        <f t="shared" si="6"/>
        <v>0</v>
      </c>
      <c r="L27" s="188">
        <f t="shared" si="6"/>
        <v>0</v>
      </c>
      <c r="M27" s="128">
        <f t="shared" si="6"/>
        <v>0</v>
      </c>
      <c r="N27" s="128">
        <f t="shared" si="6"/>
        <v>0</v>
      </c>
      <c r="O27" s="128">
        <f t="shared" si="6"/>
        <v>0</v>
      </c>
      <c r="P27" s="128">
        <f t="shared" si="6"/>
        <v>0</v>
      </c>
      <c r="Q27" s="128">
        <f t="shared" si="6"/>
        <v>0</v>
      </c>
      <c r="R27" s="128">
        <f t="shared" si="6"/>
        <v>0</v>
      </c>
      <c r="S27" s="128">
        <f t="shared" si="6"/>
        <v>0</v>
      </c>
      <c r="T27" s="128">
        <f t="shared" si="6"/>
        <v>0</v>
      </c>
      <c r="U27" s="128">
        <f t="shared" si="6"/>
        <v>0</v>
      </c>
      <c r="V27" s="128">
        <f t="shared" si="6"/>
        <v>0</v>
      </c>
      <c r="W27" s="125"/>
      <c r="X27" s="132"/>
      <c r="Y27" s="134"/>
      <c r="Z27" s="133"/>
      <c r="AA27" s="133"/>
      <c r="AB27" s="133"/>
      <c r="AC27" s="133"/>
      <c r="AD27" s="125"/>
    </row>
    <row r="28" spans="1:30" ht="66.599999999999994">
      <c r="A28" s="179" t="s">
        <v>232</v>
      </c>
      <c r="B28" s="180"/>
      <c r="C28" s="158">
        <v>0</v>
      </c>
      <c r="D28" s="158">
        <v>0</v>
      </c>
      <c r="E28" s="158">
        <v>0</v>
      </c>
      <c r="F28" s="158">
        <v>0</v>
      </c>
      <c r="G28" s="158">
        <v>0</v>
      </c>
      <c r="H28" s="158">
        <v>0</v>
      </c>
      <c r="I28" s="158">
        <v>0</v>
      </c>
      <c r="J28" s="158">
        <v>0</v>
      </c>
      <c r="K28" s="158">
        <v>0</v>
      </c>
      <c r="L28" s="159">
        <v>0</v>
      </c>
      <c r="M28" s="126">
        <v>0</v>
      </c>
      <c r="N28" s="126">
        <v>0</v>
      </c>
      <c r="O28" s="126">
        <v>0</v>
      </c>
      <c r="P28" s="126">
        <v>0</v>
      </c>
      <c r="Q28" s="126">
        <v>0</v>
      </c>
      <c r="R28" s="126">
        <v>0</v>
      </c>
      <c r="S28" s="126">
        <v>0</v>
      </c>
      <c r="T28" s="126">
        <v>0</v>
      </c>
      <c r="U28" s="126">
        <v>0</v>
      </c>
      <c r="V28" s="126">
        <v>0</v>
      </c>
      <c r="W28" s="136"/>
      <c r="X28" s="137"/>
      <c r="Y28" s="138"/>
      <c r="Z28" s="139"/>
      <c r="AA28" s="139"/>
      <c r="AB28" s="139"/>
      <c r="AC28" s="139"/>
      <c r="AD28" s="136"/>
    </row>
    <row r="29" spans="1:30">
      <c r="A29" s="189" t="s">
        <v>116</v>
      </c>
      <c r="B29" s="180"/>
      <c r="C29" s="190">
        <f t="shared" ref="C29:V29" si="7">SUM(C26:C28)</f>
        <v>89356.726271413645</v>
      </c>
      <c r="D29" s="190">
        <f t="shared" si="7"/>
        <v>91143.860796841924</v>
      </c>
      <c r="E29" s="190">
        <f t="shared" si="7"/>
        <v>92966.738012778762</v>
      </c>
      <c r="F29" s="190">
        <f t="shared" si="7"/>
        <v>94826.072773034335</v>
      </c>
      <c r="G29" s="190">
        <f t="shared" si="7"/>
        <v>96722.594228495029</v>
      </c>
      <c r="H29" s="190">
        <f t="shared" si="7"/>
        <v>98657.046113064935</v>
      </c>
      <c r="I29" s="190">
        <f t="shared" si="7"/>
        <v>100630.18703532623</v>
      </c>
      <c r="J29" s="190">
        <f t="shared" si="7"/>
        <v>102642.79077603277</v>
      </c>
      <c r="K29" s="190">
        <f t="shared" si="7"/>
        <v>104695.64659155342</v>
      </c>
      <c r="L29" s="191">
        <f t="shared" si="7"/>
        <v>106789.55952338449</v>
      </c>
      <c r="M29" s="128">
        <f t="shared" si="7"/>
        <v>108925.35071385218</v>
      </c>
      <c r="N29" s="128">
        <f t="shared" si="7"/>
        <v>111103.85772812922</v>
      </c>
      <c r="O29" s="128">
        <f t="shared" si="7"/>
        <v>113325.93488269181</v>
      </c>
      <c r="P29" s="128">
        <f t="shared" si="7"/>
        <v>115592.45358034565</v>
      </c>
      <c r="Q29" s="128">
        <f t="shared" si="7"/>
        <v>117904.30265195257</v>
      </c>
      <c r="R29" s="128">
        <f t="shared" si="7"/>
        <v>120262.38870499162</v>
      </c>
      <c r="S29" s="128">
        <f t="shared" si="7"/>
        <v>122667.63647909145</v>
      </c>
      <c r="T29" s="128">
        <f t="shared" si="7"/>
        <v>125120.98920867329</v>
      </c>
      <c r="U29" s="128">
        <f t="shared" si="7"/>
        <v>127623.40899284676</v>
      </c>
      <c r="V29" s="128">
        <f t="shared" si="7"/>
        <v>130175.87717270369</v>
      </c>
      <c r="W29" s="125"/>
      <c r="X29" s="132"/>
      <c r="Y29" s="134"/>
      <c r="Z29" s="133"/>
      <c r="AA29" s="133"/>
      <c r="AB29" s="133"/>
      <c r="AC29" s="133"/>
      <c r="AD29" s="125"/>
    </row>
    <row r="30" spans="1:30">
      <c r="A30" s="178"/>
      <c r="B30" s="192"/>
      <c r="C30" s="192"/>
      <c r="D30" s="192"/>
      <c r="E30" s="192"/>
      <c r="F30" s="192"/>
      <c r="G30" s="192"/>
      <c r="H30" s="192"/>
      <c r="I30" s="192"/>
      <c r="J30" s="192"/>
      <c r="K30" s="192"/>
      <c r="L30" s="192"/>
      <c r="M30" s="122"/>
      <c r="N30" s="122"/>
      <c r="O30" s="122"/>
      <c r="P30" s="122"/>
      <c r="Q30" s="122"/>
      <c r="R30" s="122"/>
      <c r="S30" s="122"/>
      <c r="T30" s="122"/>
      <c r="U30" s="122"/>
      <c r="V30" s="122"/>
      <c r="W30" s="125"/>
      <c r="X30" s="132"/>
      <c r="Y30" s="134"/>
      <c r="Z30" s="133"/>
      <c r="AA30" s="133"/>
      <c r="AB30" s="133"/>
      <c r="AC30" s="133"/>
      <c r="AD30" s="125"/>
    </row>
    <row r="31" spans="1:30">
      <c r="A31" s="193" t="s">
        <v>117</v>
      </c>
      <c r="B31" s="184">
        <f t="shared" ref="B31:V31" si="8">B23+B29</f>
        <v>-170000</v>
      </c>
      <c r="C31" s="194">
        <f t="shared" si="8"/>
        <v>89356.726271413645</v>
      </c>
      <c r="D31" s="182">
        <f t="shared" si="8"/>
        <v>91143.860796841924</v>
      </c>
      <c r="E31" s="184">
        <f t="shared" si="8"/>
        <v>92966.738012778762</v>
      </c>
      <c r="F31" s="182">
        <f t="shared" si="8"/>
        <v>94826.072773034335</v>
      </c>
      <c r="G31" s="184">
        <f t="shared" si="8"/>
        <v>96722.594228495029</v>
      </c>
      <c r="H31" s="182">
        <f t="shared" si="8"/>
        <v>98657.046113064935</v>
      </c>
      <c r="I31" s="182">
        <f t="shared" si="8"/>
        <v>100630.18703532623</v>
      </c>
      <c r="J31" s="184">
        <f t="shared" si="8"/>
        <v>102642.79077603277</v>
      </c>
      <c r="K31" s="182">
        <f t="shared" si="8"/>
        <v>104695.64659155342</v>
      </c>
      <c r="L31" s="184">
        <f t="shared" si="8"/>
        <v>106789.55952338449</v>
      </c>
      <c r="M31" s="128">
        <f t="shared" si="8"/>
        <v>108925.35071385218</v>
      </c>
      <c r="N31" s="128">
        <f t="shared" si="8"/>
        <v>111103.85772812922</v>
      </c>
      <c r="O31" s="128">
        <f t="shared" si="8"/>
        <v>113325.93488269181</v>
      </c>
      <c r="P31" s="128">
        <f t="shared" si="8"/>
        <v>115592.45358034565</v>
      </c>
      <c r="Q31" s="128">
        <f t="shared" si="8"/>
        <v>117904.30265195257</v>
      </c>
      <c r="R31" s="128">
        <f t="shared" si="8"/>
        <v>120262.38870499162</v>
      </c>
      <c r="S31" s="128">
        <f t="shared" si="8"/>
        <v>122667.63647909145</v>
      </c>
      <c r="T31" s="128">
        <f t="shared" si="8"/>
        <v>125120.98920867329</v>
      </c>
      <c r="U31" s="128">
        <f t="shared" si="8"/>
        <v>127623.40899284676</v>
      </c>
      <c r="V31" s="128">
        <f t="shared" si="8"/>
        <v>130175.87717270369</v>
      </c>
      <c r="W31" s="125"/>
      <c r="X31" s="132"/>
      <c r="Y31" s="134"/>
      <c r="Z31" s="133"/>
      <c r="AA31" s="133"/>
      <c r="AB31" s="133"/>
      <c r="AC31" s="133"/>
      <c r="AD31" s="125"/>
    </row>
    <row r="32" spans="1:30">
      <c r="A32" s="193"/>
      <c r="B32" s="195"/>
      <c r="C32" s="195"/>
      <c r="D32" s="195"/>
      <c r="E32" s="195"/>
      <c r="F32" s="195"/>
      <c r="G32" s="195"/>
      <c r="H32" s="195"/>
      <c r="I32" s="195"/>
      <c r="J32" s="195"/>
      <c r="K32" s="195"/>
      <c r="L32" s="195"/>
      <c r="M32" s="102"/>
      <c r="N32" s="102"/>
      <c r="O32" s="102"/>
      <c r="P32" s="102"/>
      <c r="Q32" s="102"/>
      <c r="R32" s="102"/>
      <c r="S32" s="102"/>
      <c r="T32" s="102"/>
      <c r="U32" s="102"/>
      <c r="V32" s="102"/>
      <c r="W32" s="125"/>
      <c r="X32" s="133"/>
      <c r="Y32" s="133"/>
      <c r="Z32" s="133"/>
      <c r="AA32" s="133"/>
      <c r="AB32" s="133"/>
      <c r="AC32" s="133"/>
      <c r="AD32" s="125"/>
    </row>
    <row r="33" spans="1:30" ht="66.599999999999994">
      <c r="A33" s="173" t="s">
        <v>118</v>
      </c>
      <c r="B33" s="196">
        <f t="shared" ref="B33:V33" si="9">SUM(B23)/(1+$B$9)^B$15</f>
        <v>-170000</v>
      </c>
      <c r="C33" s="197">
        <f t="shared" si="9"/>
        <v>0</v>
      </c>
      <c r="D33" s="197">
        <f t="shared" si="9"/>
        <v>0</v>
      </c>
      <c r="E33" s="198">
        <f t="shared" si="9"/>
        <v>0</v>
      </c>
      <c r="F33" s="197">
        <f t="shared" si="9"/>
        <v>0</v>
      </c>
      <c r="G33" s="197">
        <f t="shared" si="9"/>
        <v>0</v>
      </c>
      <c r="H33" s="197">
        <f t="shared" si="9"/>
        <v>0</v>
      </c>
      <c r="I33" s="197">
        <f t="shared" si="9"/>
        <v>0</v>
      </c>
      <c r="J33" s="197">
        <f t="shared" si="9"/>
        <v>0</v>
      </c>
      <c r="K33" s="197">
        <f t="shared" si="9"/>
        <v>0</v>
      </c>
      <c r="L33" s="197">
        <f t="shared" si="9"/>
        <v>0</v>
      </c>
      <c r="M33" s="127">
        <f t="shared" si="9"/>
        <v>0</v>
      </c>
      <c r="N33" s="127">
        <f t="shared" si="9"/>
        <v>0</v>
      </c>
      <c r="O33" s="127">
        <f t="shared" si="9"/>
        <v>0</v>
      </c>
      <c r="P33" s="127">
        <f t="shared" si="9"/>
        <v>0</v>
      </c>
      <c r="Q33" s="127">
        <f t="shared" si="9"/>
        <v>0</v>
      </c>
      <c r="R33" s="127">
        <f t="shared" si="9"/>
        <v>0</v>
      </c>
      <c r="S33" s="127">
        <f t="shared" si="9"/>
        <v>0</v>
      </c>
      <c r="T33" s="127">
        <f t="shared" si="9"/>
        <v>0</v>
      </c>
      <c r="U33" s="127">
        <f t="shared" si="9"/>
        <v>0</v>
      </c>
      <c r="V33" s="127">
        <f t="shared" si="9"/>
        <v>0</v>
      </c>
      <c r="W33" s="1"/>
      <c r="X33" s="1"/>
      <c r="Y33" s="1"/>
      <c r="Z33" s="1"/>
      <c r="AA33" s="1"/>
      <c r="AB33" s="1"/>
      <c r="AC33" s="1"/>
      <c r="AD33" s="1"/>
    </row>
    <row r="34" spans="1:30">
      <c r="A34" s="189" t="s">
        <v>119</v>
      </c>
      <c r="B34" s="199">
        <f t="shared" ref="B34:V34" si="10">B29/(1+$B$9)^B$15</f>
        <v>0</v>
      </c>
      <c r="C34" s="200">
        <f t="shared" si="10"/>
        <v>85919.929107128497</v>
      </c>
      <c r="D34" s="200">
        <f t="shared" si="10"/>
        <v>84267.622778145262</v>
      </c>
      <c r="E34" s="200">
        <f t="shared" si="10"/>
        <v>82647.091570873235</v>
      </c>
      <c r="F34" s="200">
        <f t="shared" si="10"/>
        <v>81057.724425279506</v>
      </c>
      <c r="G34" s="200">
        <f t="shared" si="10"/>
        <v>79498.922032485672</v>
      </c>
      <c r="H34" s="200">
        <f t="shared" si="10"/>
        <v>77970.096608784035</v>
      </c>
      <c r="I34" s="200">
        <f t="shared" si="10"/>
        <v>76470.671673999736</v>
      </c>
      <c r="J34" s="200">
        <f t="shared" si="10"/>
        <v>75000.081834115117</v>
      </c>
      <c r="K34" s="200">
        <f t="shared" si="10"/>
        <v>73557.772568074433</v>
      </c>
      <c r="L34" s="200">
        <f t="shared" si="10"/>
        <v>72143.200018688382</v>
      </c>
      <c r="M34" s="127">
        <f t="shared" si="10"/>
        <v>70755.830787559767</v>
      </c>
      <c r="N34" s="127">
        <f t="shared" si="10"/>
        <v>69395.141733952827</v>
      </c>
      <c r="O34" s="127">
        <f t="shared" si="10"/>
        <v>68060.619777530665</v>
      </c>
      <c r="P34" s="127">
        <f t="shared" si="10"/>
        <v>66751.761704885852</v>
      </c>
      <c r="Q34" s="127">
        <f t="shared" si="10"/>
        <v>65468.073979791894</v>
      </c>
      <c r="R34" s="127">
        <f t="shared" si="10"/>
        <v>64209.072557103573</v>
      </c>
      <c r="S34" s="127">
        <f t="shared" si="10"/>
        <v>62974.282700236196</v>
      </c>
      <c r="T34" s="127">
        <f t="shared" si="10"/>
        <v>61763.238802154723</v>
      </c>
      <c r="U34" s="127">
        <f t="shared" si="10"/>
        <v>60575.484209805603</v>
      </c>
      <c r="V34" s="127">
        <f t="shared" si="10"/>
        <v>59410.571051924722</v>
      </c>
      <c r="W34" s="1"/>
      <c r="X34" s="1"/>
      <c r="Y34" s="1"/>
      <c r="Z34" s="1"/>
      <c r="AA34" s="1"/>
      <c r="AB34" s="1"/>
      <c r="AC34" s="1"/>
      <c r="AD34" s="1"/>
    </row>
    <row r="35" spans="1:30">
      <c r="A35" s="201" t="s">
        <v>120</v>
      </c>
      <c r="B35" s="202">
        <f>B31</f>
        <v>-170000</v>
      </c>
      <c r="C35" s="202">
        <f t="shared" ref="C35:V35" si="11">B35+C31</f>
        <v>-80643.273728586355</v>
      </c>
      <c r="D35" s="202">
        <f t="shared" si="11"/>
        <v>10500.587068255569</v>
      </c>
      <c r="E35" s="202">
        <f t="shared" si="11"/>
        <v>103467.32508103433</v>
      </c>
      <c r="F35" s="202">
        <f t="shared" si="11"/>
        <v>198293.39785406867</v>
      </c>
      <c r="G35" s="202">
        <f t="shared" si="11"/>
        <v>295015.99208256369</v>
      </c>
      <c r="H35" s="202">
        <f t="shared" si="11"/>
        <v>393673.03819562861</v>
      </c>
      <c r="I35" s="202">
        <f t="shared" si="11"/>
        <v>494303.22523095482</v>
      </c>
      <c r="J35" s="202">
        <f t="shared" si="11"/>
        <v>596946.01600698754</v>
      </c>
      <c r="K35" s="202">
        <f t="shared" si="11"/>
        <v>701641.66259854101</v>
      </c>
      <c r="L35" s="202">
        <f t="shared" si="11"/>
        <v>808431.22212192556</v>
      </c>
      <c r="M35" s="102">
        <f t="shared" si="11"/>
        <v>917356.57283577777</v>
      </c>
      <c r="N35" s="102">
        <f t="shared" si="11"/>
        <v>1028460.430563907</v>
      </c>
      <c r="O35" s="102">
        <f t="shared" si="11"/>
        <v>1141786.3654465987</v>
      </c>
      <c r="P35" s="102">
        <f t="shared" si="11"/>
        <v>1257378.8190269445</v>
      </c>
      <c r="Q35" s="102">
        <f t="shared" si="11"/>
        <v>1375283.1216788969</v>
      </c>
      <c r="R35" s="102">
        <f t="shared" si="11"/>
        <v>1495545.5103838886</v>
      </c>
      <c r="S35" s="102">
        <f t="shared" si="11"/>
        <v>1618213.14686298</v>
      </c>
      <c r="T35" s="102">
        <f t="shared" si="11"/>
        <v>1743334.1360716533</v>
      </c>
      <c r="U35" s="102">
        <f t="shared" si="11"/>
        <v>1870957.5450645001</v>
      </c>
      <c r="V35" s="102">
        <f t="shared" si="11"/>
        <v>2001133.4222372037</v>
      </c>
      <c r="W35" s="1"/>
      <c r="X35" s="1"/>
      <c r="Y35" s="1"/>
      <c r="Z35" s="1"/>
      <c r="AA35" s="1"/>
      <c r="AB35" s="1"/>
      <c r="AC35" s="1"/>
      <c r="AD35" s="1"/>
    </row>
    <row r="36" spans="1:30">
      <c r="A36" s="193" t="s">
        <v>121</v>
      </c>
      <c r="B36" s="166">
        <f t="shared" ref="B36:V36" si="12">B31/(1+$B$9)^B15</f>
        <v>-170000</v>
      </c>
      <c r="C36" s="168">
        <f t="shared" si="12"/>
        <v>85919.929107128497</v>
      </c>
      <c r="D36" s="165">
        <f t="shared" si="12"/>
        <v>84267.622778145262</v>
      </c>
      <c r="E36" s="166">
        <f t="shared" si="12"/>
        <v>82647.091570873235</v>
      </c>
      <c r="F36" s="165">
        <f t="shared" si="12"/>
        <v>81057.724425279506</v>
      </c>
      <c r="G36" s="166">
        <f t="shared" si="12"/>
        <v>79498.922032485672</v>
      </c>
      <c r="H36" s="165">
        <f t="shared" si="12"/>
        <v>77970.096608784035</v>
      </c>
      <c r="I36" s="166">
        <f t="shared" si="12"/>
        <v>76470.671673999736</v>
      </c>
      <c r="J36" s="165">
        <f t="shared" si="12"/>
        <v>75000.081834115117</v>
      </c>
      <c r="K36" s="166">
        <f t="shared" si="12"/>
        <v>73557.772568074433</v>
      </c>
      <c r="L36" s="168">
        <f t="shared" si="12"/>
        <v>72143.200018688382</v>
      </c>
      <c r="M36" s="127">
        <f t="shared" si="12"/>
        <v>70755.830787559767</v>
      </c>
      <c r="N36" s="127">
        <f t="shared" si="12"/>
        <v>69395.141733952827</v>
      </c>
      <c r="O36" s="127">
        <f t="shared" si="12"/>
        <v>68060.619777530665</v>
      </c>
      <c r="P36" s="127">
        <f t="shared" si="12"/>
        <v>66751.761704885852</v>
      </c>
      <c r="Q36" s="127">
        <f t="shared" si="12"/>
        <v>65468.073979791894</v>
      </c>
      <c r="R36" s="127">
        <f t="shared" si="12"/>
        <v>64209.072557103573</v>
      </c>
      <c r="S36" s="127">
        <f t="shared" si="12"/>
        <v>62974.282700236196</v>
      </c>
      <c r="T36" s="127">
        <f t="shared" si="12"/>
        <v>61763.238802154723</v>
      </c>
      <c r="U36" s="127">
        <f t="shared" si="12"/>
        <v>60575.484209805603</v>
      </c>
      <c r="V36" s="127">
        <f t="shared" si="12"/>
        <v>59410.571051924722</v>
      </c>
      <c r="W36" s="1"/>
      <c r="X36" s="1"/>
      <c r="Y36" s="1"/>
      <c r="Z36" s="1"/>
      <c r="AA36" s="1"/>
      <c r="AB36" s="1"/>
      <c r="AC36" s="1"/>
      <c r="AD36" s="1"/>
    </row>
    <row r="37" spans="1:30" ht="15" thickBot="1">
      <c r="A37" s="201" t="s">
        <v>122</v>
      </c>
      <c r="B37" s="121">
        <f>B36</f>
        <v>-170000</v>
      </c>
      <c r="C37" s="121">
        <f t="shared" ref="C37:V37" si="13">B37+C36</f>
        <v>-84080.070892871503</v>
      </c>
      <c r="D37" s="121">
        <f t="shared" si="13"/>
        <v>187.55188527375867</v>
      </c>
      <c r="E37" s="121">
        <f t="shared" si="13"/>
        <v>82834.643456146994</v>
      </c>
      <c r="F37" s="121">
        <f t="shared" si="13"/>
        <v>163892.3678814265</v>
      </c>
      <c r="G37" s="121">
        <f t="shared" si="13"/>
        <v>243391.28991391219</v>
      </c>
      <c r="H37" s="121">
        <f t="shared" si="13"/>
        <v>321361.38652269624</v>
      </c>
      <c r="I37" s="121">
        <f t="shared" si="13"/>
        <v>397832.05819669599</v>
      </c>
      <c r="J37" s="121">
        <f t="shared" si="13"/>
        <v>472832.14003081108</v>
      </c>
      <c r="K37" s="121">
        <f t="shared" si="13"/>
        <v>546389.91259888548</v>
      </c>
      <c r="L37" s="121">
        <f t="shared" si="13"/>
        <v>618533.11261757382</v>
      </c>
      <c r="M37" s="121">
        <f t="shared" si="13"/>
        <v>689288.94340513356</v>
      </c>
      <c r="N37" s="121">
        <f t="shared" si="13"/>
        <v>758684.08513908635</v>
      </c>
      <c r="O37" s="121">
        <f t="shared" si="13"/>
        <v>826744.70491661702</v>
      </c>
      <c r="P37" s="121">
        <f t="shared" si="13"/>
        <v>893496.46662150288</v>
      </c>
      <c r="Q37" s="121">
        <f t="shared" si="13"/>
        <v>958964.54060129472</v>
      </c>
      <c r="R37" s="121">
        <f t="shared" si="13"/>
        <v>1023173.6131583983</v>
      </c>
      <c r="S37" s="121">
        <f t="shared" si="13"/>
        <v>1086147.8958586345</v>
      </c>
      <c r="T37" s="121">
        <f t="shared" si="13"/>
        <v>1147911.1346607893</v>
      </c>
      <c r="U37" s="121">
        <f t="shared" si="13"/>
        <v>1208486.6188705948</v>
      </c>
      <c r="V37" s="121">
        <f t="shared" si="13"/>
        <v>1267897.1899225195</v>
      </c>
      <c r="W37" s="1"/>
      <c r="X37" s="1"/>
      <c r="Y37" s="1"/>
      <c r="Z37" s="1"/>
      <c r="AA37" s="1"/>
      <c r="AB37" s="1"/>
      <c r="AC37" s="1"/>
      <c r="AD37" s="1"/>
    </row>
    <row r="38" spans="1:30" ht="15.6">
      <c r="A38" s="203"/>
      <c r="B38" s="204"/>
      <c r="C38" s="532" t="s">
        <v>133</v>
      </c>
      <c r="D38" s="533"/>
      <c r="E38" s="533"/>
      <c r="F38" s="533"/>
      <c r="G38" s="533"/>
      <c r="H38" s="533"/>
      <c r="I38" s="533"/>
      <c r="J38" s="533"/>
      <c r="K38" s="533"/>
      <c r="L38" s="533"/>
      <c r="M38" s="125"/>
      <c r="N38" s="125"/>
      <c r="O38" s="125"/>
      <c r="P38" s="125"/>
      <c r="Q38" s="125"/>
      <c r="R38" s="125"/>
      <c r="S38" s="125"/>
      <c r="T38" s="125"/>
      <c r="U38" s="125"/>
      <c r="V38" s="125"/>
      <c r="W38" s="1"/>
      <c r="X38" s="1"/>
      <c r="Y38" s="1"/>
      <c r="Z38" s="1"/>
      <c r="AA38" s="1"/>
      <c r="AB38" s="1"/>
      <c r="AC38" s="1"/>
      <c r="AD38" s="1"/>
    </row>
    <row r="39" spans="1:30">
      <c r="A39" s="203"/>
      <c r="B39" s="77" t="s">
        <v>123</v>
      </c>
      <c r="C39" s="205" t="s">
        <v>124</v>
      </c>
      <c r="D39" s="206" t="s">
        <v>125</v>
      </c>
      <c r="E39" s="206" t="s">
        <v>126</v>
      </c>
      <c r="F39" s="206" t="s">
        <v>127</v>
      </c>
      <c r="G39" s="206" t="s">
        <v>128</v>
      </c>
      <c r="H39" s="206" t="s">
        <v>129</v>
      </c>
      <c r="I39" s="206" t="s">
        <v>130</v>
      </c>
      <c r="J39" s="206" t="s">
        <v>131</v>
      </c>
      <c r="K39" s="206" t="s">
        <v>132</v>
      </c>
      <c r="L39" s="206" t="s">
        <v>123</v>
      </c>
      <c r="M39" s="129" t="s">
        <v>147</v>
      </c>
      <c r="N39" s="129" t="s">
        <v>148</v>
      </c>
      <c r="O39" s="129" t="s">
        <v>149</v>
      </c>
      <c r="P39" s="129" t="s">
        <v>150</v>
      </c>
      <c r="Q39" s="129" t="s">
        <v>151</v>
      </c>
      <c r="R39" s="129" t="s">
        <v>152</v>
      </c>
      <c r="S39" s="129" t="s">
        <v>153</v>
      </c>
      <c r="T39" s="129" t="s">
        <v>154</v>
      </c>
      <c r="U39" s="129" t="s">
        <v>155</v>
      </c>
      <c r="V39" s="129" t="s">
        <v>156</v>
      </c>
      <c r="W39" s="1"/>
      <c r="X39" s="1"/>
      <c r="Y39" s="1"/>
      <c r="Z39" s="1"/>
      <c r="AA39" s="1"/>
      <c r="AB39" s="1"/>
      <c r="AC39" s="1"/>
      <c r="AD39" s="1"/>
    </row>
    <row r="40" spans="1:30">
      <c r="A40" s="106" t="s">
        <v>21</v>
      </c>
      <c r="B40" s="196">
        <f>SUM(B36:L36)</f>
        <v>618533.11261757382</v>
      </c>
      <c r="C40" s="207">
        <f>$B$36+SUM($C$36:C36)</f>
        <v>-84080.070892871503</v>
      </c>
      <c r="D40" s="198">
        <f>$B$36+SUM($C$36:D36)</f>
        <v>187.55188527377322</v>
      </c>
      <c r="E40" s="196">
        <f>$B$36+SUM($C$36:E36)</f>
        <v>82834.643456146994</v>
      </c>
      <c r="F40" s="198">
        <f>$B$36+SUM($C$36:F36)</f>
        <v>163892.36788142647</v>
      </c>
      <c r="G40" s="196">
        <f>$B$36+SUM($C$36:G36)</f>
        <v>243391.28991391213</v>
      </c>
      <c r="H40" s="198">
        <f>$B$36+SUM($C$36:H36)</f>
        <v>321361.38652269618</v>
      </c>
      <c r="I40" s="196">
        <f>$B$36+SUM($C$36:I36)</f>
        <v>397832.05819669587</v>
      </c>
      <c r="J40" s="198">
        <f>$B$36+SUM($C$36:J36)</f>
        <v>472832.14003081096</v>
      </c>
      <c r="K40" s="196">
        <f>$B$36+SUM($C$36:K36)</f>
        <v>546389.91259888536</v>
      </c>
      <c r="L40" s="197">
        <f>$B$36+SUM($C$36:L36)</f>
        <v>618533.1126175737</v>
      </c>
      <c r="M40" s="127">
        <f>$B$36+SUM($C$36:M36)</f>
        <v>689288.94340513344</v>
      </c>
      <c r="N40" s="127">
        <f>$B$36+SUM($C$36:N36)</f>
        <v>758684.08513908624</v>
      </c>
      <c r="O40" s="127">
        <f>$B$36+SUM($C$36:O36)</f>
        <v>826744.7049166169</v>
      </c>
      <c r="P40" s="127">
        <f>$B$36+SUM($C$36:P36)</f>
        <v>893496.46662150277</v>
      </c>
      <c r="Q40" s="127">
        <f>$B$36+SUM($C$36:Q36)</f>
        <v>958964.54060129472</v>
      </c>
      <c r="R40" s="127">
        <f>$B$36+SUM($C$36:R36)</f>
        <v>1023173.6131583983</v>
      </c>
      <c r="S40" s="127">
        <f>$B$36+SUM($C$36:S36)</f>
        <v>1086147.8958586345</v>
      </c>
      <c r="T40" s="127">
        <f>$B$36+SUM($C$36:T36)</f>
        <v>1147911.1346607893</v>
      </c>
      <c r="U40" s="127">
        <f>$B$36+SUM($C$36:U36)</f>
        <v>1208486.6188705948</v>
      </c>
      <c r="V40" s="127">
        <f>$B$36+SUM($C$36:V36)</f>
        <v>1267897.1899225195</v>
      </c>
      <c r="W40" s="1"/>
      <c r="X40" s="1"/>
      <c r="Y40" s="1"/>
      <c r="Z40" s="1"/>
      <c r="AA40" s="1"/>
      <c r="AB40" s="1"/>
      <c r="AC40" s="1"/>
      <c r="AD40" s="1"/>
    </row>
    <row r="41" spans="1:30">
      <c r="A41" s="106" t="s">
        <v>182</v>
      </c>
      <c r="B41" s="208">
        <f>IF(C21&gt;0,"N/A",-B31/C31)</f>
        <v>1.9024868870379057</v>
      </c>
      <c r="C41" s="209"/>
      <c r="D41" s="40"/>
      <c r="E41" s="40"/>
      <c r="F41" s="40"/>
      <c r="G41" s="40"/>
      <c r="H41" s="40"/>
      <c r="I41" s="40"/>
      <c r="J41" s="40"/>
      <c r="K41" s="40"/>
      <c r="L41" s="40"/>
      <c r="M41" s="123"/>
      <c r="N41" s="123"/>
      <c r="O41" s="123"/>
      <c r="P41" s="123"/>
      <c r="Q41" s="123"/>
      <c r="R41" s="123"/>
      <c r="S41" s="123"/>
      <c r="T41" s="123"/>
      <c r="U41" s="123"/>
      <c r="V41" s="123"/>
      <c r="W41" s="1"/>
      <c r="X41" s="1"/>
      <c r="Y41" s="1"/>
      <c r="Z41" s="1"/>
      <c r="AA41" s="1"/>
      <c r="AB41" s="1"/>
      <c r="AC41" s="1"/>
      <c r="AD41" s="1"/>
    </row>
    <row r="42" spans="1:30">
      <c r="A42" s="106" t="s">
        <v>181</v>
      </c>
      <c r="B42" s="210">
        <f>IF(C21&gt;0,"N/A",-C31/B31)</f>
        <v>0.52562780159655087</v>
      </c>
      <c r="C42" s="209"/>
      <c r="D42" s="40"/>
      <c r="E42" s="40"/>
      <c r="F42" s="40"/>
      <c r="G42" s="40"/>
      <c r="H42" s="40"/>
      <c r="I42" s="40"/>
      <c r="J42" s="40"/>
      <c r="K42" s="40"/>
      <c r="L42" s="40"/>
      <c r="M42" s="123"/>
      <c r="N42" s="123"/>
      <c r="O42" s="123"/>
      <c r="P42" s="123"/>
      <c r="Q42" s="123"/>
      <c r="R42" s="123"/>
      <c r="S42" s="123"/>
      <c r="T42" s="123"/>
      <c r="U42" s="123"/>
      <c r="V42" s="123"/>
      <c r="W42" s="1"/>
      <c r="X42" s="1"/>
      <c r="Y42" s="1"/>
      <c r="Z42" s="1"/>
      <c r="AA42" s="1"/>
      <c r="AB42" s="1"/>
      <c r="AC42" s="1"/>
      <c r="AD42" s="1"/>
    </row>
    <row r="43" spans="1:30">
      <c r="A43" s="106" t="s">
        <v>179</v>
      </c>
      <c r="B43" s="211">
        <f>IRR($B$31:$L$31,0.1)</f>
        <v>0.53691449533643643</v>
      </c>
      <c r="C43" s="212">
        <f>IRR($B$31:$C$31,0.1)</f>
        <v>-0.47437219840344924</v>
      </c>
      <c r="D43" s="213">
        <f>IRR($B$31:$D$31,0.1)</f>
        <v>4.0767308195674978E-2</v>
      </c>
      <c r="E43" s="213">
        <f>IRR($B$31:$E$31,0.1)</f>
        <v>0.27906261963813939</v>
      </c>
      <c r="F43" s="213">
        <f>IRR($B$31:$F$31,0.1)</f>
        <v>0.39568272965709417</v>
      </c>
      <c r="G43" s="213">
        <f>IRR($B$31:$G$31,0.1)</f>
        <v>0.45734756499895091</v>
      </c>
      <c r="H43" s="213">
        <f>IRR($B$31:$H$31,0.1)</f>
        <v>0.49195645813821964</v>
      </c>
      <c r="I43" s="213">
        <f>IRR($B$31:$I$31,0.1)</f>
        <v>0.51224485015590648</v>
      </c>
      <c r="J43" s="213">
        <f>IRR($B$31:$J$31,0.1)</f>
        <v>0.52452154731109313</v>
      </c>
      <c r="K43" s="213">
        <f>IRR($B$31:$K$31,0.1)</f>
        <v>0.53212472323742355</v>
      </c>
      <c r="L43" s="214">
        <f>IRR($B$31:$L$31,0.1)</f>
        <v>0.53691449533643643</v>
      </c>
      <c r="M43" s="130">
        <f>IRR($B$31:$I$31,0.1)</f>
        <v>0.51224485015590648</v>
      </c>
      <c r="N43" s="130">
        <f>IRR($B$31:$J$31,0.1)</f>
        <v>0.52452154731109313</v>
      </c>
      <c r="O43" s="130">
        <f>IRR($B$31:$K$31,0.1)</f>
        <v>0.53212472323742355</v>
      </c>
      <c r="P43" s="130">
        <f>IRR($B$31:$L$31,0.1)</f>
        <v>0.53691449533643643</v>
      </c>
      <c r="Q43" s="130">
        <f>IRR($B$31:$I$31,0.1)</f>
        <v>0.51224485015590648</v>
      </c>
      <c r="R43" s="130">
        <f>IRR($B$31:$J$31,0.1)</f>
        <v>0.52452154731109313</v>
      </c>
      <c r="S43" s="130">
        <f>IRR($B$31:$K$31,0.1)</f>
        <v>0.53212472323742355</v>
      </c>
      <c r="T43" s="130">
        <f>IRR($B$31:$L$31,0.1)</f>
        <v>0.53691449533643643</v>
      </c>
      <c r="U43" s="130">
        <f>IRR($B$31:$I$31,0.1)</f>
        <v>0.51224485015590648</v>
      </c>
      <c r="V43" s="130">
        <f>IRR($B$31:$J$31,0.1)</f>
        <v>0.52452154731109313</v>
      </c>
      <c r="W43" s="1"/>
      <c r="X43" s="1"/>
      <c r="Y43" s="1"/>
      <c r="Z43" s="1"/>
      <c r="AA43" s="1"/>
      <c r="AB43" s="1"/>
      <c r="AC43" s="1"/>
      <c r="AD43" s="1"/>
    </row>
    <row r="44" spans="1:30">
      <c r="A44" s="106" t="s">
        <v>180</v>
      </c>
      <c r="B44" s="215">
        <f>MIRR($B$31:$L$31,$B$10,$B$11)</f>
        <v>0.22346146495531549</v>
      </c>
      <c r="C44" s="216">
        <f>MIRR($B$31:$C$31,$B$10,$B$11)</f>
        <v>-0.47437219840344913</v>
      </c>
      <c r="D44" s="217">
        <f>MIRR($B$31:$D$31,$B$10,$B$11)</f>
        <v>4.5612656446365918E-2</v>
      </c>
      <c r="E44" s="217">
        <f>MIRR($B$31:$E$31,$B$10,$B$11)</f>
        <v>0.19483132058678643</v>
      </c>
      <c r="F44" s="217">
        <f>MIRR($B$31:$F$31,$B$10,$B$11)</f>
        <v>0.2402228536000921</v>
      </c>
      <c r="G44" s="217">
        <f>MIRR($B$31:$G$31,$B$10,$B$11)</f>
        <v>0.25204679620722747</v>
      </c>
      <c r="H44" s="217">
        <f>MIRR($B$31:$H$31,$B$10,$B$11)</f>
        <v>0.25147418691728451</v>
      </c>
      <c r="I44" s="217">
        <f>MIRR($B$31:$I$31,$B$10,$B$11)</f>
        <v>0.24606254750465628</v>
      </c>
      <c r="J44" s="217">
        <f>MIRR($B$31:$J$31,$B$10,$B$11)</f>
        <v>0.23884113346856339</v>
      </c>
      <c r="K44" s="213">
        <f>MIRR($B$31:$K$31,$B$10,$B$11)</f>
        <v>0.23111413007510784</v>
      </c>
      <c r="L44" s="214">
        <f>MIRR($B$31:$L$31,$B$10,$B$11)</f>
        <v>0.22346146495531549</v>
      </c>
      <c r="M44" s="130">
        <f>MIRR($B$31:$I$31,$B$10,$B$11)</f>
        <v>0.24606254750465628</v>
      </c>
      <c r="N44" s="130">
        <f>MIRR($B$31:$J$31,$B$10,$B$11)</f>
        <v>0.23884113346856339</v>
      </c>
      <c r="O44" s="130">
        <f>MIRR($B$31:$K$31,$B$10,$B$11)</f>
        <v>0.23111413007510784</v>
      </c>
      <c r="P44" s="130">
        <f>MIRR($B$31:$L$31,$B$10,$B$11)</f>
        <v>0.22346146495531549</v>
      </c>
      <c r="Q44" s="130">
        <f>MIRR($B$31:$I$31,$B$10,$B$11)</f>
        <v>0.24606254750465628</v>
      </c>
      <c r="R44" s="130">
        <f>MIRR($B$31:$J$31,$B$10,$B$11)</f>
        <v>0.23884113346856339</v>
      </c>
      <c r="S44" s="130">
        <f>MIRR($B$31:$K$31,$B$10,$B$11)</f>
        <v>0.23111413007510784</v>
      </c>
      <c r="T44" s="130">
        <f>MIRR($B$31:$L$31,$B$10,$B$11)</f>
        <v>0.22346146495531549</v>
      </c>
      <c r="U44" s="130">
        <f>MIRR($B$31:$I$31,$B$10,$B$11)</f>
        <v>0.24606254750465628</v>
      </c>
      <c r="V44" s="130">
        <f>MIRR($B$31:$J$31,$B$10,$B$11)</f>
        <v>0.23884113346856339</v>
      </c>
      <c r="W44" s="1"/>
      <c r="X44" s="1"/>
      <c r="Y44" s="1"/>
      <c r="Z44" s="1"/>
      <c r="AA44" s="1"/>
      <c r="AB44" s="1"/>
      <c r="AC44" s="1"/>
      <c r="AD44" s="1"/>
    </row>
    <row r="45" spans="1:30" ht="15" thickBot="1">
      <c r="A45" s="106" t="s">
        <v>183</v>
      </c>
      <c r="B45" s="218">
        <f>SUM($B$34:$L$34)/(ABS(SUM(B33:L33)))</f>
        <v>4.6384300742210218</v>
      </c>
      <c r="C45" s="219">
        <f>SUM($B34:C34)/ABS(SUM($B33:C33))</f>
        <v>0.50541134768899121</v>
      </c>
      <c r="D45" s="220">
        <f>SUM($B34:D34)/ABS(SUM($B33:D33))</f>
        <v>1.0011032463839633</v>
      </c>
      <c r="E45" s="221">
        <f>SUM($B34:E34)/ABS(SUM($B33:E33))</f>
        <v>1.4872626085655705</v>
      </c>
      <c r="F45" s="221">
        <f>SUM($B34:F34)/ABS(SUM($B33:F33))</f>
        <v>1.9640727522436852</v>
      </c>
      <c r="G45" s="221">
        <f>SUM($B34:G34)/ABS(SUM($B33:G33))</f>
        <v>2.4317134700818359</v>
      </c>
      <c r="H45" s="221">
        <f>SUM($B34:H34)/ABS(SUM($B33:H33))</f>
        <v>2.8903610971923306</v>
      </c>
      <c r="I45" s="222">
        <f>SUM($B34:I34)/ABS(SUM($B33:I33))</f>
        <v>3.3401885776276226</v>
      </c>
      <c r="J45" s="221">
        <f>SUM($B34:J34)/ABS(SUM($B33:J33))</f>
        <v>3.7813655295930055</v>
      </c>
      <c r="K45" s="221">
        <f>SUM($B34:K34)/ABS(SUM($B33:K33))</f>
        <v>4.2140583094052078</v>
      </c>
      <c r="L45" s="220">
        <f>SUM($B34:L34)/ABS(SUM($B33:L33))</f>
        <v>4.6384300742210218</v>
      </c>
      <c r="M45" s="131">
        <f>SUM($B34:M34)/ABS(SUM($B33:M33))</f>
        <v>5.0546408435596089</v>
      </c>
      <c r="N45" s="131">
        <f>SUM($B34:N34)/ABS(SUM($B33:N33))</f>
        <v>5.4628475596416841</v>
      </c>
      <c r="O45" s="131">
        <f>SUM($B34:O34)/ABS(SUM($B33:O33))</f>
        <v>5.8632041465683349</v>
      </c>
      <c r="P45" s="131">
        <f>SUM($B34:P34)/ABS(SUM($B33:P33))</f>
        <v>6.2558615683617811</v>
      </c>
      <c r="Q45" s="131">
        <f>SUM($B34:Q34)/ABS(SUM($B33:Q33))</f>
        <v>6.6409678858899692</v>
      </c>
      <c r="R45" s="131">
        <f>SUM($B34:R34)/ABS(SUM($B33:R33))</f>
        <v>7.0186683126964606</v>
      </c>
      <c r="S45" s="131">
        <f>SUM($B34:S34)/ABS(SUM($B33:S33))</f>
        <v>7.3891052697566737</v>
      </c>
      <c r="T45" s="131">
        <f>SUM($B34:T34)/ABS(SUM($B33:T33))</f>
        <v>7.7524184391811133</v>
      </c>
      <c r="U45" s="131">
        <f>SUM($B34:U34)/ABS(SUM($B33:U33))</f>
        <v>8.1087448168858511</v>
      </c>
      <c r="V45" s="131">
        <f>SUM($B34:V34)/ABS(SUM($B33:V33))</f>
        <v>8.4582187642501143</v>
      </c>
      <c r="W45" s="1"/>
      <c r="X45" s="1"/>
      <c r="Y45" s="1"/>
      <c r="Z45" s="1"/>
      <c r="AA45" s="1"/>
      <c r="AB45" s="1"/>
      <c r="AC45" s="1"/>
      <c r="AD45" s="1"/>
    </row>
    <row r="46" spans="1:30">
      <c r="A46" s="108"/>
      <c r="B46" s="12" t="str">
        <f>+Model_Home!B52</f>
        <v>V.2026.11.0</v>
      </c>
      <c r="C46" s="100"/>
      <c r="D46" s="100"/>
      <c r="E46" s="100"/>
      <c r="F46" s="100"/>
      <c r="G46" s="100"/>
      <c r="H46" s="100"/>
      <c r="I46" s="101"/>
      <c r="J46" s="100"/>
      <c r="K46" s="100"/>
      <c r="L46" s="100"/>
      <c r="M46" s="1"/>
      <c r="N46" s="1"/>
      <c r="O46" s="1"/>
      <c r="P46" s="1"/>
      <c r="Q46" s="1"/>
      <c r="R46" s="1"/>
      <c r="S46" s="1"/>
      <c r="T46" s="1"/>
      <c r="U46" s="1"/>
      <c r="V46" s="1"/>
      <c r="W46" s="1"/>
      <c r="X46" s="1"/>
      <c r="Y46" s="1"/>
      <c r="Z46" s="1"/>
      <c r="AA46" s="1"/>
      <c r="AB46" s="1"/>
      <c r="AC46" s="1"/>
      <c r="AD46" s="1"/>
    </row>
    <row r="47" spans="1:30" ht="17.399999999999999">
      <c r="A47" s="109"/>
      <c r="B47" s="531"/>
      <c r="C47" s="531"/>
      <c r="D47" s="531"/>
      <c r="E47" s="531"/>
      <c r="F47" s="531"/>
      <c r="G47" s="531"/>
      <c r="H47" s="531"/>
      <c r="I47" s="531"/>
      <c r="J47" s="531"/>
      <c r="K47" s="531"/>
      <c r="L47" s="531"/>
      <c r="M47" s="1"/>
      <c r="N47" s="1"/>
      <c r="O47" s="1"/>
      <c r="P47" s="1"/>
      <c r="Q47" s="1"/>
      <c r="R47" s="1"/>
      <c r="S47" s="1"/>
      <c r="T47" s="1"/>
      <c r="U47" s="1"/>
      <c r="V47" s="1"/>
      <c r="W47" s="1"/>
      <c r="X47" s="1"/>
      <c r="Y47" s="1"/>
      <c r="Z47" s="1"/>
      <c r="AA47" s="1"/>
      <c r="AB47" s="1"/>
      <c r="AC47" s="1"/>
      <c r="AD47" s="1"/>
    </row>
    <row r="48" spans="1:30">
      <c r="A48" s="109"/>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row>
    <row r="49" spans="1:30">
      <c r="A49" s="109"/>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row>
    <row r="50" spans="1:30">
      <c r="A50" s="109"/>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row>
    <row r="51" spans="1:30">
      <c r="A51" s="109"/>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row>
    <row r="52" spans="1:30">
      <c r="A52" s="109"/>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row>
    <row r="53" spans="1:30">
      <c r="A53" s="109"/>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row>
    <row r="54" spans="1:30">
      <c r="A54" s="109"/>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row>
    <row r="55" spans="1:30">
      <c r="A55" s="109"/>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row>
    <row r="56" spans="1:30">
      <c r="A56" s="109"/>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row>
    <row r="57" spans="1:30">
      <c r="A57" s="109"/>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row>
    <row r="58" spans="1:30">
      <c r="A58" s="109"/>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row>
    <row r="59" spans="1:30">
      <c r="A59" s="109"/>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row>
    <row r="60" spans="1:30">
      <c r="A60" s="109"/>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1" spans="1:30">
      <c r="A61" s="109"/>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row>
    <row r="62" spans="1:30">
      <c r="A62" s="109"/>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row>
    <row r="63" spans="1:30">
      <c r="A63" s="109"/>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row>
    <row r="64" spans="1:30">
      <c r="A64" s="109"/>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row>
    <row r="65" spans="1:30">
      <c r="A65" s="109"/>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row>
    <row r="66" spans="1:30">
      <c r="A66" s="109"/>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c r="A67" s="109"/>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row>
    <row r="68" spans="1:30">
      <c r="A68" s="109"/>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row>
    <row r="69" spans="1:30">
      <c r="A69" s="109"/>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row>
    <row r="70" spans="1:30">
      <c r="A70" s="109"/>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row>
    <row r="71" spans="1:30">
      <c r="A71" s="109"/>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row>
    <row r="72" spans="1:30">
      <c r="A72" s="109"/>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row>
    <row r="73" spans="1:30">
      <c r="A73" s="109"/>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c r="A74" s="109"/>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row>
    <row r="75" spans="1:30">
      <c r="A75" s="109"/>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row>
    <row r="76" spans="1:30">
      <c r="A76" s="109"/>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row>
    <row r="77" spans="1:30">
      <c r="A77" s="109"/>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row>
    <row r="78" spans="1:30">
      <c r="A78" s="109"/>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row>
    <row r="79" spans="1:30">
      <c r="A79" s="109"/>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row>
    <row r="80" spans="1:30">
      <c r="A80" s="109"/>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row>
    <row r="81" spans="1:30">
      <c r="A81" s="109"/>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row>
    <row r="82" spans="1:30">
      <c r="A82" s="109"/>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row>
    <row r="83" spans="1:30">
      <c r="A83" s="109"/>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row>
    <row r="84" spans="1:30">
      <c r="A84" s="109"/>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row>
    <row r="85" spans="1:30">
      <c r="A85" s="109"/>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row>
    <row r="86" spans="1:30">
      <c r="A86" s="109"/>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row>
    <row r="87" spans="1:30">
      <c r="A87" s="109"/>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row>
    <row r="88" spans="1:30">
      <c r="A88" s="109"/>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row>
    <row r="89" spans="1:30">
      <c r="A89" s="109"/>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row>
    <row r="90" spans="1:30">
      <c r="A90" s="109"/>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row>
    <row r="91" spans="1:30">
      <c r="A91" s="109"/>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row>
    <row r="92" spans="1:30">
      <c r="A92" s="109"/>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row>
    <row r="93" spans="1:30">
      <c r="A93" s="109"/>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row>
    <row r="94" spans="1:30">
      <c r="A94" s="109"/>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row>
    <row r="95" spans="1:30">
      <c r="A95" s="109"/>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c r="A96" s="109"/>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c r="A97" s="109"/>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c r="A98" s="109"/>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c r="A99" s="109"/>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row>
    <row r="100" spans="1:30">
      <c r="A100" s="109"/>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row>
    <row r="101" spans="1:30">
      <c r="A101" s="109"/>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row>
    <row r="102" spans="1:30">
      <c r="A102" s="109"/>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row>
    <row r="103" spans="1:30">
      <c r="A103" s="109"/>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row>
    <row r="104" spans="1:30">
      <c r="A104" s="109"/>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row>
    <row r="105" spans="1:30">
      <c r="A105" s="109"/>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row>
    <row r="106" spans="1:30">
      <c r="A106" s="109"/>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row>
    <row r="107" spans="1:30">
      <c r="A107" s="109"/>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row>
    <row r="108" spans="1:30">
      <c r="A108" s="109"/>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row>
    <row r="109" spans="1:30">
      <c r="A109" s="109"/>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row>
    <row r="110" spans="1:30">
      <c r="A110" s="109"/>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row>
    <row r="111" spans="1:30">
      <c r="A111" s="109"/>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row>
    <row r="112" spans="1:30">
      <c r="A112" s="109"/>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row>
    <row r="113" spans="1:30">
      <c r="A113" s="109"/>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row>
    <row r="114" spans="1:30">
      <c r="A114" s="109"/>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row>
    <row r="115" spans="1:30">
      <c r="A115" s="109"/>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row>
    <row r="116" spans="1:30">
      <c r="A116" s="109"/>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row>
    <row r="117" spans="1:30">
      <c r="A117" s="109"/>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row>
    <row r="118" spans="1:30">
      <c r="A118" s="109"/>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row>
    <row r="119" spans="1:30">
      <c r="A119" s="109"/>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row>
    <row r="120" spans="1:30">
      <c r="A120" s="109"/>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c r="A121" s="109"/>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row>
    <row r="122" spans="1:30">
      <c r="A122" s="109"/>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row>
    <row r="123" spans="1:30">
      <c r="A123" s="109"/>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row>
    <row r="124" spans="1:30">
      <c r="A124" s="109"/>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row>
    <row r="125" spans="1:30">
      <c r="A125" s="109"/>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row>
    <row r="126" spans="1:30">
      <c r="A126" s="109"/>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c r="A127" s="109"/>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c r="A128" s="109"/>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c r="A129" s="109"/>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c r="A130" s="109"/>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c r="A131" s="109"/>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c r="A132" s="109"/>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c r="A133" s="109"/>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c r="A134" s="109"/>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c r="A135" s="109"/>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c r="A136" s="109"/>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c r="A137" s="109"/>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c r="A138" s="109"/>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c r="A139" s="109"/>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c r="A140" s="109"/>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c r="A141" s="109"/>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c r="A142" s="109"/>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c r="A143" s="109"/>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c r="A144" s="109"/>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c r="A145" s="109"/>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c r="A146" s="109"/>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c r="A147" s="109"/>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c r="A148" s="109"/>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c r="A149" s="109"/>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c r="A150" s="109"/>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c r="A151" s="109"/>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c r="A152" s="109"/>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c r="A153" s="109"/>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c r="A154" s="109"/>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c r="A155" s="109"/>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c r="A156" s="109"/>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c r="A157" s="109"/>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c r="A158" s="109"/>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c r="A159" s="109"/>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c r="A160" s="109"/>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c r="A161" s="109"/>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c r="A162" s="109"/>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c r="A163" s="109"/>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c r="A164" s="109"/>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c r="A165" s="109"/>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c r="A166" s="109"/>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c r="A167" s="109"/>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c r="A168" s="109"/>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c r="A169" s="109"/>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c r="A170" s="109"/>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c r="A171" s="109"/>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c r="A172" s="109"/>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c r="A173" s="109"/>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c r="A174" s="109"/>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c r="A175" s="109"/>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c r="A176" s="109"/>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c r="A177" s="109"/>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c r="A178" s="109"/>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c r="A179" s="109"/>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c r="A180" s="109"/>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c r="A181" s="109"/>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c r="A182" s="109"/>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c r="A183" s="109"/>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c r="A184" s="109"/>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c r="A185" s="109"/>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c r="A186" s="109"/>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c r="A187" s="109"/>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c r="A188" s="109"/>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c r="A189" s="109"/>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c r="A190" s="109"/>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c r="A191" s="109"/>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c r="A192" s="109"/>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c r="A193" s="109"/>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c r="A194" s="109"/>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c r="A195" s="109"/>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sheetData>
  <mergeCells count="2">
    <mergeCell ref="C38:L38"/>
    <mergeCell ref="B47:L47"/>
  </mergeCells>
  <dataValidations count="4">
    <dataValidation operator="lessThanOrEqual" allowBlank="1" showInputMessage="1" showErrorMessage="1" errorTitle="Invalid Entry" error="Value must be less than 0." sqref="B22" xr:uid="{5FB5DC63-72E5-474B-87D8-35F61591F30F}"/>
    <dataValidation type="decimal" operator="greaterThanOrEqual" allowBlank="1" showInputMessage="1" showErrorMessage="1" errorTitle="Invalid entry" error="Value must be greater than or equal to 0." sqref="C27 C28:V28" xr:uid="{F8A18E66-B2C3-43E3-8FEE-AF9328254002}">
      <formula1>0</formula1>
    </dataValidation>
    <dataValidation type="decimal" operator="lessThanOrEqual" allowBlank="1" showInputMessage="1" showErrorMessage="1" errorTitle="Invalid Entry" error="Value must be less than 0." sqref="B19:B20 C18:V20" xr:uid="{E21A8EBC-CFA7-48E4-875C-861AD850671A}">
      <formula1>0</formula1>
    </dataValidation>
    <dataValidation type="decimal" allowBlank="1" showInputMessage="1" showErrorMessage="1" errorTitle="Invalid Entry" error="Value must be greater than 0.01% and less than or equal to 99%." sqref="B10:B11" xr:uid="{24A43B98-05F4-4612-B607-865AF5039424}">
      <formula1>0.0001</formula1>
      <formula2>0.99</formula2>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6F597-4317-4183-ABDE-2584093210D3}">
  <sheetPr codeName="Sheet15"/>
  <dimension ref="A1:W185"/>
  <sheetViews>
    <sheetView workbookViewId="0"/>
  </sheetViews>
  <sheetFormatPr defaultRowHeight="14.4"/>
  <sheetData>
    <row r="1" spans="1:23">
      <c r="A1" t="s">
        <v>1154</v>
      </c>
      <c r="B1" t="s">
        <v>1155</v>
      </c>
      <c r="C1" t="s">
        <v>1156</v>
      </c>
      <c r="D1" t="s">
        <v>1157</v>
      </c>
      <c r="E1" t="s">
        <v>1158</v>
      </c>
      <c r="G1" t="s">
        <v>1303</v>
      </c>
      <c r="H1" t="s">
        <v>1158</v>
      </c>
      <c r="J1" t="s">
        <v>1309</v>
      </c>
      <c r="K1" t="s">
        <v>1310</v>
      </c>
      <c r="L1" t="s">
        <v>1311</v>
      </c>
      <c r="M1" t="s">
        <v>1312</v>
      </c>
      <c r="O1" t="s">
        <v>1319</v>
      </c>
      <c r="Q1" t="s">
        <v>1320</v>
      </c>
      <c r="S1" t="s">
        <v>1321</v>
      </c>
      <c r="U1" t="s">
        <v>1322</v>
      </c>
      <c r="W1" t="s">
        <v>1311</v>
      </c>
    </row>
    <row r="2" spans="1:23">
      <c r="A2" t="s">
        <v>1159</v>
      </c>
      <c r="B2" t="s">
        <v>1160</v>
      </c>
      <c r="C2" t="s">
        <v>1161</v>
      </c>
      <c r="D2" t="s">
        <v>1162</v>
      </c>
      <c r="E2">
        <v>621</v>
      </c>
      <c r="G2" t="s">
        <v>1305</v>
      </c>
      <c r="H2">
        <v>736</v>
      </c>
      <c r="J2">
        <v>1</v>
      </c>
      <c r="K2" t="s">
        <v>1313</v>
      </c>
      <c r="L2" t="s">
        <v>1314</v>
      </c>
      <c r="M2">
        <v>0.77</v>
      </c>
      <c r="O2" t="s">
        <v>1159</v>
      </c>
      <c r="Q2" t="s">
        <v>1175</v>
      </c>
      <c r="S2" t="s">
        <v>1305</v>
      </c>
      <c r="U2" t="s">
        <v>1313</v>
      </c>
      <c r="W2" t="s">
        <v>1314</v>
      </c>
    </row>
    <row r="3" spans="1:23">
      <c r="A3" t="s">
        <v>1163</v>
      </c>
      <c r="B3" t="s">
        <v>1160</v>
      </c>
      <c r="C3" t="s">
        <v>1161</v>
      </c>
      <c r="D3" t="s">
        <v>1164</v>
      </c>
      <c r="E3">
        <v>395</v>
      </c>
      <c r="G3" t="s">
        <v>1306</v>
      </c>
      <c r="H3">
        <v>736</v>
      </c>
      <c r="J3">
        <v>1</v>
      </c>
      <c r="K3" t="s">
        <v>1313</v>
      </c>
      <c r="L3" t="s">
        <v>1315</v>
      </c>
      <c r="M3">
        <v>0.77</v>
      </c>
      <c r="O3" t="s">
        <v>1163</v>
      </c>
      <c r="Q3" t="s">
        <v>1177</v>
      </c>
      <c r="S3" t="s">
        <v>1306</v>
      </c>
      <c r="U3" t="s">
        <v>1316</v>
      </c>
      <c r="W3" t="s">
        <v>1315</v>
      </c>
    </row>
    <row r="4" spans="1:23">
      <c r="A4" t="s">
        <v>1165</v>
      </c>
      <c r="B4" t="s">
        <v>1160</v>
      </c>
      <c r="C4" t="s">
        <v>1161</v>
      </c>
      <c r="D4" t="s">
        <v>1166</v>
      </c>
      <c r="E4">
        <v>395</v>
      </c>
      <c r="G4" t="s">
        <v>1307</v>
      </c>
      <c r="H4">
        <v>782</v>
      </c>
      <c r="J4">
        <v>1</v>
      </c>
      <c r="K4" t="s">
        <v>1316</v>
      </c>
      <c r="L4" t="s">
        <v>1314</v>
      </c>
      <c r="M4">
        <v>0.85499999999999998</v>
      </c>
      <c r="O4" t="s">
        <v>1165</v>
      </c>
      <c r="Q4" t="s">
        <v>1179</v>
      </c>
      <c r="S4" t="s">
        <v>1307</v>
      </c>
      <c r="U4" t="s">
        <v>1317</v>
      </c>
    </row>
    <row r="5" spans="1:23">
      <c r="A5" t="s">
        <v>1167</v>
      </c>
      <c r="B5" t="s">
        <v>1160</v>
      </c>
      <c r="C5" t="s">
        <v>1161</v>
      </c>
      <c r="D5" t="s">
        <v>1168</v>
      </c>
      <c r="E5">
        <v>533</v>
      </c>
      <c r="G5" t="s">
        <v>1308</v>
      </c>
      <c r="H5">
        <v>885</v>
      </c>
      <c r="J5">
        <v>1</v>
      </c>
      <c r="K5" t="s">
        <v>1316</v>
      </c>
      <c r="L5" t="s">
        <v>1315</v>
      </c>
      <c r="M5">
        <v>0.85499999999999998</v>
      </c>
      <c r="O5" t="s">
        <v>1167</v>
      </c>
      <c r="S5" t="s">
        <v>1308</v>
      </c>
      <c r="U5" t="s">
        <v>1318</v>
      </c>
    </row>
    <row r="6" spans="1:23">
      <c r="A6" t="s">
        <v>1169</v>
      </c>
      <c r="B6" t="s">
        <v>1160</v>
      </c>
      <c r="C6" t="s">
        <v>1161</v>
      </c>
      <c r="D6" t="s">
        <v>1170</v>
      </c>
      <c r="E6">
        <v>886</v>
      </c>
      <c r="J6">
        <v>1</v>
      </c>
      <c r="K6" t="s">
        <v>1317</v>
      </c>
      <c r="L6" t="s">
        <v>1314</v>
      </c>
      <c r="M6">
        <v>0.82499999999999996</v>
      </c>
      <c r="O6" t="s">
        <v>1169</v>
      </c>
    </row>
    <row r="7" spans="1:23">
      <c r="A7" t="s">
        <v>1171</v>
      </c>
      <c r="B7" t="s">
        <v>1160</v>
      </c>
      <c r="C7" t="s">
        <v>1161</v>
      </c>
      <c r="D7" t="s">
        <v>1172</v>
      </c>
      <c r="E7">
        <v>533</v>
      </c>
      <c r="J7">
        <v>1</v>
      </c>
      <c r="K7" t="s">
        <v>1317</v>
      </c>
      <c r="L7" t="s">
        <v>1315</v>
      </c>
      <c r="M7">
        <v>0.82499999999999996</v>
      </c>
      <c r="O7" t="s">
        <v>1171</v>
      </c>
    </row>
    <row r="8" spans="1:23">
      <c r="A8" t="s">
        <v>1173</v>
      </c>
      <c r="B8" t="s">
        <v>1174</v>
      </c>
      <c r="C8" t="s">
        <v>1175</v>
      </c>
      <c r="D8" t="s">
        <v>1176</v>
      </c>
      <c r="E8">
        <v>818</v>
      </c>
      <c r="J8">
        <v>1</v>
      </c>
      <c r="K8" t="s">
        <v>1318</v>
      </c>
      <c r="L8" t="s">
        <v>1314</v>
      </c>
      <c r="M8">
        <v>0.755</v>
      </c>
      <c r="O8" t="s">
        <v>1173</v>
      </c>
    </row>
    <row r="9" spans="1:23">
      <c r="A9" t="s">
        <v>1173</v>
      </c>
      <c r="B9" t="s">
        <v>1174</v>
      </c>
      <c r="C9" t="s">
        <v>1177</v>
      </c>
      <c r="D9" t="s">
        <v>1178</v>
      </c>
      <c r="E9">
        <v>1121</v>
      </c>
      <c r="J9">
        <v>1</v>
      </c>
      <c r="K9" t="s">
        <v>1318</v>
      </c>
      <c r="L9" t="s">
        <v>1315</v>
      </c>
      <c r="M9">
        <v>0.755</v>
      </c>
      <c r="O9" t="s">
        <v>1181</v>
      </c>
    </row>
    <row r="10" spans="1:23">
      <c r="A10" t="s">
        <v>1173</v>
      </c>
      <c r="B10" t="s">
        <v>1174</v>
      </c>
      <c r="C10" t="s">
        <v>1179</v>
      </c>
      <c r="D10" t="s">
        <v>1180</v>
      </c>
      <c r="E10">
        <v>640</v>
      </c>
      <c r="J10">
        <v>1.5</v>
      </c>
      <c r="K10" t="s">
        <v>1313</v>
      </c>
      <c r="L10" t="s">
        <v>1314</v>
      </c>
      <c r="M10">
        <v>0.84</v>
      </c>
      <c r="O10" t="s">
        <v>1185</v>
      </c>
    </row>
    <row r="11" spans="1:23">
      <c r="A11" t="s">
        <v>1181</v>
      </c>
      <c r="B11" t="s">
        <v>1174</v>
      </c>
      <c r="C11" t="s">
        <v>1175</v>
      </c>
      <c r="D11" t="s">
        <v>1182</v>
      </c>
      <c r="E11">
        <v>785</v>
      </c>
      <c r="J11">
        <v>1.5</v>
      </c>
      <c r="K11" t="s">
        <v>1313</v>
      </c>
      <c r="L11" t="s">
        <v>1315</v>
      </c>
      <c r="M11">
        <v>0.84</v>
      </c>
      <c r="O11" t="s">
        <v>1187</v>
      </c>
    </row>
    <row r="12" spans="1:23">
      <c r="A12" t="s">
        <v>1181</v>
      </c>
      <c r="B12" t="s">
        <v>1174</v>
      </c>
      <c r="C12" t="s">
        <v>1177</v>
      </c>
      <c r="D12" t="s">
        <v>1183</v>
      </c>
      <c r="E12">
        <v>1047</v>
      </c>
      <c r="J12">
        <v>1.5</v>
      </c>
      <c r="K12" t="s">
        <v>1316</v>
      </c>
      <c r="L12" t="s">
        <v>1314</v>
      </c>
      <c r="M12">
        <v>0.86499999999999999</v>
      </c>
      <c r="O12" t="s">
        <v>1189</v>
      </c>
    </row>
    <row r="13" spans="1:23">
      <c r="A13" t="s">
        <v>1181</v>
      </c>
      <c r="B13" t="s">
        <v>1174</v>
      </c>
      <c r="C13" t="s">
        <v>1179</v>
      </c>
      <c r="D13" t="s">
        <v>1184</v>
      </c>
      <c r="E13">
        <v>611</v>
      </c>
      <c r="J13">
        <v>1.5</v>
      </c>
      <c r="K13" t="s">
        <v>1316</v>
      </c>
      <c r="L13" t="s">
        <v>1315</v>
      </c>
      <c r="M13">
        <v>0.86499999999999999</v>
      </c>
      <c r="O13" t="s">
        <v>1191</v>
      </c>
    </row>
    <row r="14" spans="1:23">
      <c r="A14" t="s">
        <v>1185</v>
      </c>
      <c r="B14" t="s">
        <v>1160</v>
      </c>
      <c r="C14" t="s">
        <v>1161</v>
      </c>
      <c r="D14" t="s">
        <v>1186</v>
      </c>
      <c r="E14">
        <v>886</v>
      </c>
      <c r="J14">
        <v>1.5</v>
      </c>
      <c r="K14" t="s">
        <v>1317</v>
      </c>
      <c r="L14" t="s">
        <v>1314</v>
      </c>
      <c r="M14">
        <v>0.875</v>
      </c>
      <c r="O14" t="s">
        <v>1195</v>
      </c>
    </row>
    <row r="15" spans="1:23">
      <c r="A15" t="s">
        <v>1187</v>
      </c>
      <c r="B15" t="s">
        <v>1160</v>
      </c>
      <c r="C15" t="s">
        <v>1161</v>
      </c>
      <c r="D15" t="s">
        <v>1188</v>
      </c>
      <c r="E15">
        <v>818</v>
      </c>
      <c r="J15">
        <v>1.5</v>
      </c>
      <c r="K15" t="s">
        <v>1317</v>
      </c>
      <c r="L15" t="s">
        <v>1315</v>
      </c>
      <c r="M15">
        <v>0.86499999999999999</v>
      </c>
      <c r="O15" t="s">
        <v>1199</v>
      </c>
    </row>
    <row r="16" spans="1:23">
      <c r="A16" t="s">
        <v>1189</v>
      </c>
      <c r="B16" t="s">
        <v>1160</v>
      </c>
      <c r="C16" t="s">
        <v>1161</v>
      </c>
      <c r="D16" t="s">
        <v>1190</v>
      </c>
      <c r="E16">
        <v>621</v>
      </c>
      <c r="J16">
        <v>1.5</v>
      </c>
      <c r="K16" t="s">
        <v>1318</v>
      </c>
      <c r="L16" t="s">
        <v>1314</v>
      </c>
      <c r="M16">
        <v>0.78500000000000003</v>
      </c>
      <c r="O16" t="s">
        <v>1201</v>
      </c>
    </row>
    <row r="17" spans="1:15">
      <c r="A17" t="s">
        <v>1191</v>
      </c>
      <c r="B17" t="s">
        <v>1174</v>
      </c>
      <c r="C17" t="s">
        <v>1175</v>
      </c>
      <c r="D17" t="s">
        <v>1192</v>
      </c>
      <c r="E17">
        <v>668</v>
      </c>
      <c r="J17">
        <v>1.5</v>
      </c>
      <c r="K17" t="s">
        <v>1318</v>
      </c>
      <c r="L17" t="s">
        <v>1315</v>
      </c>
      <c r="M17">
        <v>0.77</v>
      </c>
      <c r="O17" t="s">
        <v>1203</v>
      </c>
    </row>
    <row r="18" spans="1:15">
      <c r="A18" t="s">
        <v>1191</v>
      </c>
      <c r="B18" t="s">
        <v>1174</v>
      </c>
      <c r="C18" t="s">
        <v>1177</v>
      </c>
      <c r="D18" t="s">
        <v>1193</v>
      </c>
      <c r="E18">
        <v>2088</v>
      </c>
      <c r="J18">
        <v>2</v>
      </c>
      <c r="K18" t="s">
        <v>1313</v>
      </c>
      <c r="L18" t="s">
        <v>1314</v>
      </c>
      <c r="M18">
        <v>0.85499999999999998</v>
      </c>
      <c r="O18" t="s">
        <v>1205</v>
      </c>
    </row>
    <row r="19" spans="1:15">
      <c r="A19" t="s">
        <v>1191</v>
      </c>
      <c r="B19" t="s">
        <v>1174</v>
      </c>
      <c r="C19" t="s">
        <v>1179</v>
      </c>
      <c r="D19" t="s">
        <v>1194</v>
      </c>
      <c r="E19">
        <v>664</v>
      </c>
      <c r="J19">
        <v>2</v>
      </c>
      <c r="K19" t="s">
        <v>1313</v>
      </c>
      <c r="L19" t="s">
        <v>1315</v>
      </c>
      <c r="M19">
        <v>0.85499999999999998</v>
      </c>
      <c r="O19" t="s">
        <v>1207</v>
      </c>
    </row>
    <row r="20" spans="1:15">
      <c r="A20" t="s">
        <v>1195</v>
      </c>
      <c r="B20" t="s">
        <v>1196</v>
      </c>
      <c r="C20" t="s">
        <v>1197</v>
      </c>
      <c r="D20" t="s">
        <v>1198</v>
      </c>
      <c r="E20">
        <v>742</v>
      </c>
      <c r="J20">
        <v>2</v>
      </c>
      <c r="K20" t="s">
        <v>1316</v>
      </c>
      <c r="L20" t="s">
        <v>1314</v>
      </c>
      <c r="M20">
        <v>0.86499999999999999</v>
      </c>
      <c r="O20" t="s">
        <v>1211</v>
      </c>
    </row>
    <row r="21" spans="1:15">
      <c r="A21" t="s">
        <v>1199</v>
      </c>
      <c r="B21" t="s">
        <v>1160</v>
      </c>
      <c r="C21" t="s">
        <v>1161</v>
      </c>
      <c r="D21" t="s">
        <v>1200</v>
      </c>
      <c r="E21">
        <v>621</v>
      </c>
      <c r="J21">
        <v>2</v>
      </c>
      <c r="K21" t="s">
        <v>1316</v>
      </c>
      <c r="L21" t="s">
        <v>1315</v>
      </c>
      <c r="M21">
        <v>0.86499999999999999</v>
      </c>
      <c r="O21" t="s">
        <v>1213</v>
      </c>
    </row>
    <row r="22" spans="1:15">
      <c r="A22" t="s">
        <v>1201</v>
      </c>
      <c r="B22" t="s">
        <v>1160</v>
      </c>
      <c r="C22" t="s">
        <v>1161</v>
      </c>
      <c r="D22" t="s">
        <v>1202</v>
      </c>
      <c r="E22">
        <v>818</v>
      </c>
      <c r="J22">
        <v>2</v>
      </c>
      <c r="K22" t="s">
        <v>1317</v>
      </c>
      <c r="L22" t="s">
        <v>1314</v>
      </c>
      <c r="M22">
        <v>0.88500000000000001</v>
      </c>
      <c r="O22" t="s">
        <v>1215</v>
      </c>
    </row>
    <row r="23" spans="1:15">
      <c r="A23" t="s">
        <v>1203</v>
      </c>
      <c r="B23" t="s">
        <v>1160</v>
      </c>
      <c r="C23" t="s">
        <v>1161</v>
      </c>
      <c r="D23" t="s">
        <v>1204</v>
      </c>
      <c r="E23">
        <v>1187</v>
      </c>
      <c r="J23">
        <v>2</v>
      </c>
      <c r="K23" t="s">
        <v>1317</v>
      </c>
      <c r="L23" t="s">
        <v>1315</v>
      </c>
      <c r="M23">
        <v>0.875</v>
      </c>
      <c r="O23" t="s">
        <v>1219</v>
      </c>
    </row>
    <row r="24" spans="1:15">
      <c r="A24" t="s">
        <v>1205</v>
      </c>
      <c r="B24" t="s">
        <v>1160</v>
      </c>
      <c r="C24" t="s">
        <v>1161</v>
      </c>
      <c r="D24" t="s">
        <v>1206</v>
      </c>
      <c r="E24">
        <v>621</v>
      </c>
      <c r="J24">
        <v>2</v>
      </c>
      <c r="K24" t="s">
        <v>1318</v>
      </c>
      <c r="L24" t="s">
        <v>1314</v>
      </c>
      <c r="M24">
        <v>0.84</v>
      </c>
      <c r="O24" t="s">
        <v>1223</v>
      </c>
    </row>
    <row r="25" spans="1:15">
      <c r="A25" t="s">
        <v>1207</v>
      </c>
      <c r="B25" t="s">
        <v>1174</v>
      </c>
      <c r="C25" t="s">
        <v>1175</v>
      </c>
      <c r="D25" t="s">
        <v>1208</v>
      </c>
      <c r="E25">
        <v>1321</v>
      </c>
      <c r="J25">
        <v>2</v>
      </c>
      <c r="K25" t="s">
        <v>1318</v>
      </c>
      <c r="L25" t="s">
        <v>1315</v>
      </c>
      <c r="M25">
        <v>0.86499999999999999</v>
      </c>
      <c r="O25" t="s">
        <v>1225</v>
      </c>
    </row>
    <row r="26" spans="1:15">
      <c r="A26" t="s">
        <v>1207</v>
      </c>
      <c r="B26" t="s">
        <v>1174</v>
      </c>
      <c r="C26" t="s">
        <v>1177</v>
      </c>
      <c r="D26" t="s">
        <v>1209</v>
      </c>
      <c r="E26">
        <v>2076</v>
      </c>
      <c r="J26">
        <v>3</v>
      </c>
      <c r="K26" t="s">
        <v>1313</v>
      </c>
      <c r="L26" t="s">
        <v>1314</v>
      </c>
      <c r="M26">
        <v>0.86499999999999999</v>
      </c>
      <c r="O26" t="s">
        <v>1229</v>
      </c>
    </row>
    <row r="27" spans="1:15">
      <c r="A27" t="s">
        <v>1207</v>
      </c>
      <c r="B27" t="s">
        <v>1174</v>
      </c>
      <c r="C27" t="s">
        <v>1179</v>
      </c>
      <c r="D27" t="s">
        <v>1210</v>
      </c>
      <c r="E27">
        <v>1129</v>
      </c>
      <c r="J27">
        <v>3</v>
      </c>
      <c r="K27" t="s">
        <v>1313</v>
      </c>
      <c r="L27" t="s">
        <v>1315</v>
      </c>
      <c r="M27">
        <v>0.85499999999999998</v>
      </c>
      <c r="O27" t="s">
        <v>1231</v>
      </c>
    </row>
    <row r="28" spans="1:15">
      <c r="A28" t="s">
        <v>1211</v>
      </c>
      <c r="B28" t="s">
        <v>1160</v>
      </c>
      <c r="C28" t="s">
        <v>1161</v>
      </c>
      <c r="D28" t="s">
        <v>1212</v>
      </c>
      <c r="E28">
        <v>509</v>
      </c>
      <c r="J28">
        <v>3</v>
      </c>
      <c r="K28" t="s">
        <v>1316</v>
      </c>
      <c r="L28" t="s">
        <v>1314</v>
      </c>
      <c r="M28">
        <v>0.89500000000000002</v>
      </c>
      <c r="O28" t="s">
        <v>1233</v>
      </c>
    </row>
    <row r="29" spans="1:15">
      <c r="A29" t="s">
        <v>1213</v>
      </c>
      <c r="B29" t="s">
        <v>1160</v>
      </c>
      <c r="C29" t="s">
        <v>1161</v>
      </c>
      <c r="D29" t="s">
        <v>1214</v>
      </c>
      <c r="E29">
        <v>818</v>
      </c>
      <c r="J29">
        <v>3</v>
      </c>
      <c r="K29" t="s">
        <v>1316</v>
      </c>
      <c r="L29" t="s">
        <v>1315</v>
      </c>
      <c r="M29">
        <v>0.89500000000000002</v>
      </c>
      <c r="O29" t="s">
        <v>1235</v>
      </c>
    </row>
    <row r="30" spans="1:15">
      <c r="A30" t="s">
        <v>1215</v>
      </c>
      <c r="B30" t="s">
        <v>1174</v>
      </c>
      <c r="C30" t="s">
        <v>1175</v>
      </c>
      <c r="D30" t="s">
        <v>1216</v>
      </c>
      <c r="E30">
        <v>668</v>
      </c>
      <c r="J30">
        <v>3</v>
      </c>
      <c r="K30" t="s">
        <v>1317</v>
      </c>
      <c r="L30" t="s">
        <v>1314</v>
      </c>
      <c r="M30">
        <v>0.89500000000000002</v>
      </c>
      <c r="O30" t="s">
        <v>1237</v>
      </c>
    </row>
    <row r="31" spans="1:15">
      <c r="A31" t="s">
        <v>1215</v>
      </c>
      <c r="B31" t="s">
        <v>1174</v>
      </c>
      <c r="C31" t="s">
        <v>1177</v>
      </c>
      <c r="D31" t="s">
        <v>1217</v>
      </c>
      <c r="E31">
        <v>2088</v>
      </c>
      <c r="J31">
        <v>3</v>
      </c>
      <c r="K31" t="s">
        <v>1317</v>
      </c>
      <c r="L31" t="s">
        <v>1315</v>
      </c>
      <c r="M31">
        <v>0.88500000000000001</v>
      </c>
      <c r="O31" t="s">
        <v>1240</v>
      </c>
    </row>
    <row r="32" spans="1:15">
      <c r="A32" t="s">
        <v>1215</v>
      </c>
      <c r="B32" t="s">
        <v>1174</v>
      </c>
      <c r="C32" t="s">
        <v>1179</v>
      </c>
      <c r="D32" t="s">
        <v>1218</v>
      </c>
      <c r="E32">
        <v>664</v>
      </c>
      <c r="J32">
        <v>3</v>
      </c>
      <c r="K32" t="s">
        <v>1318</v>
      </c>
      <c r="L32" t="s">
        <v>1314</v>
      </c>
      <c r="M32">
        <v>0.85499999999999998</v>
      </c>
      <c r="O32" t="s">
        <v>1244</v>
      </c>
    </row>
    <row r="33" spans="1:15">
      <c r="A33" t="s">
        <v>1219</v>
      </c>
      <c r="B33" t="s">
        <v>1174</v>
      </c>
      <c r="C33" t="s">
        <v>1175</v>
      </c>
      <c r="D33" t="s">
        <v>1220</v>
      </c>
      <c r="E33">
        <v>2707</v>
      </c>
      <c r="J33">
        <v>3</v>
      </c>
      <c r="K33" t="s">
        <v>1318</v>
      </c>
      <c r="L33" t="s">
        <v>1315</v>
      </c>
      <c r="M33">
        <v>0.875</v>
      </c>
      <c r="O33" t="s">
        <v>1246</v>
      </c>
    </row>
    <row r="34" spans="1:15">
      <c r="A34" t="s">
        <v>1219</v>
      </c>
      <c r="B34" t="s">
        <v>1174</v>
      </c>
      <c r="C34" t="s">
        <v>1177</v>
      </c>
      <c r="D34" t="s">
        <v>1221</v>
      </c>
      <c r="E34">
        <v>2884</v>
      </c>
      <c r="J34">
        <v>5</v>
      </c>
      <c r="K34" t="s">
        <v>1313</v>
      </c>
      <c r="L34" t="s">
        <v>1314</v>
      </c>
      <c r="M34">
        <v>0.88500000000000001</v>
      </c>
      <c r="O34" t="s">
        <v>1248</v>
      </c>
    </row>
    <row r="35" spans="1:15">
      <c r="A35" t="s">
        <v>1219</v>
      </c>
      <c r="B35" t="s">
        <v>1174</v>
      </c>
      <c r="C35" t="s">
        <v>1179</v>
      </c>
      <c r="D35" t="s">
        <v>1222</v>
      </c>
      <c r="E35">
        <v>2718</v>
      </c>
      <c r="J35">
        <v>5</v>
      </c>
      <c r="K35" t="s">
        <v>1313</v>
      </c>
      <c r="L35" t="s">
        <v>1315</v>
      </c>
      <c r="M35">
        <v>0.86499999999999999</v>
      </c>
      <c r="O35" t="s">
        <v>1250</v>
      </c>
    </row>
    <row r="36" spans="1:15">
      <c r="A36" t="s">
        <v>1223</v>
      </c>
      <c r="B36" t="s">
        <v>1160</v>
      </c>
      <c r="C36" t="s">
        <v>1161</v>
      </c>
      <c r="D36" t="s">
        <v>1224</v>
      </c>
      <c r="E36">
        <v>1144</v>
      </c>
      <c r="J36">
        <v>5</v>
      </c>
      <c r="K36" t="s">
        <v>1316</v>
      </c>
      <c r="L36" t="s">
        <v>1314</v>
      </c>
      <c r="M36">
        <v>0.89500000000000002</v>
      </c>
      <c r="O36" t="s">
        <v>1252</v>
      </c>
    </row>
    <row r="37" spans="1:15">
      <c r="A37" t="s">
        <v>1225</v>
      </c>
      <c r="B37" t="s">
        <v>1174</v>
      </c>
      <c r="C37" t="s">
        <v>1175</v>
      </c>
      <c r="D37" t="s">
        <v>1226</v>
      </c>
      <c r="E37">
        <v>991</v>
      </c>
      <c r="J37">
        <v>5</v>
      </c>
      <c r="K37" t="s">
        <v>1316</v>
      </c>
      <c r="L37" t="s">
        <v>1315</v>
      </c>
      <c r="M37">
        <v>0.89500000000000002</v>
      </c>
      <c r="O37" t="s">
        <v>1254</v>
      </c>
    </row>
    <row r="38" spans="1:15">
      <c r="A38" t="s">
        <v>1225</v>
      </c>
      <c r="B38" t="s">
        <v>1174</v>
      </c>
      <c r="C38" t="s">
        <v>1177</v>
      </c>
      <c r="D38" t="s">
        <v>1227</v>
      </c>
      <c r="E38">
        <v>1625</v>
      </c>
      <c r="J38">
        <v>5</v>
      </c>
      <c r="K38" t="s">
        <v>1317</v>
      </c>
      <c r="L38" t="s">
        <v>1314</v>
      </c>
      <c r="M38">
        <v>0.89500000000000002</v>
      </c>
      <c r="O38" t="s">
        <v>1256</v>
      </c>
    </row>
    <row r="39" spans="1:15">
      <c r="A39" t="s">
        <v>1225</v>
      </c>
      <c r="B39" t="s">
        <v>1174</v>
      </c>
      <c r="C39" t="s">
        <v>1179</v>
      </c>
      <c r="D39" t="s">
        <v>1228</v>
      </c>
      <c r="E39">
        <v>822</v>
      </c>
      <c r="J39">
        <v>5</v>
      </c>
      <c r="K39" t="s">
        <v>1317</v>
      </c>
      <c r="L39" t="s">
        <v>1315</v>
      </c>
      <c r="M39">
        <v>0.89500000000000002</v>
      </c>
      <c r="O39" t="s">
        <v>1258</v>
      </c>
    </row>
    <row r="40" spans="1:15">
      <c r="A40" t="s">
        <v>1229</v>
      </c>
      <c r="B40" t="s">
        <v>1160</v>
      </c>
      <c r="C40" t="s">
        <v>1161</v>
      </c>
      <c r="D40" t="s">
        <v>1230</v>
      </c>
      <c r="E40">
        <v>886</v>
      </c>
      <c r="J40">
        <v>5</v>
      </c>
      <c r="K40" t="s">
        <v>1318</v>
      </c>
      <c r="L40" t="s">
        <v>1314</v>
      </c>
      <c r="M40">
        <v>0.86499999999999999</v>
      </c>
      <c r="O40" t="s">
        <v>1260</v>
      </c>
    </row>
    <row r="41" spans="1:15">
      <c r="A41" t="s">
        <v>1231</v>
      </c>
      <c r="B41" t="s">
        <v>1160</v>
      </c>
      <c r="C41" t="s">
        <v>1161</v>
      </c>
      <c r="D41" t="s">
        <v>1232</v>
      </c>
      <c r="E41">
        <v>621</v>
      </c>
      <c r="J41">
        <v>5</v>
      </c>
      <c r="K41" t="s">
        <v>1318</v>
      </c>
      <c r="L41" t="s">
        <v>1315</v>
      </c>
      <c r="M41">
        <v>0.88500000000000001</v>
      </c>
      <c r="O41" t="s">
        <v>1262</v>
      </c>
    </row>
    <row r="42" spans="1:15">
      <c r="A42" t="s">
        <v>1233</v>
      </c>
      <c r="B42" t="s">
        <v>1160</v>
      </c>
      <c r="C42" t="s">
        <v>1161</v>
      </c>
      <c r="D42" t="s">
        <v>1234</v>
      </c>
      <c r="E42">
        <v>621</v>
      </c>
      <c r="J42">
        <v>7.5</v>
      </c>
      <c r="K42" t="s">
        <v>1313</v>
      </c>
      <c r="L42" t="s">
        <v>1314</v>
      </c>
      <c r="M42">
        <v>0.89500000000000002</v>
      </c>
      <c r="O42" t="s">
        <v>1264</v>
      </c>
    </row>
    <row r="43" spans="1:15">
      <c r="A43" t="s">
        <v>1235</v>
      </c>
      <c r="B43" t="s">
        <v>1196</v>
      </c>
      <c r="C43" t="s">
        <v>1161</v>
      </c>
      <c r="D43" t="s">
        <v>1236</v>
      </c>
      <c r="E43">
        <v>782</v>
      </c>
      <c r="J43">
        <v>7.5</v>
      </c>
      <c r="K43" t="s">
        <v>1313</v>
      </c>
      <c r="L43" t="s">
        <v>1315</v>
      </c>
      <c r="M43">
        <v>0.88500000000000001</v>
      </c>
      <c r="O43" t="s">
        <v>1266</v>
      </c>
    </row>
    <row r="44" spans="1:15">
      <c r="A44" t="s">
        <v>1237</v>
      </c>
      <c r="B44" t="s">
        <v>1238</v>
      </c>
      <c r="C44" t="s">
        <v>1161</v>
      </c>
      <c r="D44" t="s">
        <v>1239</v>
      </c>
      <c r="E44">
        <v>510</v>
      </c>
      <c r="J44">
        <v>7.5</v>
      </c>
      <c r="K44" t="s">
        <v>1316</v>
      </c>
      <c r="L44" t="s">
        <v>1314</v>
      </c>
      <c r="M44">
        <v>0.91700000000000004</v>
      </c>
      <c r="O44" t="s">
        <v>1268</v>
      </c>
    </row>
    <row r="45" spans="1:15">
      <c r="A45" t="s">
        <v>1240</v>
      </c>
      <c r="B45" t="s">
        <v>1174</v>
      </c>
      <c r="C45" t="s">
        <v>1175</v>
      </c>
      <c r="D45" t="s">
        <v>1241</v>
      </c>
      <c r="E45">
        <v>668</v>
      </c>
      <c r="J45">
        <v>7.5</v>
      </c>
      <c r="K45" t="s">
        <v>1316</v>
      </c>
      <c r="L45" t="s">
        <v>1315</v>
      </c>
      <c r="M45">
        <v>0.91</v>
      </c>
      <c r="O45" t="s">
        <v>1272</v>
      </c>
    </row>
    <row r="46" spans="1:15">
      <c r="A46" t="s">
        <v>1240</v>
      </c>
      <c r="B46" t="s">
        <v>1174</v>
      </c>
      <c r="C46" t="s">
        <v>1177</v>
      </c>
      <c r="D46" t="s">
        <v>1242</v>
      </c>
      <c r="E46">
        <v>2088</v>
      </c>
      <c r="J46">
        <v>7.5</v>
      </c>
      <c r="K46" t="s">
        <v>1317</v>
      </c>
      <c r="L46" t="s">
        <v>1314</v>
      </c>
      <c r="M46">
        <v>0.90200000000000002</v>
      </c>
      <c r="O46" t="s">
        <v>1274</v>
      </c>
    </row>
    <row r="47" spans="1:15">
      <c r="A47" t="s">
        <v>1240</v>
      </c>
      <c r="B47" t="s">
        <v>1174</v>
      </c>
      <c r="C47" t="s">
        <v>1179</v>
      </c>
      <c r="D47" t="s">
        <v>1243</v>
      </c>
      <c r="E47">
        <v>664</v>
      </c>
      <c r="J47">
        <v>7.5</v>
      </c>
      <c r="K47" t="s">
        <v>1317</v>
      </c>
      <c r="L47" t="s">
        <v>1315</v>
      </c>
      <c r="M47">
        <v>0.86499999999999999</v>
      </c>
      <c r="O47" t="s">
        <v>1276</v>
      </c>
    </row>
    <row r="48" spans="1:15">
      <c r="A48" t="s">
        <v>1244</v>
      </c>
      <c r="B48" t="s">
        <v>1160</v>
      </c>
      <c r="C48" t="s">
        <v>1161</v>
      </c>
      <c r="D48" t="s">
        <v>1245</v>
      </c>
      <c r="E48">
        <v>886</v>
      </c>
      <c r="J48">
        <v>7.5</v>
      </c>
      <c r="K48" t="s">
        <v>1318</v>
      </c>
      <c r="L48" t="s">
        <v>1314</v>
      </c>
      <c r="M48">
        <v>0.89500000000000002</v>
      </c>
      <c r="O48" t="s">
        <v>1280</v>
      </c>
    </row>
    <row r="49" spans="1:15">
      <c r="A49" t="s">
        <v>1246</v>
      </c>
      <c r="B49" t="s">
        <v>1160</v>
      </c>
      <c r="C49" t="s">
        <v>1161</v>
      </c>
      <c r="D49" t="s">
        <v>1247</v>
      </c>
      <c r="E49">
        <v>0</v>
      </c>
      <c r="J49">
        <v>7.5</v>
      </c>
      <c r="K49" t="s">
        <v>1318</v>
      </c>
      <c r="L49" t="s">
        <v>1315</v>
      </c>
      <c r="M49">
        <v>0.90200000000000002</v>
      </c>
      <c r="O49" t="s">
        <v>1282</v>
      </c>
    </row>
    <row r="50" spans="1:15">
      <c r="A50" t="s">
        <v>1248</v>
      </c>
      <c r="B50" t="s">
        <v>1160</v>
      </c>
      <c r="C50" t="s">
        <v>1161</v>
      </c>
      <c r="D50" t="s">
        <v>1249</v>
      </c>
      <c r="E50">
        <v>0</v>
      </c>
      <c r="J50">
        <v>10</v>
      </c>
      <c r="K50" t="s">
        <v>1313</v>
      </c>
      <c r="L50" t="s">
        <v>1314</v>
      </c>
      <c r="M50">
        <v>0.90200000000000002</v>
      </c>
      <c r="O50" t="s">
        <v>1286</v>
      </c>
    </row>
    <row r="51" spans="1:15">
      <c r="A51" t="s">
        <v>1250</v>
      </c>
      <c r="B51" t="s">
        <v>1238</v>
      </c>
      <c r="C51" t="s">
        <v>1161</v>
      </c>
      <c r="D51" t="s">
        <v>1251</v>
      </c>
      <c r="E51">
        <v>510</v>
      </c>
      <c r="J51">
        <v>10</v>
      </c>
      <c r="K51" t="s">
        <v>1313</v>
      </c>
      <c r="L51" t="s">
        <v>1315</v>
      </c>
      <c r="M51">
        <v>0.89500000000000002</v>
      </c>
      <c r="O51" t="s">
        <v>1288</v>
      </c>
    </row>
    <row r="52" spans="1:15">
      <c r="A52" t="s">
        <v>1252</v>
      </c>
      <c r="B52" t="s">
        <v>1160</v>
      </c>
      <c r="C52" t="s">
        <v>1161</v>
      </c>
      <c r="D52" t="s">
        <v>1253</v>
      </c>
      <c r="E52">
        <v>621</v>
      </c>
      <c r="J52">
        <v>10</v>
      </c>
      <c r="K52" t="s">
        <v>1316</v>
      </c>
      <c r="L52" t="s">
        <v>1314</v>
      </c>
      <c r="M52">
        <v>0.91700000000000004</v>
      </c>
      <c r="O52" t="s">
        <v>1290</v>
      </c>
    </row>
    <row r="53" spans="1:15">
      <c r="A53" t="s">
        <v>1254</v>
      </c>
      <c r="B53" t="s">
        <v>1160</v>
      </c>
      <c r="C53" t="s">
        <v>1161</v>
      </c>
      <c r="D53" t="s">
        <v>1255</v>
      </c>
      <c r="E53">
        <v>621</v>
      </c>
      <c r="J53">
        <v>10</v>
      </c>
      <c r="K53" t="s">
        <v>1316</v>
      </c>
      <c r="L53" t="s">
        <v>1315</v>
      </c>
      <c r="M53">
        <v>0.91</v>
      </c>
      <c r="O53" t="s">
        <v>1292</v>
      </c>
    </row>
    <row r="54" spans="1:15">
      <c r="A54" t="s">
        <v>1256</v>
      </c>
      <c r="B54" t="s">
        <v>1160</v>
      </c>
      <c r="C54" t="s">
        <v>1161</v>
      </c>
      <c r="D54" t="s">
        <v>1257</v>
      </c>
      <c r="E54">
        <v>818</v>
      </c>
      <c r="J54">
        <v>10</v>
      </c>
      <c r="K54" t="s">
        <v>1317</v>
      </c>
      <c r="L54" t="s">
        <v>1314</v>
      </c>
      <c r="M54">
        <v>0.91</v>
      </c>
      <c r="O54" t="s">
        <v>1294</v>
      </c>
    </row>
    <row r="55" spans="1:15">
      <c r="A55" t="s">
        <v>1258</v>
      </c>
      <c r="B55" t="s">
        <v>1160</v>
      </c>
      <c r="C55" t="s">
        <v>1161</v>
      </c>
      <c r="D55" t="s">
        <v>1259</v>
      </c>
      <c r="E55">
        <v>509</v>
      </c>
      <c r="J55">
        <v>10</v>
      </c>
      <c r="K55" t="s">
        <v>1317</v>
      </c>
      <c r="L55" t="s">
        <v>1315</v>
      </c>
      <c r="M55">
        <v>0.90200000000000002</v>
      </c>
      <c r="O55" t="s">
        <v>1297</v>
      </c>
    </row>
    <row r="56" spans="1:15">
      <c r="A56" t="s">
        <v>1260</v>
      </c>
      <c r="B56" t="s">
        <v>1160</v>
      </c>
      <c r="C56" t="s">
        <v>1161</v>
      </c>
      <c r="D56" t="s">
        <v>1261</v>
      </c>
      <c r="E56">
        <v>259</v>
      </c>
      <c r="J56">
        <v>10</v>
      </c>
      <c r="K56" t="s">
        <v>1318</v>
      </c>
      <c r="L56" t="s">
        <v>1314</v>
      </c>
      <c r="M56">
        <v>0.86499999999999999</v>
      </c>
      <c r="O56" t="s">
        <v>1299</v>
      </c>
    </row>
    <row r="57" spans="1:15">
      <c r="A57" t="s">
        <v>1262</v>
      </c>
      <c r="B57" t="s">
        <v>1160</v>
      </c>
      <c r="C57" t="s">
        <v>1161</v>
      </c>
      <c r="D57" t="s">
        <v>1263</v>
      </c>
      <c r="E57">
        <v>598</v>
      </c>
      <c r="J57">
        <v>10</v>
      </c>
      <c r="K57" t="s">
        <v>1318</v>
      </c>
      <c r="L57" t="s">
        <v>1315</v>
      </c>
      <c r="M57">
        <v>0.89500000000000002</v>
      </c>
      <c r="O57" t="s">
        <v>1301</v>
      </c>
    </row>
    <row r="58" spans="1:15">
      <c r="A58" t="s">
        <v>1264</v>
      </c>
      <c r="B58" t="s">
        <v>1160</v>
      </c>
      <c r="C58" t="s">
        <v>1161</v>
      </c>
      <c r="D58" t="s">
        <v>1265</v>
      </c>
      <c r="E58">
        <v>533</v>
      </c>
      <c r="J58">
        <v>15</v>
      </c>
      <c r="K58" t="s">
        <v>1313</v>
      </c>
      <c r="L58" t="s">
        <v>1314</v>
      </c>
      <c r="M58">
        <v>0.91</v>
      </c>
      <c r="O58" t="s">
        <v>1304</v>
      </c>
    </row>
    <row r="59" spans="1:15">
      <c r="A59" t="s">
        <v>1266</v>
      </c>
      <c r="B59" t="s">
        <v>1160</v>
      </c>
      <c r="C59" t="s">
        <v>1161</v>
      </c>
      <c r="D59" t="s">
        <v>1267</v>
      </c>
      <c r="E59">
        <v>533</v>
      </c>
      <c r="J59">
        <v>15</v>
      </c>
      <c r="K59" t="s">
        <v>1313</v>
      </c>
      <c r="L59" t="s">
        <v>1315</v>
      </c>
      <c r="M59">
        <v>0.90200000000000002</v>
      </c>
    </row>
    <row r="60" spans="1:15">
      <c r="A60" t="s">
        <v>1268</v>
      </c>
      <c r="B60" t="s">
        <v>1174</v>
      </c>
      <c r="C60" t="s">
        <v>1175</v>
      </c>
      <c r="D60" t="s">
        <v>1269</v>
      </c>
      <c r="E60">
        <v>991</v>
      </c>
      <c r="J60">
        <v>15</v>
      </c>
      <c r="K60" t="s">
        <v>1316</v>
      </c>
      <c r="L60" t="s">
        <v>1314</v>
      </c>
      <c r="M60">
        <v>0.92400000000000004</v>
      </c>
    </row>
    <row r="61" spans="1:15">
      <c r="A61" t="s">
        <v>1268</v>
      </c>
      <c r="B61" t="s">
        <v>1174</v>
      </c>
      <c r="C61" t="s">
        <v>1177</v>
      </c>
      <c r="D61" t="s">
        <v>1270</v>
      </c>
      <c r="E61">
        <v>1625</v>
      </c>
      <c r="J61">
        <v>15</v>
      </c>
      <c r="K61" t="s">
        <v>1316</v>
      </c>
      <c r="L61" t="s">
        <v>1315</v>
      </c>
      <c r="M61">
        <v>0.93</v>
      </c>
    </row>
    <row r="62" spans="1:15">
      <c r="A62" t="s">
        <v>1268</v>
      </c>
      <c r="B62" t="s">
        <v>1174</v>
      </c>
      <c r="C62" t="s">
        <v>1179</v>
      </c>
      <c r="D62" t="s">
        <v>1271</v>
      </c>
      <c r="E62">
        <v>822</v>
      </c>
      <c r="J62">
        <v>15</v>
      </c>
      <c r="K62" t="s">
        <v>1317</v>
      </c>
      <c r="L62" t="s">
        <v>1314</v>
      </c>
      <c r="M62">
        <v>0.91700000000000004</v>
      </c>
    </row>
    <row r="63" spans="1:15">
      <c r="A63" t="s">
        <v>1272</v>
      </c>
      <c r="B63" t="s">
        <v>1160</v>
      </c>
      <c r="C63" t="s">
        <v>1161</v>
      </c>
      <c r="D63" t="s">
        <v>1273</v>
      </c>
      <c r="E63">
        <v>1187</v>
      </c>
      <c r="J63">
        <v>15</v>
      </c>
      <c r="K63" t="s">
        <v>1317</v>
      </c>
      <c r="L63" t="s">
        <v>1315</v>
      </c>
      <c r="M63">
        <v>0.91700000000000004</v>
      </c>
    </row>
    <row r="64" spans="1:15">
      <c r="A64" t="s">
        <v>1274</v>
      </c>
      <c r="B64" t="s">
        <v>1160</v>
      </c>
      <c r="C64" t="s">
        <v>1161</v>
      </c>
      <c r="D64" t="s">
        <v>1275</v>
      </c>
      <c r="E64">
        <v>818</v>
      </c>
      <c r="J64">
        <v>15</v>
      </c>
      <c r="K64" t="s">
        <v>1318</v>
      </c>
      <c r="L64" t="s">
        <v>1314</v>
      </c>
      <c r="M64">
        <v>0.89500000000000002</v>
      </c>
    </row>
    <row r="65" spans="1:13">
      <c r="A65" t="s">
        <v>1276</v>
      </c>
      <c r="B65" t="s">
        <v>1174</v>
      </c>
      <c r="C65" t="s">
        <v>1175</v>
      </c>
      <c r="D65" t="s">
        <v>1277</v>
      </c>
      <c r="E65">
        <v>432</v>
      </c>
      <c r="J65">
        <v>15</v>
      </c>
      <c r="K65" t="s">
        <v>1318</v>
      </c>
      <c r="L65" t="s">
        <v>1315</v>
      </c>
      <c r="M65">
        <v>0.90200000000000002</v>
      </c>
    </row>
    <row r="66" spans="1:13">
      <c r="A66" t="s">
        <v>1276</v>
      </c>
      <c r="B66" t="s">
        <v>1174</v>
      </c>
      <c r="C66" t="s">
        <v>1177</v>
      </c>
      <c r="D66" t="s">
        <v>1278</v>
      </c>
      <c r="E66">
        <v>799</v>
      </c>
      <c r="J66">
        <v>20</v>
      </c>
      <c r="K66" t="s">
        <v>1313</v>
      </c>
      <c r="L66" t="s">
        <v>1314</v>
      </c>
      <c r="M66">
        <v>0.91</v>
      </c>
    </row>
    <row r="67" spans="1:13">
      <c r="A67" t="s">
        <v>1276</v>
      </c>
      <c r="B67" t="s">
        <v>1174</v>
      </c>
      <c r="C67" t="s">
        <v>1179</v>
      </c>
      <c r="D67" t="s">
        <v>1279</v>
      </c>
      <c r="E67">
        <v>316</v>
      </c>
      <c r="J67">
        <v>20</v>
      </c>
      <c r="K67" t="s">
        <v>1313</v>
      </c>
      <c r="L67" t="s">
        <v>1315</v>
      </c>
      <c r="M67">
        <v>0.91</v>
      </c>
    </row>
    <row r="68" spans="1:13">
      <c r="A68" t="s">
        <v>1280</v>
      </c>
      <c r="B68" t="s">
        <v>1160</v>
      </c>
      <c r="C68" t="s">
        <v>1161</v>
      </c>
      <c r="D68" t="s">
        <v>1281</v>
      </c>
      <c r="E68">
        <v>366</v>
      </c>
      <c r="J68">
        <v>20</v>
      </c>
      <c r="K68" t="s">
        <v>1316</v>
      </c>
      <c r="L68" t="s">
        <v>1314</v>
      </c>
      <c r="M68">
        <v>0.93</v>
      </c>
    </row>
    <row r="69" spans="1:13">
      <c r="A69" t="s">
        <v>1282</v>
      </c>
      <c r="B69" t="s">
        <v>1174</v>
      </c>
      <c r="C69" t="s">
        <v>1175</v>
      </c>
      <c r="D69" t="s">
        <v>1283</v>
      </c>
      <c r="E69">
        <v>785</v>
      </c>
      <c r="J69">
        <v>20</v>
      </c>
      <c r="K69" t="s">
        <v>1316</v>
      </c>
      <c r="L69" t="s">
        <v>1315</v>
      </c>
      <c r="M69">
        <v>0.93</v>
      </c>
    </row>
    <row r="70" spans="1:13">
      <c r="A70" t="s">
        <v>1282</v>
      </c>
      <c r="B70" t="s">
        <v>1174</v>
      </c>
      <c r="C70" t="s">
        <v>1177</v>
      </c>
      <c r="D70" t="s">
        <v>1284</v>
      </c>
      <c r="E70">
        <v>1047</v>
      </c>
      <c r="J70">
        <v>20</v>
      </c>
      <c r="K70" t="s">
        <v>1317</v>
      </c>
      <c r="L70" t="s">
        <v>1314</v>
      </c>
      <c r="M70">
        <v>0.91700000000000004</v>
      </c>
    </row>
    <row r="71" spans="1:13">
      <c r="A71" t="s">
        <v>1282</v>
      </c>
      <c r="B71" t="s">
        <v>1174</v>
      </c>
      <c r="C71" t="s">
        <v>1179</v>
      </c>
      <c r="D71" t="s">
        <v>1285</v>
      </c>
      <c r="E71">
        <v>611</v>
      </c>
      <c r="J71">
        <v>20</v>
      </c>
      <c r="K71" t="s">
        <v>1317</v>
      </c>
      <c r="L71" t="s">
        <v>1315</v>
      </c>
      <c r="M71">
        <v>0.91700000000000004</v>
      </c>
    </row>
    <row r="72" spans="1:13">
      <c r="A72" t="s">
        <v>1286</v>
      </c>
      <c r="B72" t="s">
        <v>1160</v>
      </c>
      <c r="C72" t="s">
        <v>1161</v>
      </c>
      <c r="D72" t="s">
        <v>1287</v>
      </c>
      <c r="E72">
        <v>886</v>
      </c>
      <c r="J72">
        <v>20</v>
      </c>
      <c r="K72" t="s">
        <v>1318</v>
      </c>
      <c r="L72" t="s">
        <v>1314</v>
      </c>
      <c r="M72">
        <v>0.89500000000000002</v>
      </c>
    </row>
    <row r="73" spans="1:13">
      <c r="A73" t="s">
        <v>1288</v>
      </c>
      <c r="B73" t="s">
        <v>1160</v>
      </c>
      <c r="C73" t="s">
        <v>1161</v>
      </c>
      <c r="D73" t="s">
        <v>1289</v>
      </c>
      <c r="E73">
        <v>621</v>
      </c>
      <c r="J73">
        <v>20</v>
      </c>
      <c r="K73" t="s">
        <v>1318</v>
      </c>
      <c r="L73" t="s">
        <v>1315</v>
      </c>
      <c r="M73">
        <v>0.89500000000000002</v>
      </c>
    </row>
    <row r="74" spans="1:13">
      <c r="A74" t="s">
        <v>1290</v>
      </c>
      <c r="B74" t="s">
        <v>1160</v>
      </c>
      <c r="C74" t="s">
        <v>1161</v>
      </c>
      <c r="D74" t="s">
        <v>1291</v>
      </c>
      <c r="E74">
        <v>621</v>
      </c>
      <c r="J74">
        <v>25</v>
      </c>
      <c r="K74" t="s">
        <v>1313</v>
      </c>
      <c r="L74" t="s">
        <v>1314</v>
      </c>
      <c r="M74">
        <v>0.91700000000000004</v>
      </c>
    </row>
    <row r="75" spans="1:13">
      <c r="A75" t="s">
        <v>1292</v>
      </c>
      <c r="B75" t="s">
        <v>1160</v>
      </c>
      <c r="C75" t="s">
        <v>1161</v>
      </c>
      <c r="D75" t="s">
        <v>1293</v>
      </c>
      <c r="E75">
        <v>621</v>
      </c>
      <c r="J75">
        <v>25</v>
      </c>
      <c r="K75" t="s">
        <v>1313</v>
      </c>
      <c r="L75" t="s">
        <v>1315</v>
      </c>
      <c r="M75">
        <v>0.91700000000000004</v>
      </c>
    </row>
    <row r="76" spans="1:13">
      <c r="A76" t="s">
        <v>1294</v>
      </c>
      <c r="B76" t="s">
        <v>1295</v>
      </c>
      <c r="C76" t="s">
        <v>1161</v>
      </c>
      <c r="D76" t="s">
        <v>1296</v>
      </c>
      <c r="E76">
        <v>371</v>
      </c>
      <c r="J76">
        <v>25</v>
      </c>
      <c r="K76" t="s">
        <v>1316</v>
      </c>
      <c r="L76" t="s">
        <v>1314</v>
      </c>
      <c r="M76">
        <v>0.93600000000000005</v>
      </c>
    </row>
    <row r="77" spans="1:13">
      <c r="A77" t="s">
        <v>1297</v>
      </c>
      <c r="B77" t="s">
        <v>1160</v>
      </c>
      <c r="C77" t="s">
        <v>1161</v>
      </c>
      <c r="D77" t="s">
        <v>1298</v>
      </c>
      <c r="E77">
        <v>371</v>
      </c>
      <c r="J77">
        <v>25</v>
      </c>
      <c r="K77" t="s">
        <v>1316</v>
      </c>
      <c r="L77" t="s">
        <v>1315</v>
      </c>
      <c r="M77">
        <v>0.93600000000000005</v>
      </c>
    </row>
    <row r="78" spans="1:13">
      <c r="A78" t="s">
        <v>1299</v>
      </c>
      <c r="B78" t="s">
        <v>1160</v>
      </c>
      <c r="C78" t="s">
        <v>1161</v>
      </c>
      <c r="D78" t="s">
        <v>1300</v>
      </c>
      <c r="E78">
        <v>509</v>
      </c>
      <c r="J78">
        <v>25</v>
      </c>
      <c r="K78" t="s">
        <v>1317</v>
      </c>
      <c r="L78" t="s">
        <v>1314</v>
      </c>
      <c r="M78">
        <v>0.93</v>
      </c>
    </row>
    <row r="79" spans="1:13">
      <c r="A79" t="s">
        <v>1301</v>
      </c>
      <c r="B79" t="s">
        <v>1160</v>
      </c>
      <c r="C79" t="s">
        <v>1161</v>
      </c>
      <c r="D79" t="s">
        <v>1302</v>
      </c>
      <c r="E79">
        <v>509</v>
      </c>
      <c r="J79">
        <v>25</v>
      </c>
      <c r="K79" t="s">
        <v>1317</v>
      </c>
      <c r="L79" t="s">
        <v>1315</v>
      </c>
      <c r="M79">
        <v>0.93</v>
      </c>
    </row>
    <row r="80" spans="1:13">
      <c r="J80">
        <v>25</v>
      </c>
      <c r="K80" t="s">
        <v>1318</v>
      </c>
      <c r="L80" t="s">
        <v>1314</v>
      </c>
      <c r="M80">
        <v>0.92</v>
      </c>
    </row>
    <row r="81" spans="10:13">
      <c r="J81">
        <v>25</v>
      </c>
      <c r="K81" t="s">
        <v>1318</v>
      </c>
      <c r="L81" t="s">
        <v>1315</v>
      </c>
      <c r="M81">
        <v>0.91</v>
      </c>
    </row>
    <row r="82" spans="10:13">
      <c r="J82">
        <v>30</v>
      </c>
      <c r="K82" t="s">
        <v>1313</v>
      </c>
      <c r="L82" t="s">
        <v>1314</v>
      </c>
      <c r="M82">
        <v>0.91700000000000004</v>
      </c>
    </row>
    <row r="83" spans="10:13">
      <c r="J83">
        <v>30</v>
      </c>
      <c r="K83" t="s">
        <v>1313</v>
      </c>
      <c r="L83" t="s">
        <v>1315</v>
      </c>
      <c r="M83">
        <v>0.91700000000000004</v>
      </c>
    </row>
    <row r="84" spans="10:13">
      <c r="J84">
        <v>30</v>
      </c>
      <c r="K84" t="s">
        <v>1316</v>
      </c>
      <c r="L84" t="s">
        <v>1314</v>
      </c>
      <c r="M84">
        <v>0.93600000000000005</v>
      </c>
    </row>
    <row r="85" spans="10:13">
      <c r="J85">
        <v>30</v>
      </c>
      <c r="K85" t="s">
        <v>1316</v>
      </c>
      <c r="L85" t="s">
        <v>1315</v>
      </c>
      <c r="M85">
        <v>0.94099999999999995</v>
      </c>
    </row>
    <row r="86" spans="10:13">
      <c r="J86">
        <v>30</v>
      </c>
      <c r="K86" t="s">
        <v>1317</v>
      </c>
      <c r="L86" t="s">
        <v>1314</v>
      </c>
      <c r="M86">
        <v>0.93</v>
      </c>
    </row>
    <row r="87" spans="10:13">
      <c r="J87">
        <v>30</v>
      </c>
      <c r="K87" t="s">
        <v>1317</v>
      </c>
      <c r="L87" t="s">
        <v>1315</v>
      </c>
      <c r="M87">
        <v>0.93600000000000005</v>
      </c>
    </row>
    <row r="88" spans="10:13">
      <c r="J88">
        <v>30</v>
      </c>
      <c r="K88" t="s">
        <v>1318</v>
      </c>
      <c r="L88" t="s">
        <v>1314</v>
      </c>
      <c r="M88">
        <v>0.91700000000000004</v>
      </c>
    </row>
    <row r="89" spans="10:13">
      <c r="J89">
        <v>30</v>
      </c>
      <c r="K89" t="s">
        <v>1318</v>
      </c>
      <c r="L89" t="s">
        <v>1315</v>
      </c>
      <c r="M89">
        <v>0.91700000000000004</v>
      </c>
    </row>
    <row r="90" spans="10:13">
      <c r="J90">
        <v>40</v>
      </c>
      <c r="K90" t="s">
        <v>1313</v>
      </c>
      <c r="L90" t="s">
        <v>1314</v>
      </c>
      <c r="M90">
        <v>0.92400000000000004</v>
      </c>
    </row>
    <row r="91" spans="10:13">
      <c r="J91">
        <v>40</v>
      </c>
      <c r="K91" t="s">
        <v>1313</v>
      </c>
      <c r="L91" t="s">
        <v>1315</v>
      </c>
      <c r="M91">
        <v>0.92400000000000004</v>
      </c>
    </row>
    <row r="92" spans="10:13">
      <c r="J92">
        <v>40</v>
      </c>
      <c r="K92" t="s">
        <v>1316</v>
      </c>
      <c r="L92" t="s">
        <v>1314</v>
      </c>
      <c r="M92">
        <v>0.94099999999999995</v>
      </c>
    </row>
    <row r="93" spans="10:13">
      <c r="J93">
        <v>40</v>
      </c>
      <c r="K93" t="s">
        <v>1316</v>
      </c>
      <c r="L93" t="s">
        <v>1315</v>
      </c>
      <c r="M93">
        <v>0.94099999999999995</v>
      </c>
    </row>
    <row r="94" spans="10:13">
      <c r="J94">
        <v>40</v>
      </c>
      <c r="K94" t="s">
        <v>1317</v>
      </c>
      <c r="L94" t="s">
        <v>1314</v>
      </c>
      <c r="M94">
        <v>0.94099999999999995</v>
      </c>
    </row>
    <row r="95" spans="10:13">
      <c r="J95">
        <v>40</v>
      </c>
      <c r="K95" t="s">
        <v>1317</v>
      </c>
      <c r="L95" t="s">
        <v>1315</v>
      </c>
      <c r="M95">
        <v>0.94099999999999995</v>
      </c>
    </row>
    <row r="96" spans="10:13">
      <c r="J96">
        <v>40</v>
      </c>
      <c r="K96" t="s">
        <v>1318</v>
      </c>
      <c r="L96" t="s">
        <v>1314</v>
      </c>
      <c r="M96">
        <v>0.91700000000000004</v>
      </c>
    </row>
    <row r="97" spans="10:13">
      <c r="J97">
        <v>40</v>
      </c>
      <c r="K97" t="s">
        <v>1318</v>
      </c>
      <c r="L97" t="s">
        <v>1315</v>
      </c>
      <c r="M97">
        <v>0.91700000000000004</v>
      </c>
    </row>
    <row r="98" spans="10:13">
      <c r="J98">
        <v>50</v>
      </c>
      <c r="K98" t="s">
        <v>1313</v>
      </c>
      <c r="L98" t="s">
        <v>1314</v>
      </c>
      <c r="M98">
        <v>0.93</v>
      </c>
    </row>
    <row r="99" spans="10:13">
      <c r="J99">
        <v>50</v>
      </c>
      <c r="K99" t="s">
        <v>1313</v>
      </c>
      <c r="L99" t="s">
        <v>1315</v>
      </c>
      <c r="M99">
        <v>0.93</v>
      </c>
    </row>
    <row r="100" spans="10:13">
      <c r="J100">
        <v>50</v>
      </c>
      <c r="K100" t="s">
        <v>1316</v>
      </c>
      <c r="L100" t="s">
        <v>1314</v>
      </c>
      <c r="M100">
        <v>0.94499999999999995</v>
      </c>
    </row>
    <row r="101" spans="10:13">
      <c r="J101">
        <v>50</v>
      </c>
      <c r="K101" t="s">
        <v>1316</v>
      </c>
      <c r="L101" t="s">
        <v>1315</v>
      </c>
      <c r="M101">
        <v>0.94499999999999995</v>
      </c>
    </row>
    <row r="102" spans="10:13">
      <c r="J102">
        <v>50</v>
      </c>
      <c r="K102" t="s">
        <v>1317</v>
      </c>
      <c r="L102" t="s">
        <v>1314</v>
      </c>
      <c r="M102">
        <v>0.94099999999999995</v>
      </c>
    </row>
    <row r="103" spans="10:13">
      <c r="J103">
        <v>50</v>
      </c>
      <c r="K103" t="s">
        <v>1317</v>
      </c>
      <c r="L103" t="s">
        <v>1315</v>
      </c>
      <c r="M103">
        <v>0.94099999999999995</v>
      </c>
    </row>
    <row r="104" spans="10:13">
      <c r="J104">
        <v>50</v>
      </c>
      <c r="K104" t="s">
        <v>1318</v>
      </c>
      <c r="L104" t="s">
        <v>1314</v>
      </c>
      <c r="M104">
        <v>0.92400000000000004</v>
      </c>
    </row>
    <row r="105" spans="10:13">
      <c r="J105">
        <v>50</v>
      </c>
      <c r="K105" t="s">
        <v>1318</v>
      </c>
      <c r="L105" t="s">
        <v>1315</v>
      </c>
      <c r="M105">
        <v>0.92400000000000004</v>
      </c>
    </row>
    <row r="106" spans="10:13">
      <c r="J106">
        <v>60</v>
      </c>
      <c r="K106" t="s">
        <v>1313</v>
      </c>
      <c r="L106" t="s">
        <v>1314</v>
      </c>
      <c r="M106">
        <v>0.93600000000000005</v>
      </c>
    </row>
    <row r="107" spans="10:13">
      <c r="J107">
        <v>60</v>
      </c>
      <c r="K107" t="s">
        <v>1313</v>
      </c>
      <c r="L107" t="s">
        <v>1315</v>
      </c>
      <c r="M107">
        <v>0.93600000000000005</v>
      </c>
    </row>
    <row r="108" spans="10:13">
      <c r="J108">
        <v>60</v>
      </c>
      <c r="K108" t="s">
        <v>1316</v>
      </c>
      <c r="L108" t="s">
        <v>1314</v>
      </c>
      <c r="M108">
        <v>0.95</v>
      </c>
    </row>
    <row r="109" spans="10:13">
      <c r="J109">
        <v>60</v>
      </c>
      <c r="K109" t="s">
        <v>1316</v>
      </c>
      <c r="L109" t="s">
        <v>1315</v>
      </c>
      <c r="M109">
        <v>0.95</v>
      </c>
    </row>
    <row r="110" spans="10:13">
      <c r="J110">
        <v>60</v>
      </c>
      <c r="K110" t="s">
        <v>1317</v>
      </c>
      <c r="L110" t="s">
        <v>1314</v>
      </c>
      <c r="M110">
        <v>0.94499999999999995</v>
      </c>
    </row>
    <row r="111" spans="10:13">
      <c r="J111">
        <v>60</v>
      </c>
      <c r="K111" t="s">
        <v>1317</v>
      </c>
      <c r="L111" t="s">
        <v>1315</v>
      </c>
      <c r="M111">
        <v>0.94499999999999995</v>
      </c>
    </row>
    <row r="112" spans="10:13">
      <c r="J112">
        <v>60</v>
      </c>
      <c r="K112" t="s">
        <v>1318</v>
      </c>
      <c r="L112" t="s">
        <v>1314</v>
      </c>
      <c r="M112">
        <v>0.92400000000000004</v>
      </c>
    </row>
    <row r="113" spans="10:13">
      <c r="J113">
        <v>60</v>
      </c>
      <c r="K113" t="s">
        <v>1318</v>
      </c>
      <c r="L113" t="s">
        <v>1315</v>
      </c>
      <c r="M113">
        <v>0.93</v>
      </c>
    </row>
    <row r="114" spans="10:13">
      <c r="J114">
        <v>75</v>
      </c>
      <c r="K114" t="s">
        <v>1313</v>
      </c>
      <c r="L114" t="s">
        <v>1314</v>
      </c>
      <c r="M114">
        <v>0.93600000000000005</v>
      </c>
    </row>
    <row r="115" spans="10:13">
      <c r="J115">
        <v>75</v>
      </c>
      <c r="K115" t="s">
        <v>1313</v>
      </c>
      <c r="L115" t="s">
        <v>1315</v>
      </c>
      <c r="M115">
        <v>0.93600000000000005</v>
      </c>
    </row>
    <row r="116" spans="10:13">
      <c r="J116">
        <v>75</v>
      </c>
      <c r="K116" t="s">
        <v>1316</v>
      </c>
      <c r="L116" t="s">
        <v>1314</v>
      </c>
      <c r="M116">
        <v>0.95399999999999996</v>
      </c>
    </row>
    <row r="117" spans="10:13">
      <c r="J117">
        <v>75</v>
      </c>
      <c r="K117" t="s">
        <v>1316</v>
      </c>
      <c r="L117" t="s">
        <v>1315</v>
      </c>
      <c r="M117">
        <v>0.95</v>
      </c>
    </row>
    <row r="118" spans="10:13">
      <c r="J118">
        <v>75</v>
      </c>
      <c r="K118" t="s">
        <v>1317</v>
      </c>
      <c r="L118" t="s">
        <v>1314</v>
      </c>
      <c r="M118">
        <v>0.94499999999999995</v>
      </c>
    </row>
    <row r="119" spans="10:13">
      <c r="J119">
        <v>75</v>
      </c>
      <c r="K119" t="s">
        <v>1317</v>
      </c>
      <c r="L119" t="s">
        <v>1315</v>
      </c>
      <c r="M119">
        <v>0.94499999999999995</v>
      </c>
    </row>
    <row r="120" spans="10:13">
      <c r="J120">
        <v>75</v>
      </c>
      <c r="K120" t="s">
        <v>1318</v>
      </c>
      <c r="L120" t="s">
        <v>1314</v>
      </c>
      <c r="M120">
        <v>0.93600000000000005</v>
      </c>
    </row>
    <row r="121" spans="10:13">
      <c r="J121">
        <v>75</v>
      </c>
      <c r="K121" t="s">
        <v>1318</v>
      </c>
      <c r="L121" t="s">
        <v>1315</v>
      </c>
      <c r="M121">
        <v>0.94099999999999995</v>
      </c>
    </row>
    <row r="122" spans="10:13">
      <c r="J122">
        <v>100</v>
      </c>
      <c r="K122" t="s">
        <v>1313</v>
      </c>
      <c r="L122" t="s">
        <v>1314</v>
      </c>
      <c r="M122">
        <v>0.94099999999999995</v>
      </c>
    </row>
    <row r="123" spans="10:13">
      <c r="J123">
        <v>100</v>
      </c>
      <c r="K123" t="s">
        <v>1313</v>
      </c>
      <c r="L123" t="s">
        <v>1315</v>
      </c>
      <c r="M123">
        <v>0.93600000000000005</v>
      </c>
    </row>
    <row r="124" spans="10:13">
      <c r="J124">
        <v>100</v>
      </c>
      <c r="K124" t="s">
        <v>1316</v>
      </c>
      <c r="L124" t="s">
        <v>1314</v>
      </c>
      <c r="M124">
        <v>0.95399999999999996</v>
      </c>
    </row>
    <row r="125" spans="10:13">
      <c r="J125">
        <v>100</v>
      </c>
      <c r="K125" t="s">
        <v>1316</v>
      </c>
      <c r="L125" t="s">
        <v>1315</v>
      </c>
      <c r="M125">
        <v>0.95399999999999996</v>
      </c>
    </row>
    <row r="126" spans="10:13">
      <c r="J126">
        <v>100</v>
      </c>
      <c r="K126" t="s">
        <v>1317</v>
      </c>
      <c r="L126" t="s">
        <v>1314</v>
      </c>
      <c r="M126">
        <v>0.95</v>
      </c>
    </row>
    <row r="127" spans="10:13">
      <c r="J127">
        <v>100</v>
      </c>
      <c r="K127" t="s">
        <v>1317</v>
      </c>
      <c r="L127" t="s">
        <v>1315</v>
      </c>
      <c r="M127">
        <v>0.95</v>
      </c>
    </row>
    <row r="128" spans="10:13">
      <c r="J128">
        <v>100</v>
      </c>
      <c r="K128" t="s">
        <v>1318</v>
      </c>
      <c r="L128" t="s">
        <v>1314</v>
      </c>
      <c r="M128">
        <v>0.93600000000000005</v>
      </c>
    </row>
    <row r="129" spans="10:13">
      <c r="J129">
        <v>100</v>
      </c>
      <c r="K129" t="s">
        <v>1318</v>
      </c>
      <c r="L129" t="s">
        <v>1315</v>
      </c>
      <c r="M129">
        <v>0.94099999999999995</v>
      </c>
    </row>
    <row r="130" spans="10:13">
      <c r="J130">
        <v>125</v>
      </c>
      <c r="K130" t="s">
        <v>1313</v>
      </c>
      <c r="L130" t="s">
        <v>1314</v>
      </c>
      <c r="M130">
        <v>0.95</v>
      </c>
    </row>
    <row r="131" spans="10:13">
      <c r="J131">
        <v>125</v>
      </c>
      <c r="K131" t="s">
        <v>1313</v>
      </c>
      <c r="L131" t="s">
        <v>1315</v>
      </c>
      <c r="M131">
        <v>0.94099999999999995</v>
      </c>
    </row>
    <row r="132" spans="10:13">
      <c r="J132">
        <v>125</v>
      </c>
      <c r="K132" t="s">
        <v>1316</v>
      </c>
      <c r="L132" t="s">
        <v>1314</v>
      </c>
      <c r="M132">
        <v>0.95399999999999996</v>
      </c>
    </row>
    <row r="133" spans="10:13">
      <c r="J133">
        <v>125</v>
      </c>
      <c r="K133" t="s">
        <v>1316</v>
      </c>
      <c r="L133" t="s">
        <v>1315</v>
      </c>
      <c r="M133">
        <v>0.95399999999999996</v>
      </c>
    </row>
    <row r="134" spans="10:13">
      <c r="J134">
        <v>125</v>
      </c>
      <c r="K134" t="s">
        <v>1317</v>
      </c>
      <c r="L134" t="s">
        <v>1314</v>
      </c>
      <c r="M134">
        <v>0.95</v>
      </c>
    </row>
    <row r="135" spans="10:13">
      <c r="J135">
        <v>125</v>
      </c>
      <c r="K135" t="s">
        <v>1317</v>
      </c>
      <c r="L135" t="s">
        <v>1315</v>
      </c>
      <c r="M135">
        <v>0.95</v>
      </c>
    </row>
    <row r="136" spans="10:13">
      <c r="J136">
        <v>125</v>
      </c>
      <c r="K136" t="s">
        <v>1318</v>
      </c>
      <c r="L136" t="s">
        <v>1314</v>
      </c>
      <c r="M136">
        <v>0.94099999999999995</v>
      </c>
    </row>
    <row r="137" spans="10:13">
      <c r="J137">
        <v>125</v>
      </c>
      <c r="K137" t="s">
        <v>1318</v>
      </c>
      <c r="L137" t="s">
        <v>1315</v>
      </c>
      <c r="M137">
        <v>0.94099999999999995</v>
      </c>
    </row>
    <row r="138" spans="10:13">
      <c r="J138">
        <v>150</v>
      </c>
      <c r="K138" t="s">
        <v>1313</v>
      </c>
      <c r="L138" t="s">
        <v>1314</v>
      </c>
      <c r="M138">
        <v>0.95</v>
      </c>
    </row>
    <row r="139" spans="10:13">
      <c r="J139">
        <v>150</v>
      </c>
      <c r="K139" t="s">
        <v>1313</v>
      </c>
      <c r="L139" t="s">
        <v>1315</v>
      </c>
      <c r="M139">
        <v>0.94099999999999995</v>
      </c>
    </row>
    <row r="140" spans="10:13">
      <c r="J140">
        <v>150</v>
      </c>
      <c r="K140" t="s">
        <v>1316</v>
      </c>
      <c r="L140" t="s">
        <v>1314</v>
      </c>
      <c r="M140">
        <v>0.95799999999999996</v>
      </c>
    </row>
    <row r="141" spans="10:13">
      <c r="J141">
        <v>150</v>
      </c>
      <c r="K141" t="s">
        <v>1316</v>
      </c>
      <c r="L141" t="s">
        <v>1315</v>
      </c>
      <c r="M141">
        <v>0.95799999999999996</v>
      </c>
    </row>
    <row r="142" spans="10:13">
      <c r="J142">
        <v>150</v>
      </c>
      <c r="K142" t="s">
        <v>1317</v>
      </c>
      <c r="L142" t="s">
        <v>1314</v>
      </c>
      <c r="M142">
        <v>0.95799999999999996</v>
      </c>
    </row>
    <row r="143" spans="10:13">
      <c r="J143">
        <v>150</v>
      </c>
      <c r="K143" t="s">
        <v>1317</v>
      </c>
      <c r="L143" t="s">
        <v>1315</v>
      </c>
      <c r="M143">
        <v>0.95399999999999996</v>
      </c>
    </row>
    <row r="144" spans="10:13">
      <c r="J144">
        <v>150</v>
      </c>
      <c r="K144" t="s">
        <v>1318</v>
      </c>
      <c r="L144" t="s">
        <v>1314</v>
      </c>
      <c r="M144">
        <v>0.94099999999999995</v>
      </c>
    </row>
    <row r="145" spans="10:13">
      <c r="J145">
        <v>150</v>
      </c>
      <c r="K145" t="s">
        <v>1318</v>
      </c>
      <c r="L145" t="s">
        <v>1315</v>
      </c>
      <c r="M145">
        <v>0.94099999999999995</v>
      </c>
    </row>
    <row r="146" spans="10:13">
      <c r="J146">
        <v>200</v>
      </c>
      <c r="K146" t="s">
        <v>1313</v>
      </c>
      <c r="L146" t="s">
        <v>1314</v>
      </c>
      <c r="M146">
        <v>0.95399999999999996</v>
      </c>
    </row>
    <row r="147" spans="10:13">
      <c r="J147">
        <v>200</v>
      </c>
      <c r="K147" t="s">
        <v>1313</v>
      </c>
      <c r="L147" t="s">
        <v>1315</v>
      </c>
      <c r="M147">
        <v>0.95</v>
      </c>
    </row>
    <row r="148" spans="10:13">
      <c r="J148">
        <v>200</v>
      </c>
      <c r="K148" t="s">
        <v>1316</v>
      </c>
      <c r="L148" t="s">
        <v>1314</v>
      </c>
      <c r="M148">
        <v>0.96199999999999997</v>
      </c>
    </row>
    <row r="149" spans="10:13">
      <c r="J149">
        <v>200</v>
      </c>
      <c r="K149" t="s">
        <v>1316</v>
      </c>
      <c r="L149" t="s">
        <v>1315</v>
      </c>
      <c r="M149">
        <v>0.95799999999999996</v>
      </c>
    </row>
    <row r="150" spans="10:13">
      <c r="J150">
        <v>200</v>
      </c>
      <c r="K150" t="s">
        <v>1317</v>
      </c>
      <c r="L150" t="s">
        <v>1314</v>
      </c>
      <c r="M150">
        <v>0.95799999999999996</v>
      </c>
    </row>
    <row r="151" spans="10:13">
      <c r="J151">
        <v>200</v>
      </c>
      <c r="K151" t="s">
        <v>1317</v>
      </c>
      <c r="L151" t="s">
        <v>1315</v>
      </c>
      <c r="M151">
        <v>0.95399999999999996</v>
      </c>
    </row>
    <row r="152" spans="10:13">
      <c r="J152">
        <v>200</v>
      </c>
      <c r="K152" t="s">
        <v>1318</v>
      </c>
      <c r="L152" t="s">
        <v>1314</v>
      </c>
      <c r="M152">
        <v>0.94499999999999995</v>
      </c>
    </row>
    <row r="153" spans="10:13">
      <c r="J153">
        <v>200</v>
      </c>
      <c r="K153" t="s">
        <v>1318</v>
      </c>
      <c r="L153" t="s">
        <v>1315</v>
      </c>
      <c r="M153">
        <v>0.94099999999999995</v>
      </c>
    </row>
    <row r="154" spans="10:13">
      <c r="J154">
        <v>250</v>
      </c>
      <c r="K154" t="s">
        <v>1313</v>
      </c>
      <c r="L154" t="s">
        <v>1314</v>
      </c>
      <c r="M154">
        <v>0.95799999999999996</v>
      </c>
    </row>
    <row r="155" spans="10:13">
      <c r="J155">
        <v>250</v>
      </c>
      <c r="K155" t="s">
        <v>1313</v>
      </c>
      <c r="L155" t="s">
        <v>1315</v>
      </c>
      <c r="M155">
        <v>0.95</v>
      </c>
    </row>
    <row r="156" spans="10:13">
      <c r="J156">
        <v>250</v>
      </c>
      <c r="K156" t="s">
        <v>1316</v>
      </c>
      <c r="L156" t="s">
        <v>1314</v>
      </c>
      <c r="M156">
        <v>0.96199999999999997</v>
      </c>
    </row>
    <row r="157" spans="10:13">
      <c r="J157">
        <v>250</v>
      </c>
      <c r="K157" t="s">
        <v>1316</v>
      </c>
      <c r="L157" t="s">
        <v>1315</v>
      </c>
      <c r="M157">
        <v>0.95799999999999996</v>
      </c>
    </row>
    <row r="158" spans="10:13">
      <c r="J158">
        <v>250</v>
      </c>
      <c r="K158" t="s">
        <v>1317</v>
      </c>
      <c r="L158" t="s">
        <v>1314</v>
      </c>
      <c r="M158">
        <v>0.95799999999999996</v>
      </c>
    </row>
    <row r="159" spans="10:13">
      <c r="J159">
        <v>250</v>
      </c>
      <c r="K159" t="s">
        <v>1317</v>
      </c>
      <c r="L159" t="s">
        <v>1315</v>
      </c>
      <c r="M159">
        <v>0.95799999999999996</v>
      </c>
    </row>
    <row r="160" spans="10:13">
      <c r="J160">
        <v>250</v>
      </c>
      <c r="K160" t="s">
        <v>1318</v>
      </c>
      <c r="L160" t="s">
        <v>1314</v>
      </c>
      <c r="M160">
        <v>0.95</v>
      </c>
    </row>
    <row r="161" spans="10:13">
      <c r="J161">
        <v>250</v>
      </c>
      <c r="K161" t="s">
        <v>1318</v>
      </c>
      <c r="L161" t="s">
        <v>1315</v>
      </c>
      <c r="M161">
        <v>0.95</v>
      </c>
    </row>
    <row r="162" spans="10:13">
      <c r="J162">
        <v>300</v>
      </c>
      <c r="K162" t="s">
        <v>1313</v>
      </c>
      <c r="L162" t="s">
        <v>1314</v>
      </c>
      <c r="M162">
        <v>0.95799999999999996</v>
      </c>
    </row>
    <row r="163" spans="10:13">
      <c r="J163">
        <v>300</v>
      </c>
      <c r="K163" t="s">
        <v>1313</v>
      </c>
      <c r="L163" t="s">
        <v>1315</v>
      </c>
      <c r="M163">
        <v>0.95399999999999996</v>
      </c>
    </row>
    <row r="164" spans="10:13">
      <c r="J164">
        <v>300</v>
      </c>
      <c r="K164" t="s">
        <v>1316</v>
      </c>
      <c r="L164" t="s">
        <v>1314</v>
      </c>
      <c r="M164">
        <v>0.96199999999999997</v>
      </c>
    </row>
    <row r="165" spans="10:13">
      <c r="J165">
        <v>300</v>
      </c>
      <c r="K165" t="s">
        <v>1316</v>
      </c>
      <c r="L165" t="s">
        <v>1315</v>
      </c>
      <c r="M165">
        <v>0.95799999999999996</v>
      </c>
    </row>
    <row r="166" spans="10:13">
      <c r="J166">
        <v>300</v>
      </c>
      <c r="K166" t="s">
        <v>1317</v>
      </c>
      <c r="L166" t="s">
        <v>1314</v>
      </c>
      <c r="M166">
        <v>0.95799999999999996</v>
      </c>
    </row>
    <row r="167" spans="10:13">
      <c r="J167">
        <v>300</v>
      </c>
      <c r="K167" t="s">
        <v>1317</v>
      </c>
      <c r="L167" t="s">
        <v>1315</v>
      </c>
      <c r="M167">
        <v>0.95799999999999996</v>
      </c>
    </row>
    <row r="168" spans="10:13">
      <c r="J168">
        <v>350</v>
      </c>
      <c r="K168" t="s">
        <v>1313</v>
      </c>
      <c r="L168" t="s">
        <v>1314</v>
      </c>
      <c r="M168">
        <v>0.95799999999999996</v>
      </c>
    </row>
    <row r="169" spans="10:13">
      <c r="J169">
        <v>350</v>
      </c>
      <c r="K169" t="s">
        <v>1313</v>
      </c>
      <c r="L169" t="s">
        <v>1315</v>
      </c>
      <c r="M169">
        <v>0.95399999999999996</v>
      </c>
    </row>
    <row r="170" spans="10:13">
      <c r="J170">
        <v>350</v>
      </c>
      <c r="K170" t="s">
        <v>1316</v>
      </c>
      <c r="L170" t="s">
        <v>1314</v>
      </c>
      <c r="M170">
        <v>0.96199999999999997</v>
      </c>
    </row>
    <row r="171" spans="10:13">
      <c r="J171">
        <v>350</v>
      </c>
      <c r="K171" t="s">
        <v>1316</v>
      </c>
      <c r="L171" t="s">
        <v>1315</v>
      </c>
      <c r="M171">
        <v>0.95799999999999996</v>
      </c>
    </row>
    <row r="172" spans="10:13">
      <c r="J172">
        <v>350</v>
      </c>
      <c r="K172" t="s">
        <v>1317</v>
      </c>
      <c r="L172" t="s">
        <v>1314</v>
      </c>
      <c r="M172">
        <v>0.95799999999999996</v>
      </c>
    </row>
    <row r="173" spans="10:13">
      <c r="J173">
        <v>350</v>
      </c>
      <c r="K173" t="s">
        <v>1317</v>
      </c>
      <c r="L173" t="s">
        <v>1315</v>
      </c>
      <c r="M173">
        <v>0.95799999999999996</v>
      </c>
    </row>
    <row r="174" spans="10:13">
      <c r="J174">
        <v>400</v>
      </c>
      <c r="K174" t="s">
        <v>1313</v>
      </c>
      <c r="L174" t="s">
        <v>1314</v>
      </c>
      <c r="M174">
        <v>0.95799999999999996</v>
      </c>
    </row>
    <row r="175" spans="10:13">
      <c r="J175">
        <v>400</v>
      </c>
      <c r="K175" t="s">
        <v>1313</v>
      </c>
      <c r="L175" t="s">
        <v>1315</v>
      </c>
      <c r="M175">
        <v>0.95799999999999996</v>
      </c>
    </row>
    <row r="176" spans="10:13">
      <c r="J176">
        <v>400</v>
      </c>
      <c r="K176" t="s">
        <v>1316</v>
      </c>
      <c r="L176" t="s">
        <v>1314</v>
      </c>
      <c r="M176">
        <v>0.96199999999999997</v>
      </c>
    </row>
    <row r="177" spans="10:13">
      <c r="J177">
        <v>400</v>
      </c>
      <c r="K177" t="s">
        <v>1316</v>
      </c>
      <c r="L177" t="s">
        <v>1315</v>
      </c>
      <c r="M177">
        <v>0.96199999999999997</v>
      </c>
    </row>
    <row r="178" spans="10:13">
      <c r="J178">
        <v>450</v>
      </c>
      <c r="K178" t="s">
        <v>1313</v>
      </c>
      <c r="L178" t="s">
        <v>1314</v>
      </c>
      <c r="M178">
        <v>0.95799999999999996</v>
      </c>
    </row>
    <row r="179" spans="10:13">
      <c r="J179">
        <v>450</v>
      </c>
      <c r="K179" t="s">
        <v>1313</v>
      </c>
      <c r="L179" t="s">
        <v>1315</v>
      </c>
      <c r="M179">
        <v>0.96199999999999997</v>
      </c>
    </row>
    <row r="180" spans="10:13">
      <c r="J180">
        <v>450</v>
      </c>
      <c r="K180" t="s">
        <v>1316</v>
      </c>
      <c r="L180" t="s">
        <v>1314</v>
      </c>
      <c r="M180">
        <v>0.96199999999999997</v>
      </c>
    </row>
    <row r="181" spans="10:13">
      <c r="J181">
        <v>450</v>
      </c>
      <c r="K181" t="s">
        <v>1316</v>
      </c>
      <c r="L181" t="s">
        <v>1315</v>
      </c>
      <c r="M181">
        <v>0.96199999999999997</v>
      </c>
    </row>
    <row r="182" spans="10:13">
      <c r="J182">
        <v>500</v>
      </c>
      <c r="K182" t="s">
        <v>1313</v>
      </c>
      <c r="L182" t="s">
        <v>1314</v>
      </c>
      <c r="M182">
        <v>0.95799999999999996</v>
      </c>
    </row>
    <row r="183" spans="10:13">
      <c r="J183">
        <v>500</v>
      </c>
      <c r="K183" t="s">
        <v>1313</v>
      </c>
      <c r="L183" t="s">
        <v>1315</v>
      </c>
      <c r="M183">
        <v>0.96199999999999997</v>
      </c>
    </row>
    <row r="184" spans="10:13">
      <c r="J184">
        <v>500</v>
      </c>
      <c r="K184" t="s">
        <v>1316</v>
      </c>
      <c r="L184" t="s">
        <v>1314</v>
      </c>
      <c r="M184">
        <v>0.96199999999999997</v>
      </c>
    </row>
    <row r="185" spans="10:13">
      <c r="J185">
        <v>500</v>
      </c>
      <c r="K185" t="s">
        <v>1316</v>
      </c>
      <c r="L185" t="s">
        <v>1315</v>
      </c>
      <c r="M185">
        <v>0.96199999999999997</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Home</vt:lpstr>
      <vt:lpstr>Energy</vt:lpstr>
      <vt:lpstr>Chiller</vt:lpstr>
      <vt:lpstr>Pump</vt:lpstr>
      <vt:lpstr>Financials</vt:lpstr>
      <vt:lpstr>Results</vt:lpstr>
      <vt:lpstr>InfoElectricityCost</vt:lpstr>
      <vt:lpstr>Financials!Print_Area</vt:lpstr>
      <vt:lpstr>Home!Print_Area</vt:lpstr>
      <vt:lpstr>Results!Print_Area</vt:lpstr>
      <vt:lpstr>rDate</vt:lpstr>
      <vt:lpstr>rUpdMode</vt:lpstr>
      <vt:lpstr>rVersion</vt:lpstr>
      <vt:lpstr>SelectedLanguage</vt:lpstr>
      <vt:lpstr>SelectedUnitSystem</vt:lpstr>
    </vt:vector>
  </TitlesOfParts>
  <Company>BELIMO Automation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Savings Estimator</dc:title>
  <dc:subject>Belimo Energy Valve Savings Estimator</dc:subject>
  <dc:creator>van der Haegen, Lars</dc:creator>
  <cp:lastModifiedBy>Smith Rick</cp:lastModifiedBy>
  <cp:lastPrinted>2026-09-09T14:17:25Z</cp:lastPrinted>
  <dcterms:created xsi:type="dcterms:W3CDTF">2013-12-21T21:21:17Z</dcterms:created>
  <dcterms:modified xsi:type="dcterms:W3CDTF">2026-09-25T13:41:17Z</dcterms:modified>
  <cp:contentStatus>Version 2014.06.04</cp:contentStatus>
</cp:coreProperties>
</file>