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mp\audit\vl0929\"/>
    </mc:Choice>
  </mc:AlternateContent>
  <xr:revisionPtr revIDLastSave="0" documentId="13_ncr:1_{894059AD-E39A-4E99-8407-9878291F6965}"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Language" sheetId="40" state="hidden" r:id="rId13"/>
    <sheet name="Updates" sheetId="37" state="hidden" r:id="rId14"/>
    <sheet name="Localization" sheetId="41" state="hidden" r:id="rId15"/>
    <sheet name="ValveCurves" sheetId="42" state="hidden" r:id="rId16"/>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urrentLanguage">Config!$B$30</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Calculator!$H$58</definedName>
    <definedName name="RememberLanguageFlag">Config!$B$32</definedName>
    <definedName name="rGitHubStatus">Calculator!$H$60</definedName>
    <definedName name="rUpdMode">Calculator!$H$59</definedName>
    <definedName name="rVersion">Calculator!$H$57</definedName>
    <definedName name="SATURATIONCHART">SaturationChartISA!$A$1</definedName>
    <definedName name="SATURATIONCHARTMETRIC">SaturationChartMetric!$A$1</definedName>
    <definedName name="SavedLanguagePref">Config!$B$31</definedName>
    <definedName name="SelectedLanguage">Config!$B$30</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9" l="1"/>
  <c r="B5" i="39"/>
  <c r="G253" i="40"/>
  <c r="G252" i="40"/>
  <c r="G251" i="40"/>
  <c r="G250" i="40"/>
  <c r="G249" i="40"/>
  <c r="G248" i="40"/>
  <c r="G247" i="40"/>
  <c r="G246" i="40"/>
  <c r="G245" i="40"/>
  <c r="G244" i="40"/>
  <c r="G243" i="40"/>
  <c r="G242" i="40"/>
  <c r="G241" i="40"/>
  <c r="G240" i="40"/>
  <c r="G239" i="40"/>
  <c r="G238" i="40"/>
  <c r="G237" i="40"/>
  <c r="G236" i="40"/>
  <c r="G235" i="40"/>
  <c r="G234" i="40"/>
  <c r="G233" i="40"/>
  <c r="G232" i="40"/>
  <c r="G231" i="40"/>
  <c r="G230" i="40"/>
  <c r="G229" i="40"/>
  <c r="G228" i="40"/>
  <c r="G227" i="40"/>
  <c r="G226" i="40"/>
  <c r="G225" i="40"/>
  <c r="G224" i="40"/>
  <c r="G223" i="40"/>
  <c r="G222" i="40"/>
  <c r="G221" i="40"/>
  <c r="G220" i="40"/>
  <c r="G219" i="40"/>
  <c r="G218" i="40"/>
  <c r="G217" i="40"/>
  <c r="G216" i="40"/>
  <c r="G215" i="40"/>
  <c r="G214" i="40"/>
  <c r="G213" i="40"/>
  <c r="G212" i="40"/>
  <c r="G211" i="40"/>
  <c r="G210" i="40"/>
  <c r="G209" i="40"/>
  <c r="G208" i="40"/>
  <c r="G207" i="40"/>
  <c r="G206" i="40"/>
  <c r="G205" i="40"/>
  <c r="G204" i="40"/>
  <c r="G203" i="40"/>
  <c r="G202" i="40"/>
  <c r="G201" i="40"/>
  <c r="G200" i="40"/>
  <c r="G199" i="40"/>
  <c r="G198" i="40"/>
  <c r="G197" i="40"/>
  <c r="G196" i="40"/>
  <c r="G195" i="40"/>
  <c r="G194" i="40"/>
  <c r="G193" i="40"/>
  <c r="G192" i="40"/>
  <c r="G191" i="40"/>
  <c r="G190" i="40"/>
  <c r="G189" i="40"/>
  <c r="G188" i="40"/>
  <c r="G187" i="40"/>
  <c r="G186" i="40"/>
  <c r="G185" i="40"/>
  <c r="G184" i="40"/>
  <c r="G183" i="40"/>
  <c r="G182" i="40"/>
  <c r="G181" i="40"/>
  <c r="G180" i="40"/>
  <c r="G179" i="40"/>
  <c r="G178" i="40"/>
  <c r="G177" i="40"/>
  <c r="G176" i="40"/>
  <c r="G175" i="40"/>
  <c r="G174" i="40"/>
  <c r="G173" i="40"/>
  <c r="G172" i="40"/>
  <c r="G171" i="40"/>
  <c r="G170" i="40"/>
  <c r="G169" i="40"/>
  <c r="G168" i="40"/>
  <c r="G167" i="40"/>
  <c r="G166" i="40"/>
  <c r="G165" i="40"/>
  <c r="G164" i="40"/>
  <c r="G163" i="40"/>
  <c r="G162" i="40"/>
  <c r="G161" i="40"/>
  <c r="G160" i="40"/>
  <c r="G159" i="40"/>
  <c r="G158" i="40"/>
  <c r="G157" i="40"/>
  <c r="G156" i="40"/>
  <c r="G155" i="40"/>
  <c r="G154" i="40"/>
  <c r="G153" i="40"/>
  <c r="G152" i="40"/>
  <c r="G151" i="40"/>
  <c r="G150" i="40"/>
  <c r="G149" i="40"/>
  <c r="G148" i="40"/>
  <c r="G147" i="40"/>
  <c r="G146" i="40"/>
  <c r="G145" i="40"/>
  <c r="G144" i="40"/>
  <c r="G143" i="40"/>
  <c r="G142" i="40"/>
  <c r="G141" i="40"/>
  <c r="G140" i="40"/>
  <c r="G139" i="40"/>
  <c r="G138" i="40"/>
  <c r="G137" i="40"/>
  <c r="G136" i="40"/>
  <c r="G135" i="40"/>
  <c r="G134" i="40"/>
  <c r="G133" i="40"/>
  <c r="G132" i="40"/>
  <c r="G131" i="40"/>
  <c r="G130" i="40"/>
  <c r="G129" i="40"/>
  <c r="G128" i="40"/>
  <c r="G127" i="40"/>
  <c r="G126" i="40"/>
  <c r="G125" i="40"/>
  <c r="G124" i="40"/>
  <c r="G123" i="40"/>
  <c r="G122" i="40"/>
  <c r="G121" i="40"/>
  <c r="G120" i="40"/>
  <c r="G119" i="40"/>
  <c r="G118" i="40"/>
  <c r="G117" i="40"/>
  <c r="G116" i="40"/>
  <c r="G115" i="40"/>
  <c r="G114" i="40"/>
  <c r="G113" i="40"/>
  <c r="G112" i="40"/>
  <c r="G111" i="40"/>
  <c r="G110" i="40"/>
  <c r="G109" i="40"/>
  <c r="G108" i="40"/>
  <c r="G107" i="40"/>
  <c r="G106" i="40"/>
  <c r="G105" i="40"/>
  <c r="G104" i="40"/>
  <c r="G103" i="40"/>
  <c r="G102" i="40"/>
  <c r="G101" i="40"/>
  <c r="G100" i="40"/>
  <c r="G99" i="40"/>
  <c r="G98" i="40"/>
  <c r="G97" i="40"/>
  <c r="G96" i="40"/>
  <c r="G95" i="40"/>
  <c r="G94" i="40"/>
  <c r="G93" i="40"/>
  <c r="G92" i="40"/>
  <c r="G91" i="40"/>
  <c r="G90" i="40"/>
  <c r="G89" i="40"/>
  <c r="G88" i="40"/>
  <c r="G87" i="40"/>
  <c r="G86" i="40"/>
  <c r="G85" i="40"/>
  <c r="G84" i="40"/>
  <c r="G83" i="40"/>
  <c r="G82" i="40"/>
  <c r="G81" i="40"/>
  <c r="G80" i="40"/>
  <c r="G79" i="40"/>
  <c r="G78" i="40"/>
  <c r="G77" i="40"/>
  <c r="G76" i="40"/>
  <c r="G75" i="40"/>
  <c r="G74" i="40"/>
  <c r="G73" i="40"/>
  <c r="G72" i="40"/>
  <c r="G71" i="40"/>
  <c r="G70" i="40"/>
  <c r="G69" i="40"/>
  <c r="G68" i="40"/>
  <c r="G67" i="40"/>
  <c r="G66" i="40"/>
  <c r="G65" i="40"/>
  <c r="G64" i="40"/>
  <c r="G63" i="40"/>
  <c r="G62" i="40"/>
  <c r="G61" i="40"/>
  <c r="G60" i="40"/>
  <c r="G59" i="40"/>
  <c r="G58" i="40"/>
  <c r="G57" i="40"/>
  <c r="G56" i="40"/>
  <c r="G55" i="40"/>
  <c r="G54" i="40"/>
  <c r="G53" i="40"/>
  <c r="G52" i="40"/>
  <c r="G51" i="40"/>
  <c r="G50" i="40"/>
  <c r="G49" i="40"/>
  <c r="G48" i="40"/>
  <c r="G47" i="40"/>
  <c r="G46" i="40"/>
  <c r="G45" i="40"/>
  <c r="G44" i="40"/>
  <c r="G43" i="40"/>
  <c r="G42" i="40"/>
  <c r="G41" i="40"/>
  <c r="G40" i="40"/>
  <c r="G39" i="40"/>
  <c r="G38" i="40"/>
  <c r="G37" i="40"/>
  <c r="G36" i="40"/>
  <c r="G35" i="40"/>
  <c r="G34" i="40"/>
  <c r="G33" i="40"/>
  <c r="G32" i="40"/>
  <c r="G31" i="40"/>
  <c r="G30" i="40"/>
  <c r="G29" i="40"/>
  <c r="G28" i="40"/>
  <c r="G27" i="40"/>
  <c r="G26" i="40"/>
  <c r="G25" i="40"/>
  <c r="G24" i="40"/>
  <c r="G23" i="40"/>
  <c r="G22" i="40"/>
  <c r="G21" i="40"/>
  <c r="G20" i="40"/>
  <c r="G19" i="40"/>
  <c r="G18" i="40"/>
  <c r="G17" i="40"/>
  <c r="G16" i="40"/>
  <c r="G15" i="40"/>
  <c r="G14" i="40"/>
  <c r="G13" i="40"/>
  <c r="G12" i="40"/>
  <c r="G11" i="40"/>
  <c r="G10" i="40"/>
  <c r="G9" i="40"/>
  <c r="G8" i="40"/>
  <c r="G7" i="40"/>
  <c r="G6" i="40"/>
  <c r="G5" i="40"/>
  <c r="G4" i="40"/>
  <c r="G3" i="40"/>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G34" i="24"/>
  <c r="G33" i="24"/>
  <c r="B27" i="39"/>
  <c r="B26" i="39"/>
  <c r="B25" i="39"/>
  <c r="B24" i="39"/>
  <c r="B22" i="39"/>
  <c r="B21" i="39"/>
  <c r="B20" i="39"/>
  <c r="B19" i="39"/>
  <c r="B17" i="39"/>
  <c r="B14" i="39"/>
  <c r="B13" i="39"/>
  <c r="B12" i="39"/>
  <c r="B10" i="39"/>
  <c r="B2" i="39"/>
  <c r="D27" i="24"/>
  <c r="D24" i="24"/>
  <c r="D25" i="24"/>
  <c r="D26" i="24"/>
  <c r="B48" i="24"/>
  <c r="M3" i="18"/>
  <c r="I44" i="24"/>
  <c r="G44" i="24"/>
  <c r="B14" i="24"/>
  <c r="B21" i="24"/>
  <c r="G42" i="24"/>
  <c r="G25" i="24"/>
  <c r="M5" i="18"/>
  <c r="G32" i="24"/>
  <c r="B47" i="24"/>
  <c r="G46" i="24"/>
  <c r="M4" i="18"/>
  <c r="R2" i="18"/>
  <c r="J22" i="24"/>
  <c r="M2" i="18"/>
  <c r="I45" i="24"/>
  <c r="B40" i="24"/>
  <c r="B50" i="24"/>
  <c r="R3" i="18"/>
  <c r="G24" i="24"/>
  <c r="B10" i="24"/>
  <c r="B8" i="24"/>
  <c r="B26" i="24"/>
  <c r="G43" i="24"/>
  <c r="G58" i="24"/>
  <c r="B53" i="24"/>
  <c r="B43" i="24"/>
  <c r="G48" i="24"/>
  <c r="B23" i="24"/>
  <c r="G60" i="24"/>
  <c r="B27" i="24"/>
  <c r="B4" i="24"/>
  <c r="B6" i="24"/>
  <c r="B44" i="24"/>
  <c r="G59" i="24"/>
  <c r="G57" i="24"/>
  <c r="B12" i="24"/>
  <c r="B15" i="24"/>
  <c r="E2" i="24"/>
  <c r="B41" i="24"/>
  <c r="G27" i="24"/>
  <c r="R4" i="18"/>
  <c r="I25" i="24"/>
  <c r="B13" i="24"/>
  <c r="G26" i="24"/>
  <c r="G29" i="24"/>
  <c r="G40" i="24"/>
  <c r="B45" i="24"/>
  <c r="I46" i="24"/>
  <c r="G56" i="24"/>
  <c r="G45" i="24"/>
  <c r="B46" i="24"/>
  <c r="N2" i="18"/>
  <c r="G28" i="24"/>
  <c r="N3" i="18"/>
  <c r="B49" i="24"/>
  <c r="G62" i="24"/>
  <c r="D23" i="24" l="1"/>
  <c r="B56" i="35"/>
  <c r="R53" i="35"/>
  <c r="R50" i="35"/>
  <c r="B50" i="35"/>
  <c r="I48" i="35"/>
  <c r="R47" i="35"/>
  <c r="X42" i="35"/>
  <c r="B42" i="35"/>
  <c r="X40" i="35"/>
  <c r="J36" i="35"/>
  <c r="B35" i="35"/>
  <c r="W34" i="35"/>
  <c r="W35" i="35" s="1"/>
  <c r="T34" i="35"/>
  <c r="T41" i="35" s="1"/>
  <c r="S34" i="35"/>
  <c r="S41" i="35" s="1"/>
  <c r="R34" i="35"/>
  <c r="R41" i="35" s="1"/>
  <c r="Q34" i="35"/>
  <c r="Q41" i="35" s="1"/>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X43" i="35" l="1"/>
  <c r="C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<sst xmlns="http://schemas.openxmlformats.org/spreadsheetml/2006/main" count="4406" uniqueCount="2593">
  <si>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</si>
  <si>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</si>
  <si>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</si>
  <si>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</si>
  <si>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</si>
  <si>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</si>
  <si>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</si>
  <si>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</si>
  <si>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</si>
  <si>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</si>
  <si>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</si>
  <si>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</si>
  <si>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</si>
  <si>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</si>
  <si>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</si>
  <si>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</si>
  <si>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</si>
  <si>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</si>
  <si>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</si>
  <si>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On/Off</t>
  </si>
  <si>
    <t>MBH</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</si>
  <si>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</si>
  <si>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</si>
  <si>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</si>
  <si>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</si>
  <si>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</si>
  <si>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</si>
  <si>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</si>
  <si>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</si>
  <si>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</si>
  <si>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</si>
  <si>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</si>
  <si>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</si>
  <si>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</si>
  <si>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</si>
  <si>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</si>
  <si>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</si>
  <si>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</si>
  <si>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</si>
  <si>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</si>
  <si>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</si>
  <si>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</si>
  <si>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</si>
  <si>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</si>
  <si>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</si>
  <si>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</si>
  <si>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</si>
  <si>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</si>
  <si>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</si>
  <si>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</si>
  <si>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</si>
  <si>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</si>
  <si>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</si>
  <si>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</si>
  <si>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</si>
  <si>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</si>
  <si>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</si>
  <si>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</si>
  <si>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</si>
  <si>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</si>
  <si>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</si>
  <si>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</si>
  <si>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</si>
  <si>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</si>
  <si>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</si>
  <si>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</si>
  <si>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</si>
  <si>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</si>
  <si>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</si>
  <si>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</si>
  <si>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</si>
  <si>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</si>
  <si>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1 inHg = 0.491 psia</t>
  </si>
  <si>
    <t>Default</t>
  </si>
  <si>
    <t>Sea Level</t>
  </si>
  <si>
    <t>EDR</t>
  </si>
  <si>
    <t>BTU/HR</t>
  </si>
  <si>
    <t>Application</t>
  </si>
  <si>
    <t>Control</t>
  </si>
  <si>
    <t>Flow</t>
  </si>
  <si>
    <t>Heat Exchanger</t>
  </si>
  <si>
    <t>Fin Tube</t>
  </si>
  <si>
    <t>Radiator</t>
  </si>
  <si>
    <t>Coil</t>
  </si>
  <si>
    <t>`</t>
  </si>
  <si>
    <t>PSIG</t>
  </si>
  <si>
    <t xml:space="preserve"> </t>
  </si>
  <si>
    <t>Cv</t>
  </si>
  <si>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</si>
  <si>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</si>
  <si>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</si>
  <si>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</si>
  <si>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</si>
  <si>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</si>
  <si>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</si>
  <si>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</si>
  <si>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</si>
  <si>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</si>
  <si>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</si>
  <si>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</si>
  <si>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</si>
  <si>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</si>
  <si>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</si>
  <si>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</si>
  <si>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</si>
  <si>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</si>
  <si>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</si>
  <si>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</si>
  <si>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</si>
  <si>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</si>
  <si>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</si>
  <si>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</si>
  <si>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</si>
  <si>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</si>
  <si>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</si>
  <si>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</si>
  <si>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</si>
  <si>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</si>
  <si>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</si>
  <si>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</si>
  <si>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</si>
  <si>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</si>
  <si>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</si>
  <si>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</si>
  <si>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</si>
  <si>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</si>
  <si>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</si>
  <si>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</si>
  <si>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</si>
  <si>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</si>
  <si>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</si>
  <si>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</si>
  <si>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</si>
  <si>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</si>
  <si>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</si>
  <si>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</si>
  <si>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</si>
  <si>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</si>
  <si>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</si>
  <si>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</si>
  <si>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</si>
  <si>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</si>
  <si>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</si>
  <si>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</si>
  <si>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</si>
  <si>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</si>
  <si>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</si>
  <si>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</si>
  <si>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</si>
  <si>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</si>
  <si>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</si>
  <si>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</si>
  <si>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</si>
  <si>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</si>
  <si>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</si>
  <si>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</si>
  <si>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</si>
  <si>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</si>
  <si>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</si>
  <si>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</si>
  <si>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</si>
  <si>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</si>
  <si>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</si>
  <si>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</si>
  <si>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</si>
  <si>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</si>
  <si>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</si>
  <si>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</si>
  <si>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</si>
  <si>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</si>
  <si>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</si>
  <si>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</si>
  <si>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</si>
  <si>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</si>
  <si>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</si>
  <si>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</si>
  <si>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</si>
  <si>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</si>
  <si>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</si>
  <si>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</si>
  <si>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</si>
  <si>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</si>
  <si>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</si>
  <si>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</si>
  <si>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</si>
  <si>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</si>
  <si>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</si>
  <si>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</si>
  <si>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</si>
  <si>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</si>
  <si>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</si>
  <si>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</si>
  <si>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</si>
  <si>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</si>
  <si>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</si>
  <si>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</si>
  <si>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</si>
  <si>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</si>
  <si>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</si>
  <si>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</si>
  <si>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</si>
  <si>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</si>
  <si>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</si>
  <si>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</si>
  <si>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</si>
  <si>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</si>
  <si>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</si>
  <si>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</si>
  <si>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</si>
  <si>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</si>
  <si>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</si>
  <si>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</si>
  <si>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</si>
  <si>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</si>
  <si>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</si>
  <si>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</si>
  <si>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</si>
  <si>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</si>
  <si>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</si>
  <si>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</si>
  <si>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</si>
  <si>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</si>
  <si>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</si>
  <si>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</si>
  <si>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</si>
  <si>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</si>
  <si>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</si>
  <si>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</si>
  <si>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</si>
  <si>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</si>
  <si>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</si>
  <si>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</si>
  <si>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</si>
  <si>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</si>
  <si>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</si>
  <si>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</si>
  <si>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</si>
  <si>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</si>
  <si>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</si>
  <si>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</si>
  <si>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</si>
  <si>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Superheated</t>
  </si>
  <si>
    <t>(ft3/lb)</t>
  </si>
  <si>
    <t>Ball</t>
  </si>
  <si>
    <t>ValveType</t>
  </si>
  <si>
    <t>SteamType</t>
  </si>
  <si>
    <t>Model</t>
  </si>
  <si>
    <t>G665</t>
  </si>
  <si>
    <t>G680</t>
  </si>
  <si>
    <t>G6100</t>
  </si>
  <si>
    <t>G6125</t>
  </si>
  <si>
    <t>G6150</t>
  </si>
  <si>
    <t>PO</t>
  </si>
  <si>
    <t>PIA</t>
  </si>
  <si>
    <t>Q</t>
  </si>
  <si>
    <t>TAG</t>
  </si>
  <si>
    <t>Temp Diags</t>
  </si>
  <si>
    <t>= Input Fields</t>
  </si>
  <si>
    <t>= Output Fields</t>
  </si>
  <si>
    <t>Convert Amp to Ohms</t>
  </si>
  <si>
    <t>Cv = GPM / Sq Root of the Delta P</t>
  </si>
  <si>
    <t>Coil DeltaP Method</t>
  </si>
  <si>
    <t xml:space="preserve"> ΔP Calculator = GPM / Cv Squared</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</si>
  <si>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</si>
  <si>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</si>
  <si>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</si>
  <si>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</si>
  <si>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</si>
  <si>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</si>
  <si>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</si>
  <si>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</si>
  <si>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</si>
  <si>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</si>
  <si>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</si>
  <si>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</si>
  <si>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</si>
  <si>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</si>
  <si>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</si>
  <si>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</si>
  <si>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</si>
  <si>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</si>
  <si>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</si>
  <si>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</si>
  <si>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</si>
  <si>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</si>
  <si>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</si>
  <si>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</si>
  <si>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</si>
  <si>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</si>
  <si>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</si>
  <si>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</si>
  <si>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</si>
  <si>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</si>
  <si>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</si>
  <si>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</si>
  <si>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</si>
  <si>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</si>
  <si>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</si>
  <si>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</si>
  <si>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</si>
  <si>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</si>
  <si>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</si>
  <si>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</si>
  <si>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</si>
  <si>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</si>
  <si>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</si>
  <si>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</si>
  <si>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</si>
  <si>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</si>
  <si>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</si>
  <si>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</si>
  <si>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</si>
  <si>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</si>
  <si>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</si>
  <si>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</si>
  <si>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</si>
  <si>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</si>
  <si>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</si>
  <si>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</si>
  <si>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</si>
  <si>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</si>
  <si>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</si>
  <si>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</si>
  <si>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</si>
  <si>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</si>
  <si>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</si>
  <si>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</si>
  <si>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</si>
  <si>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</si>
  <si>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</si>
  <si>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</si>
  <si>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</si>
  <si>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</si>
  <si>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</si>
  <si>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</si>
  <si>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</si>
  <si>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</si>
  <si>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</si>
  <si>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</si>
  <si>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</si>
  <si>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</si>
  <si>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</si>
  <si>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</si>
  <si>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</si>
  <si>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</si>
  <si>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</si>
  <si>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</si>
  <si>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</si>
  <si>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</si>
  <si>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</si>
  <si>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</si>
  <si>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</si>
  <si>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</si>
  <si>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</si>
  <si>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</si>
  <si>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</si>
  <si>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</si>
  <si>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</si>
  <si>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</si>
  <si>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</si>
  <si>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</si>
  <si>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</si>
  <si>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</si>
  <si>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</si>
  <si>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</si>
  <si>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</si>
  <si>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</si>
  <si>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</si>
  <si>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</si>
  <si>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</si>
  <si>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</si>
  <si>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</si>
  <si>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</si>
  <si>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</si>
  <si>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</si>
  <si>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</si>
  <si>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</si>
  <si>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</si>
  <si>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</si>
  <si>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</si>
  <si>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</si>
  <si>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</si>
  <si>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</si>
  <si>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</si>
  <si>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</si>
  <si>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</si>
  <si>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</si>
  <si>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</si>
  <si>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</si>
  <si>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</si>
  <si>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</si>
  <si>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</si>
  <si>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</si>
  <si>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</si>
  <si>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</si>
  <si>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</si>
  <si>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</si>
  <si>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</si>
  <si>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</si>
  <si>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</si>
  <si>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</si>
  <si>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</si>
  <si>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</si>
  <si>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</si>
  <si>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</si>
  <si>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</si>
  <si>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</si>
  <si>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</si>
  <si>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</si>
  <si>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</si>
  <si>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</si>
  <si>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</si>
  <si>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</si>
  <si>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</si>
  <si>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</si>
  <si>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</si>
  <si>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</si>
  <si>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</si>
  <si>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</si>
  <si>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</si>
  <si>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</si>
  <si>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</si>
  <si>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</si>
  <si>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</si>
  <si>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</si>
  <si>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</si>
  <si>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</si>
  <si>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</si>
  <si>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</si>
  <si>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</si>
  <si>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</si>
  <si>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</si>
  <si>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</si>
  <si>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</si>
  <si>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</si>
  <si>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</si>
  <si>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</si>
  <si>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</si>
  <si>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</si>
  <si>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</si>
  <si>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</si>
  <si>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</si>
  <si>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</si>
  <si>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</si>
  <si>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</si>
  <si>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</si>
  <si>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</si>
  <si>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</si>
  <si>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</si>
  <si>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</si>
  <si>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</si>
  <si>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</si>
  <si>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</si>
  <si>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</si>
  <si>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</si>
  <si>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</si>
  <si>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</si>
  <si>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</si>
  <si>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</si>
  <si>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</si>
  <si>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</si>
  <si>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</si>
  <si>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</si>
  <si>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</si>
  <si>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</si>
  <si>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</si>
  <si>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</si>
  <si>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</si>
  <si>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</si>
  <si>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</si>
  <si>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</si>
  <si>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</si>
  <si>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</si>
  <si>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</si>
  <si>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</si>
  <si>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</si>
  <si>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</si>
  <si>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</si>
  <si>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</si>
  <si>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</si>
  <si>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</si>
  <si>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</si>
  <si>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</si>
  <si>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</si>
  <si>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</si>
  <si>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</si>
  <si>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</si>
  <si>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</si>
  <si>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</si>
  <si>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</si>
  <si>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</si>
  <si>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</si>
  <si>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</si>
  <si>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</si>
  <si>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</si>
  <si>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</si>
  <si>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</si>
  <si>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</si>
  <si>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</si>
  <si>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</si>
  <si>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</si>
  <si>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</si>
  <si>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Valve Travel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</si>
  <si>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</si>
  <si>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</si>
  <si>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</si>
  <si>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</si>
  <si>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</si>
  <si>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</si>
  <si>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</si>
  <si>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</si>
  <si>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</si>
  <si>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</si>
  <si>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</si>
  <si>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</si>
  <si>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</si>
  <si>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Curve Type:</t>
  </si>
  <si>
    <t>Rated Rangeability (R):</t>
  </si>
  <si>
    <t>Required Cv (design duty):</t>
  </si>
  <si>
    <t>Installed Valve Cv:</t>
  </si>
  <si>
    <t>Oversizing Factor (installed / required):</t>
  </si>
  <si>
    <t>Required System Turndown (design / min):</t>
  </si>
  <si>
    <t>Effective Rangeability (R / Oversizing):</t>
  </si>
  <si>
    <t>Minimum / Turndown Flow (lb/hr):</t>
  </si>
  <si>
    <t>Small Valve (Low-Load, 1/3):</t>
  </si>
  <si>
    <t>Large Valve (Peak, 2/3):</t>
  </si>
  <si>
    <t>Valve Selection</t>
  </si>
  <si>
    <t>View ( Simple -or-  Detailed)</t>
  </si>
  <si>
    <t>Simple</t>
  </si>
  <si>
    <t>Enter the Minimum/Turndown Flow above to evaluate the split-range (1/3 - 2/3) requirement.</t>
  </si>
  <si>
    <t>GitHub Version Publish (maintainer only)</t>
  </si>
  <si>
    <t>Prompts for a version number (today's date is automatic), writes both to Calculator!H54/H55 (rVersion/rDate), then publishes Version.txt to Ctsmiths/Steam-Valve-Sizing on GitHub. Requires GITHUB_TOKEN environment variable on this machine.</t>
  </si>
  <si>
    <t>Success</t>
  </si>
  <si>
    <t>Version Check Status</t>
  </si>
  <si>
    <t>1,586.7 lb/hr</t>
  </si>
  <si>
    <t>Cell</t>
  </si>
  <si>
    <t>English</t>
  </si>
  <si>
    <t>Spanish</t>
  </si>
  <si>
    <t>Portuguese</t>
  </si>
  <si>
    <t>French</t>
  </si>
  <si>
    <t>ES</t>
  </si>
  <si>
    <t>PT</t>
  </si>
  <si>
    <t>B6</t>
  </si>
  <si>
    <t>FR</t>
  </si>
  <si>
    <t>Sheet</t>
  </si>
  <si>
    <t>Calculator</t>
  </si>
  <si>
    <t>E2</t>
  </si>
  <si>
    <t>Herramienta de Dimensionamiento de Válvulas de Vapor Belimo</t>
  </si>
  <si>
    <t>Ferramenta de Dimensionamento de Válvulas de Vapor Belimo</t>
  </si>
  <si>
    <t>Outil de Dimensionnement de Vannes Vapeur Belimo</t>
  </si>
  <si>
    <t>B4</t>
  </si>
  <si>
    <t>D A T O S   D E   A P L I C A C I Ó N</t>
  </si>
  <si>
    <t>D A D O S   D A   A P L I C A Ç Ã O</t>
  </si>
  <si>
    <t>D O N N É E S   D ' A P P L I C A T I O N</t>
  </si>
  <si>
    <t>Application  [APP]</t>
  </si>
  <si>
    <t>Aplicación  [APP]</t>
  </si>
  <si>
    <t>Aplicação  [APP]</t>
  </si>
  <si>
    <t>B8</t>
  </si>
  <si>
    <t>On/Off or Modulating Control? [Ctrl]</t>
  </si>
  <si>
    <t>¿Control On/Off o Modulante? [Ctrl]</t>
  </si>
  <si>
    <t>Controle On/Off ou Modulante? [Ctrl]</t>
  </si>
  <si>
    <t>Régulation Tout ou Rien ou Modulante ? [Ctrl]</t>
  </si>
  <si>
    <t>B10</t>
  </si>
  <si>
    <t>D A T O S   D E   V A P O R</t>
  </si>
  <si>
    <t>D A D O S   D E   V A P O R</t>
  </si>
  <si>
    <t>D O N N É E S   V A P E U R</t>
  </si>
  <si>
    <t>B12</t>
  </si>
  <si>
    <t>FLOWRATE  [Q]</t>
  </si>
  <si>
    <t>CAUDAL  [Q]</t>
  </si>
  <si>
    <t>VAZÃO  [Q]</t>
  </si>
  <si>
    <t>DÉBIT  [Q]</t>
  </si>
  <si>
    <t>B13</t>
  </si>
  <si>
    <t>Supply INLET Pressure [PI]</t>
  </si>
  <si>
    <t>Presión de ENTRADA de Suministro [PI]</t>
  </si>
  <si>
    <t>Pressão de ENTRADA de Fornecimento [PI]</t>
  </si>
  <si>
    <t>Pression d'ENTRÉE d'Alimentation [PI]</t>
  </si>
  <si>
    <t>B14</t>
  </si>
  <si>
    <t>OUTLET Pressure  [PO]</t>
  </si>
  <si>
    <t>Presión de SALIDA  [PO]</t>
  </si>
  <si>
    <t>Pressão de SAÍDA  [PO]</t>
  </si>
  <si>
    <t>Pression de SORTIE  [PO]</t>
  </si>
  <si>
    <t>B15</t>
  </si>
  <si>
    <t>Atmospheric Pressure  [AP]</t>
  </si>
  <si>
    <t>Presión Atmosférica  [AP]</t>
  </si>
  <si>
    <t>Pressão Atmosférica  [AP]</t>
  </si>
  <si>
    <t>Pression Atmosphérique  [AP]</t>
  </si>
  <si>
    <t>B21</t>
  </si>
  <si>
    <t>R E S U L T A D O S   D E L   C Á L C U L O   D E   C v</t>
  </si>
  <si>
    <t>R E S U L T A D O S   D O   C Á L C U L O   D E   C v</t>
  </si>
  <si>
    <t>R É S U L T A T S   D U   C A L C U L   D E   C v</t>
  </si>
  <si>
    <t>J22</t>
  </si>
  <si>
    <t>Selección de Válvula</t>
  </si>
  <si>
    <t>Seleção de Válvula</t>
  </si>
  <si>
    <t>Sélection de la Vanne</t>
  </si>
  <si>
    <t>B23</t>
  </si>
  <si>
    <t>Converted Flowrate [Q]</t>
  </si>
  <si>
    <t>Caudal Convertido [Q]</t>
  </si>
  <si>
    <t>Vazão Convertida [Q]</t>
  </si>
  <si>
    <t>Débit Converti [Q]</t>
  </si>
  <si>
    <t>G23</t>
  </si>
  <si>
    <t>Entrada de Válvula Seleccionada [Cv]</t>
  </si>
  <si>
    <t>Entrada da Válvula Selecionada [Cv]</t>
  </si>
  <si>
    <t>Cv de la Vanne Sélectionnée</t>
  </si>
  <si>
    <t>G24</t>
  </si>
  <si>
    <t>Caída de Presión Corregida</t>
  </si>
  <si>
    <t>Queda de Pressão Corrigida</t>
  </si>
  <si>
    <t>Perte de Charge Corrigée</t>
  </si>
  <si>
    <t>B25</t>
  </si>
  <si>
    <t>PSI DROP [h]</t>
  </si>
  <si>
    <t>CAÍDA DE PSI [h]</t>
  </si>
  <si>
    <t>QUEDA DE PSI [h]</t>
  </si>
  <si>
    <t>CHUTE DE PSI [h]</t>
  </si>
  <si>
    <t>G25</t>
  </si>
  <si>
    <t>Relación de Caída Corregida (ΔP_corr/P1)</t>
  </si>
  <si>
    <t>Razão de Queda Corrigida (ΔP_corr/P1)</t>
  </si>
  <si>
    <t>Rapport de Chute Corrigé (ΔP_corr/P1)</t>
  </si>
  <si>
    <t>B26</t>
  </si>
  <si>
    <t>Inlet Pressure [Pi]</t>
  </si>
  <si>
    <t>Presión de Entrada [Pi]</t>
  </si>
  <si>
    <t>Pressão de Entrada [Pi]</t>
  </si>
  <si>
    <t>Pression d'Entrée [Pi]</t>
  </si>
  <si>
    <t>G26</t>
  </si>
  <si>
    <t>Régimen de Flujo</t>
  </si>
  <si>
    <t>Regime de Fluxo</t>
  </si>
  <si>
    <t>Régime d'Écoulement</t>
  </si>
  <si>
    <t>B27</t>
  </si>
  <si>
    <t>Outlet Pressure + AP [Poa]</t>
  </si>
  <si>
    <t>Presión de Salida + AP [Poa]</t>
  </si>
  <si>
    <t>Pressão de Saída + AP [Poa]</t>
  </si>
  <si>
    <t>Pression de Sortie + AP [Poa]</t>
  </si>
  <si>
    <t>G27</t>
  </si>
  <si>
    <t>Presión Absoluta de Entrada (P1_abs)</t>
  </si>
  <si>
    <t>Pressão Absoluta de Entrada (P1_abs)</t>
  </si>
  <si>
    <t>Pression Absolue d'Entrée (P1_abs)</t>
  </si>
  <si>
    <t>B28</t>
  </si>
  <si>
    <t>Resultado del Coeficiente de Flujo [Cv]</t>
  </si>
  <si>
    <t>Resultado do Coeficiente de Vazão [Cv]</t>
  </si>
  <si>
    <t>Résultat du Coefficient de Débit [Cv]</t>
  </si>
  <si>
    <t>G28</t>
  </si>
  <si>
    <t>Presión Absoluta de Salida Corregida (P2_corr_abs)</t>
  </si>
  <si>
    <t>Pressão Absoluta de Saída Corrigida (P2_corr_abs)</t>
  </si>
  <si>
    <t>Pression Absolue de Sortie Corrigée (P2_corr_abs)</t>
  </si>
  <si>
    <t>G29</t>
  </si>
  <si>
    <t>Caudal de Salida Corregido</t>
  </si>
  <si>
    <t>Vazão de Saída Corrigida</t>
  </si>
  <si>
    <t>Débit de Sortie Corrigé</t>
  </si>
  <si>
    <t>G30</t>
  </si>
  <si>
    <t>Requerido [Cv]</t>
  </si>
  <si>
    <t>Necessário [Cv]</t>
  </si>
  <si>
    <t>Requis [Cv]</t>
  </si>
  <si>
    <t>G31</t>
  </si>
  <si>
    <t>Diferencia [Cv]</t>
  </si>
  <si>
    <t>Diferença [Cv]</t>
  </si>
  <si>
    <t>Différence [Cv]</t>
  </si>
  <si>
    <t>B37</t>
  </si>
  <si>
    <t>S U G G E S T E D   V A L V E   &amp;  P I P E   S I Z E</t>
  </si>
  <si>
    <t>T A M A Ñ O   S U G E R I D O   D E   V Á L V U L A   Y   T U B E R Í A</t>
  </si>
  <si>
    <t>T A M A N H O   S U G E R I D O   D E   V Á L V U L A   E   T U B U L A Ç Ã O</t>
  </si>
  <si>
    <t>T A I L L E   S U G G É R É E   D E   V A N N E   E T   T U Y A U T E R I E</t>
  </si>
  <si>
    <t>G37</t>
  </si>
  <si>
    <t>V E R I F I C A C I Ó N   D E   V E L O C I D A D   D E   T U B E R Í A   Y   V Á L V U L A</t>
  </si>
  <si>
    <t>V E R I F I C A Ç Ã O   D E   V E L O C I D A D E   D E   T U B U L A Ç Ã O   E   V Á L V U L A</t>
  </si>
  <si>
    <t>V É R I F I C A T I O N   D E   V I T E S S E   T U Y A U   E T   V A N N E</t>
  </si>
  <si>
    <t>B38</t>
  </si>
  <si>
    <t>Velocidad Objetivo (ft/s)</t>
  </si>
  <si>
    <t>Velocidade Alvo (ft/s)</t>
  </si>
  <si>
    <t>Vitesse Cible (ft/s)</t>
  </si>
  <si>
    <t>B39</t>
  </si>
  <si>
    <t>Tamaño de Válvula y Cv</t>
  </si>
  <si>
    <t>Tamanho da Válvula e Cv</t>
  </si>
  <si>
    <t>Taille de Vanne et Cv</t>
  </si>
  <si>
    <t>G39</t>
  </si>
  <si>
    <t>Tipo de Válvula</t>
  </si>
  <si>
    <t>Type de Vanne</t>
  </si>
  <si>
    <t>B40</t>
  </si>
  <si>
    <t>% de Recorrido de Válvula</t>
  </si>
  <si>
    <t>% de Curso da Válvula</t>
  </si>
  <si>
    <t>% de Course de la Vanne</t>
  </si>
  <si>
    <t>G40</t>
  </si>
  <si>
    <t>Tipo de Vapor</t>
  </si>
  <si>
    <t>Type de Vapeur</t>
  </si>
  <si>
    <t>B41</t>
  </si>
  <si>
    <t>Ruido Calculado de Válvula (dB)</t>
  </si>
  <si>
    <t>Ruído Calculado da Válvula (dB)</t>
  </si>
  <si>
    <t>Bruit Calculé de la Vanne (dB)</t>
  </si>
  <si>
    <t>G41</t>
  </si>
  <si>
    <t>Tamaño de Tubería de Suministro</t>
  </si>
  <si>
    <t>Tamanho da Tubulação de Fornecimento</t>
  </si>
  <si>
    <t>Taille de Tuyau d'Alimentation</t>
  </si>
  <si>
    <t>B42</t>
  </si>
  <si>
    <t>Velocidad en la Válvula</t>
  </si>
  <si>
    <t>Velocidade na Válvula</t>
  </si>
  <si>
    <t>Vitesse à la Vanne</t>
  </si>
  <si>
    <t>G42</t>
  </si>
  <si>
    <t>Tamaño de Tubería de Salida</t>
  </si>
  <si>
    <t>Tamanho da Tubulação de Saída</t>
  </si>
  <si>
    <t>Taille de Tuyau de Sortie</t>
  </si>
  <si>
    <t>B43</t>
  </si>
  <si>
    <t>Tamaño de Tubería de Entrada</t>
  </si>
  <si>
    <t>Tamanho da Tubulação de Entrada</t>
  </si>
  <si>
    <t>Taille de Tuyau d'Entrée</t>
  </si>
  <si>
    <t>G43</t>
  </si>
  <si>
    <t>Tamaño de Válvula</t>
  </si>
  <si>
    <t>Tamanho da Válvula</t>
  </si>
  <si>
    <t>Taille de la Vanne</t>
  </si>
  <si>
    <t>B44</t>
  </si>
  <si>
    <t>B45</t>
  </si>
  <si>
    <t>Velocidad en Tubería de Entrada</t>
  </si>
  <si>
    <t>Velocidade na Tubulação de Entrada</t>
  </si>
  <si>
    <t>Vitesse dans le Tuyau d'Entrée</t>
  </si>
  <si>
    <t>G45</t>
  </si>
  <si>
    <t>Resultado:</t>
  </si>
  <si>
    <t>Résultat :</t>
  </si>
  <si>
    <t>B46</t>
  </si>
  <si>
    <t>Velocidad en Tubería de Salida</t>
  </si>
  <si>
    <t>Velocidade na Tubulação de Saída</t>
  </si>
  <si>
    <t>Vitesse dans le Tuyau de Sortie</t>
  </si>
  <si>
    <t>B47</t>
  </si>
  <si>
    <t>Vista (Simple -o- Detallada)</t>
  </si>
  <si>
    <t>Visualização (Simples -ou- Detalhada)</t>
  </si>
  <si>
    <t>Affichage (Simple -ou- Détaillé)</t>
  </si>
  <si>
    <t>B50</t>
  </si>
  <si>
    <t>C O M E N T A R I O S</t>
  </si>
  <si>
    <t>C O M E N T Á R I O S</t>
  </si>
  <si>
    <t>C O M M E N T A I R E S</t>
  </si>
  <si>
    <t>G53</t>
  </si>
  <si>
    <t>I N F O R M A C I Ó N   D E   V E R S I Ó N</t>
  </si>
  <si>
    <t>I N F O R M A Ç Õ E S   D A   V E R S Ã O</t>
  </si>
  <si>
    <t>I N F O R M A T I O N S   D E   V E R S I O N</t>
  </si>
  <si>
    <t>G54</t>
  </si>
  <si>
    <t>Versión de Lanzamiento</t>
  </si>
  <si>
    <t>Versão de Lançamento</t>
  </si>
  <si>
    <t>Version de Publication</t>
  </si>
  <si>
    <t>G55</t>
  </si>
  <si>
    <t>Fecha de Lanzamiento</t>
  </si>
  <si>
    <t>Data de Lançamento</t>
  </si>
  <si>
    <t>Date de Publication</t>
  </si>
  <si>
    <t>G56</t>
  </si>
  <si>
    <t>Modo de Actualización</t>
  </si>
  <si>
    <t>Modo de Atualização</t>
  </si>
  <si>
    <t>Mode de Mise à Jour</t>
  </si>
  <si>
    <t>G57</t>
  </si>
  <si>
    <t>Estado de Verificación de Versión</t>
  </si>
  <si>
    <t>Status da Verificação de Versão</t>
  </si>
  <si>
    <t>État de Vérification de Version</t>
  </si>
  <si>
    <t>I23</t>
  </si>
  <si>
    <t>I24</t>
  </si>
  <si>
    <t>I25</t>
  </si>
  <si>
    <t>I27</t>
  </si>
  <si>
    <t>I28</t>
  </si>
  <si>
    <t>I29</t>
  </si>
  <si>
    <t>I30</t>
  </si>
  <si>
    <t>I31</t>
  </si>
  <si>
    <t>I32</t>
  </si>
  <si>
    <t>I41</t>
  </si>
  <si>
    <t>I42</t>
  </si>
  <si>
    <t>I43</t>
  </si>
  <si>
    <t>Language Preference (persisted if 'remember' is checked)</t>
  </si>
  <si>
    <t>Current Language (session)</t>
  </si>
  <si>
    <t>Saved Language Preference</t>
  </si>
  <si>
    <t>Remember Language Flag</t>
  </si>
  <si>
    <t>Key</t>
  </si>
  <si>
    <t>Language</t>
  </si>
  <si>
    <t>ConfigList</t>
  </si>
  <si>
    <t>App_Coil</t>
  </si>
  <si>
    <t>Serpentín</t>
  </si>
  <si>
    <t>Serpentina</t>
  </si>
  <si>
    <t>Serpentin</t>
  </si>
  <si>
    <t>App</t>
  </si>
  <si>
    <t>App_FinTube</t>
  </si>
  <si>
    <t>Tubo Aletado</t>
  </si>
  <si>
    <t>Tube à Ailettes</t>
  </si>
  <si>
    <t>App_HeatExchanger</t>
  </si>
  <si>
    <t>Intercambiador de Calor</t>
  </si>
  <si>
    <t>Trocador de Calor</t>
  </si>
  <si>
    <t>Échangeur de Chaleur</t>
  </si>
  <si>
    <t>App_Radiator</t>
  </si>
  <si>
    <t>Radiador</t>
  </si>
  <si>
    <t>Radiateur</t>
  </si>
  <si>
    <t>Ctrl_OnOff</t>
  </si>
  <si>
    <t>Todo/Nada</t>
  </si>
  <si>
    <t>Liga/Desliga</t>
  </si>
  <si>
    <t>Tout ou Rien</t>
  </si>
  <si>
    <t>Ctrl</t>
  </si>
  <si>
    <t>Ctrl_Modulating</t>
  </si>
  <si>
    <t>Modulante</t>
  </si>
  <si>
    <t>Modulant</t>
  </si>
  <si>
    <t>SteamType_DrySaturated</t>
  </si>
  <si>
    <t>Saturado Seco</t>
  </si>
  <si>
    <t>Saturée Sèche</t>
  </si>
  <si>
    <t>SteamType_WetSaturated</t>
  </si>
  <si>
    <t>Wet Saturated</t>
  </si>
  <si>
    <t>Saturado Húmedo</t>
  </si>
  <si>
    <t>Saturado Úmido</t>
  </si>
  <si>
    <t>Saturée Humide</t>
  </si>
  <si>
    <t>SteamType_Superheated</t>
  </si>
  <si>
    <t>Sobrecalentado</t>
  </si>
  <si>
    <t>Superaquecido</t>
  </si>
  <si>
    <t>Surchauffée</t>
  </si>
  <si>
    <t>DynamicLabel</t>
  </si>
  <si>
    <t>CoeffLabel_G23_Cv</t>
  </si>
  <si>
    <t>Entrée de Vanne Sélectionnée [Cv]</t>
  </si>
  <si>
    <t>CoeffLabel_G23_Kv</t>
  </si>
  <si>
    <t>Selected Valve Input [Kv]</t>
  </si>
  <si>
    <t>Entrada de Válvula Seleccionada [Kv]</t>
  </si>
  <si>
    <t>Entrada da Válvula Selecionada [Kv]</t>
  </si>
  <si>
    <t>Entrée de Vanne Sélectionnée [Kv]</t>
  </si>
  <si>
    <t>CoeffLabel_G30_Cv</t>
  </si>
  <si>
    <t>CoeffLabel_G30_Kv</t>
  </si>
  <si>
    <t>Required [Kv]</t>
  </si>
  <si>
    <t>Requerido [Kv]</t>
  </si>
  <si>
    <t>Requis [Kv]</t>
  </si>
  <si>
    <t>CoeffLabel_G31_Cv</t>
  </si>
  <si>
    <t>CoeffLabel_G31_Kv</t>
  </si>
  <si>
    <t>Difference [Kv]</t>
  </si>
  <si>
    <t>Diferencia [Kv]</t>
  </si>
  <si>
    <t>Diferença [Kv]</t>
  </si>
  <si>
    <t>Différence [Kv]</t>
  </si>
  <si>
    <t>CoeffLabel_B28_Cv</t>
  </si>
  <si>
    <t>Resultado do Coeficiente de Fluxo [Cv]</t>
  </si>
  <si>
    <t>Résultat du Coefficient d'Écoulement [Cv]</t>
  </si>
  <si>
    <t>CoeffLabel_B28_Kv</t>
  </si>
  <si>
    <t>Flow Coefficient Result [Kv]</t>
  </si>
  <si>
    <t>Resultado del Coeficiente de Flujo [Kv]</t>
  </si>
  <si>
    <t>Resultado do Coeficiente de Fluxo [Kv]</t>
  </si>
  <si>
    <t>Résultat du Coefficient d'Écoulement [Kv]</t>
  </si>
  <si>
    <t>CoeffLabel_B39_Cv</t>
  </si>
  <si>
    <t>CoeffLabel_B39_Kv</t>
  </si>
  <si>
    <t>Valve Size &amp; Kv</t>
  </si>
  <si>
    <t>Tamaño de Válvula y Kv</t>
  </si>
  <si>
    <t>Tamanho da Válvula e Kv</t>
  </si>
  <si>
    <t>Taille de Vanne et Kv</t>
  </si>
  <si>
    <t>PressureLabel_B24_PSIG</t>
  </si>
  <si>
    <t>Downstream Psig [DSP]</t>
  </si>
  <si>
    <t>Psig Aguas Abajo [DSP]</t>
  </si>
  <si>
    <t>Psig a Jusante [DSP]</t>
  </si>
  <si>
    <t>Psig en Aval [DSP]</t>
  </si>
  <si>
    <t>PressureLabel_B24_BAR</t>
  </si>
  <si>
    <t>Downstream Bar [DSP]</t>
  </si>
  <si>
    <t>Bar Aguas Abajo [DSP]</t>
  </si>
  <si>
    <t>Bar a Jusante [DSP]</t>
  </si>
  <si>
    <t>Bar en Aval [DSP]</t>
  </si>
  <si>
    <t>PressureLabel_B25_PSIG</t>
  </si>
  <si>
    <t>PSI Drop [h]</t>
  </si>
  <si>
    <t>Caída de PSI [h]</t>
  </si>
  <si>
    <t>Queda de PSI [h]</t>
  </si>
  <si>
    <t>Chute de PSI [h]</t>
  </si>
  <si>
    <t>PressureLabel_B25_BAR</t>
  </si>
  <si>
    <t>BAR Drop [h]</t>
  </si>
  <si>
    <t>Caída de BAR [h]</t>
  </si>
  <si>
    <t>Queda de BAR [h]</t>
  </si>
  <si>
    <t>Chute de BAR [h]</t>
  </si>
  <si>
    <t>G32</t>
  </si>
  <si>
    <t>Margin [%]</t>
  </si>
  <si>
    <t>Margen [%]</t>
  </si>
  <si>
    <t>Margem [%]</t>
  </si>
  <si>
    <t>Marge [%]</t>
  </si>
  <si>
    <t>G59</t>
  </si>
  <si>
    <t>Idioma</t>
  </si>
  <si>
    <t>Langue</t>
  </si>
  <si>
    <t>Cv = Q / (3.28 * SQRT(dP * P2_abs))_x000D_
   = 1245. / (3.28 * SQRT(20. * 59.7)) = 10.985</t>
  </si>
  <si>
    <t>G225S-L (1-in) - Cv 14.0</t>
  </si>
  <si>
    <t>1.27:1</t>
  </si>
  <si>
    <t>G215S-J (0.5-in) - Cv 4.4 (target 3.66)</t>
  </si>
  <si>
    <t>G220S-K (0.75-in) - Cv 7.5 (target 7.32)</t>
  </si>
  <si>
    <t>39.2:1</t>
  </si>
  <si>
    <t>Shape_ResetButton</t>
  </si>
  <si>
    <t>RESET</t>
  </si>
  <si>
    <t>REINICIAR</t>
  </si>
  <si>
    <t>RÉINITIALISER</t>
  </si>
  <si>
    <t>Shape_btnCalculate</t>
  </si>
  <si>
    <t>CALCULATE</t>
  </si>
  <si>
    <t>CALCULAR</t>
  </si>
  <si>
    <t>CALCULER</t>
  </si>
  <si>
    <t>Shape_btnCloseTool</t>
  </si>
  <si>
    <t>CLOSE TOOL</t>
  </si>
  <si>
    <t>CERRAR HERRAMIENTA</t>
  </si>
  <si>
    <t>FECHAR FERRAMENTA</t>
  </si>
  <si>
    <t>FERMER L'OUTIL</t>
  </si>
  <si>
    <t>Shape_btnAddToSummary</t>
  </si>
  <si>
    <t>ADD TO SUMMARY</t>
  </si>
  <si>
    <t>AGREGAR AL RESUMEN</t>
  </si>
  <si>
    <t>ADICIONAR AO RESUMO</t>
  </si>
  <si>
    <t>AJOUTER AU RÉSUMÉ</t>
  </si>
  <si>
    <t>Shape_btnDisplayCvs</t>
  </si>
  <si>
    <t>DISPLAY CV'S</t>
  </si>
  <si>
    <t>MOSTRAR CV'S</t>
  </si>
  <si>
    <t>EXIBIR CV'S</t>
  </si>
  <si>
    <t>AFFICHER LES CV</t>
  </si>
  <si>
    <t>Shape_h_ShowHide</t>
  </si>
  <si>
    <t>SHOW / HIDE STEPS</t>
  </si>
  <si>
    <t>MOSTRAR / OCULTAR PASOS</t>
  </si>
  <si>
    <t>MOSTRAR / OCULTAR ETAPAS</t>
  </si>
  <si>
    <t>AFFICHER / MASQUER LES ÉTAPES</t>
  </si>
  <si>
    <t>Shape_btnCalcVelocityCalc</t>
  </si>
  <si>
    <t>Calculate Velocity</t>
  </si>
  <si>
    <t>Calcular Velocidad</t>
  </si>
  <si>
    <t>Calcular Velocidade</t>
  </si>
  <si>
    <t>Calculer la Vitesse</t>
  </si>
  <si>
    <t>Shape_h_Step_1</t>
  </si>
  <si>
    <t xml:space="preserve">Step 1:     Select the Application </t>
  </si>
  <si>
    <t xml:space="preserve">Paso 1:     Seleccione la Aplicación </t>
  </si>
  <si>
    <t xml:space="preserve">Etapa 1:     Selecione a Aplicação </t>
  </si>
  <si>
    <t xml:space="preserve">Étape 1 :     Sélectionnez l'Application </t>
  </si>
  <si>
    <t>Shape_h_Step_2</t>
  </si>
  <si>
    <t xml:space="preserve">Step 2:     Select Control Mode </t>
  </si>
  <si>
    <t xml:space="preserve">Paso 2:     Seleccione el Modo de Control </t>
  </si>
  <si>
    <t xml:space="preserve">Etapa 2:     Selecione o Modo de Controle </t>
  </si>
  <si>
    <t xml:space="preserve">Étape 2 :     Sélectionnez le Mode de Contrôle </t>
  </si>
  <si>
    <t>Shape_h_Step_3</t>
  </si>
  <si>
    <t xml:space="preserve">Step 3:     Select Flow Rate &amp; Unit </t>
  </si>
  <si>
    <t xml:space="preserve">Paso 3:     Seleccione el Caudal y la Unidad </t>
  </si>
  <si>
    <t xml:space="preserve">Etapa 3:     Selecione a Vazão e a Unidade </t>
  </si>
  <si>
    <t xml:space="preserve">Étape 3 :     Sélectionnez le Débit et l'Unité </t>
  </si>
  <si>
    <t>Shape_h_Step_4</t>
  </si>
  <si>
    <t xml:space="preserve">Step 4:     Select Inlet  Pressure </t>
  </si>
  <si>
    <t xml:space="preserve">Paso 4:     Seleccione la Presión de Entrada </t>
  </si>
  <si>
    <t xml:space="preserve">Etapa 4:     Selecione a Pressão de Entrada </t>
  </si>
  <si>
    <t xml:space="preserve">Étape 4 :     Sélectionnez la Pression d'Entrée </t>
  </si>
  <si>
    <t>Shape_h_Step_5</t>
  </si>
  <si>
    <t xml:space="preserve">Step 5:     Select Outlet Pressure </t>
  </si>
  <si>
    <t xml:space="preserve">Paso 5:     Seleccione la Presión de Salida </t>
  </si>
  <si>
    <t xml:space="preserve">Etapa 5:     Selecione a Pressão de Saída </t>
  </si>
  <si>
    <t xml:space="preserve">Étape 5 :     Sélectionnez la Pression de Sortie </t>
  </si>
  <si>
    <t>Shape_h_Step_6</t>
  </si>
  <si>
    <t xml:space="preserve">Step 6:     Select Region -or- Custom </t>
  </si>
  <si>
    <t xml:space="preserve">Paso 6:     Seleccione Región -o- Personalizado </t>
  </si>
  <si>
    <t xml:space="preserve">Etapa 6:     Selecione Região -ou- Personalizado </t>
  </si>
  <si>
    <t xml:space="preserve">Étape 6 :     Sélectionnez Région -ou- Personnalisé </t>
  </si>
  <si>
    <t>Shape_h_Step_7</t>
  </si>
  <si>
    <t xml:space="preserve">Step 7:    Click Calculate Button </t>
  </si>
  <si>
    <t xml:space="preserve">Paso 7:    Haga Clic en el Botón Calcular </t>
  </si>
  <si>
    <t xml:space="preserve">Etapa 7:    Clique no Botão Calcular </t>
  </si>
  <si>
    <t xml:space="preserve">Étape 7 :    Cliquez sur le Bouton Calculer </t>
  </si>
  <si>
    <t>Shape_eMailSupport</t>
  </si>
  <si>
    <t xml:space="preserve">
eMail Support</t>
  </si>
  <si>
    <t xml:space="preserve">
Soporte por Correo</t>
  </si>
  <si>
    <t xml:space="preserve">
Suporte por E-mail</t>
  </si>
  <si>
    <t xml:space="preserve">
Support par E-mail</t>
  </si>
  <si>
    <t>Shape_AP_MSG</t>
  </si>
  <si>
    <t xml:space="preserve">Atmospheric Pressure  [AP] Notes:
Use the Drop Down to  select the Region you are in or select Manual / Other  to input a pressure.
https://barometricpressure.org .
The default value is 14.7  </t>
  </si>
  <si>
    <t>Notas de Presión Atmosférica [AP]:
Utilice la Lista Desplegable para seleccionar la Región en la que se encuentra o seleccione Manual / Otro para ingresar una presión.
https://barometricpressure.org .
El valor predeterminado es 14.7</t>
  </si>
  <si>
    <t>Notas de Pressão Atmosférica [AP]:
Utilize a Lista Suspensa para selecionar a Região em que você está ou selecione Manual / Outro para inserir uma pressão.
https://barometricpressure.org .
O valor padrão é 14.7</t>
  </si>
  <si>
    <t>Notes sur la Pression Atmosphérique [AP] :
Utilisez la Liste Déroulante pour sélectionner la Région dans laquelle vous vous trouvez, ou sélectionnez Manuel / Autre pour saisir une pression.
https://barometricpressure.org .
La valeur par défaut est 14,7</t>
  </si>
  <si>
    <t>Shape_PO_MSG</t>
  </si>
  <si>
    <t xml:space="preserve">Notas de Presión de Salida [PO]:
Utilice la Lista Desplegable para Seleccionar PSIG o BAR.
Ingrese la presión de entrada de diseño del dispositivo que está controlando.
Si la Presión de Salida es Desconocida, puede usar la Presión Crítica para calcular la presión de salida.
Calcula la presión de salida máxima a la cual ocurre el flujo de vapor bloqueado (choked) para la presión de entrada especificada. En o por debajo de esta presión, reducciones adicionales en la presión aguas abajo no aumentarán el flujo a través de la válvula.
Si este valor es Desconocido, ingrese 0 para calcular una Presión.
</t>
  </si>
  <si>
    <t xml:space="preserve">Notas de Pressão de Saída [PO]:
Utilize a Lista Suspensa para Selecionar PSIG ou BAR.
Insira a pressão de entrada de projeto do dispositivo que você está controlando.
Se a Pressão de Saída for Desconhecida, você pode usar a Pressão Crítica para calcular a pressão de saída.
Calcula a pressão de saída máxima na qual ocorre o fluxo de vapor bloqueado (choked) para a pressão de entrada especificada. Nessa pressão ou abaixo dela, reduções adicionais na pressão a jusante não aumentarão o fluxo através da válvula.
Se este valor for Desconhecido, insira 0 para calcular uma Pressão.
</t>
  </si>
  <si>
    <t xml:space="preserve">Notes sur la Pression de Sortie [PO] :
Utilisez la Liste Déroulante pour Sélectionner PSIG ou BAR.
Saisissez la pression d'entrée de conception de l'appareil que vous contrôlez.
Si la Pression de Sortie est Inconnue, vous pouvez utiliser la Pression Critique pour calculer la pression de sortie.
Calcule la pression de sortie maximale à laquelle se produit un écoulement de vapeur bloqué (choked) pour la pression d'entrée spécifiée. À cette pression ou en dessous, des réductions supplémentaires de la pression en aval n'augmenteront pas le débit à travers la vanne.
Si cette valeur est Inconnue, saisissez 0 pour calculer une Pression.
</t>
  </si>
  <si>
    <t>Shape_PI_MSG</t>
  </si>
  <si>
    <t xml:space="preserve">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pressure_x000B_The flow is subcritical, meaning the mass flow rate depends on both inlet and outlet pressures.
At or below this pressure_x000B_The flow becomes choked, meaning further reductions in downstream pressure will not increase the mass flow rate through the valve.
If this value is Un-Known, Input 0 to calculate a Pressure.
</t>
  </si>
  <si>
    <t xml:space="preserve">Notas de Presión de Entrada [PI]:
Esta NO es la presión de entrada de diseño de lo que sea que la válvula de vapor esté controlando,
es la presión de entrada real disponible en la válvula.
Si la presión de entrada es Desconocida, puede utilizar la Fórmula de Caída de Presión Crítica
La calculadora determina la presión de entrada mínima requerida para que la válvula alcance flujo de vapor bloqueado (crítico) para la presión de salida y el caudal especificados.
La presión de salida calculada representa el punto de transición donde el flujo de vapor se vuelve bloqueado.
Por encima de esta presión_x000B_El flujo es subcrítico, lo que significa que el caudal másico depende tanto de la presión de entrada como de la de salida.
En o por debajo de esta presión_x000B_El flujo se vuelve bloqueado, lo que significa que reducciones adicionales en la presión aguas abajo no aumentarán el caudal másico a través de la válvula.
Si este valor es Desconocido, ingrese 0 para calcular una Presión.
</t>
  </si>
  <si>
    <t xml:space="preserve">Notas de Pressão de Entrada [PI]:
Esta NÃO é a pressão de entrada de projeto do que quer que a válvula de vapor esteja controlando,
é a pressão de entrada real disponível na válvula.
Se a pressão de entrada for Desconhecida, você pode utilizar a Fórmula de Queda de Pressão Crítica
A calculadora determina a pressão de entrada mínima necessária para que a válvula atinja fluxo de vapor bloqueado (crítico) para a pressão de saída e vazão especificadas.
A pressão de saída calculada representa o ponto de transição onde o fluxo de vapor se torna bloqueado.
Acima dessa pressão_x000B_O fluxo é subcrítico, o que significa que a vazão mássica depende tanto da pressão de entrada quanto da de saída.
Nessa pressão ou abaixo dela_x000B_O fluxo se torna bloqueado, o que significa que reduções adicionais na pressão a jusante não aumentarão a vazão mássica através da válvula.
Se este valor for Desconhecido, insira 0 para calcular uma Pressão.
</t>
  </si>
  <si>
    <t xml:space="preserve">Notes sur la Pression d'Entrée [PI] :
Ce n'est PAS la pression d'entrée de conception de l'appareil que la vanne de vapeur contrôle,
c'est la pression d'entrée réelle disponible à la vanne.
Si la pression d'entrée est Inconnue, vous pouvez utiliser la Formule de Chute de Pression Critique
Le calculateur détermine la pression d'entrée minimale requise pour que la vanne atteigne un écoulement de vapeur bloqué (critique) pour la pression de sortie et le débit spécifiés.
La pression de sortie calculée représente le point de transition où l'écoulement de vapeur devient bloqué.
Au-dessus de cette pression_x000B_L'écoulement est sous-critique, ce qui signifie que le débit massique dépend à la fois des pressions d'entrée et de sortie.
À cette pression ou en dessous_x000B_L'écoulement devient bloqué, ce qui signifie que des réductions supplémentaires de la pression en aval n'augmenteront pas le débit massique à travers la vanne.
Si cette valeur est Inconnue, saisissez 0 pour calculer une Pression.
</t>
  </si>
  <si>
    <t>Shape_Q_MSG</t>
  </si>
  <si>
    <t>Flow Rate [Q] Notes:
Use the Drop Down list to select your Flow Rate
Values entered here will be converted to Lbs/Hr.</t>
  </si>
  <si>
    <t>Notas de Caudal [Q]:
Utilice la Lista Desplegable para seleccionar su Caudal
Los valores ingresados aquí se convertirán a Lbs/Hr.</t>
  </si>
  <si>
    <t>Notas de Vazão [Q]:
Utilize a Lista Suspensa para selecionar sua Vazão
Os valores inseridos aqui serão convertidos para Lbs/Hr.</t>
  </si>
  <si>
    <t>Notes sur le Débit [Q] :
Utilisez la Liste Déroulante pour sélectionner votre Débit
Les valeurs saisies ici seront converties en Lbs/Hr.</t>
  </si>
  <si>
    <t>Shape_CvC_MSG</t>
  </si>
  <si>
    <t xml:space="preserve">Critical Flow Threshold:
For steam, choked (critical) flow is assumed when the downstream absolute pressure is &lt; or = 58% of the upstream absolute pressure (i.e., P2,abs/P1,abs is ≤ 0.577). Equivalently, when the pressure drop is ≥ or = 42% of the upstream absolute pressure (i.e., ΔP/P1,abs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t>
  </si>
  <si>
    <t xml:space="preserve">Umbral de Flujo Crítico:
Para el vapor, se asume flujo bloqueado (crítico) cuando la presión absoluta aguas abajo es &lt; o = 58% de la presión absoluta aguas arriba (es decir, P2,abs/P1,abs es ≤ 0.577). De manera equivalente, cuando la caída de presión es ≥ o = 42% de la presión absoluta aguas arriba (es decir, ΔP/P1,abs es ≥ o = a 0.42).
Piense en una válvula como una puerta. Cuando el vapor pasa lo suficientemente rápido, el flujo en el punto más estrecho alcanza su límite de velocidad incorporado (aproximadamente la velocidad del sonido). Una vez que esto sucede, bajar más la presión aguas abajo no empujará más flujo a través. La puerta ya está a su capacidad máxima.
Cuando una válvula de vapor opera en flujo bloqueado (crítico), el caudal está limitado por la presión aguas arriba y el Cv de la válvula. Una vez que ocurre esta condición, reducir la presión aguas abajo no aumentará el flujo de vapor.
Esto significa que la válvula no puede entregar capacidad adicional, incluso si la carga aumenta o la presión aguas abajo disminuye.
</t>
  </si>
  <si>
    <t xml:space="preserve">Limite de Fluxo Crítico:
Para o vapor, assume-se fluxo bloqueado (crítico) quando a pressão absoluta a jusante é &lt; ou = 58% da pressão absoluta a montante (ou seja, P2,abs/P1,abs é ≤ 0.577). Equivalentemente, quando a queda de pressão é ≥ ou = 42% da pressão absoluta a montante (ou seja, ΔP/P1,abs é ≥ ou = a 0.42).
Pense em uma válvula como uma porta. Quando o vapor passa rápido o suficiente, o fluxo no ponto mais estreito atinge seu limite de velocidade embutido (aproximadamente a velocidade do som). Uma vez que isso acontece, reduzir ainda mais a pressão a jusante não empurrará mais fluxo através dela. A porta já está em capacidade máxima.
Quando uma válvula de vapor opera em fluxo bloqueado (crítico), a vazão é limitada pela pressão a montante e pelo Cv da válvula. Uma vez que essa condição ocorre, reduzir a pressão a jusante não aumentará o fluxo de vapor.
Isso significa que a válvula não pode fornecer capacidade adicional, mesmo que a carga aumente ou a pressão a jusante diminua.
</t>
  </si>
  <si>
    <t xml:space="preserve">Seuil d'Écoulement Critique :
Pour la vapeur, un écoulement bloqué (critique) est supposé lorsque la pression absolue en aval est &lt; ou = à 58 % de la pression absolue en amont (c'est-à-dire, P2,abs/P1,abs est ≤ 0,577). De manière équivalente, lorsque la chute de pression est ≥ ou = à 42 % de la pression absolue en amont (c'est-à-dire, ΔP/P1,abs est ≥ ou = à 0,42).
Imaginez une vanne comme une porte. Lorsque la vapeur passe assez rapidement, l'écoulement au point le plus étroit atteint sa limite de vitesse intrinsèque (environ la vitesse du son). Une fois que cela se produit, réduire davantage la pression en aval ne permettra pas de faire passer plus de débit. La porte est déjà à son débit maximal.
Lorsqu'une vanne à vapeur fonctionne en écoulement bloqué (critique), le débit est limité par la pression en amont et le Cv de la vanne. Une fois cette condition atteinte, réduire la pression en aval n'augmentera pas le débit de vapeur.
Cela signifie que la vanne ne peut pas fournir de capacité supplémentaire, même si la charge augmente ou si la pression en aval diminue.
</t>
  </si>
  <si>
    <t>Shape_CB_h_CTRL_OnOff</t>
  </si>
  <si>
    <t xml:space="preserve">On/Off Control [CTRL] Notes
An On/Off valve is either fully open or fully closed. It delivers full design flow when open and zero flow when closed. No throttling or modulation occurs.  
GENERAL SIZING RULES 
1.  Size the valve to pass 100% of design flow at fully open._x000B_2.  Select the next standard Cv AT OR ABOVE required Cv._x000B_3.  Match valve body size to coil inlet pipe size (line size)._x000B_4.  Verify fully-open Cv of selected valve type exceeds required Cv._x000B_5.  Confirm close-off pressure rating handles full inlet pressure when shut.  </t>
  </si>
  <si>
    <t>Notas de Control Todo/Nada [CTRL]
Una válvula Todo/Nada está completamente abierta o completamente cerrada. Entrega el caudal de diseño completo cuando está abierta y caudal cero cuando está cerrada. No ocurre estrangulamiento ni modulación.
REGLAS GENERALES DE DIMENSIONAMIENTO
1.  Dimensione la válvula para pasar el 100% del caudal de diseño totalmente abierta._x000B_2.  Seleccione el siguiente Cv estándar EN O POR ENCIMA del Cv requerido._x000B_3.  Haga coincidir el tamaño del cuerpo de la válvula con el tamaño de tubería de entrada del serpentín (tamaño de línea)._x000B_4.  Verifique que el Cv totalmente abierto de la válvula seleccionada exceda el Cv requerido._x000B_5.  Confirme que la clasificación de presión de cierre soporte la presión de entrada completa cuando esté cerrada.</t>
  </si>
  <si>
    <t>Notas de Controle Liga/Desliga [CTRL]
Uma válvula Liga/Desliga está totalmente aberta ou totalmente fechada. Ela entrega a vazão de projeto total quando aberta e vazão zero quando fechada. Não ocorre estrangulamento ou modulação.
REGRAS GERAIS DE DIMENSIONAMENTO
1.  Dimensione a válvula para passar 100% da vazão de projeto totalmente aberta._x000B_2.  Selecione o próximo Cv padrão IGUAL OU ACIMA do Cv requerido._x000B_3.  Combine o tamanho do corpo da válvula com o tamanho da tubulação de entrada da serpentina (tamanho da linha)._x000B_4.  Verifique se o Cv totalmente aberto da válvula selecionada excede o Cv requerido._x000B_5.  Confirme se a classificação de pressão de fechamento suporta a pressão de entrada total quando fechada.</t>
  </si>
  <si>
    <t>Notes sur le Contrôle Tout ou Rien [CTRL]
Une vanne Tout ou Rien est soit entièrement ouverte, soit entièrement fermée. Elle délivre le débit de conception complet lorsqu'elle est ouverte et un débit nul lorsqu'elle est fermée. Aucun étranglement ni modulation ne se produit.
RÈGLES GÉNÉRALES DE DIMENSIONNEMENT
1.  Dimensionnez la vanne pour faire passer 100 % du débit de conception en position complètement ouverte._x000B_2.  Sélectionnez le Cv standard suivant ÉGAL OU SUPÉRIEUR au Cv requis._x000B_3.  Faites correspondre la taille du corps de vanne à la taille de tuyauterie d'entrée de la batterie (taille de ligne)._x000B_4.  Vérifiez que le Cv en position complètement ouverte de la vanne sélectionnée dépasse le Cv requis._x000B_5.  Confirmez que la pression de fermeture supporte la pression d'entrée complète lorsque la vanne est fermée.</t>
  </si>
  <si>
    <t>Shape_CB_h_CTRL_Modulating</t>
  </si>
  <si>
    <t>Modulating Control [CTRL] Notes:
Valve size can be reduced, be careful that there are at least 8x lengths of pipe matching the coil inlet size out of the valve.</t>
  </si>
  <si>
    <t>Notas de Control Modulante [CTRL]:
El tamaño de la válvula se puede reducir, tenga cuidado de que haya al menos 8 longitudes de tubería que coincidan con el tamaño de entrada del serpentín a la salida de la válvula.</t>
  </si>
  <si>
    <t>Notas de Controle Modulante [CTRL]:
O tamanho da válvula pode ser reduzido; tenha cuidado para que haja pelo menos 8 comprimentos de tubulação correspondentes ao tamanho de entrada da serpentina na saída da válvula.</t>
  </si>
  <si>
    <t>Notes sur le Contrôle Modulant [CTRL] :
La taille de la vanne peut être réduite ; veillez à disposer d'au moins 8 longueurs de tuyauterie correspondant à la taille d'entrée de la batterie en sortie de vanne.</t>
  </si>
  <si>
    <t>Shape_CB_h_APP_Radiator</t>
  </si>
  <si>
    <t>Application [APP] Notes:
When sizing radiators, the typical pressure drop is 0.5 to 2.0 PSI.  
Determine if they are 1 pipe or 2 pipe.
1 Pipe will always be On/Off Control.</t>
  </si>
  <si>
    <t>Notas de Aplicación [APP]:
Al dimensionar radiadores, la caída de presión típica es de 0.5 a 2.0 PSI.
Determine si son de 1 tubo o 2 tubos.
1 Tubo siempre será Control Todo/Nada.</t>
  </si>
  <si>
    <t>Notas de Aplicação [APP]:
Ao dimensionar radiadores, a queda de pressão típica é de 0.5 a 2.0 PSI.
Determine se são de 1 tubo ou 2 tubos.
1 Tubo sempre será Controle Liga/Desliga.</t>
  </si>
  <si>
    <t>Notes sur l'Application [APP] :
Lors du dimensionnement des radiateurs, la chute de pression typique est de 0,5 à 2,0 PSI.
Déterminez s'ils sont à 1 tube ou 2 tubes.
1 Tube sera toujours en Contrôle Tout ou Rien.</t>
  </si>
  <si>
    <t>Shape_FeedbackText</t>
  </si>
  <si>
    <t>If you would like to leave feedback on your experience of using the tool or if you have any suggestions to help make the tool even more useful, just click on the link below.
Valve Sizing Tool Feedback</t>
  </si>
  <si>
    <t>Si desea dejar comentarios sobre su experiencia al usar la herramienta o si tiene alguna sugerencia para ayudar a que la herramienta sea aún más útil, simplemente haga clic en el enlace a continuación.
Comentarios sobre la Herramienta de Dimensionamiento de Válvulas</t>
  </si>
  <si>
    <t>Se você gostaria de deixar um feedback sobre sua experiência ao usar a ferramenta ou se tiver alguma sugestão para ajudar a tornar a ferramenta ainda mais útil, basta clicar no link abaixo.
Feedback da Ferramenta de Dimensionamento de Válvulas</t>
  </si>
  <si>
    <t>Si vous souhaitez laisser un commentaire sur votre expérience d'utilisation de l'outil ou si vous avez des suggestions pour le rendre encore plus utile, cliquez simplement sur le lien ci-dessous.
Commentaires sur l'Outil de Dimensionnement des Vannes</t>
  </si>
  <si>
    <t>EN</t>
  </si>
  <si>
    <t>MsgBoxTitle_InputError</t>
  </si>
  <si>
    <t>Input Error</t>
  </si>
  <si>
    <t>Error de Entrada</t>
  </si>
  <si>
    <t>Erro de Entrada</t>
  </si>
  <si>
    <t>Erreur de Saisie</t>
  </si>
  <si>
    <t>MsgBoxTitle_LookupError</t>
  </si>
  <si>
    <t>Lookup Error</t>
  </si>
  <si>
    <t>Error de Búsqueda</t>
  </si>
  <si>
    <t>Erro de Consulta</t>
  </si>
  <si>
    <t>Erreur de Recherche</t>
  </si>
  <si>
    <t>MsgBoxTitle_CalculationError</t>
  </si>
  <si>
    <t>Calculation Error</t>
  </si>
  <si>
    <t>Error de Cálculo</t>
  </si>
  <si>
    <t>Erro de Cálculo</t>
  </si>
  <si>
    <t>Erreur de Calcul</t>
  </si>
  <si>
    <t>MsgBoxTitle_NoData</t>
  </si>
  <si>
    <t>No Data</t>
  </si>
  <si>
    <t>Sin Datos</t>
  </si>
  <si>
    <t>Sem Dados</t>
  </si>
  <si>
    <t>Aucune Donnée</t>
  </si>
  <si>
    <t>MsgBoxTitle_NoValveTypes</t>
  </si>
  <si>
    <t>No Valve Types</t>
  </si>
  <si>
    <t>Sin Tipos de Válvula</t>
  </si>
  <si>
    <t>Sem Tipos de Válvula</t>
  </si>
  <si>
    <t>Aucun Type de Vanne</t>
  </si>
  <si>
    <t>MsgBoxTitle_MissingInputs</t>
  </si>
  <si>
    <t>Missing Inputs</t>
  </si>
  <si>
    <t>Faltan Datos de Entrada</t>
  </si>
  <si>
    <t>Entradas Ausentes</t>
  </si>
  <si>
    <t>Entrées Manquantes</t>
  </si>
  <si>
    <t>MsgBoxTitle_MissingInput</t>
  </si>
  <si>
    <t>Missing Input</t>
  </si>
  <si>
    <t>Falta un Dato de Entrada</t>
  </si>
  <si>
    <t>Entrada Ausente</t>
  </si>
  <si>
    <t>Entrée Manquante</t>
  </si>
  <si>
    <t>MsgBoxTitle_UnitConversionError</t>
  </si>
  <si>
    <t>Unit Conversion Error</t>
  </si>
  <si>
    <t>Error de Conversión de Unidades</t>
  </si>
  <si>
    <t>Erro de Conversão de Unidade</t>
  </si>
  <si>
    <t>Erreur de Conversion d'Unité</t>
  </si>
  <si>
    <t>MsgBoxTitle_SelectedValveCapacity</t>
  </si>
  <si>
    <t>Selected Valve Capacity</t>
  </si>
  <si>
    <t>Capacidad de Válvula Seleccionada</t>
  </si>
  <si>
    <t>Capacidade da Válvula Selecionada</t>
  </si>
  <si>
    <t>Capacité de la Vanne Sélectionnée</t>
  </si>
  <si>
    <t>MsgBoxTitle_CorrectedPressureDropMsg</t>
  </si>
  <si>
    <t>Chute de Pression Corrigée</t>
  </si>
  <si>
    <t>MsgBoxTitle_ConfirmReset</t>
  </si>
  <si>
    <t>Confirm Reset</t>
  </si>
  <si>
    <t>Confirmar Reinicio</t>
  </si>
  <si>
    <t>Confirmar Reinicialização</t>
  </si>
  <si>
    <t>Confirmer la Réinitialisation</t>
  </si>
  <si>
    <t>MsgBoxTitle_CloseSizingTool</t>
  </si>
  <si>
    <t>Close Sizing Tool</t>
  </si>
  <si>
    <t>Cerrar Herramienta de Dimensionamiento</t>
  </si>
  <si>
    <t>Fechar Ferramenta de Dimensionamento</t>
  </si>
  <si>
    <t>Fermer l'Outil de Dimensionnement</t>
  </si>
  <si>
    <t>MsgBoxTitle_Success</t>
  </si>
  <si>
    <t>Éxito</t>
  </si>
  <si>
    <t>Sucesso</t>
  </si>
  <si>
    <t>Succès</t>
  </si>
  <si>
    <t>MsgBoxTitle_ReadError</t>
  </si>
  <si>
    <t>Read Error</t>
  </si>
  <si>
    <t>Error de Lectura</t>
  </si>
  <si>
    <t>Erro de Leitura</t>
  </si>
  <si>
    <t>Erreur de Lecture</t>
  </si>
  <si>
    <t>MsgBox_Reset_ConfirmBody</t>
  </si>
  <si>
    <t>This will reset all values to defaults and clear the Summary Sheet. Do you want to Erase Summary?</t>
  </si>
  <si>
    <t>Esto restablecerá todos los valores a los predeterminados y borrará la Hoja de Resumen. ¿Desea borrar el Resumen?</t>
  </si>
  <si>
    <t>Isso irá redefinir todos os valores para os padrões e limpar a Planilha de Resumo. Deseja apagar o Resumo?</t>
  </si>
  <si>
    <t>Cela réinitialisera toutes les valeurs par défaut et effacera la Feuille de Résumé. Voulez-vous effacer le Résumé ?</t>
  </si>
  <si>
    <t>MsgBox_Reset_CloseBody</t>
  </si>
  <si>
    <t>This will close the Sizing Tool, do you wish to continue?</t>
  </si>
  <si>
    <t>Esto cerrará la Herramienta de Dimensionamiento, ¿desea continuar?</t>
  </si>
  <si>
    <t>Isso fechará a Ferramenta de Dimensionamento, deseja continuar?</t>
  </si>
  <si>
    <t>Cela fermera l'Outil de Dimensionnement, voulez-vous continuer ?</t>
  </si>
  <si>
    <t>MsgBox_Reset_ClosingMsg</t>
  </si>
  <si>
    <t>Closing the Sizing Tool...</t>
  </si>
  <si>
    <t>Cerrando la Herramienta de Dimensionamiento...</t>
  </si>
  <si>
    <t>Fechando a Ferramenta de Dimensionamento...</t>
  </si>
  <si>
    <t>Fermeture de l'Outil de Dimensionnement...</t>
  </si>
  <si>
    <t>MsgBox_Splash_Disclaimer</t>
  </si>
  <si>
    <t>Please Check the Disclaimer Checkbox.</t>
  </si>
  <si>
    <t>Por favor, marque la casilla de descargo de responsabilidad.</t>
  </si>
  <si>
    <t>Por favor, marque a caixa de isenção de responsabilidade.</t>
  </si>
  <si>
    <t>Veuillez cocher la case de non-responsabilité.</t>
  </si>
  <si>
    <t>MsgBox_Calc_ReadInputsFail</t>
  </si>
  <si>
    <t>Unable to read calculator inputs.</t>
  </si>
  <si>
    <t>No se pueden leer los datos de entrada de la calculadora.</t>
  </si>
  <si>
    <t>Não foi possível ler os dados de entrada da calculadora.</t>
  </si>
  <si>
    <t>Impossible de lire les données d'entrée du calculateur.</t>
  </si>
  <si>
    <t>MsgBox_Calc_InvalidApp</t>
  </si>
  <si>
    <t>Please select a valid Application Type.</t>
  </si>
  <si>
    <t>Seleccione un Tipo de Aplicación válido.</t>
  </si>
  <si>
    <t>Selecione um Tipo de Aplicação válido.</t>
  </si>
  <si>
    <t>Veuillez sélectionner un Type d'Application valide.</t>
  </si>
  <si>
    <t>MsgBox_Calc_InvalidControl</t>
  </si>
  <si>
    <t>Please select a valid Control Type.</t>
  </si>
  <si>
    <t>Seleccione un Tipo de Control válido.</t>
  </si>
  <si>
    <t>Selecione um Tipo de Controle válido.</t>
  </si>
  <si>
    <t>Veuillez sélectionner un Type de Contrôle valide.</t>
  </si>
  <si>
    <t>MsgBox_Calc_InvalidFlowType</t>
  </si>
  <si>
    <t>Please select a valid Flow Rate Type.</t>
  </si>
  <si>
    <t>Seleccione un Tipo de Caudal válido.</t>
  </si>
  <si>
    <t>Selecione um Tipo de Vazão válido.</t>
  </si>
  <si>
    <t>Veuillez sélectionner un Type de Débit valide.</t>
  </si>
  <si>
    <t>MsgBox_Calc_InvalidPSI</t>
  </si>
  <si>
    <t>Please select a valid PSI unit.</t>
  </si>
  <si>
    <t>Seleccione una unidad de PSI válida.</t>
  </si>
  <si>
    <t>Selecione uma unidade de PSI válida.</t>
  </si>
  <si>
    <t>Veuillez sélectionner une unité PSI valide.</t>
  </si>
  <si>
    <t>MsgBox_Calc_InvalidPSO</t>
  </si>
  <si>
    <t>Please select a valid PSO unit.</t>
  </si>
  <si>
    <t>Seleccione una unidad de PSO válida.</t>
  </si>
  <si>
    <t>Selecione uma unidade de PSO válida.</t>
  </si>
  <si>
    <t>Veuillez sélectionner une unité PSO valide.</t>
  </si>
  <si>
    <t>MsgBox_Calc_SelectCvKv</t>
  </si>
  <si>
    <t>Please select Cv or Kv.</t>
  </si>
  <si>
    <t>Seleccione Cv o Kv.</t>
  </si>
  <si>
    <t>Selecione Cv ou Kv.</t>
  </si>
  <si>
    <t>Veuillez sélectionner Cv ou Kv.</t>
  </si>
  <si>
    <t>MsgBox_Calc_FlowRateRange</t>
  </si>
  <si>
    <t>Flow rate must be between 0.1 and 1,000,000.</t>
  </si>
  <si>
    <t>El caudal debe estar entre 0.1 y 1,000,000.</t>
  </si>
  <si>
    <t>A vazão deve estar entre 0.1 e 1,000,000.</t>
  </si>
  <si>
    <t>Le débit doit être compris entre 0,1 et 1 000 000.</t>
  </si>
  <si>
    <t>MsgBox_Calc_InletNumeric</t>
  </si>
  <si>
    <t>Inlet pressure must be numeric.</t>
  </si>
  <si>
    <t>La presión de entrada debe ser numérica.</t>
  </si>
  <si>
    <t>A pressão de entrada deve ser numérica.</t>
  </si>
  <si>
    <t>La pression d'entrée doit être numérique.</t>
  </si>
  <si>
    <t>MsgBox_Calc_OutletNumeric</t>
  </si>
  <si>
    <t>Outlet pressure must be numeric.</t>
  </si>
  <si>
    <t>La presión de salida debe ser numérica.</t>
  </si>
  <si>
    <t>A pressão de saída deve ser numérica.</t>
  </si>
  <si>
    <t>La pression de sortie doit être numérique.</t>
  </si>
  <si>
    <t>MsgBox_Calc_InletNegative</t>
  </si>
  <si>
    <t>Inlet pressure cannot be negative.</t>
  </si>
  <si>
    <t>La presión de entrada no puede ser negativa.</t>
  </si>
  <si>
    <t>A pressão de entrada não pode ser negativa.</t>
  </si>
  <si>
    <t>La pression d'entrée ne peut pas être négative.</t>
  </si>
  <si>
    <t>MsgBox_Calc_OutletNegative</t>
  </si>
  <si>
    <t>Outlet pressure cannot be negative.</t>
  </si>
  <si>
    <t>La presión de salida no puede ser negativa.</t>
  </si>
  <si>
    <t>A pressão de saída não pode ser negativa.</t>
  </si>
  <si>
    <t>La pression de sortie ne peut pas être négative.</t>
  </si>
  <si>
    <t>MsgBox_Calc_PIPOBothZero</t>
  </si>
  <si>
    <t>PI and PO cannot both be zero.</t>
  </si>
  <si>
    <t>PI y PO no pueden ser ambos cero.</t>
  </si>
  <si>
    <t>PI e PO não podem ser ambos zero.</t>
  </si>
  <si>
    <t>PI et PO ne peuvent pas être tous les deux nuls.</t>
  </si>
  <si>
    <t>MsgBox_Calc_MBHNeedsInlet</t>
  </si>
  <si>
    <t>MBH flow input requires a known inlet pressure. PI cannot be zero when Flow Rate = MBH.</t>
  </si>
  <si>
    <t>El caudal en MBH requiere una presión de entrada conocida. PI no puede ser cero cuando el Caudal = MBH.</t>
  </si>
  <si>
    <t>A vazão em MBH requer uma pressão de entrada conhecida. PI não pode ser zero quando a Vazão = MBH.</t>
  </si>
  <si>
    <t>Le débit en MBH nécessite une pression d'entrée connue. PI ne peut pas être nul lorsque le Débit = MBH.</t>
  </si>
  <si>
    <t>MsgBox_Calc_APRange</t>
  </si>
  <si>
    <t>Manual Atmospheric Pressure [AP] must be entered between 10 and 15 psia.</t>
  </si>
  <si>
    <t>La Presión Atmosférica Manual [AP] debe ingresarse entre 10 y 15 psia.</t>
  </si>
  <si>
    <t>A Pressão Atmosférica Manual [AP] deve ser inserida entre 10 e 15 psia.</t>
  </si>
  <si>
    <t>La Pression Atmosphérique Manuelle [AP] doit être saisie entre 10 et 15 psia.</t>
  </si>
  <si>
    <t>MsgBox_Calc_APLookupFail</t>
  </si>
  <si>
    <t>Atmospheric Pressure lookup failed.</t>
  </si>
  <si>
    <t>La búsqueda de Presión Atmosférica falló.</t>
  </si>
  <si>
    <t>A consulta de Pressão Atmosférica falhou.</t>
  </si>
  <si>
    <t>La recherche de Pression Atmosphérique a échoué.</t>
  </si>
  <si>
    <t>MsgBox_Calc_APOutOfRange</t>
  </si>
  <si>
    <t>Atmospheric Pressure is out of expected range.</t>
  </si>
  <si>
    <t>La Presión Atmosférica está fuera del rango esperado.</t>
  </si>
  <si>
    <t>A Pressão Atmosférica está fora do intervalo esperado.</t>
  </si>
  <si>
    <t>La Pression Atmosphérique est hors de la plage attendue.</t>
  </si>
  <si>
    <t>MsgBox_Calc_MBHNeedsLatent</t>
  </si>
  <si>
    <t>MBH input requires a valid inlet pressure to determine latent heat.</t>
  </si>
  <si>
    <t>La entrada en MBH requiere una presión de entrada válida para determinar el calor latente.</t>
  </si>
  <si>
    <t>A entrada em MBH requer uma pressão de entrada válida para determinar o calor latente.</t>
  </si>
  <si>
    <t>La saisie en MBH nécessite une pression d'entrée valide pour déterminer la chaleur latente.</t>
  </si>
  <si>
    <t>MsgBox_Calc_LatentLookupFail_Prefix</t>
  </si>
  <si>
    <t>MsgBox_Calc_LatentLookupFail_Suffix</t>
  </si>
  <si>
    <t>MsgBox_Calc_UnexpectedFlowType_Prefix</t>
  </si>
  <si>
    <t>MsgBox_Calc_PIMustBePositive</t>
  </si>
  <si>
    <t>Calculated/entered PI must be greater than 0.</t>
  </si>
  <si>
    <t>El PI calculado/ingresado debe ser mayor que 0.</t>
  </si>
  <si>
    <t>O PI calculado/inserido deve ser maior que 0.</t>
  </si>
  <si>
    <t>Le PI calculé/saisi doit être supérieur à 0.</t>
  </si>
  <si>
    <t>MsgBox_Calc_POMustBeNonNegative</t>
  </si>
  <si>
    <t>Calculated/entered PO must be zero or greater.</t>
  </si>
  <si>
    <t>El PO calculado/ingresado debe ser cero o mayor.</t>
  </si>
  <si>
    <t>O PO calculado/inserido deve ser zero ou maior.</t>
  </si>
  <si>
    <t>Le PO calculé/saisi doit être égal ou supérieur à zéro.</t>
  </si>
  <si>
    <t>MsgBox_Calc_InletGreaterThanOutlet</t>
  </si>
  <si>
    <t>Inlet pressure must be greater than outlet pressure.</t>
  </si>
  <si>
    <t>La presión de entrada debe ser mayor que la presión de salida.</t>
  </si>
  <si>
    <t>A pressão de entrada deve ser maior que a pressão de saída.</t>
  </si>
  <si>
    <t>La pression d'entrée doit être supérieure à la pression de sortie.</t>
  </si>
  <si>
    <t>MsgBox_Calc_InvalidIntermediate</t>
  </si>
  <si>
    <t>Invalid intermediate results.</t>
  </si>
  <si>
    <t>Resultados intermedios no válidos.</t>
  </si>
  <si>
    <t>Resultados intermediários inválidos.</t>
  </si>
  <si>
    <t>Résultats intermédiaires invalides.</t>
  </si>
  <si>
    <t>MsgBox_CvC_FlowInputInvalid</t>
  </si>
  <si>
    <t>Please enter a valid flow input in C12 &gt; 0.</t>
  </si>
  <si>
    <t>Ingrese un valor de caudal válido en C12 &gt; 0.</t>
  </si>
  <si>
    <t>Insira um valor de vazão válido em C12 &gt; 0.</t>
  </si>
  <si>
    <t>Veuillez saisir un débit valide dans C12 &gt; 0.</t>
  </si>
  <si>
    <t>MsgBox_CvC_CoeffInputInvalid</t>
  </si>
  <si>
    <t>Please enter a valid selected valve coefficient in H23 &gt; 0.</t>
  </si>
  <si>
    <t>Ingrese un coeficiente de válvula seleccionado válido en H23 &gt; 0.</t>
  </si>
  <si>
    <t>Insira um coeficiente de válvula selecionado válido em H23 &gt; 0.</t>
  </si>
  <si>
    <t>Veuillez saisir un coefficient de vanne sélectionné valide dans H23 &gt; 0.</t>
  </si>
  <si>
    <t>MsgBox_CvC_APMustBePositive</t>
  </si>
  <si>
    <t>Atmospheric pressure [AP] must be &gt; 0 psia.</t>
  </si>
  <si>
    <t>La presión atmosférica [AP] debe ser &gt; 0 psia.</t>
  </si>
  <si>
    <t>A pressão atmosférica [AP] deve ser &gt; 0 psia.</t>
  </si>
  <si>
    <t>La pression atmosphérique [AP] doit être &gt; 0 psia.</t>
  </si>
  <si>
    <t>MsgBox_CvC_PIPONumeric</t>
  </si>
  <si>
    <t>Enter numeric PI/PO.</t>
  </si>
  <si>
    <t>Ingrese valores numéricos de PI/PO.</t>
  </si>
  <si>
    <t>Insira valores numéricos de PI/PO.</t>
  </si>
  <si>
    <t>Saisissez des valeurs numériques pour PI/PO.</t>
  </si>
  <si>
    <t>MsgBox_CvC_CoeffTypeInvalid</t>
  </si>
  <si>
    <t>Coefficient type in D28 must be Cv or Kv.</t>
  </si>
  <si>
    <t>El tipo de coeficiente en D28 debe ser Cv o Kv.</t>
  </si>
  <si>
    <t>O tipo de coeficiente em D28 deve ser Cv ou Kv.</t>
  </si>
  <si>
    <t>Le type de coefficient dans D28 doit être Cv ou Kv.</t>
  </si>
  <si>
    <t>MsgBox_CvC_FlowRateInvalid</t>
  </si>
  <si>
    <t>Invalid FlowRate selection.</t>
  </si>
  <si>
    <t>Selección de Caudal no válida.</t>
  </si>
  <si>
    <t>Seleção de Vazão inválida.</t>
  </si>
  <si>
    <t>Sélection de Débit invalide.</t>
  </si>
  <si>
    <t>MsgBox_CvC_NormalizeFail</t>
  </si>
  <si>
    <t>Unable to normalize flow to lb/hr for comparison.</t>
  </si>
  <si>
    <t>No se puede normalizar el caudal a lb/hr para la comparación.</t>
  </si>
  <si>
    <t>Não é possível normalizar a vazão para lb/hr para comparação.</t>
  </si>
  <si>
    <t>Impossible de normaliser le débit en lb/hr pour la comparaison.</t>
  </si>
  <si>
    <t>MsgBox_CvC_InvalidAbsPressures</t>
  </si>
  <si>
    <t>Invalid absolute pressures.</t>
  </si>
  <si>
    <t>Presiones absolutas no válidas.</t>
  </si>
  <si>
    <t>Pressões absolutas inválidas.</t>
  </si>
  <si>
    <t>Pressions absolues invalides.</t>
  </si>
  <si>
    <t>MsgBox_CvC_EqualPressures</t>
  </si>
  <si>
    <t>Inlet pressure must be greater than outlet pressure - equal pressures give zero pressure drop, which cannot be sized.</t>
  </si>
  <si>
    <t>La presión de entrada debe ser mayor que la presión de salida; presiones iguales dan una caída de presión de cero, la cual no se puede dimensionar.</t>
  </si>
  <si>
    <t>A pressão de entrada deve ser maior que a pressão de saída - pressões iguais resultam em queda de pressão zero, que não pode ser dimensionada.</t>
  </si>
  <si>
    <t>La pression d'entrée doit être supérieure à la pression de sortie - des pressions égales donnent une chute de pression nulle, qui ne peut pas être dimensionnée.</t>
  </si>
  <si>
    <t>MsgBox_CvC_SpecVolumeFail</t>
  </si>
  <si>
    <t>Unable to determine steam specific volume from SaturationChartISA.</t>
  </si>
  <si>
    <t>No se puede determinar el volumen específico del vapor a partir de SaturationChartISA.</t>
  </si>
  <si>
    <t>Não é possível determinar o volume específico do vapor a partir de SaturationChartISA.</t>
  </si>
  <si>
    <t>Impossible de déterminer le volume spécifique de la vapeur à partir de SaturationChartISA.</t>
  </si>
  <si>
    <t>MsgBox_CvC_LatentHeatFail</t>
  </si>
  <si>
    <t>Unable to determine latent heat from SaturationChartISA.</t>
  </si>
  <si>
    <t>No se puede determinar el calor latente a partir de SaturationChartISA.</t>
  </si>
  <si>
    <t>Não é possível determinar o calor latente a partir de SaturationChartISA.</t>
  </si>
  <si>
    <t>Impossible de déterminer la chaleur latente à partir de SaturationChartISA.</t>
  </si>
  <si>
    <t>MsgBox_CvC_ValveCapacityExceeded</t>
  </si>
  <si>
    <t>The selected valve Cv cannot pass the design flow at the stated inlet pressure without entering choked flow.</t>
  </si>
  <si>
    <t>El Cv de la válvula seleccionada no puede pasar el caudal de diseño a la presión de entrada indicada sin entrar en flujo bloqueado.</t>
  </si>
  <si>
    <t>O Cv da válvula selecionada não consegue passar a vazão de projeto na pressão de entrada indicada sem entrar em fluxo bloqueado.</t>
  </si>
  <si>
    <t>Le Cv de la vanne sélectionnée ne peut pas laisser passer le débit de conception à la pression d'entrée indiquée sans entrer en écoulement bloqué.</t>
  </si>
  <si>
    <t>MsgBox_CvC_CorrectedDropFail</t>
  </si>
  <si>
    <t>Unable to solve corrected pressure drop for the selected valve Cv.</t>
  </si>
  <si>
    <t>No se puede resolver la caída de presión corregida para el Cv de la válvula seleccionada.</t>
  </si>
  <si>
    <t>Não é possível resolver a queda de pressão corrigida para o Cv da válvula selecionada.</t>
  </si>
  <si>
    <t>Impossible de résoudre la chute de pression corrigée pour le Cv de la vanne sélectionnée.</t>
  </si>
  <si>
    <t>MsgBox_VL_CoeffMissing</t>
  </si>
  <si>
    <t>Coefficient value in Calculator C28 is missing or invalid. Cannot proceed.</t>
  </si>
  <si>
    <t>El valor del coeficiente en Calculator C28 falta o no es válido. No se puede continuar.</t>
  </si>
  <si>
    <t>O valor do coeficiente em Calculator C28 está ausente ou inválido. Não é possível continuar.</t>
  </si>
  <si>
    <t>La valeur du coefficient dans Calculator C28 est manquante ou invalide. Impossible de continuer.</t>
  </si>
  <si>
    <t>MsgBox_VL_CoeffZero</t>
  </si>
  <si>
    <t>Coefficient value in Calculator C28 is zero or invalid. Cannot proceed.</t>
  </si>
  <si>
    <t>El valor del coeficiente en Calculator C28 es cero o no es válido. No se puede continuar.</t>
  </si>
  <si>
    <t>O valor do coeficiente em Calculator C28 é zero ou inválido. Não é possível continuar.</t>
  </si>
  <si>
    <t>La valeur du coefficient dans Calculator C28 est nulle ou invalide. Impossible de continuer.</t>
  </si>
  <si>
    <t>MsgBox_VL_CoeffTypeInvalid</t>
  </si>
  <si>
    <t>Invalid coefficient type in Calculator D28. Must be Cv or Kv.</t>
  </si>
  <si>
    <t>Tipo de coeficiente no válido en Calculator D28. Debe ser Cv o Kv.</t>
  </si>
  <si>
    <t>Tipo de coeficiente inválido em Calculator D28. Deve ser Cv ou Kv.</t>
  </si>
  <si>
    <t>Type de coefficient invalide dans Calculator D28. Doit être Cv ou Kv.</t>
  </si>
  <si>
    <t>MsgBox_VL_PIMissing</t>
  </si>
  <si>
    <t>Inlet pressure PI is missing or invalid. Cannot filter by pressure rating.</t>
  </si>
  <si>
    <t>La presión de entrada PI falta o no es válida. No se puede filtrar por clasificación de presión.</t>
  </si>
  <si>
    <t>A pressão de entrada PI está ausente ou inválida. Não é possível filtrar por classificação de pressão.</t>
  </si>
  <si>
    <t>La pression d'entrée PI est manquante ou invalide. Impossible de filtrer par classe de pression.</t>
  </si>
  <si>
    <t>MsgBox_VL_PIMustBePositive</t>
  </si>
  <si>
    <t>Inlet pressure PI must be greater than zero. Cannot filter by pressure rating.</t>
  </si>
  <si>
    <t>La presión de entrada PI debe ser mayor que cero. No se puede filtrar por clasificación de presión.</t>
  </si>
  <si>
    <t>A pressão de entrada PI deve ser maior que zero. Não é possível filtrar por classificação de pressão.</t>
  </si>
  <si>
    <t>La pression d'entrée PI doit être supérieure à zéro. Impossible de filtrer par classe de pression.</t>
  </si>
  <si>
    <t>MsgBox_VL_NoValveData</t>
  </si>
  <si>
    <t>No valve data found in Valves sheet starting from row 2.</t>
  </si>
  <si>
    <t>No se encontraron datos de válvulas en la hoja Valves a partir de la fila 2.</t>
  </si>
  <si>
    <t>Nenhum dado de válvula encontrado na planilha Valves a partir da linha 2.</t>
  </si>
  <si>
    <t>Aucune donnée de vanne trouvée dans la feuille Valves à partir de la ligne 2.</t>
  </si>
  <si>
    <t>MsgBox_VL_NoValveTypes</t>
  </si>
  <si>
    <t>No valve types found in column B of Valves sheet.</t>
  </si>
  <si>
    <t>No se encontraron tipos de válvula en la columna B de la hoja Valves.</t>
  </si>
  <si>
    <t>Nenhum tipo de válvula encontrado na coluna B da planilha Valves.</t>
  </si>
  <si>
    <t>Aucun type de vanne trouvé dans la colonne B de la feuille Valves.</t>
  </si>
  <si>
    <t>MsgBox_Vel_RunCalcFirst</t>
  </si>
  <si>
    <t>Run 'Calculate' and then 'Corrected Pressure Drop' on the Calculator sheet first (H29 corrected flow is blank/zero).</t>
  </si>
  <si>
    <t>Ejecute primero 'Calculate' y luego 'Corrected Pressure Drop' en la hoja Calculator (el caudal corregido en H29 está en blanco/cero).</t>
  </si>
  <si>
    <t>Execute primeiro 'Calculate' e depois 'Corrected Pressure Drop' na planilha Calculator (a vazão corrigida em H29 está em branco/zero).</t>
  </si>
  <si>
    <t>Exécutez d'abord 'Calculate' puis 'Corrected Pressure Drop' sur la feuille Calculator (le débit corrigé en H29 est vide/nul).</t>
  </si>
  <si>
    <t>MsgBox_Vel_MissingAbsPressure</t>
  </si>
  <si>
    <t>Missing inlet/outlet absolute pressure (Calculator H27/H28). Run Calculate and Corrected Pressure Drop first.</t>
  </si>
  <si>
    <t>Falta la presión absoluta de entrada/salida (Calculator H27/H28). Ejecute primero Calculate y Corrected Pressure Drop.</t>
  </si>
  <si>
    <t>Falta a pressão absoluta de entrada/saída (Calculator H27/H28). Execute primeiro Calculate e Corrected Pressure Drop.</t>
  </si>
  <si>
    <t>Pression absolue d'entrée/sortie manquante (Calculator H27/H28). Exécutez d'abord Calculate et Corrected Pressure Drop.</t>
  </si>
  <si>
    <t>MsgBox_Vel_SelectValveType</t>
  </si>
  <si>
    <t>Select a Valve Type in the Steam Pipe &amp; Valve Velocity block on the Calculator sheet before calculating.</t>
  </si>
  <si>
    <t>Seleccione un Tipo de Válvula en el bloque de Velocidad de Tubería y Válvula de Vapor en la hoja Calculator antes de calcular.</t>
  </si>
  <si>
    <t>Selecione um Tipo de Válvula no bloco de Velocidade de Tubulação e Válvula de Vapor na planilha Calculator antes de calcular.</t>
  </si>
  <si>
    <t>Sélectionnez un Type de Vanne dans le bloc Vitesse de Tuyauterie et Vanne Vapeur sur la feuille Calculator avant de calculer.</t>
  </si>
  <si>
    <t>MsgBox_Vel_EnterValveCv</t>
  </si>
  <si>
    <t>Enter the Selected Valve Cv (H23) and run Corrected Pressure Drop before the velocity check.</t>
  </si>
  <si>
    <t>Ingrese el Cv de la Válvula Seleccionada (H23) y ejecute Corrected Pressure Drop antes de la verificación de velocidad.</t>
  </si>
  <si>
    <t>Insira o Cv da Válvula Selecionada (H23) e execute Corrected Pressure Drop antes da verificação de velocidade.</t>
  </si>
  <si>
    <t>Saisissez le Cv de la Vanne Sélectionnée (H23) et exécutez Corrected Pressure Drop avant la vérification de vitesse.</t>
  </si>
  <si>
    <t>MsgBox_Vel_OutletLessThanInlet</t>
  </si>
  <si>
    <t>Corrected outlet pressure must be less than inlet pressure.</t>
  </si>
  <si>
    <t>La presión de salida corregida debe ser menor que la presión de entrada.</t>
  </si>
  <si>
    <t>A pressão de saída corrigida deve ser menor que a pressão de entrada.</t>
  </si>
  <si>
    <t>La pression de sortie corrigée doit être inférieure à la pression d'entrée.</t>
  </si>
  <si>
    <t>MsgBox_Vel_PressureOutOfRange</t>
  </si>
  <si>
    <t>Inlet or outlet pressure is outside the SaturationChartISA table range, or an invalid steam property lookup (specific volume or speed of sound &lt;= 0).</t>
  </si>
  <si>
    <t>La presión de entrada o salida está fuera del rango de la tabla SaturationChartISA, o hay una búsqueda de propiedad de vapor no válida (volumen específico o velocidad del sonido &lt;= 0).</t>
  </si>
  <si>
    <t>A pressão de entrada ou saída está fora do intervalo da tabela SaturationChartISA, ou há uma consulta de propriedade de vapor inválida (volume específico ou velocidade do som &lt;= 0).</t>
  </si>
  <si>
    <t>La pression d'entrée ou de sortie est en dehors de la plage de la table SaturationChartISA, ou une recherche de propriété de vapeur invalide (volume spécifique ou vitesse du son &lt;= 0).</t>
  </si>
  <si>
    <t>MsgBox_Vel_ConvertFail_Prefix</t>
  </si>
  <si>
    <t>Unable to convert the corrected flow (</t>
  </si>
  <si>
    <t>No se puede convertir el caudal corregido (</t>
  </si>
  <si>
    <t>Não é possível converter a vazão corrigida (</t>
  </si>
  <si>
    <t>Impossible de convertir le débit corrigé (</t>
  </si>
  <si>
    <t>MsgBox_Vel_ConvertFail_Suffix</t>
  </si>
  <si>
    <t>) back to lb/hr for the velocity check.</t>
  </si>
  <si>
    <t>) de nuevo a lb/hr para la verificación de velocidad.</t>
  </si>
  <si>
    <t>) de volta para lb/hr para a verificação de velocidade.</t>
  </si>
  <si>
    <t>) en lb/hr pour la vérification de vitesse.</t>
  </si>
  <si>
    <t>MsgBox_Summary_RunCalcFirst</t>
  </si>
  <si>
    <t>Please run Calculate first to generate values.</t>
  </si>
  <si>
    <t>Ejecute Calculate primero para generar los valores.</t>
  </si>
  <si>
    <t>Execute Calculate primeiro para gerar os valores.</t>
  </si>
  <si>
    <t>Veuillez d'abord exécuter Calculate pour générer les valeurs.</t>
  </si>
  <si>
    <t>MsgBox_Summary_AddedPrefix</t>
  </si>
  <si>
    <t>MsgBox_Summary_AddedMid</t>
  </si>
  <si>
    <t>._x000D_
Tag '</t>
  </si>
  <si>
    <t>._x000D_
Etiqueta '</t>
  </si>
  <si>
    <t>._x000D_
Étiquette '</t>
  </si>
  <si>
    <t>MsgBox_Summary_AddedSuffix</t>
  </si>
  <si>
    <t>Steam latent lookup failed/invalid for PI =</t>
  </si>
  <si>
    <t>La búsqueda de calor latente del vapor falló o no es válida para PI =</t>
  </si>
  <si>
    <t>A consulta de calor latente do vapor falhou ou é inválida para PI =</t>
  </si>
  <si>
    <t>La recherche de chaleur latente de la vapeur a échoué ou est invalide pour PI =</t>
  </si>
  <si>
    <t>PSIG.</t>
  </si>
  <si>
    <t>Unexpected Flow Rate Type:</t>
  </si>
  <si>
    <t>Tipo de Caudal Inesperado:</t>
  </si>
  <si>
    <t>Tipo de Vazão Inesperado:</t>
  </si>
  <si>
    <t>Type de Débit Inattendu :</t>
  </si>
  <si>
    <t>Values added to Summary sheet in row</t>
  </si>
  <si>
    <t>Valores agregados a la hoja Summary en la fila</t>
  </si>
  <si>
    <t>Valores adicionados à planilha Summary na linha</t>
  </si>
  <si>
    <t>Valeurs ajoutées à la feuille Summary à la ligne</t>
  </si>
  <si>
    <t>applied to column A.</t>
  </si>
  <si>
    <t>aplicada a la columna A.</t>
  </si>
  <si>
    <t>aplicada à coluna A.</t>
  </si>
  <si>
    <t>appliquée à la colonne A.</t>
  </si>
  <si>
    <t>MsgBoxTitle_CvCOutput</t>
  </si>
  <si>
    <t>CvC Output</t>
  </si>
  <si>
    <t>Salida de CvC</t>
  </si>
  <si>
    <t>Saída de CvC</t>
  </si>
  <si>
    <t>Sortie CvC</t>
  </si>
  <si>
    <t>MsgBoxTitle_CalculatedCvCOutput</t>
  </si>
  <si>
    <t>Calculated CvC Output</t>
  </si>
  <si>
    <t>Salida de CvC Calculada</t>
  </si>
  <si>
    <t>Saída de CvC Calculada</t>
  </si>
  <si>
    <t>Sortie CvC Calculée</t>
  </si>
  <si>
    <t>MsgBoxTitle_CalculatedFlowOutput</t>
  </si>
  <si>
    <t>Calculated Flow Output</t>
  </si>
  <si>
    <t>Caudal de Salida Calculado</t>
  </si>
  <si>
    <t>Vazão de Saída Calculada</t>
  </si>
  <si>
    <t>Débit de Sortie Calculé</t>
  </si>
  <si>
    <t>MsgBoxTitle_OutletVelocityCalc</t>
  </si>
  <si>
    <t>Outlet Velocity - How It's Calculated</t>
  </si>
  <si>
    <t>Velocidad de Salida - Cómo se Calcula</t>
  </si>
  <si>
    <t>Velocidade de Saída - Como é Calculada</t>
  </si>
  <si>
    <t>Vitesse de Sortie - Comment C'est Calculé</t>
  </si>
  <si>
    <t>MsgBoxTitle_SteamPipeValveVelCalc</t>
  </si>
  <si>
    <t>Steam Pipe &amp; Valve Velocity - How It's Calculated</t>
  </si>
  <si>
    <t>Velocidad de Tubería y Válvula de Vapor - Cómo se Calcula</t>
  </si>
  <si>
    <t>Velocidade de Tubulação e Válvula de Vapor - Como é Calculada</t>
  </si>
  <si>
    <t>Vitesse de Tuyauterie et Vanne Vapeur - Comment C'est Calculé</t>
  </si>
  <si>
    <t>MsgBoxTitle_SPLCalc</t>
  </si>
  <si>
    <t>Predicted Sound Pressure Level - How It's Calculated</t>
  </si>
  <si>
    <t>Nivel de Presión Sonora Predicho - Cómo se Calcula</t>
  </si>
  <si>
    <t>Nível de Pressão Sonora Previsto - Como é Calculado</t>
  </si>
  <si>
    <t>Niveau de Pression Acoustique Prévu - Comment C'est Calculé</t>
  </si>
  <si>
    <t>MsgBoxTitle_ValveVelCalc</t>
  </si>
  <si>
    <t>Valve Velocity - How It's Calculated</t>
  </si>
  <si>
    <t>Velocidad de Válvula - Cómo se Calcula</t>
  </si>
  <si>
    <t>Velocidade da Válvula - Como é Calculada</t>
  </si>
  <si>
    <t>Vitesse de Vanne - Comment C'est Calculé</t>
  </si>
  <si>
    <t>MsgBoxTitle_InletPipeSizeCalc</t>
  </si>
  <si>
    <t>Suggested Inlet Pipe Size - How It's Calculated</t>
  </si>
  <si>
    <t>Tamaño de Tubería de Entrada Sugerido - Cómo se Calcula</t>
  </si>
  <si>
    <t>Tamanho de Tubulação de Entrada Sugerido - Como é Calculado</t>
  </si>
  <si>
    <t>Taille de Tuyauterie d'Entrée Suggérée - Comment C'est Calculé</t>
  </si>
  <si>
    <t>MsgBoxTitle_OutletPipeSizeCalc</t>
  </si>
  <si>
    <t>Suggested Outlet Pipe Size - How It's Calculated</t>
  </si>
  <si>
    <t>Tamaño de Tubería de Salida Sugerido - Cómo se Calcula</t>
  </si>
  <si>
    <t>Tamanho de Tubulação de Saída Sugerido - Como é Calculado</t>
  </si>
  <si>
    <t>Taille de Tuyauterie de Sortie Suggérée - Comment C'est Calculé</t>
  </si>
  <si>
    <t>MsgBoxTitle_InletPipeVelCalc</t>
  </si>
  <si>
    <t>Inlet Pipe Velocity - How It's Calculated</t>
  </si>
  <si>
    <t>Velocidad de Tubería de Entrada - Cómo se Calcula</t>
  </si>
  <si>
    <t>Velocidade de Tubulação de Entrada - Como é Calculada</t>
  </si>
  <si>
    <t>Vitesse de Tuyauterie d'Entrée - Comment C'est Calculé</t>
  </si>
  <si>
    <t>MsgBoxTitle_OutletPipeVelCalc</t>
  </si>
  <si>
    <t>Outlet Pipe Velocity - How It's Calculated</t>
  </si>
  <si>
    <t>Velocidad de Tubería de Salida - Cómo se Calcula</t>
  </si>
  <si>
    <t>Velocidade de Tubulação de Saída - Como é Calculada</t>
  </si>
  <si>
    <t>Vitesse de Tuyauterie de Sortie - Comment C'est Calculé</t>
  </si>
  <si>
    <t>MsgBoxTitle_MinFlowWhatToEnter</t>
  </si>
  <si>
    <t>Minimum / Turndown Flow - What To Enter</t>
  </si>
  <si>
    <t>Caudal Mínimo / Rangeabilidad - Qué Ingresar</t>
  </si>
  <si>
    <t>Vazão Mínima / Turndown - O Que Inserir</t>
  </si>
  <si>
    <t>Débit Minimal / Rabattement - Que Saisir</t>
  </si>
  <si>
    <t>MsgBoxTitle_PipingDiagramShows</t>
  </si>
  <si>
    <t>Piping Diagram - What It Shows</t>
  </si>
  <si>
    <t>Diagrama de Tubería - Qué Muestra</t>
  </si>
  <si>
    <t>Diagrama de Tubulação - O Que Mostra</t>
  </si>
  <si>
    <t>Schéma de Tuyauterie - Ce Qu'il Montre</t>
  </si>
  <si>
    <t>MsgBox_Help_NoCvCYet</t>
  </si>
  <si>
    <t>No CvC calculation has been run yet.</t>
  </si>
  <si>
    <t>Aún no se ha ejecutado ningún cálculo de CvC.</t>
  </si>
  <si>
    <t>Nenhum cálculo de CvC foi executado ainda.</t>
  </si>
  <si>
    <t>Aucun calcul de CvC n'a encore été exécuté.</t>
  </si>
  <si>
    <t>MsgBox_Help_CvC_Label1</t>
  </si>
  <si>
    <t>CORRECTED PRESSURE DROP:</t>
  </si>
  <si>
    <t>CAÍDA DE PRESIÓN CORREGIDA:</t>
  </si>
  <si>
    <t>QUEDA DE PRESSÃO CORRIGIDA:</t>
  </si>
  <si>
    <t>CHUTE DE PRESSION CORRIGÉE :</t>
  </si>
  <si>
    <t>MsgBox_Help_CvC_Label2</t>
  </si>
  <si>
    <t>CORRECTED FLOW OUTPUT:</t>
  </si>
  <si>
    <t>CAUDAL DE SALIDA CORREGIDO:</t>
  </si>
  <si>
    <t>VAZÃO DE SAÍDA CORRIGIDA:</t>
  </si>
  <si>
    <t>DÉBIT DE SORTIE CORRIGÉ :</t>
  </si>
  <si>
    <t>MsgBox_Help_CvC_Label3</t>
  </si>
  <si>
    <t>REQUIRED</t>
  </si>
  <si>
    <t>REQUERIDO</t>
  </si>
  <si>
    <t>REQUIS</t>
  </si>
  <si>
    <t>MsgBox_Help_CfoPrefix</t>
  </si>
  <si>
    <t xml:space="preserve">This is the Corrected Flow value when changing the design Cv to another Size._x000D_
_x000D_
The Corrected Flow Formula is:_x000D_
_x000D_
</t>
  </si>
  <si>
    <t xml:space="preserve">Este es el valor de Caudal Corregido al cambiar el Cv de diseño a otro Tamaño._x000D_
_x000D_
La Fórmula de Caudal Corregido es:_x000D_
_x000D_
</t>
  </si>
  <si>
    <t xml:space="preserve">Este é o valor de Vazão Corrigida ao alterar o Cv de projeto para outro Tamanho._x000D_
_x000D_
A Fórmula de Vazão Corrigida é:_x000D_
_x000D_
</t>
  </si>
  <si>
    <t xml:space="preserve">Il s'agit de la valeur de Débit Corrigé lors du changement du Cv de conception vers une autre Taille._x000D_
_x000D_
La Formule de Débit Corrigé est :_x000D_
_x000D_
</t>
  </si>
  <si>
    <t>MsgBox_Help_OutletVelocity</t>
  </si>
  <si>
    <t>This is the outlet velocity through the SPECIFIC catalog valve resolved for your entered Selected Valve Cv (the same valve shown at J23 and in the box above)._x000D_
_x000D_
Formula (continuity): V = (Flow x Specific Volume at outlet) / (3600 x Port Area / 144)_x000D_
_x000D_
The port area is Belimo's published seat/port area for that specific valve. No installed pipe size is known here, so this check assumes the pipe matches the valve's own size - it does not warn about line undersizing._x000D_
_x000D_
Pass/Fail is checked against Spirax Sarco's outlet-port velocity limits, based on the Steam Type selected below: 40 m/s for wet saturated, 150 m/s for dry saturated, or 0.5 Mach for superheated steam._x000D_
_x000D_
For a more detailed check - including installed pipe sizing and line-fit warnings - use the Steam Pipe &amp; Valve Velocity section below.</t>
  </si>
  <si>
    <t>Esta es la velocidad de salida a través de la válvula ESPECÍFICA del catálogo resuelta para el Cv de Válvula Seleccionada que usted ingresó (la misma válvula mostrada en J23 y en el cuadro de arriba)._x000D_
_x000D_
Fórmula (continuidad): V = (Caudal x Volumen Específico en la salida) / (3600 x Área del Puerto / 144)_x000D_
_x000D_
El área del puerto es el área de asiento/puerto publicada por Belimo para esa válvula específica. Aquí no se conoce el tamaño de tubería instalado, por lo que esta verificación asume que la tubería coincide con el tamaño de la propia válvula; no advierte sobre tubería subdimensionada._x000D_
_x000D_
El Aprobado/Rechazado se verifica contra los límites de velocidad en el puerto de salida de Spirax Sarco, según el Tipo de Vapor seleccionado abajo: 40 m/s para saturado húmedo, 150 m/s para saturado seco, o 0.5 Mach para vapor sobrecalentado._x000D_
_x000D_
Para una verificación más detallada, incluyendo el dimensionamiento de tubería instalada y advertencias de ajuste de línea, use la sección de Velocidad de Tubería y Válvula de Vapor a continuación.</t>
  </si>
  <si>
    <t>Esta é a velocidade de saída através da válvula ESPECÍFICA do catálogo resolvida para o Cv da Válvula Selecionada que você inseriu (a mesma válvula mostrada em J23 e na caixa acima)._x000D_
_x000D_
Fórmula (continuidade): V = (Vazão x Volume Específico na saída) / (3600 x Área do Porto / 144)_x000D_
_x000D_
A área do porto é a área de sede/porto publicada pela Belimo para essa válvula específica. Nenhum tamanho de tubulação instalada é conhecido aqui, então esta verificação assume que a tubulação corresponde ao tamanho da própria válvula - não alerta sobre subdimensionamento de linha._x000D_
_x000D_
Aprovado/Reprovado é verificado em relação aos limites de velocidade do porto de saída da Spirax Sarco, com base no Tipo de Vapor selecionado abaixo: 40 m/s para saturado úmido, 150 m/s para saturado seco, ou 0.5 Mach para vapor superaquecido._x000D_
_x000D_
Para uma verificação mais detalhada - incluindo dimensionamento de tubulação instalada e alertas de compatibilidade de linha - use a seção de Velocidade de Tubulação e Válvula de Vapor abaixo.</t>
  </si>
  <si>
    <t>Il s'agit de la vitesse de sortie à travers la vanne SPÉCIFIQUE du catalogue résolue pour le Cv de Vanne Sélectionnée que vous avez saisi (la même vanne indiquée en J23 et dans la case ci-dessus)._x000D_
_x000D_
Formule (continuité) : V = (Débit x Volume Spécifique à la sortie) / (3600 x Surface du Port / 144)_x000D_
_x000D_
La surface du port est la surface de siège/port publiée par Belimo pour cette vanne spécifique. Aucune taille de tuyauterie installée n'est connue ici, donc cette vérification suppose que la tuyauterie correspond à la taille de la vanne elle-même - elle n'avertit pas d'un sous-dimensionnement de ligne._x000D_
_x000D_
Le Réussite/Échec est vérifié par rapport aux limites de vitesse du port de sortie de Spirax Sarco, selon le Type de Vapeur sélectionné ci-dessous : 40 m/s pour saturée humide, 150 m/s pour saturée sèche, ou 0,5 Mach pour vapeur surchauffée._x000D_
_x000D_
Pour une vérification plus détaillée - incluant le dimensionnement de la tuyauterie installée et les avertissements d'adéquation de ligne - utilisez la section Vitesse de Tuyauterie et Vanne Vapeur ci-dessous.</t>
  </si>
  <si>
    <t>MsgBox_Help_SteamPipeValveVel</t>
  </si>
  <si>
    <t>This is the detailed outlet velocity check for the Valve Type, Steam Type, and Supply/Outlet Pipe sizes entered below._x000D_
_x000D_
VALVE outlet port: V = (Flow x Specific Volume at outlet) / (3600 x Port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</si>
  <si>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del Puerto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</si>
  <si>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do Porto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</si>
  <si>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Surface du Port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</si>
  <si>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MsgBox_Help_SPL</t>
  </si>
  <si>
    <t>Predicted sound pressure level (SPL) at 1 meter from the outlet pipe wall, per IEC 60534-8-3:2010 (Control Valve Aerodynamic Noise Prediction Method)._x000D_
_x000D_
Uses generic FL/Fd trim constants until real Belimo per-trim values are catalogued - treat this as an estimate, not a certified rating._x000D_
_x000D_
WHAT THE dB NUMBER MEANS:_x000D_
_x000D_
  &lt; 80 dBA    Acceptable - not noisy_x000D_
  80-85 dBA   Getting loud - approaching the action level_x000D_
  85-90 dBA   Action Level - hearing protection/monitoring recommended nearby_x000D_
  &gt; 90 dBA    Urgent - very loud, exceeds the 8-hour exposure limit; consider noise mitigation_x000D_
  &gt; 110 dBA   Hazardous even briefly - noise control is not optional_x000D_
_x000D_
(Reference: OSHA 29 CFR 1910.95 / NIOSH industrial hygiene guidance - general reference points, not a pass/fail built into this calculation.)</t>
  </si>
  <si>
    <t>Nivel de presión sonora (SPL) predicho a 1 metro de la pared de la tubería de salida, según IEC 60534-8-3:2010 (Método de Predicción de Ruido Aerodinámico de Válvulas de Control)._x000D_
_x000D_
Usa constantes de trim FL/Fd genéricas hasta que se catalogen los valores reales por trim de Belimo; considere esto una estimación, no una clasificación certificada._x000D_
_x000D_
QUÉ SIGNIFICA EL NÚMERO EN dB:_x000D_
_x000D_
  &lt; 80 dBA    Aceptable - no es ruidoso_x000D_
  80-85 dBA   Se vuelve ruidoso - se acerca al nivel de acción_x000D_
  85-90 dBA   Nivel de Acción - se recomienda protección auditiva/monitoreo cerca_x000D_
  &gt; 90 dBA    Urgente - muy ruidoso, excede el límite de exposición de 8 horas; considere mitigación de ruido_x000D_
  &gt; 110 dBA   Peligroso incluso brevemente - el control de ruido no es opcional_x000D_
_x000D_
(Referencia: OSHA 29 CFR 1910.95 / guía de higiene industrial de NIOSH - puntos de referencia generales, no un aprobado/rechazado incorporado en este cálculo.)</t>
  </si>
  <si>
    <t>Nível de pressão sonora (SPL) previsto a 1 metro da parede da tubulação de saída, conforme IEC 60534-8-3:2010 (Método de Previsão de Ruído Aerodinâmico de Válvulas de Controle)._x000D_
_x000D_
Usa constantes de trim FL/Fd genéricas até que valores reais por trim da Belimo sejam catalogados - trate isso como uma estimativa, não uma classificação certificada._x000D_
_x000D_
O QUE O NÚMERO EM dB SIGNIFICA:_x000D_
_x000D_
  &lt; 80 dBA    Aceitável - não é ruidoso_x000D_
  80-85 dBA   Ficando alto - aproximando-se do nível de ação_x000D_
  85-90 dBA   Nível de Ação - proteção auditiva/monitoramento recomendado nas proximidades_x000D_
  &gt; 90 dBA    Urgente - muito alto, excede o limite de exposição de 8 horas; considere mitigação de ruído_x000D_
  &gt; 110 dBA   Perigoso mesmo brevemente - o controle de ruído não é opcional_x000D_
_x000D_
(Referência: OSHA 29 CFR 1910.95 / orientação de higiene industrial NIOSH - pontos de referência gerais, não um aprovado/reprovado incorporado neste cálculo.)</t>
  </si>
  <si>
    <t>Niveau de pression acoustique (SPL) prévu à 1 mètre de la paroi du tuyau de sortie, selon IEC 60534-8-3:2010 (Méthode de Prédiction du Bruit Aérodynamique des Vannes de Régulation)._x000D_
_x000D_
Utilise des constantes de garniture FL/Fd génériques jusqu'à ce que les valeurs réelles par garniture de Belimo soient cataloguées - considérez ceci comme une estimation, pas une valeur certifiée._x000D_
_x000D_
CE QUE SIGNIFIE LE NOMBRE EN dB :_x000D_
_x000D_
  &lt; 80 dBA    Acceptable - pas bruyant_x000D_
  80-85 dBA   Devient bruyant - approche du niveau d'action_x000D_
  85-90 dBA   Niveau d'Action - protection auditive/surveillance recommandée à proximité_x000D_
  &gt; 90 dBA    Urgent - très bruyant, dépasse la limite d'exposition de 8 heures ; envisager une atténuation du bruit_x000D_
  &gt; 110 dBA   Dangereux même brièvement - le contrôle du bruit n'est pas optionnel_x000D_
_x000D_
(Référence : OSHA 29 CFR 1910.95 / directives d'hygiène industrielle NIOSH - points de référence généraux, pas un critère réussite/échec intégré à ce calcul.)</t>
  </si>
  <si>
    <t>MsgBox_Help_ValveVel</t>
  </si>
  <si>
    <t>Port velocity through the suggested valve (above), evaluated at OUTLET steam conditions - the same convention Spirax Sarco uses for valve outlet-port limits._x000D_
_x000D_
FORMULA:_x000D_
  V (ft/s) = (W x v) / (3600 x A)_x000D_
  Mach = V (ft/s) / c_x000D_
_x000D_
  where_x000D_
  W = steam flow, lb/hr_x000D_
  v = specific volume at outlet, ft3/lb_x000D_
  A = valve port area / 144  (converts in2 to ft2)_x000D_
  c = speed of sound at outlet, ft/s_x000D_
_x000D_
The suggested valve is picked from the full catalog as the smallest-Cv match that actually PASSES this velocity/Mach check - not just the closest Cv, which can fail on a too-small port._x000D_
_x000D_
Pass/Fail limits (Spirax Sarco, outlet port): 40 m/s wet saturated, 150 m/s dry saturated, 0.5 Mach superheated.</t>
  </si>
  <si>
    <t>Velocidad en el puerto a través de la válvula sugerida (arriba), evaluada en las condiciones de vapor de SALIDA - la misma convención que usa Spirax Sarco para los límites del puerto de salida de la válvula._x000D_
_x000D_
FÓRMULA:_x000D_
  V (ft/s) = (W x v) / (3600 x A)_x000D_
  Mach = V (ft/s) / c_x000D_
_x000D_
  donde_x000D_
  W = caudal de vapor, lb/hr_x000D_
  v = volumen específico en la salida, ft3/lb_x000D_
  A = área del puerto de la válvula / 144 (convierte in2 a ft2)_x000D_
  c = velocidad del sonido en la salida, ft/s_x000D_
_x000D_
La válvula sugerida se elige del catálogo completo como la coincidencia de Cv más pequeño que realmente APRUEBA esta verificación de velocidad/Mach, no solo el Cv más cercano, que puede fallar por un puerto demasiado pequeño._x000D_
_x000D_
Límites de Aprobado/Rechazado (Spirax Sarco, puerto de salida): 40 m/s saturado húmedo, 150 m/s saturado seco, 0.5 Mach sobrecalentado.</t>
  </si>
  <si>
    <t>Velocidade no porto através da válvula sugerida (acima), avaliada nas condições de vapor de SAÍDA - a mesma convenção que a Spirax Sarco usa para os limites do porto de saída da válvula._x000D_
_x000D_
FÓRMULA:_x000D_
  V (ft/s) = (W x v) / (3600 x A)_x000D_
  Mach = V (ft/s) / c_x000D_
_x000D_
  onde_x000D_
  W = vazão de vapor, lb/hr_x000D_
  v = volume específico na saída, ft3/lb_x000D_
  A = área do porto da válvula / 144 (converte in2 para ft2)_x000D_
  c = velocidade do som na saída, ft/s_x000D_
_x000D_
A válvula sugerida é escolhida do catálogo completo como a correspondência de menor Cv que realmente PASSA nesta verificação de velocidade/Mach - não apenas o Cv mais próximo, que pode falhar por um porto pequeno demais._x000D_
_x000D_
Limites de Aprovado/Reprovado (Spirax Sarco, porto de saída): 40 m/s saturado úmido, 150 m/s saturado seco, 0.5 Mach superaquecido.</t>
  </si>
  <si>
    <t>Vitesse au port à travers la vanne suggérée (ci-dessus), évaluée dans les conditions de vapeur de SORTIE - la même convention que Spirax Sarco utilise pour les limites du port de sortie de la vanne._x000D_
_x000D_
FORMULE :_x000D_
  V (ft/s) = (W x v) / (3600 x A)_x000D_
  Mach = V (ft/s) / c_x000D_
_x000D_
  où_x000D_
  W = débit de vapeur, lb/hr_x000D_
  v = volume spécifique à la sortie, ft3/lb_x000D_
  A = surface du port de la vanne / 144 (convertit in2 en ft2)_x000D_
  c = vitesse du son à la sortie, ft/s_x000D_
_x000D_
La vanne suggérée est choisie dans le catalogue complet comme la correspondance de Cv le plus petit qui RÉUSSIT réellement cette vérification de vitesse/Mach - pas seulement le Cv le plus proche, qui peut échouer sur un port trop petit._x000D_
_x000D_
Limites de Réussite/Échec (Spirax Sarco, port de sortie) : 40 m/s saturée humide, 150 m/s saturée sèche, 0,5 Mach surchauffée.</t>
  </si>
  <si>
    <t>MsgBox_Help_InletPipeSize_A</t>
  </si>
  <si>
    <t>Smallest standard Schedule 40 pipe size that keeps INLET steam velocity at or below the Target Velocity above (currently</t>
  </si>
  <si>
    <t>El tamaño de tubería Cédula 40 estándar más pequeño que mantiene la velocidad de vapor de ENTRADA en o por debajo de la Velocidad Objetivo indicada arriba (actualmente</t>
  </si>
  <si>
    <t>O menor tamanho de tubulação Schedule 40 padrão que mantém a velocidade do vapor de ENTRADA em ou abaixo da Velocidade Alvo acima (atualmente</t>
  </si>
  <si>
    <t>La plus petite taille de tuyau Schedule 40 standard qui maintient la vitesse de vapeur d'ENTRÉE à ou en dessous de la Vitesse Cible ci-dessus (actuellement</t>
  </si>
  <si>
    <t>MsgBox_Help_InletPipeSize_B</t>
  </si>
  <si>
    <t>ft/s) - selectable as 50/80/120 ft/s, matching the same reference speeds used in the detailed Steam Pipe &amp; Valve Velocity check below._x000D_
_x000D_
FORMULA:_x000D_
  A (required) = (W x v) / (3600 x Target Velocity)_x000D_
_x000D_
  where_x000D_
  W = steam flow, lb/hr_x000D_
  v = specific volume at inlet, ft3/lb_x000D_
  Target Velocity =</t>
  </si>
  <si>
    <t>ft/s) - seleccionable como 50/80/120 ft/s, coincidiendo con las mismas velocidades de referencia usadas en la verificación detallada de Velocidad de Tubería y Válvula de Vapor a continuación._x000D_
_x000D_
FÓRMULA:_x000D_
  A (requerida) = (W x v) / (3600 x Velocidad Objetivo)_x000D_
_x000D_
  donde_x000D_
  W = caudal de vapor, lb/hr_x000D_
  v = volumen específico en la entrada, ft3/lb_x000D_
  Velocidad Objetivo =</t>
  </si>
  <si>
    <t>ft/s) - selecionável como 50/80/120 ft/s, correspondendo às mesmas velocidades de referência usadas na verificação detalhada de Velocidade de Tubulação e Válvula de Vapor abaixo._x000D_
_x000D_
FÓRMULA:_x000D_
  A (necessária) = (W x v) / (3600 x Velocidade Alvo)_x000D_
_x000D_
  onde_x000D_
  W = vazão de vapor, lb/hr_x000D_
  v = volume específico na entrada, ft3/lb_x000D_
  Velocidade Alvo =</t>
  </si>
  <si>
    <t>ft/s) - sélectionnable comme 50/80/120 ft/s, correspondant aux mêmes vitesses de référence utilisées dans la vérification détaillée de Vitesse de Tuyauterie et Vanne Vapeur ci-dessous._x000D_
_x000D_
FORMULE :_x000D_
  A (requise) = (W x v) / (3600 x Vitesse Cible)_x000D_
_x000D_
  où_x000D_
  W = débit de vapeur, lb/hr_x000D_
  v = volume spécifique à l'entrée, ft3/lb_x000D_
  Vitesse Cible =</t>
  </si>
  <si>
    <t>MsgBox_Help_InletPipeSize_C</t>
  </si>
  <si>
    <t>ft/s (selected above)_x000D_
_x000D_
The tool then picks the smallest standard NPS size (Config sheet, ASME B36.10 table) whose actual bore area is &gt;= the required area._x000D_
_x000D_
Uses INLET specific volume (steam at PI, before it expands through the valve) - see the Outlet Pipe Size help for why the outlet line is sized differently.</t>
  </si>
  <si>
    <t>ft/s (seleccionada arriba)_x000D_
_x000D_
La herramienta entonces elige el tamaño NPS estándar más pequeño (hoja Config, tabla ASME B36.10) cuya área de diámetro interior real sea &gt;= al área requerida._x000D_
_x000D_
Usa el volumen específico de ENTRADA (vapor en PI, antes de expandirse a través de la válvula); consulte la ayuda de Tamaño de Tubería de Salida para saber por qué la línea de salida se dimensiona de manera diferente.</t>
  </si>
  <si>
    <t>ft/s (selecionada acima)_x000D_
_x000D_
A ferramenta então escolhe o menor tamanho NPS padrão (planilha Config, tabela ASME B36.10) cuja área de diâmetro interno real seja &gt;= à área necessária._x000D_
_x000D_
Usa o volume específico de ENTRADA (vapor em PI, antes de se expandir através da válvula) - veja a ajuda de Tamanho de Tubulação de Saída para saber por que a linha de saída é dimensionada de forma diferente.</t>
  </si>
  <si>
    <t>ft/s (sélectionnée ci-dessus)_x000D_
_x000D_
L'outil choisit ensuite la plus petite taille NPS standard (feuille Config, tableau ASME B36.10) dont la surface d'alésage réelle est &gt;= à la surface requise._x000D_
_x000D_
Utilise le volume spécifique d'ENTRÉE (vapeur à PI, avant qu'elle ne se détende à travers la vanne) - voir l'aide Taille de Tuyauterie de Sortie pour savoir pourquoi la ligne de sortie est dimensionnée différemment.</t>
  </si>
  <si>
    <t>MsgBox_Help_OutletPipeSize</t>
  </si>
  <si>
    <t>RULE: the outlet pipe shown here is simply ONE standard pipe size larger than the suggested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</si>
  <si>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sugerido,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</si>
  <si>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sugerido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</si>
  <si>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suggérée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</si>
  <si>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MsgBox_Help_InletPipeVel</t>
  </si>
  <si>
    <t>Actual velocity through the suggested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</si>
  <si>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sugerido,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</si>
  <si>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sugerido,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</si>
  <si>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suggérée,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</si>
  <si>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MsgBox_Help_OutletPipeVel</t>
  </si>
  <si>
    <t>Actual velocity through the suggested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</si>
  <si>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sugerido,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</si>
  <si>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sugerido,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</si>
  <si>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suggérée,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</si>
  <si>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MsgBox_Help_MinFlow</t>
  </si>
  <si>
    <t>Enter the LOWEST steam flow this valve needs to control down to - NOT the design/peak flow already entered on the Calculator tab._x000D_
_x000D_
WHERE THIS COMES FROM:_x000D_
_x000D_
  - The customer's or engineer's stated turndown requirement, if given (e.g. 5:1 turndown = design flow / 5)._x000D_
  - The actual minimum-load condition of the application - e.g. for a heating coil with outdoor-air reset, the flow at the mildest day it still needs to modulate on; for a process heat exchanger, the process's own minimum throughput._x000D_
_x000D_
EXAMPLE:_x000D_
  Design flow 1,245 lb/hr with a 5:1 turndown requirement -&gt; enter 249 lb/hr here._x000D_
_x000D_
If you don't know the minimum load, leave this blank. A guessed value produces a confidently wrong split-vs-single recommendation - worse than no recommendation at all.</t>
  </si>
  <si>
    <t>Ingrese el caudal de vapor MÁS BAJO que esta válvula necesita controlar, NO el caudal de diseño/pico ya ingresado en la pestaña Calculator._x000D_
_x000D_
DE DÓNDE VIENE ESTO:_x000D_
_x000D_
  - El requisito de rangeabilidad declarado por el cliente o ingeniero, si se proporciona (por ejemplo, rangeabilidad 5:1 = caudal de diseño / 5)._x000D_
  - La condición real de carga mínima de la aplicación; por ejemplo, para un serpentín de calefacción con reinicio por aire exterior, el caudal en el día más templado en que aún necesita modular; para un intercambiador de calor de proceso, el rendimiento mínimo propio del proceso._x000D_
_x000D_
EJEMPLO:_x000D_
  Caudal de diseño de 1,245 lb/hr con un requisito de rangeabilidad 5:1 -&gt; ingrese 249 lb/hr aquí._x000D_
_x000D_
Si no conoce la carga mínima, deje esto en blanco. Un valor supuesto produce una recomendación de dividir vs. individual confiadamente incorrecta, peor que ninguna recomendación en absoluto.</t>
  </si>
  <si>
    <t>Insira a MENOR vazão de vapor que esta válvula precisa controlar - NÃO a vazão de projeto/pico já inserida na aba Calculator._x000D_
_x000D_
DE ONDE ISSO VEM:_x000D_
_x000D_
  - O requisito de turndown declarado pelo cliente ou engenheiro, se fornecido (por exemplo, turndown 5:1 = vazão de projeto / 5)._x000D_
  - A condição real de carga mínima da aplicação - por exemplo, para uma serpentina de aquecimento com reset por ar externo, a vazão no dia mais ameno em que ainda precisa modular; para um trocador de calor de processo, o rendimento mínimo próprio do processo._x000D_
_x000D_
EXEMPLO:_x000D_
  Vazão de projeto de 1.245 lb/hr com um requisito de turndown 5:1 -&gt; insira 249 lb/hr aqui._x000D_
_x000D_
Se você não souber a carga mínima, deixe isso em branco. Um valor estimado produz uma recomendação de divisão vs. única confiantemente errada - pior do que nenhuma recomendação.</t>
  </si>
  <si>
    <t>Saisissez le débit de vapeur LE PLUS BAS que cette vanne doit contrôler jusqu'à - PAS le débit de conception/pic déjà saisi dans l'onglet Calculator._x000D_
_x000D_
D'OÙ CELA VIENT :_x000D_
_x000D_
  - L'exigence de rabattement déclarée par le client ou l'ingénieur, si fournie (par exemple, rabattement 5:1 = débit de conception / 5)._x000D_
  - La condition de charge minimale réelle de l'application - par exemple, pour une batterie de chauffage avec réinitialisation par air extérieur, le débit au jour le plus doux où elle doit encore moduler ; pour un échangeur de chaleur de procédé, le débit minimal propre du procédé._x000D_
_x000D_
EXEMPLE :_x000D_
  Débit de conception de 1 245 lb/hr avec une exigence de rabattement 5:1 -&gt; saisissez 249 lb/hr ici._x000D_
_x000D_
Si vous ne connaissez pas la charge minimale, laissez ce champ vide. Une valeur devinée produit une recommandation divisée-contre-unique faussement confiante - pire que pas de recommandation du tout.</t>
  </si>
  <si>
    <t>MsgBox_Help_PipingDiagram</t>
  </si>
  <si>
    <t>Steam Control Valve Piping - Recommended Arrangement_x000D_
_x000D_
INLET SIDE (upstream of the valve):_x000D_
  - Butterfly (shutoff) valve - isolates the control valve for service/maintenance without shutting down the whole steam line._x000D_
  - Y-strainer - catches scale, weld slag, and pipe debris before it reaches the control valve's seat and trim. Unfiltered steam is one of the most common causes of premature seat wear and valve leak-by._x000D_
  - Inlet pressure gauge - confirms the actual inlet pressure at the valve matches the design pressure used for this sizing._x000D_
  - 10 pipe diameters of straight run immediately before the valve - lets the flow profile settle after the strainer and any upstream elbows/tees. Steam arriving with a skewed or swirling flow profile sizes and controls less predictably than the fully-developed flow this tool assumes._x000D_
_x000D_
OUTLET SIDE (downstream of the valve):_x000D_
  - Expander to one pipe size LARGER than the inlet line - see 'Why does steam expand?' below._x000D_
  - Outlet pressure gauge - confirms the actual pressure drop achieved across the valve._x000D_
  - 10 pipe diameters of straight run after the valve - lets the turbulent post-valve flow settle before the outlet gauge reading or the next fitting, for an accurate reading and to avoid unnecessary noise/vibration right at the valve._x000D_
_x000D_
WHY DOES STEAM EXPAND ACROSS THE VALVE?_x000D_
Steam is compressible. As its pressure drops across the control valve, its specific volume (the space one pound of steam occupies) increases significantly. The valve passes the same MASS flow rate (lb/hr) on both sides, but at the lower outlet pressure that same mass now occupies much more volume. Since velocity = volumetric flow / pipe area, keeping the outlet pipe the same size as the inlet would let velocity spike well above the inlet velocity - risking noise, erosion, and vibration. Stepping the outlet pipe up one size increases the flow area enough to bring velocity back into an acceptable range for the larger volumetric flow._x000D_
_x000D_
WHY THIS ARRANGEMENT MATTERS_x000D_
Skipping any of this - undersized outlet piping, no straight run, no strainer - is one of the most common reasons a control valve that sizes fine on paper performs poorly, runs loud, or wears out early in the field.</t>
  </si>
  <si>
    <t>Tubería de Válvula de Control de Vapor - Disposición Recomendada_x000D_
_x000D_
LADO DE ENTRADA (aguas arriba de la válvula):_x000D_
  - Válvula de mariposa (cierre) - aísla la válvula de control para servicio/mantenimiento sin cerrar toda la línea de vapor._x000D_
  - Filtro tipo Y - atrapa incrustaciones, escoria de soldadura y residuos de tubería antes de que lleguen al asiento y trim de la válvula de control. El vapor sin filtrar es una de las causas más comunes de desgaste prematuro del asiento y fuga en la válvula._x000D_
  - Manómetro de presión de entrada - confirma que la presión de entrada real en la válvula coincide con la presión de diseño usada para este dimensionamiento._x000D_
  - 10 diámetros de tubería en tramo recto inmediatamente antes de la válvula - permite que el perfil de flujo se estabilice después del filtro y de cualquier codo/té aguas arriba. El vapor que llega con un perfil de flujo sesgado o turbulento se dimensiona y controla de manera menos predecible que el flujo totalmente desarrollado que asume esta herramienta._x000D_
_x000D_
LADO DE SALIDA (aguas abajo de la válvula):_x000D_
  - Ampliador a un tamaño de tubería MÁS GRANDE que la línea de entrada; vea '¿Por qué se expande el vapor?' abajo._x000D_
  - Manómetro de presión de salida - confirma la caída de presión real lograda a través de la válvula._x000D_
  - 10 diámetros de tubería en tramo recto después de la válvula - permite que el flujo turbulento posterior a la válvula se estabilice antes de la lectura del manómetro de salida o del siguiente accesorio, para una lectura precisa y para evitar ruido/vibración innecesarios justo en la válvula._x000D_
_x000D_
¿POR QUÉ SE EXPANDE EL VAPOR A TRAVÉS DE LA VÁLVULA?_x000D_
El vapor es compresible. A medida que su presión cae a través de la válvula de control, su volumen específico (el espacio que ocupa una libra de vapor) aumenta significativamente. La válvula pasa la misma tasa de flujo MÁSICO (lb/hr) en ambos lados, pero a la presión de salida más baja esa misma masa ahora ocupa mucho más volumen. Dado que velocidad = caudal volumétrico / área de tubería, mantener la tubería de salida del mismo tamaño que la de entrada permitiría que la velocidad se dispare muy por encima de la velocidad de entrada, arriesgando ruido, erosión y vibración. Aumentar la tubería de salida un tamaño incrementa el área de flujo lo suficiente para devolver la velocidad a un rango aceptable para el mayor caudal volumétrico._x000D_
_x000D_
¿POR QUÉ IMPORTA ESTA DISPOSICIÓN?_x000D_
Omitir cualquiera de estos elementos - tubería de salida subdimensionada, sin tramo recto, sin filtro - es una de las razones más comunes por las que una válvula de control que se dimensiona bien en papel funciona mal, hace ruido o se desgasta prematuramente en el campo.</t>
  </si>
  <si>
    <t>Tubulação da Válvula de Controle de Vapor - Arranjo Recomendado_x000D_
_x000D_
LADO DE ENTRADA (a montante da válvula):_x000D_
  - Válvula borboleta (bloqueio) - isola a válvula de controle para serviço/manutenção sem desligar toda a linha de vapor._x000D_
  - Filtro tipo Y - captura incrustações, escória de solda e detritos de tubulação antes que cheguem ao assento e trim da válvula de controle. Vapor não filtrado é uma das causas mais comuns de desgaste prematuro do assento e vazamento na válvula._x000D_
  - Manômetro de pressão de entrada - confirma que a pressão de entrada real na válvula corresponde à pressão de projeto usada para este dimensionamento._x000D_
  - 10 diâmetros de tubulação em trecho reto imediatamente antes da válvula - permite que o perfil de fluxo se estabilize após o filtro e quaisquer cotovelos/tês a montante. Vapor chegando com um perfil de fluxo distorcido ou turbulento dimensiona e controla de forma menos previsível do que o fluxo totalmente desenvolvido que esta ferramenta assume._x000D_
_x000D_
LADO DE SAÍDA (a jusante da válvula):_x000D_
  - Expansor para um tamanho de tubulação MAIOR que a linha de entrada - veja 'Por que o vapor se expande?' abaixo._x000D_
  - Manômetro de pressão de saída - confirma a queda de pressão real alcançada através da válvula._x000D_
  - 10 diâmetros de tubulação em trecho reto após a válvula - permite que o fluxo turbulento pós-válvula se estabilize antes da leitura do manômetro de saída ou da próxima conexão, para uma leitura precisa e para evitar ruído/vibração desnecessários bem na válvula._x000D_
_x000D_
POR QUE O VAPOR SE EXPANDE ATRAVÉS DA VÁLVULA?_x000D_
O vapor é compressível. À medida que sua pressão cai através da válvula de controle, seu volume específico (o espaço que uma libra de vapor ocupa) aumenta significativamente. A válvula passa a mesma taxa de fluxo MÁSSICO (lb/hr) em ambos os lados, mas na pressão de saída mais baixa essa mesma massa agora ocupa muito mais volume. Como velocidade = fluxo volumétrico / área da tubulação, manter a tubulação de saída do mesmo tamanho que a de entrada permitiria que a velocidade disparasse bem acima da velocidade de entrada - arriscando ruído, erosão e vibração. Aumentar a tubulação de saída em um tamanho aumenta a área de fluxo o suficiente para trazer a velocidade de volta a uma faixa aceitável para o maior fluxo volumétrico._x000D_
_x000D_
POR QUE ESSE ARRANJO IMPORTA_x000D_
Pular qualquer um desses itens - tubulação de saída subdimensionada, sem trecho reto, sem filtro - é uma das razões mais comuns pelas quais uma válvula de controle que se dimensiona bem no papel tem desempenho ruim, funciona com ruído ou desgasta precocemente em campo.</t>
  </si>
  <si>
    <t>Tuyauterie de Vanne de Régulation Vapeur - Disposition Recommandée_x000D_
_x000D_
CÔTÉ ENTRÉE (en amont de la vanne) :_x000D_
  - Vanne papillon (sectionnement) - isole la vanne de régulation pour l'entretien/la maintenance sans arrêter toute la ligne de vapeur._x000D_
  - Filtre en Y - capte le tartre, les scories de soudure et les débris de tuyauterie avant qu'ils n'atteignent le siège et la garniture de la vanne de régulation. La vapeur non filtrée est l'une des causes les plus courantes d'usure prématurée du siège et de fuite de la vanne._x000D_
  - Manomètre de pression d'entrée - confirme que la pression d'entrée réelle à la vanne correspond à la pression de conception utilisée pour ce dimensionnement._x000D_
  - 10 diamètres de tuyau en ligne droite immédiatement avant la vanne - permet au profil d'écoulement de se stabiliser après le filtre et tout coude/té en amont. La vapeur arrivant avec un profil d'écoulement faussé ou tourbillonnant se dimensionne et se régule de manière moins prévisible que l'écoulement pleinement développé que suppose cet outil._x000D_
_x000D_
CÔTÉ SORTIE (en aval de la vanne) :_x000D_
  - Élargisseur vers une taille de tuyau PLUS GRANDE que la ligne d'entrée - voir « Pourquoi la vapeur se détend-elle ? » ci-dessous._x000D_
  - Manomètre de pression de sortie - confirme la chute de pression réelle obtenue à travers la vanne._x000D_
  - 10 diamètres de tuyau en ligne droite après la vanne - permet à l'écoulement turbulent post-vanne de se stabiliser avant la lecture du manomètre de sortie ou le raccord suivant, pour une lecture précise et pour éviter du bruit/des vibrations inutiles juste à la vanne._x000D_
_x000D_
POURQUOI LA VAPEUR SE DÉTEND-ELLE À TRAVERS LA VANNE ?_x000D_
La vapeur est compressible. Lorsque sa pression chute à travers la vanne de régulation, son volume spécifique (l'espace qu'occupe une livre de vapeur) augmente considérablement. La vanne laisse passer le même débit MASSIQUE (lb/hr) des deux côtés, mais à la pression de sortie plus basse, cette même masse occupe désormais beaucoup plus de volume. Puisque vitesse = débit volumétrique / surface du tuyau, garder le tuyau de sortie de la même taille que l'entrée permettrait à la vitesse de grimper bien au-dessus de la vitesse d'entrée - risquant bruit, érosion et vibrations. Augmenter le tuyau de sortie d'une taille augmente suffisamment la surface d'écoulement pour ramener la vitesse dans une plage acceptable pour le débit volumétrique plus important._x000D_
_x000D_
POURQUOI CETTE DISPOSITION EST IMPORTANTE_x000D_
Omettre l'un de ces éléments - tuyauterie de sortie sous-dimensionnée, pas de ligne droite, pas de filtre - est l'une des raisons les plus courantes pour lesquelles une vanne de régulation bien dimensionnée sur le papier fonctionne mal, est bruyante ou s'use prématurément sur le terrain.</t>
  </si>
  <si>
    <t>MsgBoxTitle_CheckForUpdate</t>
  </si>
  <si>
    <t>Check for Update</t>
  </si>
  <si>
    <t>Buscar Actualización</t>
  </si>
  <si>
    <t>Verificar Atualização</t>
  </si>
  <si>
    <t>Rechercher une Mise à Jour</t>
  </si>
  <si>
    <t>MsgBoxTitle_SaveRequired</t>
  </si>
  <si>
    <t>Save Required</t>
  </si>
  <si>
    <t>Se Requiere Guardar</t>
  </si>
  <si>
    <t>Salvamento Necessário</t>
  </si>
  <si>
    <t>Enregistrement Requis</t>
  </si>
  <si>
    <t>MsgBoxTitle_AutoUpdate</t>
  </si>
  <si>
    <t>Auto Update</t>
  </si>
  <si>
    <t>Actualización Automática</t>
  </si>
  <si>
    <t>Atualização Automática</t>
  </si>
  <si>
    <t>Mise à Jour Automatique</t>
  </si>
  <si>
    <t>MsgBox_Update_ReasonLabel</t>
  </si>
  <si>
    <t>Reason:</t>
  </si>
  <si>
    <t>Motivo:</t>
  </si>
  <si>
    <t>Raison :</t>
  </si>
  <si>
    <t>MsgBox_Update_MustBeSavedForUpdates</t>
  </si>
  <si>
    <t>This workbook must be saved before checking for updates.</t>
  </si>
  <si>
    <t>Este libro debe guardarse antes de buscar actualizaciones.</t>
  </si>
  <si>
    <t>Esta pasta de trabalho deve ser salva antes de verificar atualizações.</t>
  </si>
  <si>
    <t>Ce classeur doit être enregistré avant de rechercher des mises à jour.</t>
  </si>
  <si>
    <t>MsgBox_Update_CannotWriteTo_Prefix</t>
  </si>
  <si>
    <t>Cannot write to:</t>
  </si>
  <si>
    <t>No se puede escribir en:</t>
  </si>
  <si>
    <t>Não é possível gravar em:</t>
  </si>
  <si>
    <t>Impossible d'écrire dans :</t>
  </si>
  <si>
    <t>MsgBox_Update_NoInternet</t>
  </si>
  <si>
    <t>No internet connection detected. Please try again later.</t>
  </si>
  <si>
    <t>No se detectó conexión a Internet. Inténtelo de nuevo más tarde.</t>
  </si>
  <si>
    <t>Nenhuma conexão com a Internet detectada. Tente novamente mais tarde.</t>
  </si>
  <si>
    <t>Aucune connexion Internet détectée. Veuillez réessayer plus tard.</t>
  </si>
  <si>
    <t>MsgBox_Update_UnableToReachGithub</t>
  </si>
  <si>
    <t>Unable to reach GitHub for Version.txt.</t>
  </si>
  <si>
    <t>No se pudo conectar con GitHub para obtener Version.txt.</t>
  </si>
  <si>
    <t>Não foi possível acessar o GitHub para obter o Version.txt.</t>
  </si>
  <si>
    <t>Impossible d'accéder à GitHub pour Version.txt.</t>
  </si>
  <si>
    <t>MsgBox_Update_VersionTxtEmpty</t>
  </si>
  <si>
    <t>Version.txt is empty.</t>
  </si>
  <si>
    <t>Version.txt está vacío.</t>
  </si>
  <si>
    <t>O Version.txt está vazio.</t>
  </si>
  <si>
    <t>Version.txt est vide.</t>
  </si>
  <si>
    <t>MsgBox_Update_VersionTxtInvalid</t>
  </si>
  <si>
    <t>Version.txt is invalid (no version).</t>
  </si>
  <si>
    <t>Version.txt no es válido (sin número de versión).</t>
  </si>
  <si>
    <t>O Version.txt é inválido (sem número de versão).</t>
  </si>
  <si>
    <t>Version.txt n'est pas valide (aucune version).</t>
  </si>
  <si>
    <t>MsgBox_Update_UpToDate_Prefix</t>
  </si>
  <si>
    <t>You are using the latest version.</t>
  </si>
  <si>
    <t>Está utilizando la última versión.</t>
  </si>
  <si>
    <t>Você está usando a versão mais recente.</t>
  </si>
  <si>
    <t>Vous utilisez la dernière version.</t>
  </si>
  <si>
    <t>MsgBox_Update_LocalLabel</t>
  </si>
  <si>
    <t>Local:</t>
  </si>
  <si>
    <t>Local :</t>
  </si>
  <si>
    <t>MsgBox_Update_RemoteLabel</t>
  </si>
  <si>
    <t>Remote:</t>
  </si>
  <si>
    <t>Remoto:</t>
  </si>
  <si>
    <t>Distant :</t>
  </si>
  <si>
    <t>MsgBox_Update_DownloadFailed_Prefix</t>
  </si>
  <si>
    <t>Unable to download update from GitHub.</t>
  </si>
  <si>
    <t>No se pudo descargar la actualización desde GitHub.</t>
  </si>
  <si>
    <t>Não foi possível baixar a atualização do GitHub.</t>
  </si>
  <si>
    <t>Impossible de télécharger la mise à jour depuis GitHub.</t>
  </si>
  <si>
    <t>MsgBox_Update_404Hint</t>
  </si>
  <si>
    <t>A 404 here means the release file hasn't been uploaded to the repo yet under that exact name.</t>
  </si>
  <si>
    <t>Un error 404 aquí significa que el archivo de la versión aún no se ha subido al repositorio con ese nombre exacto.</t>
  </si>
  <si>
    <t>Um erro 404 aqui significa que o arquivo da versão ainda não foi enviado ao repositório com esse nome exato.</t>
  </si>
  <si>
    <t>Une erreur 404 ici signifie que le fichier de version n'a pas encore été téléversé dans le dépôt sous ce nom exact.</t>
  </si>
  <si>
    <t>MsgBox_Update_DownloadedEmpty</t>
  </si>
  <si>
    <t>Downloaded file is empty.</t>
  </si>
  <si>
    <t>El archivo descargado está vacío.</t>
  </si>
  <si>
    <t>O arquivo baixado está vazio.</t>
  </si>
  <si>
    <t>Le fichier téléchargé est vide.</t>
  </si>
  <si>
    <t>MsgBox_Update_NotValidWorkbook</t>
  </si>
  <si>
    <t>The downloaded file doesn't look like a valid Excel workbook. Update cancelled.</t>
  </si>
  <si>
    <t>El archivo descargado no parece ser un libro de Excel válido. Actualización cancelada.</t>
  </si>
  <si>
    <t>O arquivo baixado não parece ser uma pasta de trabalho do Excel válida. Atualização cancelada.</t>
  </si>
  <si>
    <t>Le fichier téléchargé ne ressemble pas à un classeur Excel valide. Mise à jour annulée.</t>
  </si>
  <si>
    <t>MsgBox_Update_LooksIncomplete</t>
  </si>
  <si>
    <t>The downloaded file looks incomplete. Update cancelled.</t>
  </si>
  <si>
    <t>El archivo descargado parece estar incompleto. Actualización cancelada.</t>
  </si>
  <si>
    <t>O arquivo baixado parece estar incompleto. Atualização cancelada.</t>
  </si>
  <si>
    <t>Le fichier téléchargé semble incomplet. Mise à jour annulée.</t>
  </si>
  <si>
    <t>MsgBox_Update_FailedWriteTemp</t>
  </si>
  <si>
    <t>Failed to write the downloaded file to TEMP.</t>
  </si>
  <si>
    <t>No se pudo escribir el archivo descargado en TEMP.</t>
  </si>
  <si>
    <t>Falha ao gravar o arquivo baixado em TEMP.</t>
  </si>
  <si>
    <t>Échec de l'écriture du fichier téléchargé dans TEMP.</t>
  </si>
  <si>
    <t>MsgBox_Update_FailedCopyFolder</t>
  </si>
  <si>
    <t>Failed to copy the downloaded file into the folder.</t>
  </si>
  <si>
    <t>No se pudo copiar el archivo descargado a la carpeta.</t>
  </si>
  <si>
    <t>Falha ao copiar o arquivo baixado para a pasta.</t>
  </si>
  <si>
    <t>Échec de la copie du fichier téléchargé dans le dossier.</t>
  </si>
  <si>
    <t>MsgBox_Update_FailedOpenNewFile</t>
  </si>
  <si>
    <t>Failed to open the new file.</t>
  </si>
  <si>
    <t>No se pudo abrir el archivo nuevo.</t>
  </si>
  <si>
    <t>Falha ao abrir o novo arquivo.</t>
  </si>
  <si>
    <t>Échec de l'ouverture du nouveau fichier.</t>
  </si>
  <si>
    <t>MsgBox_Update_DiscardedNotRight</t>
  </si>
  <si>
    <t>The downloaded update opened but doesn't look right, so it was discarded._x000D_
You're still on the current version.</t>
  </si>
  <si>
    <t>La actualización descargada se abrió pero no parece correcta, por lo que se descartó._x000D_
Sigue utilizando la versión actual.</t>
  </si>
  <si>
    <t>A atualização baixada foi aberta, mas não parece estar correta, então foi descartada._x000D_
Você ainda está na versão atual.</t>
  </si>
  <si>
    <t>La mise à jour téléchargée s'est ouverte mais ne semble pas correcte, elle a donc été ignorée._x000D_
Vous utilisez toujours la version actuelle.</t>
  </si>
  <si>
    <t>MsgBox_Update_NotLocalDrive</t>
  </si>
  <si>
    <t>This workbook isn't saved to a local drive, so it can't check for updates from here._x000D_
_x000D_
Use File &gt; Save As to save a local copy first, then try again.</t>
  </si>
  <si>
    <t>Este libro no está guardado en una unidad local, por lo que no puede buscar actualizaciones desde aquí._x000D_
_x000D_
Use Archivo &gt; Guardar como para guardar primero una copia local y vuelva a intentarlo.</t>
  </si>
  <si>
    <t>Esta pasta de trabalho não está salva em uma unidade local, portanto não é possível verificar atualizações a partir daqui._x000D_
_x000D_
Use Arquivo &gt; Salvar como para salvar primeiro uma cópia local e tente novamente.</t>
  </si>
  <si>
    <t>Ce classeur n'est pas enregistré sur un lecteur local, il ne peut donc pas rechercher de mises à jour depuis ici._x000D_
_x000D_
Utilisez Fichier &gt; Enregistrer sous pour enregistrer d'abord une copie locale, puis réessayez.</t>
  </si>
  <si>
    <t>MsgBox_Update_SaveNowQuestion_Suffix</t>
  </si>
  <si>
    <t>Save now?</t>
  </si>
  <si>
    <t>¿Guardar ahora?</t>
  </si>
  <si>
    <t>Salvar agora?</t>
  </si>
  <si>
    <t>Enregistrer maintenant ?</t>
  </si>
  <si>
    <t>MsgBox_Update_CheckFailed_Prefix</t>
  </si>
  <si>
    <t>Update check failed:</t>
  </si>
  <si>
    <t>Error al buscar actualizaciones:</t>
  </si>
  <si>
    <t>Falha na verificação de atualizações:</t>
  </si>
  <si>
    <t>Échec de la vérification des mises à jour :</t>
  </si>
  <si>
    <t>MsgBox_Update_AutoUpdateIssue_Prefix</t>
  </si>
  <si>
    <t>Auto-update encountered an issue:</t>
  </si>
  <si>
    <t>La actualización automática encontró un problema:</t>
  </si>
  <si>
    <t>A atualização automática encontrou um problema:</t>
  </si>
  <si>
    <t>La mise à jour automatique a rencontré un problème :</t>
  </si>
  <si>
    <t>MsgBox_Update_ErrorLabel</t>
  </si>
  <si>
    <t>Error</t>
  </si>
  <si>
    <t>Erro</t>
  </si>
  <si>
    <t>Erreur</t>
  </si>
  <si>
    <t>ConfigList|App_Coil</t>
  </si>
  <si>
    <t>ConfigList|App_FinTube</t>
  </si>
  <si>
    <t>ConfigList|App_HeatExchanger</t>
  </si>
  <si>
    <t>ConfigList|App_Radiator</t>
  </si>
  <si>
    <t>ConfigList|Ctrl_OnOff</t>
  </si>
  <si>
    <t>ConfigList|Ctrl_Modulating</t>
  </si>
  <si>
    <t>ConfigList|SteamType_DrySaturated</t>
  </si>
  <si>
    <t>ConfigList|SteamType_WetSaturated</t>
  </si>
  <si>
    <t>ConfigList|SteamType_Superheated</t>
  </si>
  <si>
    <t>LBL_BELIMO_STEAM_VALVE_SIZING_TOOL</t>
  </si>
  <si>
    <t>HDR_APPLICATION_DATA</t>
  </si>
  <si>
    <t>LBL_APPLICATION_APP</t>
  </si>
  <si>
    <t>LBL_ON_OFF_OR_MODULATING_CONTROL_CTRL</t>
  </si>
  <si>
    <t>HDR_STEAM_DATA</t>
  </si>
  <si>
    <t>LBL_FLOWRATE_Q</t>
  </si>
  <si>
    <t>LBL_SUPPLY_INLET_PRESSURE_PI</t>
  </si>
  <si>
    <t>LBL_OUTLET_PRESSURE_PO</t>
  </si>
  <si>
    <t>LBL_ATMOSPHERIC_PRESSURE_AP</t>
  </si>
  <si>
    <t>HDR_CV_CALCULATOR_RESULTS</t>
  </si>
  <si>
    <t>LBL_VALVE_SELECTION</t>
  </si>
  <si>
    <t>LBL_CONVERTED_FLOWRATE_Q</t>
  </si>
  <si>
    <t>LBL_CORRECTED_PRESSURE_DROP</t>
  </si>
  <si>
    <t>LBL_CORRECTED_DROP_RATIO_P_CORR_P1</t>
  </si>
  <si>
    <t>LBL_INLET_PRESSURE_PI</t>
  </si>
  <si>
    <t>LBL_FLOW_REGIME</t>
  </si>
  <si>
    <t>LBL_OUTLET_PRESSURE_AP_POA</t>
  </si>
  <si>
    <t>LBL_INLET_ABSOLUTE_PRESSURE_P1_ABS</t>
  </si>
  <si>
    <t>LBL_CORRECTED_OUTLET_ABS_PRESSURE_P2</t>
  </si>
  <si>
    <t>LBL_CORRECTED_FLOW_OUTPUT</t>
  </si>
  <si>
    <t>HDR_SUGGESTED_VALVE_PIPE_SIZE</t>
  </si>
  <si>
    <t>HDR_PIPE_VALVE_VELOCITY_CHECK</t>
  </si>
  <si>
    <t>LBL_TARGET_VELOCITY_FT_S</t>
  </si>
  <si>
    <t>LBL_VALVE_TYPE</t>
  </si>
  <si>
    <t>LBL_VALVE_TRAVEL</t>
  </si>
  <si>
    <t>LBL_STEAM_TYPE</t>
  </si>
  <si>
    <t>LBL_CALCULATED_VALVE_NOISE_DB</t>
  </si>
  <si>
    <t>LBL_SUPPLY_PIPE_SIZE</t>
  </si>
  <si>
    <t>LBL_VALVE_VELOCITY</t>
  </si>
  <si>
    <t>LBL_OUTLET_PIPE_SIZE</t>
  </si>
  <si>
    <t>LBL_INLET_PIPE_SIZE</t>
  </si>
  <si>
    <t>LBL_VALVE_SIZE</t>
  </si>
  <si>
    <t>LBL_RESULT</t>
  </si>
  <si>
    <t>LBL_OUTLET_PIPE_VELOCITY</t>
  </si>
  <si>
    <t>LBL_VIEW_SIMPLE_OR_DETAILED</t>
  </si>
  <si>
    <t>HDR_FEEDBACK</t>
  </si>
  <si>
    <t>HDR_RELEASE_INFORMATION</t>
  </si>
  <si>
    <t>LBL_RELEASE_VERSION</t>
  </si>
  <si>
    <t>LBL_RELEASE_DATE</t>
  </si>
  <si>
    <t>LBL_UPDATE_MODE</t>
  </si>
  <si>
    <t>LBL_VERSION_CHECK_STATUS</t>
  </si>
  <si>
    <t>UNIT_PERCENT</t>
  </si>
  <si>
    <t>UNIT_INCH</t>
  </si>
  <si>
    <t>LBL_MARGIN</t>
  </si>
  <si>
    <t>LBL_LANGUAGE</t>
  </si>
  <si>
    <t>Release Notes for Next Publish (optional):</t>
  </si>
  <si>
    <t>MsgBox_Update_NewVersionAvailable_Prefix</t>
  </si>
  <si>
    <t>A new version is available:</t>
  </si>
  <si>
    <t>Hay una nueva versión disponible:</t>
  </si>
  <si>
    <t>Uma nova versão está disponível:</t>
  </si>
  <si>
    <t>Une nouvelle version est disponible :</t>
  </si>
  <si>
    <t>MsgBox_Update_ViewWhatsNewQuestion</t>
  </si>
  <si>
    <t>Would you like to see what's new before deciding?</t>
  </si>
  <si>
    <t>¿Desea ver las novedades antes de decidir?</t>
  </si>
  <si>
    <t>Deseja ver as novidades antes de decidir?</t>
  </si>
  <si>
    <t>Souhaitez-vous voir les nouveautés avant de décider ?</t>
  </si>
  <si>
    <t>MsgBoxTitle_UpdateAvailable</t>
  </si>
  <si>
    <t>Update Available</t>
  </si>
  <si>
    <t>Actualización Disponible</t>
  </si>
  <si>
    <t>Atualização Disponível</t>
  </si>
  <si>
    <t>Mise à Jour Disponible</t>
  </si>
  <si>
    <t>MsgBox_Update_DownloadNowQuestion_Prefix</t>
  </si>
  <si>
    <t>Download and install version</t>
  </si>
  <si>
    <t>Descargar e instalar la versión</t>
  </si>
  <si>
    <t>Baixar e instalar a versão</t>
  </si>
  <si>
    <t>Télécharger et installer la version</t>
  </si>
  <si>
    <t>MsgBox_Update_DownloadNowQuestion_Suffix</t>
  </si>
  <si>
    <t>now? Your current workbook will close and reopen as the new version.</t>
  </si>
  <si>
    <t>ahora? Su libro actual se cerrará y se reabrirá como la nueva versión.</t>
  </si>
  <si>
    <t>agora? Sua pasta de trabalho atual será fechada e reaberta como a nova versão.</t>
  </si>
  <si>
    <t>maintenant ? Votre classeur actuel se fermera et se rouvrira en tant que nouvelle version.</t>
  </si>
  <si>
    <t>MsgBox_Update_WhatsNewFor_Prefix</t>
  </si>
  <si>
    <t>What's new in version</t>
  </si>
  <si>
    <t>Novedades de la versión</t>
  </si>
  <si>
    <t>Novidades da versão</t>
  </si>
  <si>
    <t>Nouveautés de la version</t>
  </si>
  <si>
    <t>MsgBoxTitle_WhatsNew</t>
  </si>
  <si>
    <t>What's New</t>
  </si>
  <si>
    <t>Novedades</t>
  </si>
  <si>
    <t>Novidades</t>
  </si>
  <si>
    <t>Nouveautés</t>
  </si>
  <si>
    <t>MsgBox_Update_NoChangelogAvailable</t>
  </si>
  <si>
    <t>(No release notes were provided for this version.)</t>
  </si>
  <si>
    <t>(No se proporcionaron notas de la versión para esta actualización.)</t>
  </si>
  <si>
    <t>(Nenhuma nota de versão foi fornecida para esta atualização.)</t>
  </si>
  <si>
    <t>(Aucune note de version n'a été fournie pour cette mise à jour.)</t>
  </si>
  <si>
    <t>MsgBox_Update_Success_Prefix</t>
  </si>
  <si>
    <t>Successfully updated to version</t>
  </si>
  <si>
    <t>Actualizado correctamente a la versión</t>
  </si>
  <si>
    <t>Atualizado com sucesso para a versão</t>
  </si>
  <si>
    <t>Mise à jour réussie vers la version</t>
  </si>
  <si>
    <t>MsgBox_Update_Success_NewLocation</t>
  </si>
  <si>
    <t>Your tool now lives at:</t>
  </si>
  <si>
    <t>Su herramienta ahora se encuentra en:</t>
  </si>
  <si>
    <t>Sua ferramenta agora está localizada em:</t>
  </si>
  <si>
    <t>Votre outil se trouve maintenant à :</t>
  </si>
  <si>
    <t>MsgBox_Update_SaveAsTitle</t>
  </si>
  <si>
    <t>Save New Version As</t>
  </si>
  <si>
    <t>Guardar Nueva Versión Como</t>
  </si>
  <si>
    <t>Salvar Nova Versão Como</t>
  </si>
  <si>
    <t>Enregistrer la Nouvelle Version Sous</t>
  </si>
  <si>
    <t>MsgBox_Update_CantSaveOverOpenFile</t>
  </si>
  <si>
    <t>Can't save over the file that's currently open. Please choose a different name or location.</t>
  </si>
  <si>
    <t>No se puede guardar sobre el archivo que está actualmente abierto. Elija un nombre o una ubicación diferente.</t>
  </si>
  <si>
    <t>Não é possível salvar sobre o arquivo que está atualmente aberto. Escolha um nome ou local diferente.</t>
  </si>
  <si>
    <t>Impossible d'enregistrer par-dessus le fichier actuellement ouvert. Veuillez choisir un autre nom ou emplacement.</t>
  </si>
  <si>
    <t>MsgBox_Update_OneDriveWarning</t>
  </si>
  <si>
    <t>This location is synced with OneDrive. Saving here can occasionally fail or be delayed while OneDrive is syncing. Continue anyway?</t>
  </si>
  <si>
    <t>Esta ubicación está sincronizada con OneDrive. Guardar aquí puede fallar o retrasarse ocasionalmente mientras OneDrive sincroniza. ¿Continuar de todos modos?</t>
  </si>
  <si>
    <t>Este local está sincronizado com o OneDrive. Salvar aqui pode ocasionalmente falhar ou atrasar enquanto o OneDrive sincroniza. Continuar mesmo assim?</t>
  </si>
  <si>
    <t>Cet emplacement est synchronisé avec OneDrive. L'enregistrement ici peut occasionnellement échouer ou être retardé pendant la synchronisation de OneDrive. Continuer quand même ?</t>
  </si>
  <si>
    <t>MsgBox_Update_Success_OldFileNote</t>
  </si>
  <si>
    <t>Your previous copy is unchanged and safe to delete once you've switched over:</t>
  </si>
  <si>
    <t>Su copia anterior no ha cambiado y es seguro eliminarla una vez que haya cambiado a la nueva:</t>
  </si>
  <si>
    <t>Sua cópia anterior permanece inalterada e pode ser excluída com segurança após a migração:</t>
  </si>
  <si>
    <t>Votre copie précédente est inchangée et peut être supprimée en toute sécurité une fois la transition effectuée :</t>
  </si>
  <si>
    <t>MsgBoxTitle_UpdateComplete</t>
  </si>
  <si>
    <t>Update Complete</t>
  </si>
  <si>
    <t>Actualización Completa</t>
  </si>
  <si>
    <t>Atualização Concluída</t>
  </si>
  <si>
    <t>Mise à Jour Terminée</t>
  </si>
  <si>
    <t>MsgBox_Update_ForceRedownload_Prefix</t>
  </si>
  <si>
    <t>Re-download the current published version:</t>
  </si>
  <si>
    <t>Volver a descargar la versión publicada actual:</t>
  </si>
  <si>
    <t>Baixar novamente a versão publicada atual:</t>
  </si>
  <si>
    <t>Retélécharger la version actuellement publiée :</t>
  </si>
  <si>
    <t>BTN_DownloadFreshCopy</t>
  </si>
  <si>
    <t>Download Fresh Copy</t>
  </si>
  <si>
    <t>Descargar Copia Nueva</t>
  </si>
  <si>
    <t>Baixar Cópia Nova</t>
  </si>
  <si>
    <t>Télécharger une Copie</t>
  </si>
  <si>
    <t>Authoritative Method of Valve Sizing</t>
  </si>
  <si>
    <t xml:space="preserve">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t>
  </si>
  <si>
    <t>Module</t>
  </si>
  <si>
    <t>MsgBox_Lang_ClearWarning</t>
  </si>
  <si>
    <t>Saving your language preference clears the current inputs, results and Summary rows, so no calculation data is stored in the workbook.</t>
  </si>
  <si>
    <t>Guardar su preferencia de idioma borra las entradas, los resultados y las filas del Resumen actuales, de modo que no se almacenen datos de cálculo en el libro.</t>
  </si>
  <si>
    <t>Salvar sua preferência de idioma limpa as entradas, os resultados e as linhas do Resumo atuais, para que nenhum dado de cálculo seja armazenado na pasta de trabalho.</t>
  </si>
  <si>
    <t>L’enregistrement de votre préférence de langue efface les entrées, les résultats et les lignes du Résumé actuels, afin qu’aucune donnée de calcul ne soit stockée dans le classeur.</t>
  </si>
  <si>
    <t>MsgBox_Lang_ClearWarningChoices</t>
  </si>
  <si>
    <t>Yes = save the preference and clear the calculator
No = keep my work (language changes for this session only)</t>
  </si>
  <si>
    <t>Sí = guardar la preferencia y borrar la calculadora
No = conservar mi trabajo (el idioma cambia solo durante esta sesión)</t>
  </si>
  <si>
    <t>Sim = salvar a preferência e limpar a calculadora
Não = manter meu trabalho (o idioma muda apenas nesta sessão)</t>
  </si>
  <si>
    <t>Oui = enregistrer la préférence et effacer le calculateur
Non = conserver mon travail (la langue change pour cette session uniquement)</t>
  </si>
  <si>
    <t>MsgBoxTitle_Lang_ClearWarning</t>
  </si>
  <si>
    <t>Save Language Preference</t>
  </si>
  <si>
    <t>Guardar preferencia de idioma</t>
  </si>
  <si>
    <t>Salvar preferência de idioma</t>
  </si>
  <si>
    <t>Enregistrer la préférence de langue</t>
  </si>
  <si>
    <t>MsgBoxTitle_ReqCv</t>
  </si>
  <si>
    <t>Résultat du coefficient de débit [Cv]</t>
  </si>
  <si>
    <t>MsgBox_Help_ReqCv</t>
  </si>
  <si>
    <t>The Cv (or Kv) the valve must have to pass your design flow at the pressures you entered. It is the size of opening you need - not a valve position, and not a catalog valve.
If the outlet pressure is at or below about 58% of the inlet pressure (both absolute), the flow is choked: the result is calculated at the critical pressure drop, and lowering the outlet pressure further does not change it.
The panel on the right shows what a specific valve would do at this flow. Valve Travel % (below) estimates how far open a valve would be.</t>
  </si>
  <si>
    <t>El Cv (o Kv) que debe tener la válvula para pasar su caudal de diseño con las presiones ingresadas. Es el tamaño de apertura que necesita: no es una posición de válvula ni una válvula de catálogo.
Si la presión de salida es igual o inferior a aproximadamente el 58 % de la presión de entrada (ambas absolutas), el flujo está bloqueado (choked): el resultado se calcula con la caída de presión crítica y bajar más la presión de salida no lo cambia.
El panel de la derecha muestra lo que haría una válvula concreta con este caudal. El % de Carrera de la Válvula (abajo) estima cuánto estaría abierta.</t>
  </si>
  <si>
    <t>O Cv (ou Kv) que a válvula precisa ter para passar a vazão de projeto nas pressões informadas. É o tamanho de abertura necessário - não é uma posição de válvula nem uma válvula de catálogo.
Se a pressão de saída for igual ou inferior a cerca de 58% da pressão de entrada (ambas absolutas), o escoamento está bloqueado (choked): o resultado é calculado na queda de pressão crítica, e reduzir ainda mais a pressão de saída não o altera.
O painel à direita mostra o que uma válvula específica faria nessa vazão. O % de Curso da Válvula (abaixo) estima quanto ela estaria aberta.</t>
  </si>
  <si>
    <t>Le Cv (ou Kv) que la vanne doit avoir pour passer votre débit de calcul aux pressions saisies. C’est la taille d’ouverture nécessaire - ni une position de vanne, ni une vanne du catalogue.
Si la pression de sortie est inférieure ou égale à environ 58 % de la pression d’entrée (toutes deux absolues), l’écoulement est bloqué (choked) : le résultat est calculé à la chute de pression critique, et abaisser encore la pression de sortie ne le modifie pas.
Le panneau de droite montre ce que ferait une vanne précise à ce débit. Le % de course de la vanne (ci-dessous) estime son degré d’ouverture.</t>
  </si>
  <si>
    <t>MsgBoxTitle_SelPanel</t>
  </si>
  <si>
    <t>Selected Valve Panel</t>
  </si>
  <si>
    <t>Panel de Válvula Seleccionada</t>
  </si>
  <si>
    <t>Painel da Válvula Selecionada</t>
  </si>
  <si>
    <t>Panneau de la vanne sélectionnée</t>
  </si>
  <si>
    <t>MsgBox_Help_SelPanel</t>
  </si>
  <si>
    <t>The left side asks: what Cv do I need for this flow? This side asks the reverse: if I install the valve chosen in the Valve Selection box, what happens at the same design flow and inlet pressure?
The pressure drop, flow and outlet pressure shown here are for that valve fully open. A valve larger than needed shows a small pressure drop and a flow above your design flow. In a real system the valve simply throttles until the load is met, so these are not your operating pressures.</t>
  </si>
  <si>
    <t>El lado izquierdo pregunta: ¿qué Cv necesito para este caudal? Este lado pregunta lo contrario: si instalo la válvula elegida en el cuadro Selección de Válvula, ¿qué ocurre con el mismo caudal de diseño y la misma presión de entrada?
La caída de presión, el caudal y la presión de salida mostrados corresponden a esa válvula totalmente abierta. Una válvula más grande de lo necesario muestra una caída de presión pequeña y un caudal superior al de diseño. En un sistema real la válvula simplemente regula hasta cubrir la carga, por lo que estas no son sus presiones de operación.</t>
  </si>
  <si>
    <t>O lado esquerdo pergunta: que Cv preciso para esta vazão? Este lado pergunta o inverso: se eu instalar a válvula escolhida na caixa Seleção de Válvula, o que acontece na mesma vazão de projeto e pressão de entrada?
A queda de pressão, a vazão e a pressão de saída mostradas são para essa válvula totalmente aberta. Uma válvula maior que o necessário mostra uma queda de pressão pequena e uma vazão acima da de projeto. Em um sistema real a válvula simplesmente modula até atender a carga, portanto essas não são suas pressões de operação.</t>
  </si>
  <si>
    <t>Le côté gauche demande : quel Cv me faut-il pour ce débit ? Ce côté pose la question inverse : si j’installe la vanne choisie dans la zone Sélection de la vanne, que se passe-t-il au même débit de calcul et à la même pression d’entrée ?
La chute de pression, le débit et la pression de sortie affichés correspondent à cette vanne entièrement ouverte. Une vanne plus grande que nécessaire affiche une faible chute de pression et un débit supérieur au débit de calcul. Dans un système réel, la vanne module simplement jusqu’à satisfaire la charge ; ce ne sont donc pas vos pressions de service.</t>
  </si>
  <si>
    <t>MsgBoxTitle_FlowRegime</t>
  </si>
  <si>
    <t>Regime de Escoamento</t>
  </si>
  <si>
    <t>Régime d’écoulement</t>
  </si>
  <si>
    <t>MsgBox_Help_FlowRegime</t>
  </si>
  <si>
    <t>Subcritical: the outlet pressure is above about 58% of the inlet pressure (absolute). Flow depends on both the inlet and the outlet pressure.
Choked (critical): the outlet is at or below about 58% of the inlet. Steam reaches the speed of sound at the narrowest point, so flow depends only on the inlet pressure and the valve Cv; lowering the outlet pressure does not increase the flow. The tool sizes at the critical pressure drop.
Choked flow is normal in many steam applications, but expect more noise and erosion, so review the velocity and noise checks. The pressure a coil actually sees is set by the coil and its load, not by the valve alone.</t>
  </si>
  <si>
    <t>Subcrítico: la presión de salida es superior a aproximadamente el 58 % de la presión de entrada (absolutas). El caudal depende tanto de la presión de entrada como de la de salida.
Bloqueado (crítico, choked): la presión de salida es igual o inferior a aproximadamente el 58 % de la de entrada. El vapor alcanza la velocidad del sonido en el punto más estrecho, por lo que el caudal depende solo de la presión de entrada y del Cv de la válvula; bajar la presión de salida no aumenta el caudal. La herramienta dimensiona con la caída de presión crítica.
El flujo bloqueado es normal en muchas aplicaciones de vapor, pero cabe esperar más ruido y erosión, así que revise las verificaciones de velocidad y ruido. La presión que realmente ve un serpentín la determinan el serpentín y su carga, no solo la válvula.</t>
  </si>
  <si>
    <t>Subcrítico: a pressão de saída está acima de cerca de 58% da pressão de entrada (absolutas). A vazão depende das pressões de entrada e de saída.
Bloqueado (crítico, choked): a pressão de saída é igual ou inferior a cerca de 58% da de entrada. O vapor atinge a velocidade do som no ponto mais estreito, portanto a vazão depende apenas da pressão de entrada e do Cv da válvula; reduzir a pressão de saída não aumenta a vazão. A ferramenta dimensiona na queda de pressão crítica.
O escoamento bloqueado é normal em muitas aplicações de vapor, mas espere mais ruído e erosão; revise as verificações de velocidade e ruído. A pressão que uma serpentina realmente recebe é definida pela serpentina e pela sua carga, não apenas pela válvula.</t>
  </si>
  <si>
    <t>Sous-critique : la pression de sortie est supérieure à environ 58 % de la pression d’entrée (absolues). Le débit dépend à la fois de la pression d’entrée et de la pression de sortie.
Bloqué (critique, choked) : la pression de sortie est inférieure ou égale à environ 58 % de la pression d’entrée. La vapeur atteint la vitesse du son à l’endroit le plus étroit ; le débit ne dépend donc que de la pression d’entrée et du Cv de la vanne, et abaisser la pression de sortie n’augmente pas le débit. L’outil dimensionne à la chute de pression critique.
L’écoulement bloqué est normal dans de nombreuses applications vapeur, mais il faut s’attendre à plus de bruit et d’érosion : vérifiez les contrôles de vitesse et de bruit. La pression réellement vue par une batterie est déterminée par la batterie et sa charge, pas seulement par la vanne.</t>
  </si>
  <si>
    <t>MsgBoxTitle_Margin</t>
  </si>
  <si>
    <t>Required, Difference and Margin</t>
  </si>
  <si>
    <t>Requerido, Diferencia y Margen</t>
  </si>
  <si>
    <t>Requerido, Diferença e Margem</t>
  </si>
  <si>
    <t>Requis, différence et marge</t>
  </si>
  <si>
    <t>MsgBox_Help_Margin</t>
  </si>
  <si>
    <t>Required [Cv] is the Cv you need (left side). Difference is the selected valve's Cv minus the required Cv. Margin is that difference as a percentage of the required Cv.
A large margin is not a fault. The valve may be larger than the minimum because the next size down fails the velocity (Mach) check, or because the next catalog size is much bigger. A negative margin means the selected valve is too small.
With a large margin, the question to ask is controllability at low load: see Valve Travel % and the turndown check on the 1/3-2/3 sheet.</t>
  </si>
  <si>
    <t>Requerido [Cv] es el Cv que necesita (lado izquierdo). Diferencia es el Cv de la válvula seleccionada menos el Cv requerido. Margen es esa diferencia como porcentaje del Cv requerido.
Un margen grande no es un fallo. La válvula puede ser mayor que el mínimo porque el tamaño inferior no supera la verificación de velocidad (Mach) o porque el siguiente tamaño del catálogo es mucho mayor. Un margen negativo significa que la válvula seleccionada es demasiado pequeña.
Con un margen grande, la pregunta es la controlabilidad a carga baja: consulte el % de Carrera de la Válvula y la verificación de rangeabilidad en la hoja 1/3-2/3.</t>
  </si>
  <si>
    <t>Requerido [Cv] é o Cv de que você precisa (lado esquerdo). Diferença é o Cv da válvula selecionada menos o Cv requerido. Margem é essa diferença como porcentagem do Cv requerido.
Uma margem grande não é uma falha. A válvula pode ser maior que o mínimo porque o tamanho menor não passa na verificação de velocidade (Mach) ou porque o próximo tamanho do catálogo é bem maior. Uma margem negativa significa que a válvula selecionada é pequena demais.
Com uma margem grande, a pergunta é a controlabilidade em carga baixa: veja o % de Curso da Válvula e a verificação de rangeabilidade na planilha 1/3-2/3.</t>
  </si>
  <si>
    <t>Requis [Cv] est le Cv dont vous avez besoin (côté gauche). La différence est le Cv de la vanne sélectionnée moins le Cv requis. La marge est cette différence exprimée en pourcentage du Cv requis.
Une marge élevée n’est pas un défaut. La vanne peut être plus grande que le minimum parce que la taille inférieure échoue au contrôle de vitesse (Mach) ou parce que la taille suivante du catalogue est beaucoup plus grande. Une marge négative signifie que la vanne sélectionnée est trop petite.
Avec une marge élevée, la question est la contrôlabilité à faible charge : consultez le % de course de la vanne et le contrôle de rangeabilité dans la feuille 1/3-2/3.</t>
  </si>
  <si>
    <t>MsgBoxTitle_TargetVel</t>
  </si>
  <si>
    <t>Target Velocity</t>
  </si>
  <si>
    <t>Velocidad Objetivo</t>
  </si>
  <si>
    <t>Velocidade Alvo</t>
  </si>
  <si>
    <t>Vitesse cible</t>
  </si>
  <si>
    <t>MsgBox_Help_TargetVel</t>
  </si>
  <si>
    <t>MsgBoxTitle_ValveSize</t>
  </si>
  <si>
    <t>MsgBox_Help_ValveSize</t>
  </si>
  <si>
    <t>MsgBoxTitle_ValveTravel</t>
  </si>
  <si>
    <t>% de Carrera de la Válvula</t>
  </si>
  <si>
    <t>% de course de la vanne</t>
  </si>
  <si>
    <t>MsgBox_Help_ValveTravel</t>
  </si>
  <si>
    <t>Note_SugDiffers_Velocity</t>
  </si>
  <si>
    <t>Note_SugDiffers_NoPortData</t>
  </si>
  <si>
    <t>Note_SugNoValvePasses</t>
  </si>
  <si>
    <t>Note: no catalog valve rated for this inlet pressure passes the valve-port velocity limit at these conditions. The closest-match valve is shown - review with Technical Support.</t>
  </si>
  <si>
    <t>Nota: ninguna válvula del catálogo con presión nominal para esta presión de entrada cumple el límite de velocidad en el puerto en estas condiciones. Se muestra la válvula más cercana; consulte con Soporte Técnico.</t>
  </si>
  <si>
    <t>Nota: nenhuma válvula do catálogo com pressão nominal para esta pressão de entrada atende ao limite de velocidade no orifício nestas condições. A válvula mais próxima é mostrada; consulte o Suporte Técnico.</t>
  </si>
  <si>
    <t>Remarque : aucune vanne du catalogue avec la pression nominale voulue pour cette pression d’entrée ne respecte la limite de vitesse à l’orifice dans ces conditions. La vanne la plus proche est affichée ; consultez le support technique.</t>
  </si>
  <si>
    <t>Belimo measured flow characteristic - Cv at % stroke (ARI water test bench, 2017; source: 'Copy of Flow characteristic Belimo US 2-Way.xlsx'). Used for Valve Travel % (mdlVelocityCalc.MeasuredTravelText).</t>
  </si>
  <si>
    <t>Catalog Cv</t>
  </si>
  <si>
    <t>Source sheet</t>
  </si>
  <si>
    <t>Test date</t>
  </si>
  <si>
    <t>G215x-C</t>
  </si>
  <si>
    <t>07.07.2017</t>
  </si>
  <si>
    <t>G215x-F</t>
  </si>
  <si>
    <t>14.07.2017</t>
  </si>
  <si>
    <t>G215x-G</t>
  </si>
  <si>
    <t>G215x-J</t>
  </si>
  <si>
    <t>G220x-J</t>
  </si>
  <si>
    <t>G220x-K</t>
  </si>
  <si>
    <t>G225x-K</t>
  </si>
  <si>
    <t>G225x-L</t>
  </si>
  <si>
    <t>G232x-M</t>
  </si>
  <si>
    <t>G240x-M</t>
  </si>
  <si>
    <t>G250x-N</t>
  </si>
  <si>
    <t>Recommended Inlet Pipe Size - How It's Calculated</t>
  </si>
  <si>
    <t>Tamaño de Tubería de Entrada Recomendado - Cómo se Calcula</t>
  </si>
  <si>
    <t>Tamanho de Tubulação de Entrada Recomendado - Como é Calculado</t>
  </si>
  <si>
    <t>Taille de Tuyauterie d'Entrée Recommandée - Comment C'est Calculé</t>
  </si>
  <si>
    <t>Recommended Outlet Pipe Size - How It's Calculated</t>
  </si>
  <si>
    <t>Tamaño de Tubería de Salida Recomendado - Cómo se Calcula</t>
  </si>
  <si>
    <t>Tamanho de Tubulação de Saída Recomendado - Como é Calculado</t>
  </si>
  <si>
    <t>Taille de Tuyauterie de Sortie Recommandée - Comment C'est Calculé</t>
  </si>
  <si>
    <t>RULE: the outlet pipe shown here is simply ONE standard pipe size larger than the recommended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</si>
  <si>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recomendado,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</si>
  <si>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recomendado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</si>
  <si>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recommandée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</si>
  <si>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Actual velocity through the recommended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</si>
  <si>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recomendado,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</si>
  <si>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recomendado,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</si>
  <si>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recommandée,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</si>
  <si>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Actual velocity through the recommended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</si>
  <si>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recomendado,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</si>
  <si>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recomendado,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</si>
  <si>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recommandée,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</si>
  <si>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The steam velocity, in ft/s, used to size the INLET pipe in the recommended-valve panel (the outlet pipe is one standard size up). 80 is a common value for saturated steam; 50 is quieter and more conservative (larger pipe); 120 is more aggressive (smaller pipe, more noise and erosion).
It does not change the required Cv, and the valve's own port-velocity limit comes from the Steam Type box below.</t>
  </si>
  <si>
    <t>La velocidad del vapor, en ft/s, utilizada para dimensionar la tubería de ENTRADA en el panel de válvula recomendada (la tubería de salida es un tamaño estándar mayor). 80 es un valor habitual para vapor saturado; 50 es más silencioso y conservador (tubería mayor); 120 es más agresivo (tubería menor, más ruido y erosión).
No cambia el Cv requerido, y el límite de velocidad en el puerto de la propia válvula depende del cuadro Tipo de Vapor que aparece abajo.</t>
  </si>
  <si>
    <t>A velocidade do vapor, em ft/s, usada para dimensionar a tubulação de ENTRADA no painel de válvula recomendada (a tubulação de saída é um tamanho padrão acima). 80 é um valor comum para vapor saturado; 50 é mais silencioso e conservador (tubulação maior); 120 é mais agressivo (tubulação menor, mais ruído e erosão).
Ela não altera o Cv requerido, e o limite de velocidade no orifício da própria válvula vem da caixa Tipo de Vapor abaixo.</t>
  </si>
  <si>
    <t>La vitesse de la vapeur, en ft/s, utilisée pour dimensionner la tuyauterie d’ENTRÉE dans le panneau de vanne recommandée (la tuyauterie de sortie est d’une taille standard au-dessus). 80 est une valeur courante pour la vapeur saturée ; 50 est plus silencieux et plus prudent (tuyauterie plus grande) ; 120 est plus agressif (tuyauterie plus petite, plus de bruit et d’érosion).
Elle ne modifie pas le Cv requis, et la limite de vitesse à l’orifice de la vanne provient de la zone Type de vapeur ci-dessous.</t>
  </si>
  <si>
    <t>Recommended Valve Size &amp; Cv</t>
  </si>
  <si>
    <t>Tamaño y Cv de Válvula Recomendados</t>
  </si>
  <si>
    <t>Tamanho e Cv da Válvula Recomendados</t>
  </si>
  <si>
    <t>Taille et Cv de vanne recommandés</t>
  </si>
  <si>
    <t>R E C O M M E N D E D   V A L V E   &amp;   P I P E   S I Z E</t>
  </si>
  <si>
    <t>V Á L V U L A   Y   T U B E R Í A   R E C O M E N D A D A S</t>
  </si>
  <si>
    <t>V Á L V U L A   E   T U B U L A Ç Ã O   R E C O M E N D A D A S</t>
  </si>
  <si>
    <t>V A N N E   E T   T U Y A U T E R I E   R E C O M M A N D É E S</t>
  </si>
  <si>
    <t>Outlet velocity through the SPECIFIC catalog valve chosen in the Valve Selection box (J23), at your DESIGN flow and OUTLET pressure.
V = (Flow x Specific Volume at outlet) / (3600 x Nominal Outlet Area / 144)
The area is the valve's NOMINAL outlet size (1/2" = DN15 ... 6" = DN150), the basis Spirax Sarco uses - not the internal seat, ball bore or disc. The pipe is assumed to match the valve size.
Limits (Spirax Sarco, by the Steam Type selected below): 40 m/s wet saturated, 150 m/s dry saturated, 0.5 Mach superheated.
If this valve fails, the Recommended Valve below is the smallest catalog valve that passes both the capacity check and this velocity check. For installed pipe sizes, use the Steam Pipe &amp; Valve Velocity section.</t>
  </si>
  <si>
    <t>Velocidad de salida a través de la válvula ESPECÍFICA del catálogo elegida en el cuadro Selección de Válvula (J23), con su caudal de DISEÑO y su presión de SALIDA.
V = (Caudal x Volumen Específico en la salida) / (3600 x Área de Salida Nominal / 144)
El área es el tamaño de salida NOMINAL de la válvula (1/2" = DN15 ... 6" = DN150), como usa Spirax Sarco, no el asiento, el paso de la bola ni el disco interno. Se supone que la tubería coincide con el tamaño de la válvula.
Límites (Spirax Sarco, según el Tipo de Vapor de abajo): 40 m/s saturado húmedo, 150 m/s saturado seco, 0,5 Mach sobrecalentado.
Si esta válvula no cumple, la Válvula Recomendada de abajo es la válvula de catálogo más pequeña que cumple tanto la verificación de capacidad como esta verificación de velocidad. Para los tamaños de tubería instalados, use la sección de Velocidad de Tubería y Válvula de Vapor.</t>
  </si>
  <si>
    <t>Velocidade de saída através da válvula ESPECÍFICA do catálogo escolhida na caixa Seleção de Válvula (J23), na vazão de PROJETO e na pressão de SAÍDA.
V = (Vazão x Volume Específico na saída) / (3600 x Área de Saída Nominal / 144)
A área é o tamanho de saída NOMINAL da válvula (1/2" = DN15 ... 6" = DN150), como usa a Spirax Sarco, e não a sede, a passagem da esfera ou o disco interno. Supõe-se que a tubulação tenha o tamanho da válvula.
Limites (Spirax Sarco, conforme o Tipo de Vapor abaixo): 40 m/s saturado úmido, 150 m/s saturado seco, 0,5 Mach superaquecido.
Se esta válvula for reprovada, a Válvula Recomendada abaixo é a menor válvula do catálogo que passa tanto na verificação de capacidade quanto nesta verificação de velocidade. Para os tamanhos de tubulação instalados, use a seção de Velocidade de Tubulação e Válvula de Vapor.</t>
  </si>
  <si>
    <t>Vitesse de sortie à travers la vanne SPÉCIFIQUE du catalogue choisie dans la case Sélection de vanne (J23), au débit de CALCUL et à la pression de SORTIE.
V = (Débit x Volume Spécifique à la sortie) / (3600 x Section de Sortie Nominale / 144)
La surface est la taille de sortie NOMINALE de la vanne (1/2" = DN15 ... 6" = DN150), comme le fait Spirax Sarco, et non le siège, le passage de la sphère ou le disque interne. La tuyauterie est supposée de la taille de la vanne.
Limites (Spirax Sarco, selon le Type de vapeur ci-dessous) : 40 m/s saturée humide, 150 m/s saturée sèche, 0,5 Mach surchauffée.
Si cette vanne échoue, la Vanne recommandée ci-dessous est la plus petite vanne du catalogue qui satisfait à la fois la vérification de capacité et cette vérification de vitesse. Pour les tailles de tuyauterie installées, utilisez la section Vitesse de Tuyauterie et Vanne Vapeur.</t>
  </si>
  <si>
    <t>Note: the valve in the Valve Selection box, |SEL| (|SELCV|), fails the outlet-velocity limit at design flow (|VEL| vs |LIM|). The Recommended Valve, |SUG| (|SUGCV|), is the smallest valve that passes both the capacity and the velocity check.</t>
  </si>
  <si>
    <t>Nota: la válvula del cuadro Selección de Válvula, |SEL| (|SELCV|), no cumple el límite de velocidad de salida con el caudal de diseño (|VEL| frente a |LIM|). La Válvula Recomendada, |SUG| (|SUGCV|), es la válvula más pequeña que cumple tanto la verificación de capacidad como la de velocidad.</t>
  </si>
  <si>
    <t>Nota: a válvula da caixa Seleção de Válvula, |SEL| (|SELCV|), não atende ao limite de velocidade de saída na vazão de projeto (|VEL| contra |LIM|). A Válvula Recomendada, |SUG| (|SUGCV|), é a menor válvula que passa tanto na verificação de capacidade quanto na de velocidade.</t>
  </si>
  <si>
    <t>Remarque : la vanne de la case Sélection de vanne, |SEL| (|SELCV|), ne respecte pas la limite de vitesse de sortie au débit de calcul (|VEL| contre |LIM|). La Vanne recommandée, |SUG| (|SUGCV|), est la plus petite vanne qui satisfait à la fois la vérification de capacité et celle de vitesse.</t>
  </si>
  <si>
    <t>Note: the size of the valve in the Valve Selection box, |SEL| (|SELCV|), is not recognised, so its outlet velocity could not be checked. The Recommended Valve is |SUG| (|SUGCV|).</t>
  </si>
  <si>
    <t>Nota: no se reconoce el tamaño de la válvula del cuadro Selección de Válvula, |SEL| (|SELCV|), por lo que no se pudo comprobar su velocidad de salida. La Válvula Recomendada es |SUG| (|SUGCV|).</t>
  </si>
  <si>
    <t>Nota: o tamanho da válvula da caixa Seleção de Válvula, |SEL| (|SELCV|), não é reconhecido, então sua velocidade de saída não pôde ser verificada. A Válvula Recomendada é |SUG| (|SUGCV|).</t>
  </si>
  <si>
    <t>Remarque : la taille de la vanne de la case Sélection de vanne, |SEL| (|SELCV|), n’est pas reconnue ; sa vitesse de sortie n’a donc pas pu être vérifiée. La Vanne recommandée est |SUG| (|SUGCV|).</t>
  </si>
  <si>
    <t>An ESTIMATE of how far open the valve would have to be to pass the design flow. For the G2 globe valves (1/2" - 2") it uses Belimo's measured flow characteristic for that valve (water test bench); for other valves it assumes the generic curve shown next to the number (for example 'Equal %, R=100').
Even the measured curve comes from a test bench, not this exact valve, actuator and installation, so use it as a guide, not as a commissioning setpoint. A low percentage at design flow means the valve is oversized for the duty; above about 90% there is little control margin left. In operation the control system, not this number, sets the valve position.</t>
  </si>
  <si>
    <t>Una ESTIMACIÓN de cuánto tendría que abrirse la válvula para pasar el caudal de diseño. Para las válvulas de globo G2 (1/2" - 2") usa la característica de caudal medida por Belimo para esa válvula (banco de pruebas con agua); para las demás válvulas supone la curva genérica indicada junto al número (por ejemplo 'Igual %, R=100').
Incluso la curva medida proviene de un banco de pruebas, no de esta válvula, actuador e instalación exactos, por lo que úsela como guía, no como consigna de puesta en marcha. Un porcentaje bajo al caudal de diseño indica que la válvula está sobredimensionada para el servicio; por encima de aproximadamente el 90 % queda poco margen de regulación. En operación, el sistema de control, no este número, fija la posición de la válvula.</t>
  </si>
  <si>
    <t>Uma ESTIMATIVA de quanto a válvula teria de abrir para passar a vazão de projeto. Para as válvulas globo G2 (1/2" - 2") usa a característica de vazão medida pela Belimo para essa válvula (bancada de testes com água); para as demais válvulas supõe a curva genérica indicada ao lado do número (por exemplo 'Igual %, R=100').
Mesmo a curva medida vem de uma bancada de testes, não desta válvula, atuador e instalação específicos; use como orientação, não como ponto de ajuste de comissionamento. Uma porcentagem baixa na vazão de projeto indica que a válvula está superdimensionada para o serviço; acima de cerca de 90% resta pouca margem de controle. Em operação, o sistema de controle, e não este número, define a posição da válvula.</t>
  </si>
  <si>
    <t>Une ESTIMATION de l’ouverture nécessaire de la vanne pour passer le débit de calcul. Pour les vannes à soupape G2 (1/2" - 2"), elle utilise la caractéristique de débit mesurée par Belimo pour cette vanne (banc d’essai à l’eau) ; pour les autres vannes, elle suppose la courbe générique indiquée à côté du nombre (par exemple « Égal %, R=100 »).
Même la courbe mesurée provient d’un banc d’essai, et non de cette vanne, de cet actionneur et de cette installation précis ; utilisez-le comme guide, pas comme consigne de mise en service. Un faible pourcentage au débit de calcul indique que la vanne est surdimensionnée pour le service ; au-delà d’environ 90 %, il reste peu de marge de régulation. En fonctionnement, c’est le système de régulation, et non ce nombre, qui détermine la position de la vanne.</t>
  </si>
  <si>
    <t>Presión Abs. de Salida Corregida (P2_corr_abs)</t>
  </si>
  <si>
    <t>Pressão Abs. de Saída Corrigida (P2_corr_abs)</t>
  </si>
  <si>
    <t>Pression Abs. de Sortie Corrigée (P2_corr_abs)</t>
  </si>
  <si>
    <t>P I P E   &amp;   V A L V E   V E L O C I T Y   C H E C K</t>
  </si>
  <si>
    <t>V E L O C I D A D   T U B E R Í A   Y   V Á L V U L A</t>
  </si>
  <si>
    <t>V E L O C I D A D E   T U B O   E   V Á L V U L A</t>
  </si>
  <si>
    <t>V I T E S S E   T U Y A U   E T   V A N N E</t>
  </si>
  <si>
    <t>VOIR / MASQUER ÉTAPES</t>
  </si>
  <si>
    <t>VOIR LES CV</t>
  </si>
  <si>
    <t>Flow rate must be between 0.1 and |MAX| |UNIT|.</t>
  </si>
  <si>
    <t>El caudal debe estar entre 0.1 y |MAX| |UNIT|.</t>
  </si>
  <si>
    <t>A vazão deve estar entre 0.1 e |MAX| |UNIT|.</t>
  </si>
  <si>
    <t>Le débit doit être compris entre 0,1 et |MAX| |UNIT|.</t>
  </si>
  <si>
    <t>The smallest catalog valve that passes BOTH checks: its Cv is at least the required Cv (capacity), and its outlet velocity at the design flow, through its nominal outlet size, is within the limit for the Steam Type selected below (wet saturated 40 m/s, dry saturated 150 m/s, superheated 0.5 Mach). The valve's pressure rating is checked against your inlet pressure. A valve more than 3 times the required Cv is not recommended: if none qualifies the panel says so.
If the closest-Cv valve fails the velocity check, the tool moves to a larger one - that is the usual reason the Cv margin on the right is large. Choose the final valve with the customer's controllability and turndown needs in mind.</t>
  </si>
  <si>
    <t>La válvula de catálogo más pequeña que cumple AMBAS verificaciones: su Cv es al menos el Cv requerido (capacidad) y su velocidad de salida con el caudal de diseño, a través de su tamaño de salida nominal, está dentro del límite para el Tipo de Vapor seleccionado abajo (saturado húmedo 40 m/s, saturado seco 150 m/s, sobrecalentado 0,5 Mach). Se verifica la presión nominal de la válvula frente a su presión de entrada. No se recomienda una válvula de más de 3 veces el Cv requerido: si ninguna califica, el panel lo indica.
Si la válvula de Cv más cercano no supera la verificación de velocidad, la herramienta pasa a una mayor; esa es la razón habitual de que el margen de Cv de la derecha sea grande. Elija la válvula final teniendo en cuenta la controlabilidad y la rangeabilidad que necesita el cliente.</t>
  </si>
  <si>
    <t>A menor válvula do catálogo que passa nas DUAS verificações: seu Cv é pelo menos o Cv requerido (capacidade) e sua velocidade de saída na vazão de projeto, pelo tamanho de saída nominal, está dentro do limite para o Tipo de Vapor selecionado abaixo (saturado úmido 40 m/s, saturado seco 150 m/s, superaquecido 0,5 Mach). A pressão nominal da válvula é verificada em relação à pressão de entrada. Uma válvula com mais de 3 vezes o Cv requerido não é recomendada: se nenhuma se qualificar, o painel informa.
Se a válvula de Cv mais próximo não passar na verificação de velocidade, a ferramenta passa para uma maior; esse é o motivo habitual de a margem de Cv à direita ser grande. Escolha a válvula final considerando a controlabilidade e a rangeabilidade de que o cliente precisa.</t>
  </si>
  <si>
    <t>La plus petite vanne du catalogue qui satisfait les DEUX vérifications : son Cv est au moins égal au Cv requis (capacité) et sa vitesse de sortie au débit de calcul, à travers sa taille de sortie nominale, respecte la limite du Type de vapeur sélectionné ci-dessous (saturée humide 40 m/s, saturée sèche 150 m/s, surchauffée 0,5 Mach). La pression nominale de la vanne est vérifiée par rapport à votre pression d’entrée. Une vanne de plus de 3 fois le Cv requis n’est pas recommandée : si aucune ne convient, le panneau l’indique.
Si la vanne au Cv le plus proche échoue au contrôle de vitesse, l’outil passe à une plus grande ; c’est la raison habituelle d’une marge de Cv élevée à droite. Choisissez la vanne finale en tenant compte de la contrôlabilité et de la rangeabilité dont le client a besoin.</t>
  </si>
  <si>
    <t>Port velocity through the recommended valve (above), evaluated at the design flow and OUTLET steam conditions - the same convention Spirax Sarco uses for valve outlet-port limits.
FORMULA:
  V (ft/s) = (W x v) / (3600 x A)
  Mach = V (ft/s) / c
  where
  W = steam flow, lb/hr
  v = specific volume at outlet, ft3/lb
  A = valve NOMINAL outlet area, in2 / 144 (1/2" = DN15 ... 6" = DN150, as Spirax Sarco)
  c = speed of sound at outlet, ft/s
The recommended valve is picked from the full catalog as the smallest-Cv valve with at least the required Cv that actually PASSES this velocity/Mach check - not just the closest Cv, which can fail on a too-small port.
Pass/Fail limits (Spirax Sarco, outlet port): 40 m/s wet saturated, 150 m/s dry saturated, 0.5 Mach superheated.</t>
  </si>
  <si>
    <t>Velocidad en el puerto a través de la válvula recomendada (arriba), evaluada con el caudal de diseño y en las condiciones de vapor de SALIDA - la misma convención que usa Spirax Sarco para los límites del puerto de salida de la válvula.
FÓRMULA:
  V (ft/s) = (W x v) / (3600 x A)
  Mach = V (ft/s) / c
  donde
  W = caudal de vapor, lb/hr
  v = volumen específico en la salida, ft3/lb
  A = área de salida NOMINAL de la válvula, in2 / 144 (1/2" = DN15 ... 6" = DN150, como Spirax Sarco)
  c = velocidad del sonido en la salida, ft/s
La válvula recomendada se elige del catálogo completo como la válvula de Cv más pequeño, con al menos el Cv requerido, que realmente APRUEBA esta verificación de velocidad/Mach, no solo el Cv más cercano, que puede fallar por un puerto demasiado pequeño.
Límites de Aprobado/Rechazado (Spirax Sarco, puerto de salida): 40 m/s saturado húmedo, 150 m/s saturado seco, 0.5 Mach sobrecalentado.</t>
  </si>
  <si>
    <t>Velocidade no porto através da válvula recomendada (acima), avaliada na vazão de projeto e nas condições de vapor de SAÍDA - a mesma convenção que a Spirax Sarco usa para os limites do porto de saída da válvula.
FÓRMULA:
  V (ft/s) = (W x v) / (3600 x A)
  Mach = V (ft/s) / c
  onde
  W = vazão de vapor, lb/hr
  v = volume específico na saída, ft3/lb
  A = área de saída NOMINAL da válvula, in2 / 144 (1/2" = DN15 ... 6" = DN150, como a Spirax Sarco)
  c = velocidade do som na saída, ft/s
A válvula recomendada é escolhida do catálogo completo como a válvula de menor Cv, com pelo menos o Cv requerido, que realmente PASSA nesta verificação de velocidade/Mach - não apenas o Cv mais próximo, que pode falhar por um porto pequeno demais.
Limites de Aprovado/Reprovado (Spirax Sarco, porto de saída): 40 m/s saturado úmido, 150 m/s saturado seco, 0.5 Mach superaquecido.</t>
  </si>
  <si>
    <t>Vitesse au port à travers la vanne recommandée (ci-dessus), évaluée au débit de calcul et dans les conditions de vapeur de SORTIE - la même convention que Spirax Sarco utilise pour les limites du port de sortie de la vanne.
FORMULE :
  V (ft/s) = (W x v) / (3600 x A)
  Mach = V (ft/s) / c
  où
  W = débit de vapeur, lb/hr
  v = volume spécifique à la sortie, ft3/lb
  A = section de sortie NOMINALE de la vanne, in2 / 144 (1/2" = DN15 ... 6" = DN150, comme Spirax Sarco)
  c = vitesse du son à la sortie, ft/s
La vanne recommandée est choisie dans le catalogue complet comme la vanne de Cv le plus petit, avec au moins le Cv requis, qui RÉUSSIT réellement cette vérification de vitesse/Mach - pas seulement le Cv le plus proche, qui peut échouer sur un port trop petit.
Limites de Réussite/Échec (Spirax Sarco, port de sortie) : 40 m/s saturée humide, 150 m/s saturée sèche, 0,5 Mach surchauffée.</t>
  </si>
  <si>
    <t>This is the detailed outlet velocity check for the Valve Type, Steam Type, and Supply/Outlet Pipe sizes entered below._x000D_
_x000D_
VALVE outlet port: V = (Flow x Specific Volume at outlet) / (3600 x Nominal Outlet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</si>
  <si>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 Salida Nominal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</si>
  <si>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de Saída Nominal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</si>
  <si>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Section de Sortie Nominale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</si>
  <si>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CalcRes_ClosestValve</t>
  </si>
  <si>
    <t>Closest |LBL| (capacity only): |VAL| - |PART| (|SIZE|)</t>
  </si>
  <si>
    <t>|LBL| más cercano (solo capacidad): |VAL| - |PART| (|SIZE|)</t>
  </si>
  <si>
    <t>|LBL| mais próximo (só capacidade): |VAL| - |PART| (|SIZE|)</t>
  </si>
  <si>
    <t>|LBL| le plus proche (capacité seule) : |VAL| - |PART| (|SIZE|)</t>
  </si>
  <si>
    <t>CalcRes_NoValve</t>
  </si>
  <si>
    <t>No catalog valve has the required |LBL| = |VAL|.</t>
  </si>
  <si>
    <t>Ninguna válvula del catálogo tiene el |LBL| requerido = |VAL|.</t>
  </si>
  <si>
    <t>Nenhuma válvula do catálogo tem o |LBL| requerido = |VAL|.</t>
  </si>
  <si>
    <t>Aucune vanne du catalogue n’a le |LBL| requis = |VAL|.</t>
  </si>
  <si>
    <t>CalcRes_PIEstimated</t>
  </si>
  <si>
    <t>PI estimated from the critical ratio because PI was entered as 0: P1_abs = P2_abs / |RATIO|.</t>
  </si>
  <si>
    <t>PI estimada con la relación crítica porque se ingresó PI = 0: P1_abs = P2_abs / |RATIO|.</t>
  </si>
  <si>
    <t>PI estimada pela razão crítica porque PI foi informada como 0: P1_abs = P2_abs / |RATIO|.</t>
  </si>
  <si>
    <t>PI estimée à partir du rapport critique car PI a été saisie à 0 : P1_abs = P2_abs / |RATIO|.</t>
  </si>
  <si>
    <t>CalcRes_POEstimated</t>
  </si>
  <si>
    <t>PO estimated from the critical ratio because PO was entered as 0: P2_abs = P1_abs * |RATIO|.</t>
  </si>
  <si>
    <t>PO estimada con la relación crítica porque se ingresó PO = 0: P2_abs = P1_abs * |RATIO|.</t>
  </si>
  <si>
    <t>PO estimada pela razão crítica porque PO foi informada como 0: P2_abs = P1_abs * |RATIO|.</t>
  </si>
  <si>
    <t>PO estimée à partir du rapport critique car PO a été saisie à 0 : P2_abs = P1_abs * |RATIO|.</t>
  </si>
  <si>
    <t>CalcRes_Choked</t>
  </si>
  <si>
    <t>Flow is choked: P2_abs / P1_abs = |P2P1||NL|which is less than or equal to |RATIO|.</t>
  </si>
  <si>
    <t>Flujo bloqueado (crítico): P2_abs / P1_abs = |P2P1||NL|que es menor o igual a |RATIO|.</t>
  </si>
  <si>
    <t>Fluxo bloqueado (crítico): P2_abs / P1_abs = |P2P1||NL|que é menor ou igual a |RATIO|.</t>
  </si>
  <si>
    <t>Écoulement bloqué (critique) : P2_abs / P1_abs = |P2P1||NL|ce qui est inférieur ou égal à |RATIO|.</t>
  </si>
  <si>
    <t>CalcRes_Subcritical</t>
  </si>
  <si>
    <t>Flow is subcritical: P2_abs / P1_abs = |P2P1|, which is greater than |RATIO|.</t>
  </si>
  <si>
    <t>Flujo subcrítico: P2_abs / P1_abs = |P2P1|, que es mayor que |RATIO|.</t>
  </si>
  <si>
    <t>Fluxo subcrítico: P2_abs / P1_abs = |P2P1|, que é maior que |RATIO|.</t>
  </si>
  <si>
    <t>Écoulement sous-critique : P2_abs / P1_abs = |P2P1|, ce qui est supérieur à |RATIO|.</t>
  </si>
  <si>
    <t>CalcRes_CriticalLimit</t>
  </si>
  <si>
    <t>Critical pressure drop reached. Critical downstream pressure limit = |P| |UNIT|</t>
  </si>
  <si>
    <t>Se alcanzó la caída de presión crítica. Límite crítico de presión aguas abajo = |P| |UNIT|</t>
  </si>
  <si>
    <t>Queda de pressão crítica atingida. Limite crítico de pressão a jusante = |P| |UNIT|</t>
  </si>
  <si>
    <t>Chute de pression critique atteinte. Limite critique de pression aval = |P| |UNIT|</t>
  </si>
  <si>
    <t>CvC_DesignDrop</t>
  </si>
  <si>
    <t>Design pressure drop = |DP| |UNIT||NL|Design outlet absolute pressure = |P2| |UNIT2|</t>
  </si>
  <si>
    <t>Caída de presión de diseño = |DP| |UNIT||NL|Presión absoluta de salida de diseño = |P2| |UNIT2|</t>
  </si>
  <si>
    <t>Queda de pressão de projeto = |DP| |UNIT||NL|Pressão absoluta de saída de projeto = |P2| |UNIT2|</t>
  </si>
  <si>
    <t>Chute de pression de calcul = |DP| |UNIT||NL|Pression absolue de sortie de calcul = |P2| |UNIT2|</t>
  </si>
  <si>
    <t>CvC_Cap_Fail</t>
  </si>
  <si>
    <t>Capacity check: FAIL - |LBL| |SEL| is below the required |LBL| |REQ|. At these pressures it passes only |QCAP| of the |QDES| design flow. Choose a larger valve.</t>
  </si>
  <si>
    <t>Verificación de capacidad: NO CUMPLE - el |LBL| |SEL| es menor que el |LBL| requerido |REQ|. A estas presiones solo pasa |QCAP| de los |QDES| del caudal de diseño. Elija una válvula más grande.</t>
  </si>
  <si>
    <t>Verificação de capacidade: REPROVADA - o |LBL| |SEL| é menor que o |LBL| requerido |REQ|. Nestas pressões passa apenas |QCAP| dos |QDES| da vazão de projeto. Escolha uma válvula maior.</t>
  </si>
  <si>
    <t>Vérification de capacité : ÉCHEC - le |LBL| |SEL| est inférieur au |LBL| requis |REQ|. À ces pressions, il ne laisse passer que |QCAP| sur les |QDES| du débit de calcul. Choisissez une vanne plus grande.</t>
  </si>
  <si>
    <t>CvC_Cap_Pass</t>
  </si>
  <si>
    <t>Capacity check: PASS - |LBL| |SEL| covers the required |LBL| |REQ| (|MARGIN|% margin). Capacity only: the valve must also pass the outlet-velocity check below.</t>
  </si>
  <si>
    <t>Verificación de capacidad: CUMPLE - el |LBL| |SEL| cubre el |LBL| requerido |REQ| (margen |MARGIN| %). Solo capacidad: la válvula también debe cumplir la verificación de velocidad de salida de abajo.</t>
  </si>
  <si>
    <t>Verificação de capacidade: APROVADA - o |LBL| |SEL| atende ao |LBL| requerido |REQ| (margem de |MARGIN|%). Só capacidade: a válvula também precisa passar na verificação de velocidade de saída abaixo.</t>
  </si>
  <si>
    <t>Vérification de capacité : CONFORME - le |LBL| |SEL| couvre le |LBL| requis |REQ| (marge de |MARGIN| %). Capacité seulement : la vanne doit aussi satisfaire la vérification de vitesse de sortie ci-dessous.</t>
  </si>
  <si>
    <t>CvC_Cap_PassHigh</t>
  </si>
  <si>
    <t>Capacity check: PASS - |LBL| |SEL| can pass |OVER|% more than the design flow. Check that it throttles accurately at minimum load, and that it passes the outlet-velocity check below.</t>
  </si>
  <si>
    <t>Verificación de capacidad: CUMPLE - el |LBL| |SEL| puede pasar un |OVER| % más que el caudal de diseño. Compruebe que regule con precisión a carga mínima y que cumpla la verificación de velocidad de salida de abajo.</t>
  </si>
  <si>
    <t>Verificação de capacidade: APROVADA - o |LBL| |SEL| pode passar |OVER|% a mais que a vazão de projeto. Verifique se modula com precisão na carga mínima e se passa na verificação de velocidade de saída abaixo.</t>
  </si>
  <si>
    <t>Vérification de capacité : CONFORME - le |LBL| |SEL| peut laisser passer |OVER| % de plus que le débit de calcul. Vérifiez qu’elle régule avec précision à charge minimale et qu’elle satisfait la vérification de vitesse de sortie ci-dessous.</t>
  </si>
  <si>
    <t>CvC_Cap_Oversized</t>
  </si>
  <si>
    <t>Capacity check: PASS but oversized - |LBL| |SEL| can pass |OVER|% more than the design flow and may not control well at low load. Enter the minimum flow on the 1/3 - 2/3 sheet to check; a split pair is suggested there if one is needed.</t>
  </si>
  <si>
    <t>Verificación de capacidad: CUMPLE pero sobredimensionada - el |LBL| |SEL| puede pasar un |OVER| % más que el caudal de diseño y puede no regular bien a carga baja. Ingrese el caudal mínimo en la hoja 1/3 - 2/3 para comprobarlo; allí se sugiere un par dividido si hace falta.</t>
  </si>
  <si>
    <t>Verificação de capacidade: APROVADA, mas superdimensionada - o |LBL| |SEL| pode passar |OVER|% a mais que a vazão de projeto e pode não controlar bem em carga baixa. Informe a vazão mínima na planilha 1/3 - 2/3 para verificar; ali é sugerido um par dividido se necessário.</t>
  </si>
  <si>
    <t>Vérification de capacité : CONFORME mais surdimensionnée - le |LBL| |SEL| peut laisser passer |OVER| % de plus que le débit de calcul et risque de mal réguler à faible charge. Saisissez le débit minimal sur la feuille 1/3 - 2/3 pour vérifier ; une paire de vannes y est proposée si nécessaire.</t>
  </si>
  <si>
    <t>Vel_Verdict_Pass</t>
  </si>
  <si>
    <t>Outlet velocity at design flow: |VEL| - within the |LIM| limit for |CLASS| steam.</t>
  </si>
  <si>
    <t>Velocidad de salida con el caudal de diseño: |VEL| - dentro del límite de |LIM| para vapor |CLASS|.</t>
  </si>
  <si>
    <t>Velocidade de saída na vazão de projeto: |VEL| - dentro do limite de |LIM| para vapor |CLASS|.</t>
  </si>
  <si>
    <t>Vitesse de sortie au débit de calcul : |VEL| - dans la limite de |LIM| pour la vapeur |CLASS|.</t>
  </si>
  <si>
    <t>Vel_Verdict_Fail</t>
  </si>
  <si>
    <t>This valve is too small for this pressure drop: see the Recommended Valve below. At this velocity, expect excess noise, erosion, and poor control - see the Velocity/Noise outputs and (?) above.</t>
  </si>
  <si>
    <t>Esta válvula es demasiado pequeña para esta caída de presión: vea la Válvula Recomendada abajo. A esta velocidad, espere ruido excesivo, erosión y mal control - vea las salidas de Velocidad/Ruido y el (?) arriba.</t>
  </si>
  <si>
    <t>Esta válvula é pequena demais para esta queda de pressão: veja a Válvula Recomendada abaixo. Nessa velocidade, espere ruído excessivo, erosão e controle ruim - veja as saídas de Velocidade/Ruído e o (?) acima.</t>
  </si>
  <si>
    <t>Cette vanne est trop petite pour cette chute de pression : voir la Vanne recommandée ci-dessous. À cette vitesse, attendez-vous à un bruit excessif, à de l'érosion et à une mauvaise régulation - voir les sorties Vitesse/Bruit et le (?) ci-dessus.</t>
  </si>
  <si>
    <t>SteamClass_Dry</t>
  </si>
  <si>
    <t>dry saturated</t>
  </si>
  <si>
    <t>saturado seco</t>
  </si>
  <si>
    <t>saturée sèche</t>
  </si>
  <si>
    <t>SteamClass_Wet</t>
  </si>
  <si>
    <t>wet saturated</t>
  </si>
  <si>
    <t>saturado húmedo</t>
  </si>
  <si>
    <t>saturado úmido</t>
  </si>
  <si>
    <t>saturée humide</t>
  </si>
  <si>
    <t>SteamClass_Superheated</t>
  </si>
  <si>
    <t>superheated</t>
  </si>
  <si>
    <t>sobrecalentado</t>
  </si>
  <si>
    <t>superaquecido</t>
  </si>
  <si>
    <t>surchauffée</t>
  </si>
  <si>
    <t>Rec_NoSuitableValve</t>
  </si>
  <si>
    <t>None suitable - review with TS</t>
  </si>
  <si>
    <t>Ninguna adecuada - consulte TS</t>
  </si>
  <si>
    <t>Nenhuma adequada - consulte TS</t>
  </si>
  <si>
    <t>Aucune adaptée - voir avec TS</t>
  </si>
  <si>
    <t>Note_NoValveWithin3x</t>
  </si>
  <si>
    <t>Note: no catalog valve rated for this inlet pressure passes the |LIM| outlet-velocity limit with a |LBL| of no more than 3 times the required |LBL| |REQ|. The pressure drop is too large for one valve of a sensible size: consider two-stage pressure reduction, or review with Belimo TS.</t>
  </si>
  <si>
    <t>Nota: ninguna válvula del catálogo con presión nominal para esta entrada cumple el límite de velocidad de salida de |LIM| con un |LBL| de hasta 3 veces el |LBL| requerido |REQ|. La caída de presión es demasiado grande para una sola válvula de tamaño razonable: considere una reducción de presión en dos etapas o consulte con Belimo TS.</t>
  </si>
  <si>
    <t>Nota: nenhuma válvula do catálogo com pressão nominal para esta entrada atende ao limite de velocidade de saída de |LIM| com um |LBL| de até 3 vezes o |LBL| requerido |REQ|. A queda de pressão é grande demais para uma única válvula de tamanho razoável: considere uma redução de pressão em dois estágios ou consulte a Belimo TS.</t>
  </si>
  <si>
    <t>Remarque : aucune vanne du catalogue adaptée à cette pression d’entrée ne respecte la limite de vitesse de sortie de |LIM| avec un |LBL| d’au plus 3 fois le |LBL| requis |REQ|. La chute de pression est trop grande pour une seule vanne de taille raisonnable : envisagez une détente en deux étages ou voyez avec Belimo TS.</t>
  </si>
  <si>
    <t>Note_RecOversized</t>
  </si>
  <si>
    <t>The Recommended Valve is |RATIO| times the required |LBL| - no smaller catalog valve passes the outlet-velocity limit at this pressure. It can still control down to about |MINPCT|% of design flow (effective rangeability |ER|:1); if the minimum load is lower, check the 1/3 - 2/3 sheet.</t>
  </si>
  <si>
    <t>La Válvula Recomendada es |RATIO| veces el |LBL| requerido: ninguna válvula más pequeña del catálogo cumple el límite de velocidad de salida a esta presión. Aun así puede regular hasta aproximadamente el |MINPCT| % del caudal de diseño (rangeabilidad efectiva |ER|:1); si la carga mínima es menor, revise la hoja 1/3 - 2/3.</t>
  </si>
  <si>
    <t>A Válvula Recomendada tem |RATIO| vezes o |LBL| requerido: nenhuma válvula menor do catálogo atende ao limite de velocidade de saída nesta pressão. Ainda assim ela controla até cerca de |MINPCT|% da vazão de projeto (rangeabilidade efetiva |ER|:1); se a carga mínima for menor, verifique a planilha 1/3 - 2/3.</t>
  </si>
  <si>
    <t>La Vanne recommandée fait |RATIO| fois le |LBL| requis : aucune vanne plus petite du catalogue ne respecte la limite de vitesse de sortie à cette pression. Elle peut tout de même réguler jusqu’à environ |MINPCT| % du débit de calcul (rangeabilité effective |ER|:1) ; si la charge minimale est plus faible, vérifiez la feuille 1/3 - 2/3.</t>
  </si>
  <si>
    <t>MsgBoxTitle_ClosestCv</t>
  </si>
  <si>
    <t>Closest Cv, Selected and Recommended valve</t>
  </si>
  <si>
    <t>Cv más cercano, válvula seleccionada y recomendada</t>
  </si>
  <si>
    <t>Cv mais próximo, válvula selecionada e recomendada</t>
  </si>
  <si>
    <t>Cv le plus proche, vanne sélectionnée et recommandée</t>
  </si>
  <si>
    <t>MsgBox_Help_ClosestCv</t>
  </si>
  <si>
    <t>Three different valves appear on this sheet:
CLOSEST Cv (this line): the catalog valve nearest to the required Cv, by capacity only. It is a starting point, not a selection - it has not been checked for outlet velocity.
SELECTED valve (the Valve Selection box, right): the valve the right-hand panel analyses. The tool fills in the closest Cv, but you can choose any valve there.
RECOMMENDED valve (panel below): the smallest catalog valve that passes both checks - Cv at least the required Cv, and outlet velocity within the limit at design flow. This is the one to quote. If it differs from the valve in the Valve Selection box, the note under the panel says why.</t>
  </si>
  <si>
    <t>En esta hoja aparecen tres válvulas distintas:
Cv MÁS CERCANO (esta línea): la válvula del catálogo más cercana al Cv requerido, solo por capacidad. Es un punto de partida, no una selección: no se ha comprobado su velocidad de salida.
Válvula SELECCIONADA (cuadro Selección de Válvula, a la derecha): la válvula que analiza el panel derecho. La herramienta pone el Cv más cercano, pero puede elegir cualquier válvula.
Válvula RECOMENDADA (panel de abajo): la válvula de catálogo más pequeña que cumple ambas verificaciones: Cv al menos igual al requerido y velocidad de salida dentro del límite con el caudal de diseño. Es la que debe cotizar. Si difiere de la del cuadro Selección de Válvula, la nota bajo el panel explica por qué.</t>
  </si>
  <si>
    <t>Nesta planilha aparecem três válvulas diferentes:
Cv MAIS PRÓXIMO (esta linha): a válvula do catálogo mais próxima do Cv requerido, só pela capacidade. É um ponto de partida, não uma seleção - sua velocidade de saída não foi verificada.
Válvula SELECIONADA (caixa Seleção de Válvula, à direita): a válvula que o painel direito analisa. A ferramenta coloca o Cv mais próximo, mas você pode escolher qualquer válvula.
Válvula RECOMENDADA (painel abaixo): a menor válvula do catálogo que passa nas duas verificações - Cv pelo menos igual ao requerido e velocidade de saída dentro do limite na vazão de projeto. É a que deve ser cotada. Se for diferente da válvula da caixa Seleção de Válvula, a nota sob o painel explica o motivo.</t>
  </si>
  <si>
    <t>Trois vannes différentes apparaissent sur cette feuille :
Cv LE PLUS PROCHE (cette ligne) : la vanne du catalogue la plus proche du Cv requis, selon la seule capacité. C’est un point de départ, pas une sélection - sa vitesse de sortie n’a pas été vérifiée.
Vanne SÉLECTIONNÉE (case Sélection de vanne, à droite) : la vanne analysée par le panneau de droite. L’outil y met le Cv le plus proche, mais vous pouvez choisir n’importe quelle vanne.
Vanne RECOMMANDÉE (panneau ci-dessous) : la plus petite vanne du catalogue qui satisfait les deux vérifications - Cv au moins égal au Cv requis et vitesse de sortie dans la limite au débit de calcul. C’est celle à proposer. Si elle diffère de la vanne de la case Sélection de vanne, la note sous le panneau explique pourquoi.</t>
  </si>
  <si>
    <t>MsgBoxTitle_CapCheck</t>
  </si>
  <si>
    <t>Capacity check</t>
  </si>
  <si>
    <t>Verificación de capacidad</t>
  </si>
  <si>
    <t>Verificação de capacidade</t>
  </si>
  <si>
    <t>Vérification de capacité</t>
  </si>
  <si>
    <t>MsgBox_Help_CapCheck</t>
  </si>
  <si>
    <t>Can the valve in the Valve Selection box pass the design flow at your pressures?
FAIL (red): its Cv is below the required Cv - it cannot deliver the design flow. Choose a larger valve.
PASS (green): its Cv covers the required Cv with up to about 10% to spare.
PASS (orange): it can pass more than 10% above the design flow. Fine for capacity, but check control at low load on the 1/3 - 2/3 sheet (enter the minimum flow there).
Capacity is only half of the answer: the valve must also pass the outlet-velocity check below. The Recommended Valve panel applies both checks.</t>
  </si>
  <si>
    <t>¿Puede la válvula del cuadro Selección de Válvula pasar el caudal de diseño con sus presiones?
NO CUMPLE (rojo): su Cv es menor que el Cv requerido; no puede entregar el caudal de diseño. Elija una válvula más grande.
CUMPLE (verde): su Cv cubre el Cv requerido con hasta un 10 % de margen.
CUMPLE (naranja): puede pasar más del 10 % por encima del caudal de diseño. Correcto en capacidad, pero compruebe la regulación a carga baja en la hoja 1/3 - 2/3 (ingrese allí el caudal mínimo).
La capacidad es solo la mitad de la respuesta: la válvula también debe cumplir la verificación de velocidad de salida de abajo. El panel Válvula Recomendada aplica ambas.</t>
  </si>
  <si>
    <t>A válvula da caixa Seleção de Válvula consegue passar a vazão de projeto nas suas pressões?
REPROVADA (vermelho): seu Cv é menor que o Cv requerido - não entrega a vazão de projeto. Escolha uma válvula maior.
APROVADA (verde): seu Cv atende ao Cv requerido com até cerca de 10% de folga.
APROVADA (laranja): pode passar mais de 10% acima da vazão de projeto. Bom para capacidade, mas verifique o controle em carga baixa na planilha 1/3 - 2/3 (informe ali a vazão mínima).
A capacidade é só metade da resposta: a válvula também precisa passar na verificação de velocidade de saída abaixo. O painel Válvula Recomendada aplica as duas.</t>
  </si>
  <si>
    <t>La vanne de la case Sélection de vanne peut-elle passer le débit de calcul à vos pressions ?
ÉCHEC (rouge) : son Cv est inférieur au Cv requis - elle ne peut pas fournir le débit de calcul. Choisissez une vanne plus grande.
CONFORME (vert) : son Cv couvre le Cv requis avec jusqu’à environ 10 % de marge.
CONFORME (orange) : elle peut passer plus de 10 % au-dessus du débit de calcul. Correct pour la capacité, mais vérifiez la régulation à faible charge sur la feuille 1/3 - 2/3 (saisissez-y le débit minimal).
La capacité n’est que la moitié de la réponse : la vanne doit aussi satisfaire la vérification de vitesse de sortie ci-dessous. Le panneau Vanne recommandée applique les deux.</t>
  </si>
  <si>
    <t>MsgBoxTitle_SplitCheck</t>
  </si>
  <si>
    <t>Turndown and 1/3 - 2/3 split valves</t>
  </si>
  <si>
    <t>Rangeabilidad y válvulas divididas 1/3 - 2/3</t>
  </si>
  <si>
    <t>Rangeabilidade e válvulas divididas 1/3 - 2/3</t>
  </si>
  <si>
    <t>Rangeabilité et vannes 1/3 - 2/3</t>
  </si>
  <si>
    <t>MsgBox_Help_SplitCheck</t>
  </si>
  <si>
    <t>This sheet checks whether ONE valve - the one chosen in Valve to Analyze (the Recommended or the Selected Valve) - can control down to your minimum load.
Effective rangeability = the valve's rangeability / how oversized it is (its Cv / the required Cv). Required turndown = design flow / minimum flow. If the effective rangeability is lower, a 1/3 - 2/3 pair is recommended: a small valve for low loads and a large one that opens as the load rises.
The split valves shown are real catalog valves: each has at least its share of the required Cv (1/3 and 2/3), no more than 3 times it, passes the outlet-velocity limit for its share of the flow, and is rated for the inlet pressure. A split hardly reduces the valve body sizes - both valves discharge at the same outlet pressure - its benefit is control at low load.</t>
  </si>
  <si>
    <t>Esta hoja comprueba si UNA válvula (la elegida en Válvula a Analizar: la Recomendada o la Seleccionada) puede regular hasta su carga mínima.
Rangeabilidad efectiva = rangeabilidad de la válvula / cuánto está sobredimensionada (su Cv / el Cv requerido). Rangeabilidad requerida = caudal de diseño / caudal mínimo. Si la efectiva es menor, se recomienda un par 1/3 - 2/3: una válvula pequeña para cargas bajas y una grande que abre al subir la carga.
Las válvulas divididas son válvulas reales del catálogo: cada una tiene al menos su parte del Cv requerido (1/3 y 2/3), no más de 3 veces esa parte, cumple el límite de velocidad de salida para su parte del caudal y está homologada para la presión de entrada. Dividir apenas reduce el tamaño de los cuerpos (ambas descargan a la misma presión de salida): su ventaja es la regulación a carga baja.</t>
  </si>
  <si>
    <t>Esta planilha verifica se UMA válvula (a escolhida em Válvula a Analisar: a Recomendada ou a Selecionada) consegue controlar até a sua carga mínima.
Rangeabilidade efetiva = rangeabilidade da válvula / quanto ela está superdimensionada (seu Cv / o Cv requerido). Rangeabilidade requerida = vazão de projeto / vazão mínima. Se a efetiva for menor, recomenda-se um par 1/3 - 2/3: uma válvula pequena para cargas baixas e uma grande que abre conforme a carga aumenta.
As válvulas divididas são válvulas reais do catálogo: cada uma tem pelo menos sua parte do Cv requerido (1/3 e 2/3), no máximo 3 vezes essa parte, atende ao limite de velocidade de saída para sua parte da vazão e é classificada para a pressão de entrada. Dividir quase não reduz o tamanho dos corpos (ambas descarregam na mesma pressão de saída): a vantagem é o controle em carga baixa.</t>
  </si>
  <si>
    <t>Cette feuille vérifie si UNE vanne (celle choisie dans Vanne à Analyser : la recommandée ou la sélectionnée) peut réguler jusqu’à votre charge minimale.
Rangeabilité effective = rangeabilité de la vanne / son surdimensionnement (son Cv / le Cv requis). Rangeabilité requise = débit de calcul / débit minimal. Si l’effective est plus faible, une paire 1/3 - 2/3 est recommandée : une petite vanne pour les faibles charges et une grande qui s’ouvre quand la charge augmente.
Les vannes proposées sont de vraies vannes du catalogue : chacune a au moins sa part du Cv requis (1/3 et 2/3), au plus 3 fois cette part, respecte la limite de vitesse de sortie pour sa part du débit et convient à la pression d’entrée. Diviser réduit à peine la taille des corps (les deux vannes débitent à la même pression de sortie) : l’avantage est la régulation à faible charge.</t>
  </si>
  <si>
    <t>MsgBoxTitle_Oversize</t>
  </si>
  <si>
    <t>Oversizing Factor</t>
  </si>
  <si>
    <t>Factor de sobredimensionamiento</t>
  </si>
  <si>
    <t>Fator de superdimensionamento</t>
  </si>
  <si>
    <t>Facteur de surdimensionnement</t>
  </si>
  <si>
    <t>MsgBox_Help_Oversize</t>
  </si>
  <si>
    <t>Oversizing Factor = the installed Cv of the valve chosen in Valve to Analyze / the required Cv.
A factor of 1.0 means the valve's Cv exactly matches what the job needs; a valve is always rounded up to the next catalog size, so this is normally a bit above 1.0. The more it is oversized on capacity, the less the valve travels at low loads - which lowers its Effective Rangeability below.</t>
  </si>
  <si>
    <t>Factor de sobredimensionamiento = Cv instalado de la válvula elegida en Válvula a Analizar / Cv requerido.
Un factor de 1.0 significa que el Cv de la válvula coincide exactamente con lo que necesita la aplicación; la válvula siempre se redondea al tamaño de catálogo siguiente, por lo que normalmente este valor es un poco mayor que 1.0. Cuanto más sobredimensionada esté en capacidad, menos recorrido tendrá la válvula a cargas bajas, lo que reduce su Rangeabilidad Efectiva (más abajo).</t>
  </si>
  <si>
    <t>Fator de superdimensionamento = Cv instalado da válvula escolhida em Válvula a Analisar / Cv requerido.
Um fator de 1,0 significa que o Cv da válvula corresponde exatamente ao que a aplicação exige; a válvula é sempre arredondada para o próximo tamanho de catálogo, então esse valor normalmente é um pouco maior que 1,0. Quanto mais superdimensionada em capacidade, menor o curso da válvula em cargas baixas, o que reduz a Rangeabilidade Efetiva (abaixo).</t>
  </si>
  <si>
    <t>Facteur de surdimensionnement = Cv installé de la vanne choisie dans Vanne à Analyser / Cv requis.
Un facteur de 1,0 signifie que le Cv de la vanne correspond exactement au besoin de l’application ; la vanne est toujours arrondie à la taille de catalogue supérieure, donc cette valeur est normalement un peu supérieure à 1,0. Plus la vanne est surdimensionnée en capacité, moins elle se déplace à faible charge, ce qui réduit sa Rangeabilité effective (ci-dessous).</t>
  </si>
  <si>
    <t>MsgBoxTitle_ReqTurndown</t>
  </si>
  <si>
    <t>Required System Turndown</t>
  </si>
  <si>
    <t>Rangeabilidad requerida del sistema</t>
  </si>
  <si>
    <t>Rangeabilidade requerida do sistema</t>
  </si>
  <si>
    <t>Rangeabilité requise du système</t>
  </si>
  <si>
    <t>MsgBox_Help_ReqTurndown</t>
  </si>
  <si>
    <t>Required System Turndown = Flow Basis (design flow) / the Minimum Flow entered above.
This is how much turn-down the application actually asks for - the ratio between the highest flow the valve must pass and the lowest flow it must still control. It is compared against the Effective Rangeability below: if the valve cannot turn down this far on its own, a 1/3 - 2/3 split pair is recommended.</t>
  </si>
  <si>
    <t>Rangeabilidad requerida del sistema = Base de caudal (caudal de diseño) / el Caudal Mínimo ingresado arriba.
Es la rangeabilidad que realmente exige la aplicación: la relación entre el caudal más alto que debe pasar la válvula y el más bajo que aún debe regular. Se compara con la Rangeabilidad Efectiva de abajo: si la válvula no puede regular hasta ese punto por sí sola, se recomienda un par dividido 1/3 - 2/3.</t>
  </si>
  <si>
    <t>Rangeabilidade requerida do sistema = Base de vazão (vazão de projeto) / a Vazão Mínima informada acima.
É a rangeabilidade que a aplicação realmente exige: a relação entre a maior vazão que a válvula deve passar e a menor que ainda precisa controlar. É comparada com a Rangeabilidade Efetiva abaixo: se a válvula não conseguir regular sozinha até esse ponto, recomenda-se um par dividido 1/3 - 2/3.</t>
  </si>
  <si>
    <t>Rangeabilité requise du système = Base de débit (débit de calcul) / le Débit minimal saisi ci-dessus.
C’est la rangeabilité réellement exigée par l’application : le rapport entre le débit le plus élevé que la vanne doit passer et le plus faible qu’elle doit encore réguler. Elle est comparée à la Rangeabilité effective ci-dessous : si la vanne ne peut pas réguler seule jusque-là, une paire divisée 1/3 - 2/3 est recommandée.</t>
  </si>
  <si>
    <t>MsgBoxTitle_EffRange</t>
  </si>
  <si>
    <t>Effective Rangeability</t>
  </si>
  <si>
    <t>Rangeabilidad efectiva</t>
  </si>
  <si>
    <t>Rangeabilidade efetiva</t>
  </si>
  <si>
    <t>Rangeabilité effective</t>
  </si>
  <si>
    <t>MsgBox_Help_EffRange</t>
  </si>
  <si>
    <t>Effective Rangeability = the valve's Rated Rangeability (R, above) / its Oversizing Factor (above).
A valve's published rangeability only applies at its own Cv - oversizing it eats into that number, since the valve now travels less at any given flow. This adjusted figure is what actually gets compared to the Required System Turndown below to decide whether one valve is enough or a 1/3 - 2/3 split pair is needed.</t>
  </si>
  <si>
    <t>Rangeabilidad efectiva = Rangeabilidad nominal de la válvula (R, arriba) / su Factor de sobredimensionamiento (arriba).
La rangeabilidad publicada de una válvula solo aplica en su propio Cv; sobredimensionarla reduce ese valor, porque la válvula recorre menos para un caudal dado. Esta cifra ajustada es la que realmente se compara con la Rangeabilidad requerida del sistema de abajo para decidir si basta una sola válvula o se necesita un par dividido 1/3 - 2/3.</t>
  </si>
  <si>
    <t>Rangeabilidade efetiva = Rangeabilidade nominal da válvula (R, acima) / seu Fator de superdimensionamento (acima).
A rangeabilidade publicada de uma válvula só vale para o seu próprio Cv; superdimensioná-la reduz esse número, pois a válvula percorre menos curso para uma dada vazão. Esse valor ajustado é o que realmente se compara com a Rangeabilidade requerida do sistema abaixo para decidir se uma única válvula basta ou se é necessário um par dividido 1/3 - 2/3.</t>
  </si>
  <si>
    <t>Rangeabilité effective = Rangeabilité nominale de la vanne (R, ci-dessus) / son Facteur de surdimensionnement (ci-dessus).
La rangeabilité publiée d’une vanne ne s’applique qu’à son propre Cv ; la surdimensionner réduit cette valeur, car la vanne se déplace moins pour un débit donné. C’est cette valeur ajustée qui est réellement comparée à la Rangeabilité requise du système ci-dessous pour décider si une seule vanne suffit ou si une paire divisée 1/3 - 2/3 est nécessaire.</t>
  </si>
  <si>
    <t>Note_NoRatedValveWithin3x</t>
  </si>
  <si>
    <t>Note: no catalog valve rated for this inlet pressure (|PI|) has a |LBL| between the required |REQ| and 3 times that (|MAX|), so none can be recommended. Review with Belimo TS.</t>
  </si>
  <si>
    <t>Nota: ninguna válvula del catálogo con presión nominal para esta entrada (|PI|) tiene un |LBL| entre el requerido |REQ| y 3 veces ese valor (|MAX|), por lo que no se puede recomendar ninguna. Consulte con Belimo TS.</t>
  </si>
  <si>
    <t>Nota: nenhuma válvula do catálogo com pressão nominal para esta entrada (|PI|) tem um |LBL| entre o requerido |REQ| e 3 vezes esse valor (|MAX|), então nenhuma pode ser recomendada. Consulte a Belimo TS.</t>
  </si>
  <si>
    <t>Remarque : aucune vanne du catalogue adaptée à cette pression d’entrée (|PI|) n’a un |LBL| compris entre le |LBL| requis |REQ| et 3 fois cette valeur (|MAX|) ; aucune ne peut donc être recommandée. Voyez avec Belimo TS.</t>
  </si>
  <si>
    <t>Note_SugDiffers_Capacity</t>
  </si>
  <si>
    <t>Note: the valve in the Valve Selection box, |SEL| (|SELCV|), is smaller than the required |LBL| |REQ| and cannot pass the design flow. The Recommended Valve, |SUG| (|SUGCV|), is the smallest valve that passes both the capacity and the velocity check.</t>
  </si>
  <si>
    <t>Nota: la válvula del cuadro Selección de Válvula, |SEL| (|SELCV|), es menor que el |LBL| requerido |REQ| y no puede pasar el caudal de diseño. La Válvula Recomendada, |SUG| (|SUGCV|), es la válvula más pequeña que cumple tanto la verificación de capacidad como la de velocidad.</t>
  </si>
  <si>
    <t>Nota: a válvula da caixa Seleção de Válvula, |SEL| (|SELCV|), é menor que o |LBL| requerido |REQ| e não consegue passar a vazão de projeto. A Válvula Recomendada, |SUG| (|SUGCV|), é a menor válvula que passa tanto na verificação de capacidade quanto na de velocidade.</t>
  </si>
  <si>
    <t>Remarque : la vanne de la case Sélection de vanne, |SEL| (|SELCV|), est inférieure au |LBL| requis |REQ| et ne peut pas passer le débit de calcul. La Vanne recommandée, |SUG| (|SUGCV|), est la plus petite vanne qui satisfait à la fois la vérification de capacité et celle de vitesse.</t>
  </si>
  <si>
    <t>Note_SugDiffers_Rating</t>
  </si>
  <si>
    <t>Note: the valve in the Valve Selection box, |SEL| (|SELCV|), is not rated for this inlet pressure. The Recommended Valve, |SUG| (|SUGCV|), is the smallest rated valve that passes both the capacity and the velocity check.</t>
  </si>
  <si>
    <t>Nota: la válvula del cuadro Selección de Válvula, |SEL| (|SELCV|), no está homologada para esta presión de entrada. La Válvula Recomendada, |SUG| (|SUGCV|), es la válvula homologada más pequeña que cumple tanto la verificación de capacidad como la de velocidad.</t>
  </si>
  <si>
    <t>Nota: a válvula da caixa Seleção de Válvula, |SEL| (|SELCV|), não é classificada para esta pressão de entrada. A Válvula Recomendada, |SUG| (|SUGCV|), é a menor válvula classificada que passa tanto na verificação de capacidade quanto na de velocidade.</t>
  </si>
  <si>
    <t>Remarque : la vanne de la case Sélection de vanne, |SEL| (|SELCV|), n’est pas prévue pour cette pression d’entrée. La Vanne recommandée, |SUG| (|SUGCV|), est la plus petite vanne adaptée qui satisfait à la fois la vérification de capacité et celle de vitesse.</t>
  </si>
  <si>
    <t>Note_SugDiffers_Smallest</t>
  </si>
  <si>
    <t>Note: the valve in the Valve Selection box, |SEL| (|SELCV|), also passes both checks. The Recommended Valve, |SUG| (|SUGCV|), is the smallest valve that does.</t>
  </si>
  <si>
    <t>Nota: la válvula del cuadro Selección de Válvula, |SEL| (|SELCV|), también cumple ambas verificaciones. La Válvula Recomendada, |SUG| (|SUGCV|), es la más pequeña que las cumple.</t>
  </si>
  <si>
    <t>Nota: a válvula da caixa Seleção de Válvula, |SEL| (|SELCV|), também passa nas duas verificações. A Válvula Recomendada, |SUG| (|SUGCV|), é a menor que passa nelas.</t>
  </si>
  <si>
    <t>Remarque : la vanne de la case Sélection de vanne, |SEL| (|SELCV|), satisfait aussi les deux vérifications. La Vanne recommandée, |SUG| (|SUGCV|), est la plus petite qui les satisfait.</t>
  </si>
  <si>
    <t>LBL_CALCULATED_VALVE_NOISE_DBA</t>
  </si>
  <si>
    <t>Calculated Valve Noise (dBA)</t>
  </si>
  <si>
    <t>Ruido Calculado de Válvula (dBA)</t>
  </si>
  <si>
    <t>Ruído Calculado da Válvula (dBA)</t>
  </si>
  <si>
    <t>Bruit Calculé de la Vanne (dBA)</t>
  </si>
  <si>
    <t>LBL_INLET_PIPE_VELOCITY</t>
  </si>
  <si>
    <t>UNIT_PSIG_GAUGE</t>
  </si>
  <si>
    <t>psig (gauge)</t>
  </si>
  <si>
    <t>psig (manométrica)</t>
  </si>
  <si>
    <t>psig (relative)</t>
  </si>
  <si>
    <t>UNIT_PSIA_ABS</t>
  </si>
  <si>
    <t>psia (absolute)</t>
  </si>
  <si>
    <t>psia (absoluta)</t>
  </si>
  <si>
    <t>psia (absolue)</t>
  </si>
  <si>
    <t>UNIT_BARG_GAUGE</t>
  </si>
  <si>
    <t>barg (gauge)</t>
  </si>
  <si>
    <t>barg (manométrica)</t>
  </si>
  <si>
    <t>barg (relative)</t>
  </si>
  <si>
    <t>UNIT_BARA_ABS</t>
  </si>
  <si>
    <t>bara (absolute)</t>
  </si>
  <si>
    <t>bara (absoluta)</t>
  </si>
  <si>
    <t>bara (absolue)</t>
  </si>
  <si>
    <t>Regime_Subcritical</t>
  </si>
  <si>
    <t>Subcritical</t>
  </si>
  <si>
    <t>Subcrítico</t>
  </si>
  <si>
    <t>Sous-critique</t>
  </si>
  <si>
    <t>Regime_Choked</t>
  </si>
  <si>
    <t>Choked</t>
  </si>
  <si>
    <t>Bloqueado (crítico)</t>
  </si>
  <si>
    <t>Bloqué (critique)</t>
  </si>
  <si>
    <t>CalcRes_CriticalCalc</t>
  </si>
  <si>
    <t>Critical Calculation</t>
  </si>
  <si>
    <t>Cálculo Crítico</t>
  </si>
  <si>
    <t>Calcul Critique</t>
  </si>
  <si>
    <t>CalcRes_StandardCalc</t>
  </si>
  <si>
    <t>Standard Calculation</t>
  </si>
  <si>
    <t>Cálculo Estándar</t>
  </si>
  <si>
    <t>Cálculo Padrão</t>
  </si>
  <si>
    <t>Calcul Standard</t>
  </si>
  <si>
    <t>Rec_ReviewTS</t>
  </si>
  <si>
    <t>Review with TS</t>
  </si>
  <si>
    <t>Consulte TS</t>
  </si>
  <si>
    <t>Voir avec TS</t>
  </si>
  <si>
    <t>Pipe_MinFor</t>
  </si>
  <si>
    <t>Sch. 40 (min. for &lt;=|V| ft/s)</t>
  </si>
  <si>
    <t>Sch. 40 (mín. para &lt;=|V| ft/s)</t>
  </si>
  <si>
    <t>Sch. 40 (min. pour &lt;=|V| ft/s)</t>
  </si>
  <si>
    <t>Pipe_OneUp</t>
  </si>
  <si>
    <t>Sch. 40 (1 size up from inlet)</t>
  </si>
  <si>
    <t>Sch. 40 (1 tamaño más que la entrada)</t>
  </si>
  <si>
    <t>Sch. 40 (1 tamanho acima da entrada)</t>
  </si>
  <si>
    <t>Sch. 40 (1 taille au-dessus de l’entrée)</t>
  </si>
  <si>
    <t>Travel_Measured</t>
  </si>
  <si>
    <t>Belimo measured curve</t>
  </si>
  <si>
    <t>curva medida de Belimo</t>
  </si>
  <si>
    <t>curva medida da Belimo</t>
  </si>
  <si>
    <t>courbe mesurée Belimo</t>
  </si>
  <si>
    <t>Travel_BelowMin</t>
  </si>
  <si>
    <t>below min. controllable travel</t>
  </si>
  <si>
    <t>por debajo de la carrera mínima controlable</t>
  </si>
  <si>
    <t>abaixo do curso mínimo controlável</t>
  </si>
  <si>
    <t>sous la course minimale réglable</t>
  </si>
  <si>
    <t>Travel_NoMargin</t>
  </si>
  <si>
    <t>full-open Cv |CV| - no margin left</t>
  </si>
  <si>
    <t>Cv totalmente abierta |CV| - sin margen</t>
  </si>
  <si>
    <t>Cv totalmente aberta |CV| - sem margem</t>
  </si>
  <si>
    <t>Cv pleine ouverture |CV| - aucune marge</t>
  </si>
  <si>
    <t>HDR_OTT_CALC</t>
  </si>
  <si>
    <t>⅓  - ⅔   C A L C U L A D O R A   D E   V Á L V U L A S</t>
  </si>
  <si>
    <t>⅓  - ⅔   C A L C U L A T E U R   D E   V A N N E S</t>
  </si>
  <si>
    <t>HDR_OTT_TURNDOWN</t>
  </si>
  <si>
    <t>A N Á L I S I S   D E   R A N G E A B I L I D A D   ( E F E C T I V A )</t>
  </si>
  <si>
    <t>A N Á L I S E   D E   R A N G E A B I L I D A D E   ( E F E T I V A )</t>
  </si>
  <si>
    <t>A N A L Y S E   D E   R A N G E A B I L I T É   ( E F F E C T I V E )</t>
  </si>
  <si>
    <t>OTT_REC_VALVE</t>
  </si>
  <si>
    <t>Valve to Analyze:</t>
  </si>
  <si>
    <t>Válvula a Analizar:</t>
  </si>
  <si>
    <t>Válvula a Analisar:</t>
  </si>
  <si>
    <t>Vanne à Analyser :</t>
  </si>
  <si>
    <t>OTT_CURVE_TYPE</t>
  </si>
  <si>
    <t>Tipo de Curva:</t>
  </si>
  <si>
    <t>Type de courbe :</t>
  </si>
  <si>
    <t>OTT_RATED_R</t>
  </si>
  <si>
    <t>Rangeabilidad Nominal (R):</t>
  </si>
  <si>
    <t>Rangeabilidade Nominal (R):</t>
  </si>
  <si>
    <t>Rangeabilité nominale (R) :</t>
  </si>
  <si>
    <t>OTT_REQ_COEFF</t>
  </si>
  <si>
    <t>Required |LBL| (design duty):</t>
  </si>
  <si>
    <t>|LBL| Requerido (diseño):</t>
  </si>
  <si>
    <t>|LBL| Requerido (projeto):</t>
  </si>
  <si>
    <t>|LBL| requis (calcul) :</t>
  </si>
  <si>
    <t>OTT_INST_COEFF</t>
  </si>
  <si>
    <t>Installed Valve |LBL|:</t>
  </si>
  <si>
    <t>|LBL| de la Válvula Instalada:</t>
  </si>
  <si>
    <t>|LBL| da Válvula Instalada:</t>
  </si>
  <si>
    <t>|LBL| de la vanne installée :</t>
  </si>
  <si>
    <t>OTT_OVERSIZE</t>
  </si>
  <si>
    <t>Factor de Sobredim. (instalado / requerido):</t>
  </si>
  <si>
    <t>Fator de Superdim. (instalado / requerido):</t>
  </si>
  <si>
    <t>Facteur de surdim. (installé / requis) :</t>
  </si>
  <si>
    <t>OTT_MIN_FLOW</t>
  </si>
  <si>
    <t>Caudal Mínimo (lb/hr):</t>
  </si>
  <si>
    <t>Vazão Mínima (lb/hr):</t>
  </si>
  <si>
    <t>Débit minimal (lb/hr) :</t>
  </si>
  <si>
    <t>OTT_FLOW_BASIS</t>
  </si>
  <si>
    <t>Flow Basis (design flow, lb/hr):</t>
  </si>
  <si>
    <t>Caudal de Referencia (diseño, lb/hr):</t>
  </si>
  <si>
    <t>Vazão de Referência (projeto, lb/hr):</t>
  </si>
  <si>
    <t>Débit de référence (calcul, lb/hr) :</t>
  </si>
  <si>
    <t>OTT_REQ_TURNDOWN</t>
  </si>
  <si>
    <t>Rangeabilidad Requerida (diseño / mín.):</t>
  </si>
  <si>
    <t>Rangeabilidade Requerida (projeto / mín.):</t>
  </si>
  <si>
    <t>Rangeabilité requise (calcul / min.) :</t>
  </si>
  <si>
    <t>OTT_EFF_R</t>
  </si>
  <si>
    <t>Rangeabilidad Efectiva (R / sobredim.):</t>
  </si>
  <si>
    <t>Rangeabilidade Efetiva (R / superdim.):</t>
  </si>
  <si>
    <t>Rangeabilité effective (R / surdim.) :</t>
  </si>
  <si>
    <t>OTT_RECOMMENDATION</t>
  </si>
  <si>
    <t>Recomendación:</t>
  </si>
  <si>
    <t>Recomendação:</t>
  </si>
  <si>
    <t>Recommandation :</t>
  </si>
  <si>
    <t>OTT_SPLIT_PAIR</t>
  </si>
  <si>
    <t>Split Valve Pair (1/3 - 2/3):</t>
  </si>
  <si>
    <t>Par de Válvulas (1/3 - 2/3):</t>
  </si>
  <si>
    <t>Paire de vannes (1/3 - 2/3) :</t>
  </si>
  <si>
    <t>OTT_SMALL_VALVE</t>
  </si>
  <si>
    <t>Válvula Pequeña (carga baja, 1/3):</t>
  </si>
  <si>
    <t>Válvula Pequena (carga baixa, 1/3):</t>
  </si>
  <si>
    <t>Petite vanne (faible charge, 1/3) :</t>
  </si>
  <si>
    <t>OTT_LARGE_VALVE</t>
  </si>
  <si>
    <t>Válvula Grande (pico, 2/3):</t>
  </si>
  <si>
    <t>Grande vanne (pointe, 2/3) :</t>
  </si>
  <si>
    <t>OTT_GenericDefault</t>
  </si>
  <si>
    <t>generic default - not yet catalogued for this valve</t>
  </si>
  <si>
    <t>valor genérico - aún no catalogado para esta válvula</t>
  </si>
  <si>
    <t>valor genérico - ainda não catalogado para esta válvula</t>
  </si>
  <si>
    <t>valeur générique - pas encore cataloguée pour cette vanne</t>
  </si>
  <si>
    <t>OTT_EnterMinFlow</t>
  </si>
  <si>
    <t>Ingrese el caudal mínimo arriba para evaluar si hace falta un par de válvulas 1/3 - 2/3.</t>
  </si>
  <si>
    <t>Informe a vazão mínima acima para avaliar se é preciso um par de válvulas 1/3 - 2/3.</t>
  </si>
  <si>
    <t>Saisissez le débit minimal ci-dessus pour évaluer si une paire de vannes 1/3 - 2/3 est nécessaire.</t>
  </si>
  <si>
    <t>OTT_SplitRecommended</t>
  </si>
  <si>
    <t>SPLIT RECOMMENDED - the analyzed valve's effective rangeability (|ER|:1) is less than the required system turndown (|TD|:1). A 1/3 - 2/3 valve pair (below) holds control down to the minimum load; a single valve will not.</t>
  </si>
  <si>
    <t>SE RECOMIENDA DIVIDIR - la rangeabilidad efectiva de la válvula analizada (|ER|:1) es menor que la rangeabilidad requerida del sistema (|TD|:1). Un par de válvulas 1/3 - 2/3 (abajo) mantiene el control hasta la carga mínima; una sola válvula no.</t>
  </si>
  <si>
    <t>DIVISÃO RECOMENDADA - a rangeabilidade efetiva da válvula analisada (|ER|:1) é menor que a rangeabilidade requerida do sistema (|TD|:1). Um par de válvulas 1/3 - 2/3 (abaixo) mantém o controle até a carga mínima; uma única válvula não.</t>
  </si>
  <si>
    <t>PAIRE RECOMMANDÉE - la rangeabilité effective de la vanne analysée (|ER|:1) est inférieure à la rangeabilité requise du système (|TD|:1). Une paire de vannes 1/3 - 2/3 (ci-dessous) garde la régulation jusqu’à la charge minimale ; une seule vanne ne le peut pas.</t>
  </si>
  <si>
    <t>OTT_NoPair</t>
  </si>
  <si>
    <t>No catalog valve pair passes the capacity and velocity checks here - review with TS.</t>
  </si>
  <si>
    <t>Ningún par de válvulas del catálogo cumple aquí las verificaciones de capacidad y velocidad - consulte TS.</t>
  </si>
  <si>
    <t>Nenhum par de válvulas do catálogo passa aqui nas verificações de capacidade e velocidade - consulte TS.</t>
  </si>
  <si>
    <t>Aucune paire de vannes du catalogue ne satisfait ici les vérifications de capacité et de vitesse - voir avec TS.</t>
  </si>
  <si>
    <t>OTT_SmallTooBig</t>
  </si>
  <si>
    <t>Even the small valve only controls down to about |MIN| lb/hr, above the minimum flow entered - review with TS.</t>
  </si>
  <si>
    <t>Incluso la válvula pequeña solo regula hasta unos |MIN| lb/hr, por encima del caudal mínimo ingresado - consulte TS.</t>
  </si>
  <si>
    <t>Mesmo a válvula pequena só controla até cerca de |MIN| lb/hr, acima da vazão mínima informada - consulte TS.</t>
  </si>
  <si>
    <t>Même la petite vanne ne régule que jusqu’à environ |MIN| lb/hr, au-dessus du débit minimal saisi - voir avec TS.</t>
  </si>
  <si>
    <t>OTT_SingleOK</t>
  </si>
  <si>
    <t>Single valve OK - effective rangeability (|ER|:1) meets the required system turndown (|TD|:1).</t>
  </si>
  <si>
    <t>Una sola válvula es suficiente - la rangeabilidad efectiva (|ER|:1) cubre la rangeabilidad requerida del sistema (|TD|:1).</t>
  </si>
  <si>
    <t>Uma única válvula basta - a rangeabilidade efetiva (|ER|:1) atende à rangeabilidade requerida do sistema (|TD|:1).</t>
  </si>
  <si>
    <t>Une seule vanne suffit - la rangeabilité effective (|ER|:1) couvre la rangeabilité requise du système (|TD|:1).</t>
  </si>
  <si>
    <t>OTT_Target</t>
  </si>
  <si>
    <t>target</t>
  </si>
  <si>
    <t>objetivo</t>
  </si>
  <si>
    <t>alvo</t>
  </si>
  <si>
    <t>cible</t>
  </si>
  <si>
    <t>OTT_Only</t>
  </si>
  <si>
    <t>only</t>
  </si>
  <si>
    <t>solo</t>
  </si>
  <si>
    <t>somente</t>
  </si>
  <si>
    <t>uniquement</t>
  </si>
  <si>
    <t>OTT_NoSplitValve</t>
  </si>
  <si>
    <t>No catalog valve passes capacity + velocity for |LBL| |VAL||FILTER| - review with TS</t>
  </si>
  <si>
    <t>Ninguna válvula del catálogo cumple capacidad + velocidad para |LBL| |VAL||FILTER| - consulte TS</t>
  </si>
  <si>
    <t>Nenhuma válvula do catálogo passa em capacidade + velocidade para |LBL| |VAL||FILTER| - consulte TS</t>
  </si>
  <si>
    <t>Aucune vanne du catalogue ne satisfait capacité + vitesse pour |LBL| |VAL||FILTER| - voir avec TS</t>
  </si>
  <si>
    <t>Vel_NoSteamProps</t>
  </si>
  <si>
    <t>Outlet velocity, noise and the Recommended Valve could not be calculated: these pressures are outside the steam property table they use (0 - |MAX| psig).</t>
  </si>
  <si>
    <t>No se pudieron calcular la velocidad de salida, el ruido ni la Válvula Recomendada: estas presiones están fuera de la tabla de propiedades del vapor que usan (0 - |MAX| psig).</t>
  </si>
  <si>
    <t>Não foi possível calcular a velocidade de saída, o ruído e a Válvula Recomendada: estas pressões estão fora da tabela de propriedades do vapor que usam (0 - |MAX| psig).</t>
  </si>
  <si>
    <t>La vitesse de sortie, le bruit et la Vanne recommandée n’ont pas pu être calculés : ces pressions sont hors de la table de propriétés de la vapeur utilisée (0 - |MAX| psig).</t>
  </si>
  <si>
    <t>LBL_SELECTED_VALVE_VELOCITY</t>
  </si>
  <si>
    <t>Selected Valve Outlet Velocity</t>
  </si>
  <si>
    <t>Velocidad de Salida (Válvula Seleccionada)</t>
  </si>
  <si>
    <t>Velocidade de Saída (Válvula Selecionada)</t>
  </si>
  <si>
    <t>Vitesse de Sortie (Vanne Sélectionnée)</t>
  </si>
  <si>
    <t>LBL_SELECTED_VALVE_NOISE</t>
  </si>
  <si>
    <t>Selected Valve Noise</t>
  </si>
  <si>
    <t>Ruido (Válvula Seleccionada)</t>
  </si>
  <si>
    <t>Ruído (Válvula Selecionada)</t>
  </si>
  <si>
    <t>Bruit (Vanne Sélectionnée)</t>
  </si>
  <si>
    <t>MsgBoxTitle_SelVelNoise</t>
  </si>
  <si>
    <t>Why the outlet-velocity limit matters</t>
  </si>
  <si>
    <t>Por qué importa el límite de velocidad de salida</t>
  </si>
  <si>
    <t>Por que o limite de velocidade de saída importa</t>
  </si>
  <si>
    <t>Pourquoi la limite de vitesse de sortie est importante</t>
  </si>
  <si>
    <t>MsgBox_Help_SelVelNoise</t>
  </si>
  <si>
    <t>Why this matters: a valve running above the outlet-velocity limit is more than a paperwork problem.
Noise: high-velocity steam through a too-small port generates aerodynamic noise that rises sharply above the limit - often audible as a persistent hiss or roar near the valve and downstream piping.
Erosion and wear: sustained high-velocity, high-energy steam can erode the valve trim, seat, and downstream pipe wall over time (wire-drawing), shortening the valve's service life and risking leakage or failure.
Control quality: an undersized valve is also usually running close to fully open at design flow, leaving little travel left to respond to demand above that - it may not be able to control the process at all under peak load.
The Recommended Valve below has been checked against both the required Cv and the outlet-velocity limit.</t>
  </si>
  <si>
    <t>Por qué importa: una válvula que opera por encima del límite de velocidad de salida no es solo un problema de papeleo.
Ruido: el vapor a alta velocidad a través de un asiento demasiado pequeño genera ruido aerodinámico que aumenta bruscamente por encima del límite, a menudo audible como un silbido o rugido constante cerca de la válvula y la tubería aguas abajo.
Erosión y desgaste: el vapor sostenido a alta velocidad y energía puede erosionar el interior de la válvula, el asiento y la pared de la tubería aguas abajo con el tiempo, acortando la vida útil de la válvula y arriesgando fugas o fallas.
Calidad de control: una válvula subdimensionada normalmente también opera casi completamente abierta con el caudal de diseño, dejando poco recorrido para responder a demanda adicional - puede que ni siquiera pueda controlar el proceso en carga máxima.
La Válvula Recomendada de abajo ya fue verificada tanto para el Cv requerido como para el límite de velocidad de salida.</t>
  </si>
  <si>
    <t>Por que isso importa: uma válvula operando acima do limite de velocidade de saída não é só um problema de papelada.
Ruído: vapor em alta velocidade através de um assento pequeno demais gera ruído aerodinâmico que aumenta bruscamente acima do limite, muitas vezes audível como um assobio ou rugido constante perto da válvula e da tubulação a jusante.
Erosão e desgaste: vapor sustentado em alta velocidade e energia pode erodir o interior da válvula, o assento e a parede da tubulação a jusante ao longo do tempo, reduzindo a vida útil da válvula e arriscando vazamentos ou falhas.
Qualidade de controle: uma válvula subdimensionada normalmente também opera quase totalmente aberta na vazão de projeto, deixando pouco curso para responder a demanda adicional - pode nem conseguir controlar o processo em carga máxima.
A Válvula Recomendada abaixo já foi verificada tanto para o Cv requerido quanto para o limite de velocidade de saída.</t>
  </si>
  <si>
    <t>Pourquoi c'est important : une vanne fonctionnant au-dessus de la limite de vitesse de sortie n'est pas qu'un problème de paperasse.
Bruit : la vapeur à haute vitesse traversant un siège trop petit génère un bruit aérodynamique qui augmente fortement au-dessus de la limite, souvent audible comme un sifflement ou un grondement constant près de la vanne et de la tuyauterie en aval.
Érosion et usure : une vapeur soutenue à haute vitesse et haute énergie peut éroder l'intérieur de la vanne, le siège et la paroi de la tuyauterie en aval au fil du temps, réduisant la durée de vie de la vanne et risquant des fuites ou des défaillances.
Qualité de régulation : une vanne sous-dimensionnée fonctionne aussi généralement presque complètement ouverte au débit de calcul, laissant peu de course pour répondre à une demande supplémentaire - elle pourrait même ne pas réussir à réguler le procédé à charge maximale.
La Vanne recommandée ci-dessous a déjà été vérifiée à la fois pour le Cv requis et pour la limite de vitesse de sortie.</t>
  </si>
  <si>
    <t>MsgBox_ValveNotRated</t>
  </si>
  <si>
    <t>|VALVE| is rated to |RATED|, but the current inlet pressure is |PI|.
Pick a valve rated for this pressure - this selection was not applied.</t>
  </si>
  <si>
    <t>|VALVE| tiene una presión nominal de |RATED|, pero la presión de entrada actual es |PI|.
Elija una válvula con presión nominal suficiente - esta selección no se aplicó.</t>
  </si>
  <si>
    <t>|VALVE| tem pressão nominal de |RATED|, mas a pressão de entrada atual é |PI|.
Escolha uma válvula com pressão nominal suficiente - esta seleção não foi aplicada.</t>
  </si>
  <si>
    <t>|VALVE| a une pression nominale de |RATED|, mais la pression d’entrée actuelle est de |PI|.
Choisissez une vanne prévue pour cette pression - cette sélection n’a pas été appliquée.</t>
  </si>
  <si>
    <t>MsgBoxTitle_ValveNotRated</t>
  </si>
  <si>
    <t>Valve Not Rated For This Pressure</t>
  </si>
  <si>
    <t>Válvula no apta para esta presión</t>
  </si>
  <si>
    <t>Válvula não adequada para esta pressão</t>
  </si>
  <si>
    <t>Vanne non prévue pour cette pression</t>
  </si>
  <si>
    <t>InputBox_TagLabel</t>
  </si>
  <si>
    <t>Enter a Tagging Label (optional):</t>
  </si>
  <si>
    <t>Ingrese una etiqueta (TAG) (opcional):</t>
  </si>
  <si>
    <t>Insira uma etiqueta (TAG) (opcional):</t>
  </si>
  <si>
    <t>Saisissez une étiquette (TAG) (facultatif) :</t>
  </si>
  <si>
    <t>InputBoxTitle_TagInput</t>
  </si>
  <si>
    <t>Tag Input</t>
  </si>
  <si>
    <t>Etiqueta (TAG)</t>
  </si>
  <si>
    <t>Étiquette (TAG)</t>
  </si>
  <si>
    <t>MsgBox_Manual_NotPublished</t>
  </si>
  <si>
    <t>A user manual hasn't been published for this tool yet. Check back after a future update.</t>
  </si>
  <si>
    <t>Todavía no se ha publicado un manual de usuario para esta herramienta. Vuelva a consultar después de una próxima actualización.</t>
  </si>
  <si>
    <t>Ainda não foi publicado um manual do usuário para esta ferramenta. Verifique novamente após uma próxima atualização.</t>
  </si>
  <si>
    <t>Aucun manuel d’utilisation n’a encore été publié pour cet outil. Revenez après une prochaine mise à jour.</t>
  </si>
  <si>
    <t>MsgBoxTitle_UserManual</t>
  </si>
  <si>
    <t>User Manual</t>
  </si>
  <si>
    <t>Manual de usuario</t>
  </si>
  <si>
    <t>Manual do usuário</t>
  </si>
  <si>
    <t>Manuel d’utilisation</t>
  </si>
  <si>
    <t>MsgBox_Manual_DownloadFailed</t>
  </si>
  <si>
    <t>Failed to download the user manual.</t>
  </si>
  <si>
    <t>No se pudo descargar el manual de usuario.</t>
  </si>
  <si>
    <t>Não foi possível baixar o manual do usuário.</t>
  </si>
  <si>
    <t>Échec du téléchargement du manuel d’utilisation.</t>
  </si>
  <si>
    <t>MsgBox_Manual_Empty</t>
  </si>
  <si>
    <t>The downloaded manual was empty.</t>
  </si>
  <si>
    <t>El manual descargado estaba vacío.</t>
  </si>
  <si>
    <t>O manual baixado estava vazio.</t>
  </si>
  <si>
    <t>Le manuel téléchargé était vide.</t>
  </si>
  <si>
    <t>MsgBox_Manual_SaveFailed</t>
  </si>
  <si>
    <t>Failed to save the downloaded file.</t>
  </si>
  <si>
    <t>No se pudo guardar el archivo descargado.</t>
  </si>
  <si>
    <t>Não foi possível salvar o arquivo baixado.</t>
  </si>
  <si>
    <t>Impossible d’enregistrer le fichier téléchargé.</t>
  </si>
  <si>
    <t>MsgBox_Manual_SavedTo</t>
  </si>
  <si>
    <t>The user manual was saved to:</t>
  </si>
  <si>
    <t>El manual de usuario se guardó en:</t>
  </si>
  <si>
    <t>O manual do usuário foi salvo em:</t>
  </si>
  <si>
    <t>Le manuel d’utilisation a été enregistré dans :</t>
  </si>
  <si>
    <t>MsgBoxTitle_DownloadComplete</t>
  </si>
  <si>
    <t>Download Complete</t>
  </si>
  <si>
    <t>Descarga completa</t>
  </si>
  <si>
    <t>Download concluído</t>
  </si>
  <si>
    <t>Téléchargement terminé</t>
  </si>
  <si>
    <t>Manual_SaveAsTitle</t>
  </si>
  <si>
    <t>Save User Manual As</t>
  </si>
  <si>
    <t>Guardar manual de usuario como</t>
  </si>
  <si>
    <t>Salvar manual do usuário como</t>
  </si>
  <si>
    <t>Enregistrer le manuel d’utilisation sous</t>
  </si>
  <si>
    <t>MsgBox_Email_OutlookFailed</t>
  </si>
  <si>
    <t>Outlook could not be opened.</t>
  </si>
  <si>
    <t>No se pudo abrir Outlook.</t>
  </si>
  <si>
    <t>Não foi possível abrir o Outlook.</t>
  </si>
  <si>
    <t>Impossible d’ouvrir Outlook.</t>
  </si>
  <si>
    <t>MsgBox_Email_PrepFailed_Prefix</t>
  </si>
  <si>
    <t>The Summary copy could not be prepared for email:</t>
  </si>
  <si>
    <t>No se pudo preparar la copia de la hoja Summary para el correo:</t>
  </si>
  <si>
    <t>Não foi possível preparar a cópia da planilha Summary para o e-mail:</t>
  </si>
  <si>
    <t>La copie de la feuille Summary n’a pas pu être préparée pour l’e-mail :</t>
  </si>
  <si>
    <t>ValveLookup_PageOf</t>
  </si>
  <si>
    <t>Page |N| of |T|</t>
  </si>
  <si>
    <t>Página |N| de |T|</t>
  </si>
  <si>
    <t>Page |N| sur |T|</t>
  </si>
  <si>
    <t>ValveLookup_ClickOKNext</t>
  </si>
  <si>
    <t>Click OK for Next</t>
  </si>
  <si>
    <t>Haga clic en Aceptar (OK) para continuar</t>
  </si>
  <si>
    <t>Clique em OK para continuar</t>
  </si>
  <si>
    <t>Cliquez sur OK pour continuer</t>
  </si>
  <si>
    <t>ValveLookup_EndOfResults</t>
  </si>
  <si>
    <t>End of Results</t>
  </si>
  <si>
    <t>Fin de los resultados</t>
  </si>
  <si>
    <t>Fim dos resultados</t>
  </si>
  <si>
    <t>Fin des résultats</t>
  </si>
  <si>
    <t>VL_Header</t>
  </si>
  <si>
    <t>Valve Lookup Results</t>
  </si>
  <si>
    <t>Resultados de búsqueda de válvulas</t>
  </si>
  <si>
    <t>Resultados da busca de válvulas</t>
  </si>
  <si>
    <t>Résultats de la recherche de vannes</t>
  </si>
  <si>
    <t>VL_RequiredLine</t>
  </si>
  <si>
    <t>|LBL| Required = |VAL|   |   Inlet Pressure = |PI| psig</t>
  </si>
  <si>
    <t>|LBL| requerido = |VAL|   |   Presión de entrada = |PI| psig</t>
  </si>
  <si>
    <t>|LBL| requerido = |VAL|   |   Pressão de entrada = |PI| psig</t>
  </si>
  <si>
    <t>|LBL| requis = |VAL|   |   Pression d’entrée = |PI| psig</t>
  </si>
  <si>
    <t>VL_Type</t>
  </si>
  <si>
    <t>Type:</t>
  </si>
  <si>
    <t>Tipo:</t>
  </si>
  <si>
    <t>Type :</t>
  </si>
  <si>
    <t>VL_BelowRequired</t>
  </si>
  <si>
    <t>Closest |LBL| below required</t>
  </si>
  <si>
    <t>|LBL| más cercano por debajo del requerido</t>
  </si>
  <si>
    <t>|LBL| mais próximo abaixo do requerido</t>
  </si>
  <si>
    <t>|LBL| le plus proche en dessous du requis</t>
  </si>
  <si>
    <t>VL_AboveRequired</t>
  </si>
  <si>
    <t>Closest |LBL| above required</t>
  </si>
  <si>
    <t>|LBL| más cercano por encima del requerido</t>
  </si>
  <si>
    <t>|LBL| mais próximo acima do requerido</t>
  </si>
  <si>
    <t>|LBL| le plus proche au-dessus du requis</t>
  </si>
  <si>
    <t>VL_Part</t>
  </si>
  <si>
    <t>Part#:</t>
  </si>
  <si>
    <t>Código:</t>
  </si>
  <si>
    <t>Réf. :</t>
  </si>
  <si>
    <t>VL_Size</t>
  </si>
  <si>
    <t>Size:</t>
  </si>
  <si>
    <t>Tamaño:</t>
  </si>
  <si>
    <t>Tamanho:</t>
  </si>
  <si>
    <t>Taille :</t>
  </si>
  <si>
    <t>VL_MaxPI</t>
  </si>
  <si>
    <t>Max PI:</t>
  </si>
  <si>
    <t>PI máx.:</t>
  </si>
  <si>
    <t>PI max. :</t>
  </si>
  <si>
    <t>VL_NoneAvailable</t>
  </si>
  <si>
    <t>None available</t>
  </si>
  <si>
    <t>Ninguna disponible</t>
  </si>
  <si>
    <t>Nenhuma disponível</t>
  </si>
  <si>
    <t>Aucune disponible</t>
  </si>
  <si>
    <t>VL_NoneFound</t>
  </si>
  <si>
    <t>None found</t>
  </si>
  <si>
    <t>No se encontró ninguna</t>
  </si>
  <si>
    <t>Nenhuma encontrada</t>
  </si>
  <si>
    <t>Aucune trouvée</t>
  </si>
  <si>
    <t>VL_RejectedByPressure</t>
  </si>
  <si>
    <t>(|N| valve(s) exceeded max rated PI of |PI| psig)</t>
  </si>
  <si>
    <t>(|N| válvula(s) descartada(s): la PI de |PI| psig supera su presión nominal máxima)</t>
  </si>
  <si>
    <t>(|N| válvula(s) descartada(s): a PI de |PI| psig excede a pressão nominal máxima)</t>
  </si>
  <si>
    <t>(|N| vanne(s) écartée(s) : la PI de |PI| psig dépasse leur pression nominale maximale)</t>
  </si>
  <si>
    <t>CalcRes_NoValveRated</t>
  </si>
  <si>
    <t>No catalog valve with the required |LBL| = |VAL| is rated for this inlet pressure (|PI|).</t>
  </si>
  <si>
    <t>Ninguna válvula del catálogo con el |LBL| requerido = |VAL| tiene presión nominal suficiente para esta presión de entrada (|PI|).</t>
  </si>
  <si>
    <t>Nenhuma válvula do catálogo com o |LBL| requerido = |VAL| tem pressão nominal suficiente para esta pressão de entrada (|PI|).</t>
  </si>
  <si>
    <t>Aucune vanne du catalogue avec le |LBL| requis = |VAL| n’est prévue pour cette pression d’entrée (|PI|).</t>
  </si>
  <si>
    <t>J23_NoMatchingValve</t>
  </si>
  <si>
    <t>No matching valve</t>
  </si>
  <si>
    <t>Ninguna válvula coincide</t>
  </si>
  <si>
    <t>Nenhuma válvula corresponde</t>
  </si>
  <si>
    <t>Aucune vanne correspondante</t>
  </si>
  <si>
    <t>Curve_EqualPct</t>
  </si>
  <si>
    <t>Igual %</t>
  </si>
  <si>
    <t>Égal %</t>
  </si>
  <si>
    <t>Curve_Linear</t>
  </si>
  <si>
    <t>Linear</t>
  </si>
  <si>
    <t>Lineal</t>
  </si>
  <si>
    <t>Linéaire</t>
  </si>
  <si>
    <t>Vc_Recommended</t>
  </si>
  <si>
    <t>RECOMMENDED</t>
  </si>
  <si>
    <t>RECOMENDADA</t>
  </si>
  <si>
    <t>RECOMMANDÉE</t>
  </si>
  <si>
    <t>Vc_Selected</t>
  </si>
  <si>
    <t>SELECTED</t>
  </si>
  <si>
    <t>SELECCIONADA</t>
  </si>
  <si>
    <t>SELECIONADA</t>
  </si>
  <si>
    <t>SÉLECTIONNÉE</t>
  </si>
  <si>
    <t>Vc_Pass</t>
  </si>
  <si>
    <t>Cumple</t>
  </si>
  <si>
    <t>Aprovada</t>
  </si>
  <si>
    <t>Conforme</t>
  </si>
  <si>
    <t>Vc_Fail</t>
  </si>
  <si>
    <t>No cumple</t>
  </si>
  <si>
    <t>Reprovada</t>
  </si>
  <si>
    <t>Non conforme</t>
  </si>
  <si>
    <t>Vc_NoteCvBelow</t>
  </si>
  <si>
    <t>(NOTE: Cv |CV| &lt; required |REQ|)</t>
  </si>
  <si>
    <t>(NOTA: Cv |CV| &lt; requerido |REQ|)</t>
  </si>
  <si>
    <t>(REMARQUE : Cv |CV| &lt; requis |REQ|)</t>
  </si>
  <si>
    <t>Vc_NoValveOfSize</t>
  </si>
  <si>
    <t>No |TYPE| valve of |SIZE|-in size in the catalog.</t>
  </si>
  <si>
    <t>No hay ninguna válvula |TYPE| de |SIZE|-in en el catálogo.</t>
  </si>
  <si>
    <t>Não há válvula |TYPE| de |SIZE|-in no catálogo.</t>
  </si>
  <si>
    <t>Aucune vanne |TYPE| de |SIZE|-in au catalogue.</t>
  </si>
  <si>
    <t>Vc_RecNone</t>
  </si>
  <si>
    <t>No standard |TYPE| passes the |CLASS| velocity limit (consider special/multi-stage trim, lower dP, or documented acceptance).</t>
  </si>
  <si>
    <t>Ninguna válvula |TYPE| estándar cumple el límite de velocidad para vapor |CLASS| (considere un obturador especial/multietapa, un dP menor o una aceptación documentada).</t>
  </si>
  <si>
    <t>Nenhuma válvula |TYPE| padrão atende ao limite de velocidade para vapor |CLASS| (considere obturador especial/multiestágio, dP menor ou aceitação documentada).</t>
  </si>
  <si>
    <t>Aucune vanne |TYPE| standard ne respecte la limite de vitesse pour la vapeur |CLASS| (envisagez un clapet spécial/multi-étagé, un dP plus faible ou une acceptation documentée).</t>
  </si>
  <si>
    <t>Vc_LineUndersized</t>
  </si>
  <si>
    <t>LINE UNDERSIZED - velocity needs &gt;= |NEED| but line is |LINE|.</t>
  </si>
  <si>
    <t>TUBERÍA SUBDIMENSIONADA - la velocidad requiere &gt;= |NEED| pero la tubería es |LINE|.</t>
  </si>
  <si>
    <t>TUBULAÇÃO SUBDIMENSIONADA - a velocidade exige &gt;= |NEED|, mas a tubulação é |LINE|.</t>
  </si>
  <si>
    <t>TUYAUTERIE SOUS-DIMENSIONNÉE - la vitesse exige &gt;= |NEED| mais la ligne est en |LINE|.</t>
  </si>
  <si>
    <t>Vc_NoneFitsLine</t>
  </si>
  <si>
    <t>A valve passes velocity but none fits the line.</t>
  </si>
  <si>
    <t>Hay válvulas que cumplen la velocidad, pero ninguna se ajusta a la tubería.</t>
  </si>
  <si>
    <t>Há válvulas que atendem à velocidade, mas nenhuma cabe na tubulação.</t>
  </si>
  <si>
    <t>Des vannes respectent la vitesse, mais aucune ne convient à la ligne.</t>
  </si>
  <si>
    <t>Vc_InletPipe</t>
  </si>
  <si>
    <t>Inlet pipe</t>
  </si>
  <si>
    <t>Tubería de entrada</t>
  </si>
  <si>
    <t>Tubulação de entrada</t>
  </si>
  <si>
    <t>Tuyauterie d’entrée</t>
  </si>
  <si>
    <t>Vc_OutletPipe</t>
  </si>
  <si>
    <t>Outlet pipe</t>
  </si>
  <si>
    <t>Tubería de salida</t>
  </si>
  <si>
    <t>Tubulação de saída</t>
  </si>
  <si>
    <t>Tuyauterie de sortie</t>
  </si>
  <si>
    <t>Vc_PipeFailWet</t>
  </si>
  <si>
    <t>FAIL (exceeds 40 m/s wet-steam limit - droplet erosion risk)</t>
  </si>
  <si>
    <t>NO CUMPLE (supera el límite de 40 m/s para vapor húmedo - riesgo de erosión por gotas)</t>
  </si>
  <si>
    <t>REPROVADA (excede o limite de 40 m/s para vapor úmido - risco de erosão por gotículas)</t>
  </si>
  <si>
    <t>NON CONFORME (dépasse la limite de 40 m/s pour la vapeur humide - risque d’érosion par gouttelettes)</t>
  </si>
  <si>
    <t>Vc_PipeCaution</t>
  </si>
  <si>
    <t>CAUTION (above 40 m/s practical limit; up to 76 m/s may be acceptable for short, insulated, dry runs per some standards)</t>
  </si>
  <si>
    <t>PRECAUCIÓN (por encima del límite práctico de 40 m/s; hasta 76 m/s puede ser aceptable en tramos cortos, aislados y secos según algunas normas)</t>
  </si>
  <si>
    <t>ATENÇÃO (acima do limite prático de 40 m/s; até 76 m/s pode ser aceitável em trechos curtos, isolados e secos segundo algumas normas)</t>
  </si>
  <si>
    <t>ATTENTION (au-dessus de la limite pratique de 40 m/s ; jusqu’à 76 m/s peut être acceptable pour des tronçons courts, isolés et secs selon certaines normes)</t>
  </si>
  <si>
    <t>Vc_PipeFail76</t>
  </si>
  <si>
    <t>FAIL (exceeds 76 m/s)</t>
  </si>
  <si>
    <t>NO CUMPLE (supera 76 m/s)</t>
  </si>
  <si>
    <t>REPROVADA (excede 76 m/s)</t>
  </si>
  <si>
    <t>NON CONFORME (dépasse 76 m/s)</t>
  </si>
  <si>
    <t>HDR_CORRECTED_PRESSURE_DROP</t>
  </si>
  <si>
    <t>C O R R E C T E D   P R E S S U R E   D R O P   
[H] &amp; [Q]   B A S E D   O N   V A L V E</t>
  </si>
  <si>
    <t>C A Í D A   D E   P R E S I Ó N   C O R R E G I D A   
[H] &amp; [Q]   S E G Ú N   L A   V Á L V U L A</t>
  </si>
  <si>
    <t>Q U E D A   D E   P R E S S Ã O   C O R R I G I D A   
[H] &amp; [Q]   S E G U N D O   A   V Á L V U L A</t>
  </si>
  <si>
    <t>P E R T E   D E   C H A R G E   C O R R I G É E   
[H] &amp; [Q]   S E L O N   L A   V A N N E</t>
  </si>
  <si>
    <t>50:1</t>
  </si>
  <si>
    <t>Huntsville, 577 ft</t>
  </si>
  <si>
    <t>Anchorage, 102 ft</t>
  </si>
  <si>
    <t>Phoenix, 1,086 ft</t>
  </si>
  <si>
    <t>Little Rock, 279 ft</t>
  </si>
  <si>
    <t>Los Angeles, 233 ft</t>
  </si>
  <si>
    <t>Denver, 5,280 ft</t>
  </si>
  <si>
    <t>Bridgeport, 3 ft</t>
  </si>
  <si>
    <t>Wilmington, 92 ft</t>
  </si>
  <si>
    <t>Jacksonville, 3 ft</t>
  </si>
  <si>
    <t>Atlanta, 1,050 ft</t>
  </si>
  <si>
    <t>Honolulu, 16 ft</t>
  </si>
  <si>
    <t>Boise, 2,703 ft</t>
  </si>
  <si>
    <t>Chicago, 597 ft</t>
  </si>
  <si>
    <t>Indianapolis, 719 ft</t>
  </si>
  <si>
    <t>Des Moines, 794 ft</t>
  </si>
  <si>
    <t>Wichita, 1,303 ft</t>
  </si>
  <si>
    <t>Louisville, 466 ft</t>
  </si>
  <si>
    <t>New Orleans, 0 ft</t>
  </si>
  <si>
    <t>Portland, 62 ft</t>
  </si>
  <si>
    <t>Baltimore, 246 ft</t>
  </si>
  <si>
    <t>Boston, 46 ft</t>
  </si>
  <si>
    <t>Detroit, 597 ft</t>
  </si>
  <si>
    <t>Minneapolis, 830 ft</t>
  </si>
  <si>
    <t>Jackson, 361 ft</t>
  </si>
  <si>
    <t>Kansas City, 909 ft</t>
  </si>
  <si>
    <t>Billings, 3,212 ft</t>
  </si>
  <si>
    <t>Omaha, 1,060 ft</t>
  </si>
  <si>
    <t>Las Vegas, 2,000 ft</t>
  </si>
  <si>
    <t>Manchester, 210 ft</t>
  </si>
  <si>
    <t>Newark, 13 ft</t>
  </si>
  <si>
    <t>Albuquerque, 5,312 ft</t>
  </si>
  <si>
    <t>New York City, 33 ft</t>
  </si>
  <si>
    <t>Charlotte, 746 ft</t>
  </si>
  <si>
    <t>Fargo, 906 ft</t>
  </si>
  <si>
    <t>Columbus, 791 ft</t>
  </si>
  <si>
    <t>Oklahoma City, 1,198 ft</t>
  </si>
  <si>
    <t>Portland, 161 ft</t>
  </si>
  <si>
    <t>Philadelphia, 39 ft</t>
  </si>
  <si>
    <t>Providence, 10 ft</t>
  </si>
  <si>
    <t>Charleston, 3 ft</t>
  </si>
  <si>
    <t>Sioux Falls, 1,463 ft</t>
  </si>
  <si>
    <t>Nashville, 554 ft</t>
  </si>
  <si>
    <t>Houston, 105 ft</t>
  </si>
  <si>
    <t>Salt Lake City, 4,300 ft</t>
  </si>
  <si>
    <t>Burlington, 98 ft</t>
  </si>
  <si>
    <t>Virginia Beach, 10 ft</t>
  </si>
  <si>
    <t>Seattle, 148 ft</t>
  </si>
  <si>
    <t>Charleston, 597 ft</t>
  </si>
  <si>
    <t>Milwaukee, 617 ft</t>
  </si>
  <si>
    <t>Cheyenne, 6,086 ft</t>
  </si>
  <si>
    <t>Barometric Pressure (inHg)</t>
  </si>
  <si>
    <t>Barometric Pressure (psia)</t>
  </si>
  <si>
    <t>Barometric Pressure (bara)</t>
  </si>
  <si>
    <t>US basis: largest city, elevation</t>
  </si>
  <si>
    <t>US entries (2026-09-26): U.S. Standard Atmosphere pressure at the elevation of each state's largest city (column L). They were NCEI averages reduced to sea level, which overstated absolute pressure at altitude (Colorado 14.63 psia against 12.10 at Denver).</t>
  </si>
  <si>
    <t>dBA</t>
  </si>
  <si>
    <t>Pred. SPL [IEC 60534-8-3]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</si>
</sst>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 numFmtId="182" formatCode="#,##0.0"/>
    <numFmt numFmtId="183" formatCode=";;;"/>
  </numFmts>
  <fonts count="71"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sz val="11"/>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2F2F2"/>
      <name val="Arial"/>
      <family val="2"/>
    </font>
    <font>
      <sz val="10"/>
      <color rgb="FFE8E8E8"/>
      <name val="Arial"/>
      <family val="2"/>
    </font>
    <font>
      <b/>
      <sz val="10"/>
      <color rgb="FF00FF00"/>
      <name val="Arial"/>
      <family val="2"/>
    </font>
    <font>
      <sz val="8"/>
      <color rgb="FF000000"/>
      <name val="Segoe UI"/>
      <family val="2"/>
    </font>
    <font>
      <sz val="9"/>
      <color rgb="FF964B00"/>
      <name val="Arial"/>
      <family val="2"/>
    </font>
    <font>
      <sz val="28"/>
      <color rgb="FFFF6600"/>
      <name val="Calibri Light"/>
      <family val="2"/>
    </font>
    <font>
      <b/>
      <sz val="8"/>
      <color rgb="FF000000"/>
      <name val="Arial"/>
      <family val="2"/>
    </font>
    <font>
      <sz val="10"/>
      <color indexed="8"/>
      <name val="Arial"/>
      <family val="2"/>
    </font>
  </fonts>
  <fills count="17">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4" fillId="11" borderId="62" applyNumberFormat="0" applyFont="0" applyBorder="0" applyAlignment="0" applyProtection="0">
      <alignment horizontal="left"/>
      <protection locked="0"/>
    </xf>
  </cellStyleXfs>
  <cellXfs count="532">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23" fillId="0" borderId="0" xfId="6" applyFont="1" applyAlignment="1">
      <alignment horizontal="center" vertical="center" wrapText="1"/>
    </xf>
    <xf numFmtId="0" fontId="23" fillId="0" borderId="0" xfId="0" applyFont="1" applyAlignment="1">
      <alignment horizontal="center" vertical="center"/>
    </xf>
    <xf numFmtId="0" fontId="24" fillId="8" borderId="46" xfId="0" applyFont="1" applyFill="1" applyBorder="1" applyAlignment="1">
      <alignment horizontal="center" vertical="center" wrapText="1"/>
    </xf>
    <xf numFmtId="0" fontId="24" fillId="8" borderId="47" xfId="0" applyFont="1" applyFill="1" applyBorder="1" applyAlignment="1">
      <alignment horizontal="center" vertical="center" wrapText="1"/>
    </xf>
    <xf numFmtId="0" fontId="26" fillId="7" borderId="45" xfId="0" applyFont="1" applyFill="1" applyBorder="1" applyAlignment="1">
      <alignment horizontal="center" vertical="center"/>
    </xf>
    <xf numFmtId="0" fontId="26" fillId="7" borderId="0" xfId="0" applyFont="1" applyFill="1" applyAlignment="1">
      <alignment horizontal="center" vertical="center"/>
    </xf>
    <xf numFmtId="11" fontId="26" fillId="7" borderId="0" xfId="0" applyNumberFormat="1" applyFont="1" applyFill="1" applyAlignment="1">
      <alignment horizontal="center" vertical="center"/>
    </xf>
    <xf numFmtId="0" fontId="26" fillId="8" borderId="45" xfId="0" applyFont="1" applyFill="1" applyBorder="1" applyAlignment="1">
      <alignment horizontal="center" vertical="center"/>
    </xf>
    <xf numFmtId="0" fontId="26" fillId="8" borderId="0" xfId="0" applyFont="1" applyFill="1" applyAlignment="1">
      <alignment horizontal="center" vertical="center"/>
    </xf>
    <xf numFmtId="11" fontId="26" fillId="8" borderId="0" xfId="0" applyNumberFormat="1" applyFont="1" applyFill="1" applyAlignment="1">
      <alignment horizontal="center" vertical="center"/>
    </xf>
    <xf numFmtId="0" fontId="24" fillId="8" borderId="48" xfId="0" applyFont="1" applyFill="1" applyBorder="1" applyAlignment="1">
      <alignment horizontal="center" vertical="center" wrapText="1"/>
    </xf>
    <xf numFmtId="0" fontId="24" fillId="8" borderId="49" xfId="0" applyFont="1" applyFill="1" applyBorder="1" applyAlignment="1">
      <alignment horizontal="center" vertical="center" wrapText="1"/>
    </xf>
    <xf numFmtId="0" fontId="24" fillId="8" borderId="50" xfId="0" applyFont="1" applyFill="1" applyBorder="1" applyAlignment="1">
      <alignment horizontal="center" vertical="center" wrapText="1"/>
    </xf>
    <xf numFmtId="0" fontId="24" fillId="8" borderId="51" xfId="0" applyFont="1" applyFill="1" applyBorder="1" applyAlignment="1">
      <alignment horizontal="center" vertical="center" wrapText="1"/>
    </xf>
    <xf numFmtId="0" fontId="26" fillId="7" borderId="52" xfId="0" applyFont="1" applyFill="1" applyBorder="1" applyAlignment="1">
      <alignment horizontal="center" vertical="center"/>
    </xf>
    <xf numFmtId="0" fontId="26" fillId="8" borderId="52" xfId="0" applyFont="1" applyFill="1" applyBorder="1" applyAlignment="1">
      <alignment horizontal="center" vertical="center"/>
    </xf>
    <xf numFmtId="0" fontId="26" fillId="8" borderId="51" xfId="0" applyFont="1" applyFill="1" applyBorder="1" applyAlignment="1">
      <alignment horizontal="center" vertical="center"/>
    </xf>
    <xf numFmtId="0" fontId="26" fillId="8" borderId="47" xfId="0" applyFont="1" applyFill="1" applyBorder="1" applyAlignment="1">
      <alignment horizontal="center" vertical="center"/>
    </xf>
    <xf numFmtId="11" fontId="26" fillId="8" borderId="47" xfId="0" applyNumberFormat="1" applyFont="1" applyFill="1" applyBorder="1" applyAlignment="1">
      <alignment horizontal="center" vertical="center"/>
    </xf>
    <xf numFmtId="0" fontId="26" fillId="8" borderId="46" xfId="0" applyFont="1" applyFill="1" applyBorder="1" applyAlignment="1">
      <alignment horizontal="center" vertical="center"/>
    </xf>
    <xf numFmtId="0" fontId="26" fillId="7" borderId="48" xfId="0" applyFont="1" applyFill="1" applyBorder="1" applyAlignment="1">
      <alignment horizontal="center" vertical="center"/>
    </xf>
    <xf numFmtId="0" fontId="26" fillId="7" borderId="49" xfId="0" applyFont="1" applyFill="1" applyBorder="1" applyAlignment="1">
      <alignment horizontal="center" vertical="center"/>
    </xf>
    <xf numFmtId="11" fontId="26" fillId="7" borderId="49" xfId="0" applyNumberFormat="1" applyFont="1" applyFill="1" applyBorder="1" applyAlignment="1">
      <alignment horizontal="center" vertical="center"/>
    </xf>
    <xf numFmtId="0" fontId="26" fillId="7" borderId="50" xfId="0" applyFont="1" applyFill="1" applyBorder="1" applyAlignment="1">
      <alignment horizontal="center" vertical="center"/>
    </xf>
    <xf numFmtId="0" fontId="11" fillId="0" borderId="0" xfId="1" applyAlignment="1" applyProtection="1">
      <alignment vertical="center"/>
    </xf>
    <xf numFmtId="0" fontId="27" fillId="0" borderId="0" xfId="0" applyFont="1" applyAlignment="1">
      <alignment vertical="center"/>
    </xf>
    <xf numFmtId="0" fontId="28" fillId="0" borderId="0" xfId="0" applyFont="1" applyAlignment="1">
      <alignment vertical="center"/>
    </xf>
    <xf numFmtId="0" fontId="3" fillId="0" borderId="0" xfId="0" applyFont="1"/>
    <xf numFmtId="168" fontId="21" fillId="0" borderId="0" xfId="5" applyNumberForma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1" fillId="0" borderId="0" xfId="5" applyNumberFormat="1" applyAlignment="1">
      <alignment horizontal="center" vertical="center"/>
    </xf>
    <xf numFmtId="0" fontId="29" fillId="0" borderId="0" xfId="0" applyFont="1" applyAlignment="1">
      <alignment vertical="center"/>
    </xf>
    <xf numFmtId="0" fontId="30" fillId="0" borderId="0" xfId="0" applyFont="1" applyAlignment="1">
      <alignment horizontal="center" vertical="center"/>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4" fillId="0" borderId="0" xfId="0" applyFont="1" applyAlignment="1">
      <alignment horizontal="center" vertical="center"/>
    </xf>
    <xf numFmtId="0" fontId="34"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4"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4"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4" fillId="6" borderId="55" xfId="0" applyNumberFormat="1" applyFont="1" applyFill="1" applyBorder="1" applyAlignment="1">
      <alignment horizontal="center"/>
    </xf>
    <xf numFmtId="0" fontId="34"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4" fillId="6" borderId="59" xfId="0" applyNumberFormat="1" applyFont="1" applyFill="1" applyBorder="1" applyAlignment="1">
      <alignment horizontal="center"/>
    </xf>
    <xf numFmtId="0" fontId="12" fillId="0" borderId="10" xfId="0" applyFont="1" applyBorder="1" applyAlignment="1">
      <alignment horizontal="center"/>
    </xf>
    <xf numFmtId="2" fontId="34" fillId="6" borderId="63" xfId="0" applyNumberFormat="1" applyFont="1" applyFill="1" applyBorder="1"/>
    <xf numFmtId="2" fontId="34"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6"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4"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4" fillId="0" borderId="63" xfId="0" applyFont="1" applyBorder="1" applyAlignment="1">
      <alignment horizontal="center"/>
    </xf>
    <xf numFmtId="0" fontId="34" fillId="0" borderId="0" xfId="0" applyFont="1" applyAlignment="1">
      <alignment horizontal="center"/>
    </xf>
    <xf numFmtId="0" fontId="36" fillId="0" borderId="8" xfId="0" applyFont="1" applyBorder="1"/>
    <xf numFmtId="0" fontId="12" fillId="0" borderId="28" xfId="0" applyFont="1" applyBorder="1"/>
    <xf numFmtId="0" fontId="12" fillId="0" borderId="8" xfId="0" quotePrefix="1" applyFont="1" applyBorder="1" applyAlignment="1">
      <alignment horizontal="right"/>
    </xf>
    <xf numFmtId="0" fontId="34" fillId="6" borderId="65" xfId="0" applyFont="1" applyFill="1" applyBorder="1" applyAlignment="1">
      <alignment horizontal="center"/>
    </xf>
    <xf numFmtId="0" fontId="34" fillId="0" borderId="14" xfId="0" applyFont="1" applyBorder="1" applyAlignment="1">
      <alignment horizontal="center"/>
    </xf>
    <xf numFmtId="0" fontId="36" fillId="0" borderId="0" xfId="0" applyFont="1"/>
    <xf numFmtId="0" fontId="12" fillId="0" borderId="0" xfId="0" quotePrefix="1" applyFont="1" applyAlignment="1">
      <alignment horizontal="right"/>
    </xf>
    <xf numFmtId="0" fontId="34"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4"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4" fillId="0" borderId="16" xfId="0" applyNumberFormat="1" applyFont="1" applyBorder="1" applyAlignment="1">
      <alignment horizontal="center"/>
    </xf>
    <xf numFmtId="0" fontId="34" fillId="0" borderId="10" xfId="0" quotePrefix="1" applyFont="1" applyBorder="1" applyAlignment="1">
      <alignment horizontal="right"/>
    </xf>
    <xf numFmtId="0" fontId="34" fillId="0" borderId="16" xfId="0" applyFont="1" applyBorder="1" applyAlignment="1">
      <alignment horizontal="center"/>
    </xf>
    <xf numFmtId="2" fontId="36" fillId="0" borderId="10" xfId="0" applyNumberFormat="1" applyFont="1" applyBorder="1" applyAlignment="1">
      <alignment horizontal="center"/>
    </xf>
    <xf numFmtId="0" fontId="12" fillId="0" borderId="10" xfId="0" quotePrefix="1" applyFont="1" applyBorder="1" applyAlignment="1">
      <alignment horizontal="right"/>
    </xf>
    <xf numFmtId="0" fontId="34" fillId="0" borderId="10" xfId="0" applyFont="1" applyBorder="1" applyAlignment="1">
      <alignment horizontal="center"/>
    </xf>
    <xf numFmtId="2" fontId="34"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4" fillId="0" borderId="8" xfId="0" applyFont="1" applyBorder="1" applyAlignment="1">
      <alignment horizontal="right"/>
    </xf>
    <xf numFmtId="0" fontId="12" fillId="0" borderId="58" xfId="0" applyFont="1" applyBorder="1" applyAlignment="1">
      <alignment horizontal="center"/>
    </xf>
    <xf numFmtId="0" fontId="36"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4"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4" fillId="0" borderId="35" xfId="0" applyFont="1" applyBorder="1" applyAlignment="1">
      <alignment horizontal="center"/>
    </xf>
    <xf numFmtId="1" fontId="34" fillId="0" borderId="0" xfId="0" applyNumberFormat="1" applyFont="1" applyAlignment="1">
      <alignment horizontal="center"/>
    </xf>
    <xf numFmtId="0" fontId="34" fillId="0" borderId="36" xfId="0" applyFont="1" applyBorder="1" applyAlignment="1">
      <alignment horizontal="center"/>
    </xf>
    <xf numFmtId="2" fontId="34" fillId="6" borderId="15" xfId="0" applyNumberFormat="1" applyFont="1" applyFill="1" applyBorder="1" applyAlignment="1">
      <alignment horizontal="center"/>
    </xf>
    <xf numFmtId="2" fontId="34" fillId="6" borderId="1" xfId="0" applyNumberFormat="1" applyFont="1" applyFill="1" applyBorder="1" applyAlignment="1">
      <alignment horizontal="center"/>
    </xf>
    <xf numFmtId="2" fontId="34" fillId="6" borderId="4" xfId="0" applyNumberFormat="1" applyFont="1" applyFill="1" applyBorder="1" applyAlignment="1">
      <alignment horizontal="center"/>
    </xf>
    <xf numFmtId="2" fontId="34" fillId="6" borderId="68" xfId="0" applyNumberFormat="1" applyFont="1" applyFill="1" applyBorder="1" applyAlignment="1">
      <alignment horizontal="center"/>
    </xf>
    <xf numFmtId="2" fontId="34" fillId="0" borderId="0" xfId="0" applyNumberFormat="1" applyFont="1" applyAlignment="1">
      <alignment horizontal="center"/>
    </xf>
    <xf numFmtId="172" fontId="12" fillId="6" borderId="16" xfId="0" applyNumberFormat="1" applyFont="1" applyFill="1" applyBorder="1"/>
    <xf numFmtId="2" fontId="34" fillId="0" borderId="36" xfId="0" applyNumberFormat="1" applyFont="1" applyBorder="1" applyAlignment="1">
      <alignment horizontal="center"/>
    </xf>
    <xf numFmtId="0" fontId="34" fillId="0" borderId="8" xfId="0" applyFont="1" applyBorder="1"/>
    <xf numFmtId="165" fontId="41" fillId="6" borderId="28" xfId="0" applyNumberFormat="1" applyFont="1" applyFill="1" applyBorder="1"/>
    <xf numFmtId="2" fontId="34" fillId="0" borderId="15" xfId="0" applyNumberFormat="1" applyFont="1" applyBorder="1" applyAlignment="1">
      <alignment horizontal="center"/>
    </xf>
    <xf numFmtId="0" fontId="43" fillId="0" borderId="0" xfId="0" applyFont="1" applyAlignment="1">
      <alignment horizontal="center"/>
    </xf>
    <xf numFmtId="0" fontId="43" fillId="0" borderId="36" xfId="0" applyFont="1" applyBorder="1" applyAlignment="1">
      <alignment horizontal="center"/>
    </xf>
    <xf numFmtId="0" fontId="34" fillId="0" borderId="35" xfId="0" applyFont="1" applyBorder="1"/>
    <xf numFmtId="0" fontId="0" fillId="0" borderId="53" xfId="0" applyBorder="1"/>
    <xf numFmtId="0" fontId="0" fillId="6" borderId="55" xfId="0" applyFill="1" applyBorder="1"/>
    <xf numFmtId="2" fontId="34" fillId="6" borderId="0" xfId="0" applyNumberFormat="1" applyFont="1" applyFill="1" applyAlignment="1">
      <alignment horizontal="center"/>
    </xf>
    <xf numFmtId="2" fontId="34"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4" fillId="0" borderId="10" xfId="0" applyFont="1" applyBorder="1"/>
    <xf numFmtId="0" fontId="34"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45" fillId="9" borderId="10" xfId="0" applyFont="1" applyFill="1" applyBorder="1" applyAlignment="1">
      <alignment horizontal="left"/>
    </xf>
    <xf numFmtId="0" fontId="4" fillId="9" borderId="10" xfId="0" applyFont="1" applyFill="1" applyBorder="1" applyAlignment="1">
      <alignment horizontal="left"/>
    </xf>
    <xf numFmtId="0" fontId="4" fillId="0" borderId="10" xfId="0" applyFont="1" applyBorder="1" applyAlignment="1">
      <alignment horizontal="center"/>
    </xf>
    <xf numFmtId="0" fontId="45" fillId="10" borderId="10" xfId="0" applyFont="1" applyFill="1" applyBorder="1" applyAlignment="1">
      <alignment horizontal="left"/>
    </xf>
    <xf numFmtId="0" fontId="4" fillId="10" borderId="10" xfId="0" applyFont="1" applyFill="1" applyBorder="1" applyAlignment="1">
      <alignment horizontal="left"/>
    </xf>
    <xf numFmtId="0" fontId="46"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2" fillId="0" borderId="69" xfId="0" applyFont="1" applyBorder="1" applyAlignment="1" applyProtection="1">
      <alignment horizontal="left"/>
      <protection hidden="1"/>
    </xf>
    <xf numFmtId="0" fontId="51"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2"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57"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53" fillId="0" borderId="0" xfId="3" applyFont="1"/>
    <xf numFmtId="0" fontId="3" fillId="4" borderId="0" xfId="3" applyFont="1" applyFill="1" applyAlignment="1">
      <alignment horizontal="center"/>
    </xf>
    <xf numFmtId="0" fontId="32"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2"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2" fontId="50"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2"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0" xfId="8" applyFont="1" applyFill="1" applyBorder="1" applyAlignment="1" applyProtection="1">
      <alignment horizontal="left" vertical="center"/>
      <protection hidden="1"/>
    </xf>
    <xf numFmtId="0" fontId="53" fillId="0" borderId="71" xfId="3" applyFont="1" applyBorder="1" applyAlignment="1">
      <alignment horizontal="left" vertical="center"/>
    </xf>
    <xf numFmtId="0" fontId="3" fillId="12" borderId="70" xfId="3" applyFont="1" applyFill="1" applyBorder="1" applyAlignment="1" applyProtection="1">
      <alignment horizontal="center" vertical="center"/>
      <protection locked="0"/>
    </xf>
    <xf numFmtId="2" fontId="3" fillId="12" borderId="70" xfId="3" applyNumberFormat="1" applyFont="1" applyFill="1" applyBorder="1" applyAlignment="1" applyProtection="1">
      <alignment horizontal="center" vertical="center"/>
      <protection locked="0"/>
    </xf>
    <xf numFmtId="0" fontId="4" fillId="13"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0" fillId="0" borderId="83" xfId="0" applyBorder="1"/>
    <xf numFmtId="0" fontId="0" fillId="0" borderId="84" xfId="0" applyBorder="1"/>
    <xf numFmtId="0" fontId="12" fillId="12" borderId="0" xfId="0" applyFont="1" applyFill="1"/>
    <xf numFmtId="1" fontId="12" fillId="12" borderId="0" xfId="0" applyNumberFormat="1" applyFont="1" applyFill="1"/>
    <xf numFmtId="2" fontId="12" fillId="12" borderId="61" xfId="0" applyNumberFormat="1" applyFont="1" applyFill="1" applyBorder="1" applyAlignment="1">
      <alignment horizontal="right"/>
    </xf>
    <xf numFmtId="2" fontId="12" fillId="12" borderId="15" xfId="0" applyNumberFormat="1" applyFont="1" applyFill="1" applyBorder="1" applyAlignment="1">
      <alignment horizontal="right"/>
    </xf>
    <xf numFmtId="0" fontId="12" fillId="12" borderId="15" xfId="0" applyFont="1" applyFill="1" applyBorder="1" applyAlignment="1">
      <alignment horizontal="right"/>
    </xf>
    <xf numFmtId="165" fontId="12" fillId="12" borderId="61" xfId="0" applyNumberFormat="1" applyFont="1" applyFill="1" applyBorder="1" applyAlignment="1">
      <alignment horizontal="right"/>
    </xf>
    <xf numFmtId="165" fontId="12" fillId="12" borderId="15" xfId="0" applyNumberFormat="1" applyFont="1" applyFill="1" applyBorder="1" applyAlignment="1">
      <alignment horizontal="right"/>
    </xf>
    <xf numFmtId="165" fontId="12" fillId="12" borderId="15" xfId="0" applyNumberFormat="1" applyFont="1" applyFill="1" applyBorder="1"/>
    <xf numFmtId="0" fontId="34" fillId="12" borderId="15" xfId="0" applyFont="1" applyFill="1" applyBorder="1" applyAlignment="1">
      <alignment horizontal="center"/>
    </xf>
    <xf numFmtId="1" fontId="12" fillId="12" borderId="12" xfId="0" applyNumberFormat="1" applyFont="1" applyFill="1" applyBorder="1"/>
    <xf numFmtId="2" fontId="12" fillId="12" borderId="63" xfId="0" applyNumberFormat="1" applyFont="1" applyFill="1" applyBorder="1"/>
    <xf numFmtId="0" fontId="12" fillId="12" borderId="66" xfId="0" applyFont="1" applyFill="1" applyBorder="1" applyAlignment="1">
      <alignment horizontal="center"/>
    </xf>
    <xf numFmtId="0" fontId="12" fillId="12" borderId="15" xfId="0" applyFont="1" applyFill="1" applyBorder="1" applyAlignment="1">
      <alignment horizontal="center"/>
    </xf>
    <xf numFmtId="0" fontId="12" fillId="12" borderId="67" xfId="0" applyFont="1" applyFill="1" applyBorder="1" applyAlignment="1">
      <alignment horizontal="center"/>
    </xf>
    <xf numFmtId="0" fontId="12" fillId="12" borderId="65" xfId="0" applyFont="1" applyFill="1" applyBorder="1" applyAlignment="1">
      <alignment horizontal="center"/>
    </xf>
    <xf numFmtId="0" fontId="34" fillId="12" borderId="31" xfId="0" applyFont="1" applyFill="1" applyBorder="1" applyAlignment="1">
      <alignment horizontal="center"/>
    </xf>
    <xf numFmtId="2" fontId="34" fillId="12" borderId="0" xfId="0" applyNumberFormat="1" applyFont="1" applyFill="1" applyAlignment="1">
      <alignment horizontal="center"/>
    </xf>
    <xf numFmtId="0" fontId="34" fillId="12" borderId="35" xfId="0" applyFont="1" applyFill="1" applyBorder="1" applyAlignment="1">
      <alignment horizontal="center"/>
    </xf>
    <xf numFmtId="0" fontId="4" fillId="12" borderId="0" xfId="0" applyFont="1" applyFill="1"/>
    <xf numFmtId="0" fontId="12" fillId="12" borderId="0" xfId="0" applyFont="1" applyFill="1" applyAlignment="1">
      <alignment horizontal="center" vertical="center"/>
    </xf>
    <xf numFmtId="3" fontId="12" fillId="12" borderId="0" xfId="0" applyNumberFormat="1" applyFont="1" applyFill="1" applyAlignment="1">
      <alignment horizontal="center" vertical="center"/>
    </xf>
    <xf numFmtId="0" fontId="12" fillId="12" borderId="63" xfId="0" applyFont="1" applyFill="1" applyBorder="1" applyAlignment="1">
      <alignment horizontal="center"/>
    </xf>
    <xf numFmtId="0" fontId="40" fillId="12" borderId="63" xfId="0" applyFont="1" applyFill="1" applyBorder="1"/>
    <xf numFmtId="0" fontId="0" fillId="12" borderId="15" xfId="0" applyFill="1" applyBorder="1"/>
    <xf numFmtId="0" fontId="12" fillId="12"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1" fillId="0" borderId="76" xfId="3" applyNumberFormat="1" applyFont="1" applyBorder="1" applyAlignment="1">
      <alignment horizontal="center" vertical="center"/>
    </xf>
    <xf numFmtId="2" fontId="31" fillId="0" borderId="0" xfId="3" applyNumberFormat="1" applyFont="1" applyAlignment="1">
      <alignment horizontal="center" vertical="center"/>
    </xf>
    <xf numFmtId="0" fontId="56" fillId="0" borderId="0" xfId="3" applyFont="1" applyAlignment="1">
      <alignment wrapText="1"/>
    </xf>
    <xf numFmtId="0" fontId="12" fillId="6" borderId="15" xfId="0" applyFont="1" applyFill="1" applyBorder="1"/>
    <xf numFmtId="2" fontId="34" fillId="6" borderId="65" xfId="0" applyNumberFormat="1" applyFont="1" applyFill="1" applyBorder="1" applyAlignment="1">
      <alignment horizontal="center"/>
    </xf>
    <xf numFmtId="2" fontId="34" fillId="6" borderId="6" xfId="0" applyNumberFormat="1" applyFont="1" applyFill="1" applyBorder="1" applyAlignment="1">
      <alignment horizontal="center"/>
    </xf>
    <xf numFmtId="165" fontId="34" fillId="6" borderId="6" xfId="0" applyNumberFormat="1" applyFont="1" applyFill="1" applyBorder="1" applyAlignment="1">
      <alignment horizontal="center"/>
    </xf>
    <xf numFmtId="0" fontId="0" fillId="14" borderId="0" xfId="0" applyFill="1"/>
    <xf numFmtId="0" fontId="0" fillId="15" borderId="0" xfId="0" applyFill="1"/>
    <xf numFmtId="0" fontId="0" fillId="0" borderId="0" xfId="0" applyAlignment="1">
      <alignment horizontal="center"/>
    </xf>
    <xf numFmtId="0" fontId="4" fillId="0" borderId="0" xfId="3" applyFont="1" applyAlignment="1">
      <alignment horizontal="center" vertical="top"/>
    </xf>
    <xf numFmtId="0" fontId="56" fillId="0" borderId="0" xfId="3" applyFont="1" applyAlignment="1">
      <alignment horizontal="center" vertical="top"/>
    </xf>
    <xf numFmtId="0" fontId="58" fillId="0" borderId="0" xfId="0" applyFont="1"/>
    <xf numFmtId="0" fontId="59"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0" fillId="0" borderId="0" xfId="0" applyNumberFormat="1" applyFont="1" applyAlignment="1">
      <alignment horizontal="center" vertical="center" wrapText="1"/>
    </xf>
    <xf numFmtId="0" fontId="60" fillId="0" borderId="0" xfId="0" applyFont="1" applyAlignment="1">
      <alignment horizontal="center" vertical="center" wrapText="1"/>
    </xf>
    <xf numFmtId="0" fontId="0" fillId="14"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2" fillId="0" borderId="0" xfId="0" applyFont="1"/>
    <xf numFmtId="0" fontId="52"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61" fillId="0" borderId="0" xfId="0" applyFont="1"/>
    <xf numFmtId="0" fontId="4" fillId="0" borderId="0" xfId="3" applyFont="1"/>
    <xf numFmtId="0" fontId="4" fillId="16" borderId="0" xfId="0" applyFont="1" applyFill="1"/>
    <xf numFmtId="0" fontId="56" fillId="16" borderId="0" xfId="0" applyFont="1" applyFill="1"/>
    <xf numFmtId="0" fontId="4" fillId="13" borderId="0" xfId="0" applyFont="1" applyFill="1" applyProtection="1">
      <protection locked="0"/>
    </xf>
    <xf numFmtId="0" fontId="4" fillId="3" borderId="70" xfId="8" applyFont="1" applyFill="1" applyBorder="1" applyAlignment="1" applyProtection="1">
      <alignment horizontal="center" vertical="center"/>
      <protection hidden="1"/>
    </xf>
    <xf numFmtId="0" fontId="65" fillId="0" borderId="0" xfId="3" applyFont="1" applyAlignment="1">
      <alignment horizontal="center" vertical="center"/>
    </xf>
    <xf numFmtId="0" fontId="0" fillId="0" borderId="0" xfId="0" quotePrefix="1"/>
    <xf numFmtId="0" fontId="52" fillId="0" borderId="0" xfId="0" applyFont="1" applyAlignment="1" applyProtection="1">
      <alignment horizontal="left" wrapText="1"/>
      <protection hidden="1"/>
    </xf>
    <xf numFmtId="0" fontId="52" fillId="0" borderId="69" xfId="0" applyFont="1" applyBorder="1" applyAlignment="1" applyProtection="1">
      <alignment horizontal="left" wrapText="1"/>
      <protection hidden="1"/>
    </xf>
    <xf numFmtId="0" fontId="31"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56"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19" fillId="13" borderId="90" xfId="3" applyFont="1" applyFill="1" applyBorder="1" applyAlignment="1" applyProtection="1">
      <alignment horizontal="left"/>
      <protection locked="0"/>
    </xf>
    <xf numFmtId="0" fontId="64" fillId="6" borderId="70" xfId="3" applyFont="1" applyFill="1" applyBorder="1" applyAlignment="1" applyProtection="1">
      <alignment horizontal="center" vertical="center"/>
      <protection locked="0"/>
    </xf>
    <xf numFmtId="0" fontId="64" fillId="6" borderId="71" xfId="3" applyFont="1" applyFill="1" applyBorder="1" applyAlignment="1" applyProtection="1">
      <alignment horizontal="center" vertical="center"/>
      <protection locked="0"/>
    </xf>
    <xf numFmtId="0" fontId="4" fillId="0" borderId="0" xfId="3" applyFont="1" applyAlignment="1">
      <alignment horizontal="center" vertical="top"/>
    </xf>
    <xf numFmtId="0" fontId="56" fillId="0" borderId="0" xfId="3" applyFont="1" applyAlignment="1">
      <alignment horizontal="center" vertical="top"/>
    </xf>
    <xf numFmtId="0" fontId="19" fillId="0" borderId="85" xfId="3" applyFont="1" applyBorder="1" applyAlignment="1">
      <alignment horizontal="center"/>
    </xf>
    <xf numFmtId="0" fontId="56" fillId="6" borderId="0" xfId="3" applyFont="1" applyFill="1" applyAlignment="1">
      <alignment horizontal="center" vertical="center" wrapText="1"/>
    </xf>
    <xf numFmtId="0" fontId="57" fillId="13" borderId="88" xfId="0" applyFont="1" applyFill="1" applyBorder="1" applyAlignment="1" applyProtection="1">
      <alignment horizontal="center" vertical="center"/>
      <protection locked="0" hidden="1"/>
    </xf>
    <xf numFmtId="0" fontId="52" fillId="0" borderId="89" xfId="0" applyFont="1" applyBorder="1" applyAlignment="1" applyProtection="1">
      <alignment horizontal="center" vertical="center"/>
      <protection locked="0" hidden="1"/>
    </xf>
    <xf numFmtId="0" fontId="56"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4" fillId="6" borderId="70"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19" fillId="6" borderId="0" xfId="3" applyFont="1" applyFill="1" applyAlignment="1">
      <alignment horizontal="center" wrapText="1"/>
    </xf>
    <xf numFmtId="0" fontId="0" fillId="6" borderId="0" xfId="0" applyFill="1" applyAlignment="1">
      <alignment vertical="top" wrapText="1"/>
    </xf>
    <xf numFmtId="0" fontId="55" fillId="6" borderId="0" xfId="3" applyFont="1" applyFill="1" applyAlignment="1">
      <alignment horizontal="center" vertical="center" wrapText="1"/>
    </xf>
    <xf numFmtId="0" fontId="29" fillId="6" borderId="0" xfId="3" applyFont="1" applyFill="1" applyAlignment="1">
      <alignment horizontal="center" wrapText="1"/>
    </xf>
    <xf numFmtId="0" fontId="56" fillId="6" borderId="0" xfId="3" applyFont="1" applyFill="1" applyAlignment="1">
      <alignment horizontal="center" wrapText="1"/>
    </xf>
    <xf numFmtId="0" fontId="52" fillId="0" borderId="0" xfId="0" applyFont="1" applyAlignment="1">
      <alignment horizontal="left"/>
    </xf>
    <xf numFmtId="0" fontId="0" fillId="0" borderId="0" xfId="0" applyAlignment="1">
      <alignment horizontal="left"/>
    </xf>
    <xf numFmtId="0" fontId="67" fillId="0" borderId="0" xfId="3" applyFont="1" applyAlignment="1">
      <alignment horizontal="left" vertical="top" wrapText="1"/>
    </xf>
    <xf numFmtId="0" fontId="4" fillId="0" borderId="0" xfId="0" applyFont="1" applyAlignment="1">
      <alignment horizontal="left" vertical="top" wrapText="1" indent="1"/>
    </xf>
    <xf numFmtId="0" fontId="3" fillId="0" borderId="0" xfId="0" applyFont="1" applyAlignment="1">
      <alignment horizontal="left"/>
    </xf>
    <xf numFmtId="0" fontId="3" fillId="13" borderId="0" xfId="0" applyFont="1" applyFill="1" applyAlignment="1" applyProtection="1">
      <alignment horizontal="left"/>
      <protection locked="0"/>
    </xf>
    <xf numFmtId="0" fontId="62" fillId="0" borderId="0" xfId="0" applyFont="1" applyAlignment="1">
      <alignment horizontal="left" wrapText="1"/>
    </xf>
    <xf numFmtId="0" fontId="3" fillId="0" borderId="0" xfId="0" applyFont="1" applyAlignment="1">
      <alignment horizontal="left" wrapText="1"/>
    </xf>
    <xf numFmtId="0" fontId="42" fillId="5" borderId="17" xfId="0" applyFont="1" applyFill="1" applyBorder="1" applyAlignment="1">
      <alignment horizontal="center"/>
    </xf>
    <xf numFmtId="0" fontId="42" fillId="5" borderId="18" xfId="0" applyFont="1" applyFill="1" applyBorder="1" applyAlignment="1">
      <alignment horizontal="center"/>
    </xf>
    <xf numFmtId="0" fontId="42" fillId="5" borderId="20" xfId="0" applyFont="1" applyFill="1" applyBorder="1" applyAlignment="1">
      <alignment horizontal="center"/>
    </xf>
    <xf numFmtId="0" fontId="42" fillId="5" borderId="30" xfId="0" applyFont="1" applyFill="1" applyBorder="1" applyAlignment="1">
      <alignment horizontal="center"/>
    </xf>
    <xf numFmtId="0" fontId="42" fillId="5" borderId="31" xfId="0" applyFont="1" applyFill="1" applyBorder="1" applyAlignment="1">
      <alignment horizontal="center"/>
    </xf>
    <xf numFmtId="0" fontId="42" fillId="5" borderId="32" xfId="0" applyFont="1" applyFill="1" applyBorder="1" applyAlignment="1">
      <alignment horizontal="center"/>
    </xf>
    <xf numFmtId="0" fontId="33" fillId="5" borderId="17" xfId="0" applyFont="1" applyFill="1" applyBorder="1" applyAlignment="1">
      <alignment horizontal="center"/>
    </xf>
    <xf numFmtId="0" fontId="33" fillId="5" borderId="18" xfId="0" applyFont="1" applyFill="1" applyBorder="1" applyAlignment="1">
      <alignment horizontal="center"/>
    </xf>
    <xf numFmtId="0" fontId="33" fillId="5" borderId="20" xfId="0" applyFont="1" applyFill="1" applyBorder="1" applyAlignment="1">
      <alignment horizontal="center"/>
    </xf>
    <xf numFmtId="0" fontId="33" fillId="5" borderId="27" xfId="0" applyFont="1" applyFill="1" applyBorder="1" applyAlignment="1">
      <alignment horizontal="center"/>
    </xf>
    <xf numFmtId="0" fontId="33" fillId="5" borderId="25" xfId="0" applyFont="1" applyFill="1" applyBorder="1" applyAlignment="1">
      <alignment horizontal="center"/>
    </xf>
    <xf numFmtId="0" fontId="33" fillId="5" borderId="53" xfId="0" applyFont="1" applyFill="1" applyBorder="1" applyAlignment="1">
      <alignment horizontal="center" wrapText="1"/>
    </xf>
    <xf numFmtId="0" fontId="33" fillId="5" borderId="54" xfId="0" applyFont="1" applyFill="1" applyBorder="1" applyAlignment="1">
      <alignment horizontal="center" wrapText="1"/>
    </xf>
    <xf numFmtId="0" fontId="33" fillId="5" borderId="55" xfId="0" applyFont="1" applyFill="1" applyBorder="1" applyAlignment="1">
      <alignment horizontal="center" wrapText="1"/>
    </xf>
    <xf numFmtId="0" fontId="39" fillId="5" borderId="0" xfId="0" applyFont="1" applyFill="1" applyAlignment="1">
      <alignment horizontal="center"/>
    </xf>
    <xf numFmtId="0" fontId="42" fillId="5" borderId="1" xfId="0" applyFont="1" applyFill="1" applyBorder="1" applyAlignment="1">
      <alignment horizontal="center"/>
    </xf>
    <xf numFmtId="0" fontId="42" fillId="5" borderId="2" xfId="0" applyFont="1" applyFill="1" applyBorder="1" applyAlignment="1">
      <alignment horizontal="center"/>
    </xf>
    <xf numFmtId="0" fontId="42" fillId="5" borderId="4" xfId="0" applyFont="1" applyFill="1" applyBorder="1" applyAlignment="1">
      <alignment horizontal="center"/>
    </xf>
    <xf numFmtId="0" fontId="35" fillId="5" borderId="17" xfId="0" applyFont="1" applyFill="1" applyBorder="1" applyAlignment="1">
      <alignment horizontal="center"/>
    </xf>
    <xf numFmtId="0" fontId="35" fillId="5" borderId="18" xfId="0" applyFont="1" applyFill="1" applyBorder="1" applyAlignment="1">
      <alignment horizontal="center"/>
    </xf>
    <xf numFmtId="0" fontId="35"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3" fillId="5" borderId="53" xfId="0" applyFont="1" applyFill="1" applyBorder="1" applyAlignment="1">
      <alignment horizontal="center"/>
    </xf>
    <xf numFmtId="0" fontId="33" fillId="5" borderId="54" xfId="0" applyFont="1" applyFill="1" applyBorder="1" applyAlignment="1">
      <alignment horizontal="center"/>
    </xf>
    <xf numFmtId="0" fontId="33" fillId="5" borderId="55" xfId="0" applyFont="1" applyFill="1" applyBorder="1" applyAlignment="1">
      <alignment horizontal="center"/>
    </xf>
    <xf numFmtId="0" fontId="33" fillId="5" borderId="58" xfId="0" applyFont="1" applyFill="1" applyBorder="1" applyAlignment="1">
      <alignment horizontal="center"/>
    </xf>
    <xf numFmtId="0" fontId="33" fillId="5" borderId="0" xfId="0" applyFont="1" applyFill="1" applyAlignment="1">
      <alignment horizontal="center"/>
    </xf>
    <xf numFmtId="0" fontId="33"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3" fillId="5" borderId="17" xfId="0" quotePrefix="1" applyFont="1" applyFill="1" applyBorder="1" applyAlignment="1">
      <alignment horizontal="center"/>
    </xf>
    <xf numFmtId="0" fontId="33" fillId="5" borderId="18" xfId="0" quotePrefix="1" applyFont="1" applyFill="1" applyBorder="1" applyAlignment="1">
      <alignment horizontal="center"/>
    </xf>
    <xf numFmtId="0" fontId="33" fillId="5" borderId="20" xfId="0" quotePrefix="1" applyFont="1" applyFill="1" applyBorder="1" applyAlignment="1">
      <alignment horizontal="center"/>
    </xf>
    <xf numFmtId="0" fontId="33" fillId="5" borderId="56" xfId="0" applyFont="1" applyFill="1" applyBorder="1" applyAlignment="1">
      <alignment horizontal="center" vertical="center"/>
    </xf>
    <xf numFmtId="0" fontId="33" fillId="5" borderId="19" xfId="0" applyFont="1" applyFill="1" applyBorder="1" applyAlignment="1">
      <alignment horizontal="center" vertical="center"/>
    </xf>
    <xf numFmtId="0" fontId="33" fillId="5" borderId="57" xfId="0" applyFont="1" applyFill="1" applyBorder="1" applyAlignment="1">
      <alignment horizontal="center" vertical="center"/>
    </xf>
    <xf numFmtId="0" fontId="33" fillId="5" borderId="60" xfId="0" applyFont="1" applyFill="1" applyBorder="1" applyAlignment="1">
      <alignment horizontal="center" vertical="center"/>
    </xf>
    <xf numFmtId="0" fontId="33" fillId="5" borderId="61" xfId="0" applyFont="1" applyFill="1" applyBorder="1" applyAlignment="1">
      <alignment horizontal="center" vertical="center"/>
    </xf>
    <xf numFmtId="0" fontId="33" fillId="5" borderId="23" xfId="0" applyFont="1" applyFill="1" applyBorder="1" applyAlignment="1">
      <alignment horizontal="center" vertical="center"/>
    </xf>
    <xf numFmtId="0" fontId="33" fillId="5" borderId="17" xfId="0" applyFont="1" applyFill="1" applyBorder="1" applyAlignment="1">
      <alignment horizontal="center" vertical="center"/>
    </xf>
    <xf numFmtId="0" fontId="33" fillId="5" borderId="18" xfId="0" applyFont="1" applyFill="1" applyBorder="1" applyAlignment="1">
      <alignment horizontal="center" vertical="center"/>
    </xf>
    <xf numFmtId="0" fontId="33" fillId="5" borderId="20" xfId="0" applyFont="1" applyFill="1" applyBorder="1" applyAlignment="1">
      <alignment horizontal="center" vertical="center"/>
    </xf>
    <xf numFmtId="0" fontId="33" fillId="5" borderId="13" xfId="0" applyFont="1" applyFill="1" applyBorder="1" applyAlignment="1">
      <alignment horizontal="center" vertical="center"/>
    </xf>
    <xf numFmtId="0" fontId="33" fillId="5" borderId="12" xfId="0" applyFont="1" applyFill="1" applyBorder="1" applyAlignment="1">
      <alignment horizontal="center" vertical="center"/>
    </xf>
    <xf numFmtId="0" fontId="33" fillId="5" borderId="26" xfId="0" applyFont="1" applyFill="1" applyBorder="1" applyAlignment="1">
      <alignment horizontal="center" vertical="center"/>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xf numFmtId="14" fontId="0" fillId="0" borderId="0" xfId="0" applyNumberFormat="1"/>
    <xf numFmtId="9" fontId="3" fillId="0" borderId="0" xfId="0" applyNumberFormat="1" applyFont="1"/>
    <xf numFmtId="0" fontId="4" fillId="0" borderId="0" xfId="0" applyFont="1" applyAlignment="1">
      <alignment shrinkToFit="1"/>
    </xf>
    <xf numFmtId="0" fontId="0" fillId="0" borderId="0" xfId="0" applyAlignment="1">
      <alignment shrinkToFit="1"/>
    </xf>
    <xf numFmtId="0" fontId="3" fillId="0" borderId="0" xfId="0" applyFont="1" applyAlignment="1">
      <alignment shrinkToFit="1"/>
    </xf>
    <xf numFmtId="49" fontId="4" fillId="3" borderId="70" xfId="8" applyNumberFormat="1" applyFont="1" applyFill="1" applyBorder="1" applyAlignment="1" applyProtection="1">
      <alignment horizontal="center" vertical="center"/>
      <protection hidden="1"/>
    </xf>
    <xf numFmtId="2" fontId="4" fillId="3" borderId="70" xfId="8" applyNumberFormat="1" applyFont="1" applyFill="1" applyBorder="1" applyAlignment="1" applyProtection="1">
      <alignment horizontal="center" vertical="center"/>
      <protection hidden="1"/>
    </xf>
    <xf numFmtId="182" fontId="4" fillId="3" borderId="70" xfId="8" applyNumberFormat="1" applyFont="1" applyFill="1" applyBorder="1" applyAlignment="1" applyProtection="1">
      <alignment horizontal="center" vertical="center"/>
      <protection hidden="1"/>
    </xf>
    <xf numFmtId="49" fontId="3" fillId="0" borderId="0" xfId="0" applyNumberFormat="1" applyFont="1" applyAlignment="1">
      <alignment horizontal="left"/>
    </xf>
    <xf numFmtId="0" fontId="3" fillId="16" borderId="0" xfId="0" applyFont="1" applyFill="1" applyAlignment="1">
      <alignment horizontal="center" vertical="center"/>
    </xf>
    <xf numFmtId="0" fontId="62" fillId="16" borderId="80" xfId="0" applyFont="1" applyFill="1" applyBorder="1" applyAlignment="1">
      <alignment horizontal="center" vertical="center"/>
    </xf>
    <xf numFmtId="0" fontId="62" fillId="16" borderId="80" xfId="0" applyFont="1" applyFill="1" applyBorder="1" applyAlignment="1">
      <alignment horizontal="center" vertical="center" wrapText="1"/>
    </xf>
    <xf numFmtId="2" fontId="62" fillId="16" borderId="80" xfId="0" applyNumberFormat="1" applyFont="1" applyFill="1" applyBorder="1" applyAlignment="1">
      <alignment horizontal="center" vertical="center" wrapText="1"/>
    </xf>
    <xf numFmtId="2" fontId="62" fillId="16" borderId="81" xfId="0" applyNumberFormat="1" applyFont="1" applyFill="1" applyBorder="1" applyAlignment="1">
      <alignment horizontal="left" vertical="center"/>
    </xf>
    <xf numFmtId="2" fontId="62" fillId="16" borderId="82" xfId="0" applyNumberFormat="1" applyFont="1" applyFill="1" applyBorder="1" applyAlignment="1">
      <alignment horizontal="left" vertical="center"/>
    </xf>
    <xf numFmtId="0" fontId="68" fillId="0" borderId="0" xfId="0" applyFont="1" applyAlignment="1" applyProtection="1">
      <alignment horizontal="center" vertical="center"/>
      <protection hidden="1"/>
    </xf>
    <xf numFmtId="0" fontId="69" fillId="16" borderId="37" xfId="6" applyFont="1" applyFill="1" applyBorder="1" applyAlignment="1">
      <alignment horizontal="center" wrapText="1"/>
    </xf>
    <xf numFmtId="0" fontId="69" fillId="16" borderId="38" xfId="6" applyFont="1" applyFill="1" applyBorder="1" applyAlignment="1">
      <alignment horizontal="center" wrapText="1"/>
    </xf>
    <xf numFmtId="0" fontId="69" fillId="16" borderId="39" xfId="6" applyFont="1" applyFill="1" applyBorder="1" applyAlignment="1">
      <alignment horizontal="center" wrapText="1"/>
    </xf>
    <xf numFmtId="0" fontId="69" fillId="16" borderId="40" xfId="6" applyFont="1" applyFill="1" applyBorder="1" applyAlignment="1">
      <alignment horizontal="center" wrapText="1"/>
    </xf>
    <xf numFmtId="0" fontId="69" fillId="16" borderId="41" xfId="6" applyFont="1" applyFill="1" applyBorder="1" applyAlignment="1">
      <alignment horizontal="center" wrapText="1"/>
    </xf>
    <xf numFmtId="0" fontId="69" fillId="16" borderId="42" xfId="6" applyFont="1" applyFill="1" applyBorder="1" applyAlignment="1">
      <alignment horizontal="center" wrapText="1"/>
    </xf>
    <xf numFmtId="0" fontId="69" fillId="16" borderId="43" xfId="6" applyFont="1" applyFill="1" applyBorder="1" applyAlignment="1">
      <alignment horizontal="center" wrapText="1"/>
    </xf>
    <xf numFmtId="0" fontId="69" fillId="16" borderId="44" xfId="6" applyFont="1" applyFill="1" applyBorder="1" applyAlignment="1">
      <alignment horizontal="center" wrapText="1"/>
    </xf>
    <xf numFmtId="0" fontId="62" fillId="16" borderId="0" xfId="5" applyFont="1" applyFill="1" applyAlignment="1">
      <alignment wrapText="1"/>
    </xf>
    <xf numFmtId="0" fontId="62" fillId="16" borderId="0" xfId="5" applyFont="1" applyFill="1" applyAlignment="1">
      <alignment horizontal="center" vertical="center" wrapText="1"/>
    </xf>
    <xf numFmtId="2" fontId="62" fillId="16" borderId="0" xfId="5" applyNumberFormat="1" applyFont="1" applyFill="1" applyAlignment="1">
      <alignment horizontal="center" vertical="center" wrapText="1"/>
    </xf>
    <xf numFmtId="168" fontId="62" fillId="16" borderId="0" xfId="5" applyNumberFormat="1" applyFont="1" applyFill="1" applyAlignment="1">
      <alignment horizontal="center" vertical="center" wrapText="1"/>
    </xf>
    <xf numFmtId="0" fontId="62" fillId="16" borderId="0" xfId="5" applyFont="1" applyFill="1" applyAlignment="1">
      <alignment horizontal="left"/>
    </xf>
    <xf numFmtId="0" fontId="62" fillId="16" borderId="0" xfId="5" applyFont="1" applyFill="1" applyAlignment="1">
      <alignment horizontal="center" vertical="center"/>
    </xf>
    <xf numFmtId="168" fontId="4" fillId="0" borderId="0" xfId="0" applyNumberFormat="1" applyFont="1" applyAlignment="1">
      <alignment horizontal="center" vertical="center"/>
    </xf>
    <xf numFmtId="0" fontId="19" fillId="0" borderId="0" xfId="7" applyFont="1" applyAlignment="1">
      <alignment horizontal="left"/>
    </xf>
    <xf numFmtId="0" fontId="70" fillId="0" borderId="0" xfId="5" applyFont="1" applyAlignment="1">
      <alignment horizontal="left"/>
    </xf>
    <xf numFmtId="0" fontId="19" fillId="0" borderId="0" xfId="7" applyFont="1" applyAlignment="1">
      <alignment horizontal="center" vertical="center"/>
    </xf>
    <xf numFmtId="2" fontId="70" fillId="0" borderId="0" xfId="5" applyNumberFormat="1" applyFont="1" applyAlignment="1">
      <alignment horizontal="center" vertical="center"/>
    </xf>
    <xf numFmtId="0" fontId="70" fillId="0" borderId="0" xfId="5" applyFont="1" applyAlignment="1">
      <alignment horizontal="center" vertical="center"/>
    </xf>
    <xf numFmtId="168" fontId="19" fillId="0" borderId="0" xfId="7" applyNumberFormat="1" applyFont="1" applyAlignment="1">
      <alignment horizontal="center" vertical="center"/>
    </xf>
    <xf numFmtId="168" fontId="70" fillId="0" borderId="0" xfId="5" applyNumberFormat="1" applyFont="1" applyAlignment="1">
      <alignment horizontal="center" vertical="center"/>
    </xf>
    <xf numFmtId="0" fontId="70" fillId="0" borderId="0" xfId="5" applyFont="1"/>
    <xf numFmtId="0" fontId="19" fillId="0" borderId="0" xfId="7" applyFont="1"/>
    <xf numFmtId="0" fontId="52" fillId="0" borderId="69" xfId="0" applyFont="1" applyBorder="1"/>
    <xf numFmtId="0" fontId="3" fillId="16" borderId="0" xfId="0" applyFont="1" applyFill="1"/>
    <xf numFmtId="0" fontId="0" fillId="13" borderId="0" xfId="0" applyFill="1" applyProtection="1">
      <protection locked="0"/>
    </xf>
    <xf numFmtId="0" fontId="0" fillId="0" borderId="0" xfId="0" applyAlignment="1" applyProtection="1">
      <alignment horizontal="center" vertical="center"/>
      <protection locked="0"/>
    </xf>
    <xf numFmtId="0" fontId="4" fillId="3" borderId="0" xfId="8" applyFont="1" applyFill="1" applyBorder="1" applyAlignment="1" applyProtection="1">
      <alignment horizontal="left" vertical="center"/>
      <protection hidden="1"/>
    </xf>
    <xf numFmtId="165" fontId="31" fillId="0" borderId="0" xfId="3" applyNumberFormat="1" applyFont="1" applyAlignment="1">
      <alignment horizontal="center" vertical="center"/>
    </xf>
    <xf numFmtId="0" fontId="3" fillId="0" borderId="0" xfId="0" applyFont="1" applyAlignment="1" applyProtection="1">
      <alignment horizontal="left"/>
      <protection locked="0"/>
    </xf>
    <xf numFmtId="0" fontId="56" fillId="0" borderId="0" xfId="3" applyFont="1" applyBorder="1" applyAlignment="1" applyProtection="1">
      <alignment horizontal="center" vertical="center"/>
    </xf>
    <xf numFmtId="0" fontId="19" fillId="0" borderId="0" xfId="3" applyFont="1" applyBorder="1" applyAlignment="1" applyProtection="1">
      <alignment horizontal="center" vertical="center"/>
    </xf>
    <xf numFmtId="0" fontId="4" fillId="3" borderId="70" xfId="3" applyFont="1" applyFill="1" applyBorder="1" applyAlignment="1">
      <alignment horizontal="left" vertical="center" shrinkToFit="1"/>
    </xf>
    <xf numFmtId="0" fontId="53" fillId="3" borderId="71" xfId="3" applyFont="1" applyFill="1" applyBorder="1" applyAlignment="1">
      <alignment horizontal="left" vertical="center" shrinkToFit="1"/>
    </xf>
    <xf numFmtId="0" fontId="53" fillId="0" borderId="70" xfId="3" applyFont="1" applyBorder="1" applyAlignment="1">
      <alignment horizontal="left" vertical="center" shrinkToFit="1"/>
    </xf>
    <xf numFmtId="0" fontId="4" fillId="3" borderId="71" xfId="3" applyFont="1" applyFill="1" applyBorder="1" applyAlignment="1">
      <alignment horizontal="left" vertical="center" shrinkToFit="1"/>
    </xf>
    <xf numFmtId="0" fontId="14" fillId="0" borderId="0" xfId="3" applyFont="1" applyAlignment="1">
      <alignment horizontal="center" shrinkToFit="1"/>
    </xf>
    <xf numFmtId="0" fontId="52" fillId="0" borderId="69" xfId="0" applyFont="1" applyBorder="1" applyAlignment="1" applyProtection="1">
      <alignment horizontal="left" shrinkToFit="1"/>
      <protection hidden="1"/>
    </xf>
    <xf numFmtId="0" fontId="20" fillId="0" borderId="0" xfId="3" applyFont="1" applyAlignment="1">
      <alignment horizontal="center" vertical="center" shrinkToFit="1"/>
    </xf>
    <xf numFmtId="0" fontId="4" fillId="3" borderId="70" xfId="8" applyFont="1" applyFill="1" applyBorder="1" applyAlignment="1" applyProtection="1">
      <alignment horizontal="left" vertical="center" shrinkToFit="1"/>
      <protection hidden="1"/>
    </xf>
    <xf numFmtId="0" fontId="4" fillId="3" borderId="72" xfId="8" applyFont="1" applyFill="1" applyBorder="1" applyAlignment="1" applyProtection="1">
      <alignment horizontal="left" vertical="center" shrinkToFit="1"/>
      <protection hidden="1"/>
    </xf>
    <xf numFmtId="0" fontId="15" fillId="0" borderId="0" xfId="3" applyFont="1" applyAlignment="1">
      <alignment horizontal="right" vertical="center" shrinkToFit="1"/>
    </xf>
    <xf numFmtId="0" fontId="29" fillId="16" borderId="15" xfId="0" applyFont="1" applyFill="1" applyBorder="1" applyAlignment="1" applyProtection="1">
      <alignment horizontal="left" vertical="center" shrinkToFit="1"/>
      <protection hidden="1"/>
    </xf>
    <xf numFmtId="0" fontId="63" fillId="3" borderId="70" xfId="8" applyFont="1" applyFill="1" applyBorder="1" applyAlignment="1" applyProtection="1">
      <alignment horizontal="left" vertical="center" shrinkToFit="1"/>
      <protection hidden="1"/>
    </xf>
    <xf numFmtId="0" fontId="19" fillId="0" borderId="0" xfId="3" applyFont="1" applyAlignment="1">
      <alignment shrinkToFit="1"/>
    </xf>
    <xf numFmtId="0" fontId="4" fillId="3" borderId="77" xfId="8" applyFont="1" applyFill="1" applyBorder="1" applyAlignment="1" applyProtection="1">
      <alignment horizontal="left" vertical="center" shrinkToFit="1"/>
      <protection hidden="1"/>
    </xf>
    <xf numFmtId="0" fontId="4" fillId="3" borderId="0" xfId="8" applyFont="1" applyFill="1" applyBorder="1" applyAlignment="1" applyProtection="1">
      <alignment horizontal="left" vertical="center" shrinkToFit="1"/>
      <protection hidden="1"/>
    </xf>
    <xf numFmtId="183" fontId="62" fillId="16" borderId="0" xfId="0" applyNumberFormat="1" applyFont="1" applyFill="1" applyAlignment="1">
      <alignment horizontal="center" vertical="center"/>
    </xf>
    <xf numFmtId="183" fontId="0" fillId="0" borderId="0" xfId="0" applyNumberFormat="1"/>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onfig!$B$32"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https://ecv.microsoft.com/vrNtkzFNqS" TargetMode="Externa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28</xdr:row>
          <xdr:rowOff>0</xdr:rowOff>
        </xdr:from>
        <xdr:to>
          <xdr:col>0</xdr:col>
          <xdr:colOff>2026920</xdr:colOff>
          <xdr:row>29</xdr:row>
          <xdr:rowOff>160020</xdr:rowOff>
        </xdr:to>
        <xdr:sp macro="" textlink="">
          <xdr:nvSpPr>
            <xdr:cNvPr id="20481" name="PublishVersionButt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Publish Version.txt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447682</xdr:colOff>
      <xdr:row>5</xdr:row>
      <xdr:rowOff>209549</xdr:rowOff>
    </xdr:from>
    <xdr:to>
      <xdr:col>8</xdr:col>
      <xdr:colOff>236963</xdr:colOff>
      <xdr:row>18</xdr:row>
      <xdr:rowOff>28574</xdr:rowOff>
    </xdr:to>
    <xdr:pic macro="DisplayPipingDiagramMSG">
      <xdr:nvPicPr>
        <xdr:cNvPr id="48" name="Q_Piping">
          <a:extLst>
            <a:ext uri="{FF2B5EF4-FFF2-40B4-BE49-F238E27FC236}">
              <a16:creationId xmlns:a16="http://schemas.microsoft.com/office/drawing/2014/main" id="{940F51D3-8D5F-AEE4-4283-FBB9CB8076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1682"/>
        <a:stretch>
          <a:fillRect/>
        </a:stretch>
      </xdr:blipFill>
      <xdr:spPr>
        <a:xfrm>
          <a:off x="6057907" y="1333499"/>
          <a:ext cx="2923006" cy="2286000"/>
        </a:xfrm>
        <a:prstGeom prst="rect">
          <a:avLst/>
        </a:prstGeom>
      </xdr:spPr>
    </xdr:pic>
    <xdr:clientData/>
  </xdr:twoCellAnchor>
  <xdr:twoCellAnchor editAs="oneCell">
    <xdr:from>
      <xdr:col>9</xdr:col>
      <xdr:colOff>19050</xdr:colOff>
      <xdr:row>2</xdr:row>
      <xdr:rowOff>66674</xdr:rowOff>
    </xdr:from>
    <xdr:to>
      <xdr:col>9</xdr:col>
      <xdr:colOff>271653</xdr:colOff>
      <xdr:row>3</xdr:row>
      <xdr:rowOff>169544</xdr:rowOff>
    </xdr:to>
    <xdr:sp macro="ShowAboutForm" textlink="">
      <xdr:nvSpPr>
        <xdr:cNvPr id="9" name="AboutButton">
          <a:extLst>
            <a:ext uri="{FF2B5EF4-FFF2-40B4-BE49-F238E27FC236}">
              <a16:creationId xmlns:a16="http://schemas.microsoft.com/office/drawing/2014/main" id="{00000000-0008-0000-0100-000009000000}"/>
            </a:ext>
          </a:extLst>
        </xdr:cNvPr>
        <xdr:cNvSpPr>
          <a:spLocks noChangeAspect="1"/>
        </xdr:cNvSpPr>
      </xdr:nvSpPr>
      <xdr:spPr>
        <a:xfrm>
          <a:off x="9544050" y="1057274"/>
          <a:ext cx="252603" cy="274320"/>
        </a:xfrm>
        <a:prstGeom prst="ellipse">
          <a:avLst/>
        </a:prstGeom>
        <a:solidFill>
          <a:srgbClr val="3B7898"/>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FFFFFF"/>
              </a:solidFill>
              <a:latin typeface="HelveticaNeueLT Std Lt"/>
            </a:rPr>
            <a:t>i</a:t>
          </a:r>
        </a:p>
      </xdr:txBody>
    </xdr:sp>
    <xdr:clientData fPrintsWithSheet="0"/>
  </xdr:twoCellAnchor>
  <xdr:twoCellAnchor editAs="oneCell">
    <xdr:from>
      <xdr:col>1</xdr:col>
      <xdr:colOff>0</xdr:colOff>
      <xdr:row>16</xdr:row>
      <xdr:rowOff>104775</xdr:rowOff>
    </xdr:from>
    <xdr:to>
      <xdr:col>1</xdr:col>
      <xdr:colOff>1097280</xdr:colOff>
      <xdr:row>18</xdr:row>
      <xdr:rowOff>146685</xdr:rowOff>
    </xdr:to>
    <xdr:sp macro="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CalculateCv" textlink="">
      <xdr:nvSpPr>
        <xdr:cNvPr id="12" name="btnCalculate">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
Use the Drop Down to  select the Region you are in or select Manual / Other  to input a pressure.
https://barometricpressure.org .
The default value is 14.7</a:t>
          </a:r>
          <a:endParaRPr lang="en-US" sz="1100" b="1">
            <a:solidFill>
              <a:schemeClr val="tx1"/>
            </a:solidFill>
          </a:endParaRP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a:t>
          </a:r>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
Use the Drop Down list to select your Flow Rate
Values entered here will be converted to Lbs/Hr.</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TogglePI_MSG" textlink="">
      <xdr:nvSpPr>
        <xdr:cNvPr id="40" name="qPI_MSG_Toggle">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
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 Control [CTRL] Notes
An On/Off valve is either fully open or fully closed. It delivers full design flow when open and zero flow when closed. No throttling or modulation occurs.  
GENERAL SIZING RULES 
1.  Size the valve to pass 100% of design flow at fully open.</a:t>
          </a:r>
          <a:br>
            <a:rPr lang="en-US" sz="1100" b="1" u="sng">
              <a:solidFill>
                <a:schemeClr val="tx2"/>
              </a:solidFill>
            </a:rPr>
          </a:br>
          <a:r>
            <a:rPr lang="en-US" sz="1100" b="1" u="sng">
              <a:solidFill>
                <a:schemeClr val="tx2"/>
              </a:solidFill>
            </a:rPr>
            <a:t>2.  Select the next standard Cv AT OR ABOVE required Cv.</a:t>
          </a:r>
          <a:br>
            <a:rPr lang="en-US" sz="1100" b="1" u="sng">
              <a:solidFill>
                <a:schemeClr val="tx2"/>
              </a:solidFill>
            </a:rPr>
          </a:br>
          <a:r>
            <a:rPr lang="en-US" sz="1100" b="1" u="sng">
              <a:solidFill>
                <a:schemeClr val="tx2"/>
              </a:solidFill>
            </a:rPr>
            <a:t>3.  Match valve body size to coil inlet pipe size (line size).</a:t>
          </a:r>
          <a:br>
            <a:rPr lang="en-US" sz="1100" b="1" u="sng">
              <a:solidFill>
                <a:schemeClr val="tx2"/>
              </a:solidFill>
            </a:rPr>
          </a:br>
          <a:r>
            <a:rPr lang="en-US" sz="1100" b="1" u="sng">
              <a:solidFill>
                <a:schemeClr val="tx2"/>
              </a:solidFill>
            </a:rPr>
            <a:t>4.  Verify fully-open Cv of selected valve type exceeds required Cv.</a:t>
          </a:r>
          <a:br>
            <a:rPr lang="en-US" sz="1100" b="1" u="sng">
              <a:solidFill>
                <a:schemeClr val="tx2"/>
              </a:solidFill>
            </a:rPr>
          </a:br>
          <a:r>
            <a:rPr lang="en-US" sz="1100" b="1" u="sng">
              <a:solidFill>
                <a:schemeClr val="tx2"/>
              </a:solidFill>
            </a:rPr>
            <a:t>5.  Confirm close-off pressure rating handles full inlet pressure when shut.</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
When sizing radiators, the typical pressure drop is 0.5 to 2.0 PSI.  
Determine if they are 1 pipe or 2 pipe.
1 Pipe will always be On/Off Control.</a:t>
          </a:r>
          <a:endParaRPr lang="en-US" sz="1100" b="1">
            <a:solidFill>
              <a:schemeClr val="bg1"/>
            </a:solidFill>
          </a:endParaRP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 Custom</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a:t>
          </a:r>
        </a:p>
      </xdr:txBody>
    </xdr:sp>
    <xdr:clientData/>
  </xdr:twoCellAnchor>
  <xdr:twoCellAnchor>
    <xdr:from>
      <xdr:col>5</xdr:col>
      <xdr:colOff>285749</xdr:colOff>
      <xdr:row>10</xdr:row>
      <xdr:rowOff>57150</xdr:rowOff>
    </xdr:from>
    <xdr:to>
      <xdr:col>7</xdr:col>
      <xdr:colOff>171449</xdr:colOff>
      <xdr:row>11</xdr:row>
      <xdr:rowOff>209550</xdr:rowOff>
    </xdr:to>
    <xdr:sp macro=""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a:t>
          </a:r>
        </a:p>
      </xdr:txBody>
    </xdr:sp>
    <xdr:clientData/>
  </xdr:twoCellAnchor>
  <xdr:twoCellAnchor>
    <xdr:from>
      <xdr:col>5</xdr:col>
      <xdr:colOff>285749</xdr:colOff>
      <xdr:row>2</xdr:row>
      <xdr:rowOff>66675</xdr:rowOff>
    </xdr:from>
    <xdr:to>
      <xdr:col>7</xdr:col>
      <xdr:colOff>171449</xdr:colOff>
      <xdr:row>3</xdr:row>
      <xdr:rowOff>179070</xdr:rowOff>
    </xdr:to>
    <xdr:sp macro="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 HIDE STEPS</a:t>
          </a:r>
        </a:p>
      </xdr:txBody>
    </xdr:sp>
    <xdr:clientData/>
  </xdr:twoCellAnchor>
  <xdr:twoCellAnchor>
    <xdr:from>
      <xdr:col>7</xdr:col>
      <xdr:colOff>485775</xdr:colOff>
      <xdr:row>2</xdr:row>
      <xdr:rowOff>66675</xdr:rowOff>
    </xdr:from>
    <xdr:to>
      <xdr:col>8</xdr:col>
      <xdr:colOff>657225</xdr:colOff>
      <xdr:row>3</xdr:row>
      <xdr:rowOff>179070</xdr:rowOff>
    </xdr:to>
    <xdr:sp macro="CloseTool" textlink="">
      <xdr:nvSpPr>
        <xdr:cNvPr id="14" name="btnCloseTool">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AddToSummary_Click" textlink="">
      <xdr:nvSpPr>
        <xdr:cNvPr id="11" name="btnAddToSummary">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DisplayCfoMSG" textlink="">
      <xdr:nvSpPr>
        <xdr:cNvPr id="16" name="qCFO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editAs="oneCell">
    <xdr:from>
      <xdr:col>2</xdr:col>
      <xdr:colOff>492125</xdr:colOff>
      <xdr:row>16</xdr:row>
      <xdr:rowOff>104775</xdr:rowOff>
    </xdr:from>
    <xdr:to>
      <xdr:col>3</xdr:col>
      <xdr:colOff>570230</xdr:colOff>
      <xdr:row>18</xdr:row>
      <xdr:rowOff>146685</xdr:rowOff>
    </xdr:to>
    <xdr:sp macro="ValveLookup" textlink="">
      <xdr:nvSpPr>
        <xdr:cNvPr id="17" name="btnDisplayCvs">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 CV'S</a:t>
          </a:r>
        </a:p>
      </xdr:txBody>
    </xdr:sp>
    <xdr:clientData/>
  </xdr:twoCellAnchor>
  <xdr:twoCellAnchor>
    <xdr:from>
      <xdr:col>9</xdr:col>
      <xdr:colOff>47627</xdr:colOff>
      <xdr:row>23</xdr:row>
      <xdr:rowOff>28575</xdr:rowOff>
    </xdr:from>
    <xdr:to>
      <xdr:col>9</xdr:col>
      <xdr:colOff>212219</xdr:colOff>
      <xdr:row>23</xdr:row>
      <xdr:rowOff>193167</xdr:rowOff>
    </xdr:to>
    <xdr:sp macro="DisplayCvCMSG" textlink="">
      <xdr:nvSpPr>
        <xdr:cNvPr id="23" name="qCvC_Display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36</xdr:row>
      <xdr:rowOff>215899</xdr:rowOff>
    </xdr:from>
    <xdr:to>
      <xdr:col>4</xdr:col>
      <xdr:colOff>257726</xdr:colOff>
      <xdr:row>36</xdr:row>
      <xdr:rowOff>380491</xdr:rowOff>
    </xdr:to>
    <xdr:sp macro="ToggleCvC_MSG" textlink="">
      <xdr:nvSpPr>
        <xdr:cNvPr id="24" name="qCvC_Toggle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42</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
For steam, choked (critical) flow is assumed when the downstream absolute pressure is &lt; or = 58% of the upstream absolute pressure (i.e., P2,abs/P1,abs is ≤ 0.577). Equivalently, when the pressure drop is ≥ or = 42% of the upstream absolute pressure (i.e., </a:t>
          </a:r>
          <a:r>
            <a:rPr lang="el-GR" sz="1100" b="1" u="sng">
              <a:solidFill>
                <a:schemeClr val="tx2"/>
              </a:solidFill>
            </a:rPr>
            <a:t>Δ</a:t>
          </a:r>
          <a:r>
            <a:rPr lang="en-US" sz="1100" b="1" u="sng">
              <a:solidFill>
                <a:schemeClr val="tx2"/>
              </a:solidFill>
            </a:rPr>
            <a:t>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a:t>
          </a:r>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40</xdr:row>
          <xdr:rowOff>200025</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36</xdr:row>
      <xdr:rowOff>180975</xdr:rowOff>
    </xdr:from>
    <xdr:to>
      <xdr:col>5</xdr:col>
      <xdr:colOff>328018</xdr:colOff>
      <xdr:row>36</xdr:row>
      <xdr:rowOff>630829</xdr:rowOff>
    </xdr:to>
    <xdr:pic macro="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2"/>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a:t>
          </a:r>
          <a:br>
            <a:rPr lang="en-US" sz="1050" b="1" u="sng">
              <a:solidFill>
                <a:schemeClr val="tx2"/>
              </a:solidFill>
            </a:rPr>
          </a:br>
          <a:r>
            <a:rPr lang="en-US" sz="1050" b="1" u="sng">
              <a:solidFill>
                <a:schemeClr val="tx2"/>
              </a:solidFill>
            </a:rPr>
            <a:t>The flow is subcritical, meaning the mass flow rate depends on both inlet and outlet pressures.
At or below this pressure</a:t>
          </a:r>
          <a:br>
            <a:rPr lang="en-US" sz="1050" b="1" u="sng">
              <a:solidFill>
                <a:schemeClr val="tx2"/>
              </a:solidFill>
            </a:rPr>
          </a:br>
          <a:r>
            <a:rPr lang="en-US" sz="1050" b="1" u="sng">
              <a:solidFill>
                <a:schemeClr val="tx2"/>
              </a:solidFill>
            </a:rPr>
            <a:t>The flow becomes choked, meaning further reductions in downstream pressure will not increase the mass flow rate through the valve.
If this value is Un-Known, Input 0 to calculate a Pressure.
</a:t>
          </a:r>
          <a:endParaRPr lang="en-US" sz="1200" b="1" u="sng">
            <a:solidFill>
              <a:schemeClr val="tx2"/>
            </a:solidFill>
          </a:endParaRPr>
        </a:p>
      </xdr:txBody>
    </xdr:sp>
    <xdr:clientData/>
  </xdr:twoCellAnchor>
  <xdr:twoCellAnchor editAs="oneCell">
    <xdr:from>
      <xdr:col>1</xdr:col>
      <xdr:colOff>107156</xdr:colOff>
      <xdr:row>0</xdr:row>
      <xdr:rowOff>0</xdr:rowOff>
    </xdr:from>
    <xdr:to>
      <xdr:col>1</xdr:col>
      <xdr:colOff>1360460</xdr:colOff>
      <xdr:row>1</xdr:row>
      <xdr:rowOff>2645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1006" y="0"/>
          <a:ext cx="1253304" cy="478895"/>
        </a:xfrm>
        <a:prstGeom prst="rect">
          <a:avLst/>
        </a:prstGeom>
      </xdr:spPr>
    </xdr:pic>
    <xdr:clientData/>
  </xdr:twoCellAnchor>
  <xdr:twoCellAnchor editAs="oneCell">
    <xdr:from>
      <xdr:col>6</xdr:col>
      <xdr:colOff>1227456</xdr:colOff>
      <xdr:row>46</xdr:row>
      <xdr:rowOff>95249</xdr:rowOff>
    </xdr:from>
    <xdr:to>
      <xdr:col>7</xdr:col>
      <xdr:colOff>685801</xdr:colOff>
      <xdr:row>47</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editAs="oneCell">
    <xdr:from>
      <xdr:col>9</xdr:col>
      <xdr:colOff>53340</xdr:colOff>
      <xdr:row>38</xdr:row>
      <xdr:rowOff>50800</xdr:rowOff>
    </xdr:from>
    <xdr:to>
      <xdr:col>9</xdr:col>
      <xdr:colOff>217932</xdr:colOff>
      <xdr:row>38</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48</xdr:row>
      <xdr:rowOff>48260</xdr:rowOff>
    </xdr:from>
    <xdr:to>
      <xdr:col>9</xdr:col>
      <xdr:colOff>217932</xdr:colOff>
      <xdr:row>48</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46</xdr:row>
      <xdr:rowOff>78105</xdr:rowOff>
    </xdr:from>
    <xdr:to>
      <xdr:col>4</xdr:col>
      <xdr:colOff>276860</xdr:colOff>
      <xdr:row>46</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47</xdr:row>
      <xdr:rowOff>78105</xdr:rowOff>
    </xdr:from>
    <xdr:to>
      <xdr:col>4</xdr:col>
      <xdr:colOff>276860</xdr:colOff>
      <xdr:row>47</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48</xdr:row>
      <xdr:rowOff>78105</xdr:rowOff>
    </xdr:from>
    <xdr:to>
      <xdr:col>4</xdr:col>
      <xdr:colOff>276860</xdr:colOff>
      <xdr:row>48</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62</xdr:row>
          <xdr:rowOff>137160</xdr:rowOff>
        </xdr:from>
        <xdr:to>
          <xdr:col>9</xdr:col>
          <xdr:colOff>1127760</xdr:colOff>
          <xdr:row>63</xdr:row>
          <xdr:rowOff>175260</xdr:rowOff>
        </xdr:to>
        <xdr:sp macro="" textlink="">
          <xdr:nvSpPr>
            <xdr:cNvPr id="1049" name="chkRememberLanguage"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Remember my language</a:t>
              </a:r>
            </a:p>
          </xdr:txBody>
        </xdr:sp>
        <xdr:clientData/>
      </xdr:twoCellAnchor>
    </mc:Choice>
    <mc:Fallback/>
  </mc:AlternateContent>
  <xdr:twoCellAnchor editAs="oneCell">
    <xdr:from>
      <xdr:col>7</xdr:col>
      <xdr:colOff>76200</xdr:colOff>
      <xdr:row>60</xdr:row>
      <xdr:rowOff>190499</xdr:rowOff>
    </xdr:from>
    <xdr:to>
      <xdr:col>7</xdr:col>
      <xdr:colOff>480060</xdr:colOff>
      <xdr:row>62</xdr:row>
      <xdr:rowOff>60959</xdr:rowOff>
    </xdr:to>
    <xdr:pic macro="SetLanguageEN">
      <xdr:nvPicPr>
        <xdr:cNvPr id="46" name="imgLangEN">
          <a:extLst>
            <a:ext uri="{FF2B5EF4-FFF2-40B4-BE49-F238E27FC236}">
              <a16:creationId xmlns:a16="http://schemas.microsoft.com/office/drawing/2014/main" id="{2F43A82B-3BDA-EAA3-0481-EF44C33C026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40980" y="14569439"/>
          <a:ext cx="403860" cy="251460"/>
        </a:xfrm>
        <a:prstGeom prst="rect">
          <a:avLst/>
        </a:prstGeom>
      </xdr:spPr>
    </xdr:pic>
    <xdr:clientData/>
  </xdr:twoCellAnchor>
  <xdr:twoCellAnchor editAs="oneCell">
    <xdr:from>
      <xdr:col>7</xdr:col>
      <xdr:colOff>533400</xdr:colOff>
      <xdr:row>60</xdr:row>
      <xdr:rowOff>190499</xdr:rowOff>
    </xdr:from>
    <xdr:to>
      <xdr:col>7</xdr:col>
      <xdr:colOff>937260</xdr:colOff>
      <xdr:row>62</xdr:row>
      <xdr:rowOff>60959</xdr:rowOff>
    </xdr:to>
    <xdr:pic macro="SetLanguageES">
      <xdr:nvPicPr>
        <xdr:cNvPr id="50" name="imgLangES">
          <a:extLst>
            <a:ext uri="{FF2B5EF4-FFF2-40B4-BE49-F238E27FC236}">
              <a16:creationId xmlns:a16="http://schemas.microsoft.com/office/drawing/2014/main" id="{E8881FBD-2107-D778-C039-A871F4729F3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98180" y="14569439"/>
          <a:ext cx="403860" cy="251460"/>
        </a:xfrm>
        <a:prstGeom prst="rect">
          <a:avLst/>
        </a:prstGeom>
      </xdr:spPr>
    </xdr:pic>
    <xdr:clientData/>
  </xdr:twoCellAnchor>
  <xdr:twoCellAnchor editAs="oneCell">
    <xdr:from>
      <xdr:col>8</xdr:col>
      <xdr:colOff>22860</xdr:colOff>
      <xdr:row>60</xdr:row>
      <xdr:rowOff>190499</xdr:rowOff>
    </xdr:from>
    <xdr:to>
      <xdr:col>8</xdr:col>
      <xdr:colOff>426720</xdr:colOff>
      <xdr:row>62</xdr:row>
      <xdr:rowOff>60959</xdr:rowOff>
    </xdr:to>
    <xdr:pic macro="SetLanguagePT">
      <xdr:nvPicPr>
        <xdr:cNvPr id="52" name="imgLangPT">
          <a:extLst>
            <a:ext uri="{FF2B5EF4-FFF2-40B4-BE49-F238E27FC236}">
              <a16:creationId xmlns:a16="http://schemas.microsoft.com/office/drawing/2014/main" id="{3F868935-C67F-777A-4227-0F1F3149A7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55380" y="14569439"/>
          <a:ext cx="403860" cy="251460"/>
        </a:xfrm>
        <a:prstGeom prst="rect">
          <a:avLst/>
        </a:prstGeom>
      </xdr:spPr>
    </xdr:pic>
    <xdr:clientData/>
  </xdr:twoCellAnchor>
  <xdr:twoCellAnchor editAs="oneCell">
    <xdr:from>
      <xdr:col>8</xdr:col>
      <xdr:colOff>480060</xdr:colOff>
      <xdr:row>60</xdr:row>
      <xdr:rowOff>190499</xdr:rowOff>
    </xdr:from>
    <xdr:to>
      <xdr:col>9</xdr:col>
      <xdr:colOff>106680</xdr:colOff>
      <xdr:row>62</xdr:row>
      <xdr:rowOff>60959</xdr:rowOff>
    </xdr:to>
    <xdr:pic macro="SetLanguageFR">
      <xdr:nvPicPr>
        <xdr:cNvPr id="54" name="imgLangFR">
          <a:extLst>
            <a:ext uri="{FF2B5EF4-FFF2-40B4-BE49-F238E27FC236}">
              <a16:creationId xmlns:a16="http://schemas.microsoft.com/office/drawing/2014/main" id="{89D32DF0-DB81-29C3-284E-99DAEDAF825D}"/>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580" y="14569439"/>
          <a:ext cx="403860" cy="251460"/>
        </a:xfrm>
        <a:prstGeom prst="rect">
          <a:avLst/>
        </a:prstGeom>
      </xdr:spPr>
    </xdr:pic>
    <xdr:clientData/>
  </xdr:twoCellAnchor>
  <xdr:twoCellAnchor editAs="oneCell">
    <xdr:from>
      <xdr:col>0</xdr:col>
      <xdr:colOff>295275</xdr:colOff>
      <xdr:row>54</xdr:row>
      <xdr:rowOff>152400</xdr:rowOff>
    </xdr:from>
    <xdr:to>
      <xdr:col>1</xdr:col>
      <xdr:colOff>1634973</xdr:colOff>
      <xdr:row>58</xdr:row>
      <xdr:rowOff>30480</xdr:rowOff>
    </xdr:to>
    <xdr:pic>
      <xdr:nvPicPr>
        <xdr:cNvPr id="45" name="Picture 44">
          <a:hlinkClick xmlns:r="http://schemas.openxmlformats.org/officeDocument/2006/relationships" r:id="rId8"/>
          <a:extLst>
            <a:ext uri="{FF2B5EF4-FFF2-40B4-BE49-F238E27FC236}">
              <a16:creationId xmlns:a16="http://schemas.microsoft.com/office/drawing/2014/main" id="{AE08009E-5E46-4B04-B1E0-989C4EC9C53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5275" y="13411200"/>
          <a:ext cx="1663548" cy="640080"/>
        </a:xfrm>
        <a:prstGeom prst="rect">
          <a:avLst/>
        </a:prstGeom>
      </xdr:spPr>
    </xdr:pic>
    <xdr:clientData/>
  </xdr:twoCellAnchor>
  <xdr:twoCellAnchor editAs="oneCell">
    <xdr:from>
      <xdr:col>4</xdr:col>
      <xdr:colOff>261938</xdr:colOff>
      <xdr:row>27</xdr:row>
      <xdr:rowOff>47625</xdr:rowOff>
    </xdr:from>
    <xdr:to>
      <xdr:col>5</xdr:col>
      <xdr:colOff>45530</xdr:colOff>
      <xdr:row>27</xdr:row>
      <xdr:rowOff>212217</xdr:rowOff>
    </xdr:to>
    <xdr:sp macro="DisplayReqCvMSG" textlink="">
      <xdr:nvSpPr>
        <xdr:cNvPr id="13" name="?_ReqCv_MSG" descr="Flow Coefficient Result [Cv]">
          <a:extLst>
            <a:ext uri="{FF2B5EF4-FFF2-40B4-BE49-F238E27FC236}">
              <a16:creationId xmlns:a16="http://schemas.microsoft.com/office/drawing/2014/main" id="{846D1612-81E2-0841-204A-D0EB368572F6}"/>
            </a:ext>
          </a:extLst>
        </xdr:cNvPr>
        <xdr:cNvSpPr>
          <a:spLocks noChangeAspect="1"/>
        </xdr:cNvSpPr>
      </xdr:nvSpPr>
      <xdr:spPr>
        <a:xfrm>
          <a:off x="5108258" y="6090285"/>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9</xdr:col>
      <xdr:colOff>47627</xdr:colOff>
      <xdr:row>20</xdr:row>
      <xdr:rowOff>28575</xdr:rowOff>
    </xdr:from>
    <xdr:to>
      <xdr:col>9</xdr:col>
      <xdr:colOff>212727</xdr:colOff>
      <xdr:row>20</xdr:row>
      <xdr:rowOff>200025</xdr:rowOff>
    </xdr:to>
    <xdr:sp macro="DisplaySelPanelMSG" textlink="">
      <xdr:nvSpPr>
        <xdr:cNvPr id="18" name="?_SelPanel_MSG" descr="Selected Valve Panel">
          <a:extLst>
            <a:ext uri="{FF2B5EF4-FFF2-40B4-BE49-F238E27FC236}">
              <a16:creationId xmlns:a16="http://schemas.microsoft.com/office/drawing/2014/main" id="{5DD01174-93CA-D95D-F19E-376D88296635}"/>
            </a:ext>
          </a:extLst>
        </xdr:cNvPr>
        <xdr:cNvSpPr/>
      </xdr:nvSpPr>
      <xdr:spPr bwMode="auto">
        <a:xfrm>
          <a:off x="9557387" y="441769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9</xdr:col>
      <xdr:colOff>47627</xdr:colOff>
      <xdr:row>25</xdr:row>
      <xdr:rowOff>28575</xdr:rowOff>
    </xdr:from>
    <xdr:to>
      <xdr:col>9</xdr:col>
      <xdr:colOff>212219</xdr:colOff>
      <xdr:row>25</xdr:row>
      <xdr:rowOff>193167</xdr:rowOff>
    </xdr:to>
    <xdr:sp macro="DisplayFlowRegimeMSG" textlink="">
      <xdr:nvSpPr>
        <xdr:cNvPr id="20" name="?_FlowRegime_MSG" descr="Flow Regime">
          <a:extLst>
            <a:ext uri="{FF2B5EF4-FFF2-40B4-BE49-F238E27FC236}">
              <a16:creationId xmlns:a16="http://schemas.microsoft.com/office/drawing/2014/main" id="{4EFC34A6-AD4E-2E88-D04C-052489420955}"/>
            </a:ext>
          </a:extLst>
        </xdr:cNvPr>
        <xdr:cNvSpPr>
          <a:spLocks/>
        </xdr:cNvSpPr>
      </xdr:nvSpPr>
      <xdr:spPr>
        <a:xfrm>
          <a:off x="9557387" y="559879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47627</xdr:colOff>
      <xdr:row>31</xdr:row>
      <xdr:rowOff>28575</xdr:rowOff>
    </xdr:from>
    <xdr:to>
      <xdr:col>9</xdr:col>
      <xdr:colOff>212219</xdr:colOff>
      <xdr:row>31</xdr:row>
      <xdr:rowOff>193167</xdr:rowOff>
    </xdr:to>
    <xdr:sp macro="DisplayMarginMSG" textlink="">
      <xdr:nvSpPr>
        <xdr:cNvPr id="22" name="?_Margin_MSG" descr="Required, Difference and Margin">
          <a:extLst>
            <a:ext uri="{FF2B5EF4-FFF2-40B4-BE49-F238E27FC236}">
              <a16:creationId xmlns:a16="http://schemas.microsoft.com/office/drawing/2014/main" id="{E82559D5-8BBF-34F7-86AD-A2590E7AD73A}"/>
            </a:ext>
          </a:extLst>
        </xdr:cNvPr>
        <xdr:cNvSpPr>
          <a:spLocks/>
        </xdr:cNvSpPr>
      </xdr:nvSpPr>
      <xdr:spPr>
        <a:xfrm>
          <a:off x="9557387" y="701611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TargetVelMSG" textlink="">
      <xdr:nvSpPr>
        <xdr:cNvPr id="49" name="?_TargetVel_MSG" descr="Target Velocity">
          <a:extLst>
            <a:ext uri="{FF2B5EF4-FFF2-40B4-BE49-F238E27FC236}">
              <a16:creationId xmlns:a16="http://schemas.microsoft.com/office/drawing/2014/main" id="{CA662902-FCAB-E1B7-6774-28B6A12894D6}"/>
            </a:ext>
          </a:extLst>
        </xdr:cNvPr>
        <xdr:cNvSpPr/>
      </xdr:nvSpPr>
      <xdr:spPr bwMode="auto">
        <a:xfrm>
          <a:off x="4958080" y="94049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ValveSizeMSG" textlink="">
      <xdr:nvSpPr>
        <xdr:cNvPr id="51" name="?_ValveSize_MSG" descr="Suggested Valve Size &amp; Cv">
          <a:extLst>
            <a:ext uri="{FF2B5EF4-FFF2-40B4-BE49-F238E27FC236}">
              <a16:creationId xmlns:a16="http://schemas.microsoft.com/office/drawing/2014/main" id="{4BC52E09-4C19-78FF-C4D4-17883150F016}"/>
            </a:ext>
          </a:extLst>
        </xdr:cNvPr>
        <xdr:cNvSpPr/>
      </xdr:nvSpPr>
      <xdr:spPr bwMode="auto">
        <a:xfrm>
          <a:off x="4958080" y="97326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ValveTravelMSG" textlink="">
      <xdr:nvSpPr>
        <xdr:cNvPr id="53" name="?_ValveTravel_MSG" descr="Valve Travel %">
          <a:extLst>
            <a:ext uri="{FF2B5EF4-FFF2-40B4-BE49-F238E27FC236}">
              <a16:creationId xmlns:a16="http://schemas.microsoft.com/office/drawing/2014/main" id="{B22DDF2D-FBFE-50A0-4E6E-BB67E1F5FCD5}"/>
            </a:ext>
          </a:extLst>
        </xdr:cNvPr>
        <xdr:cNvSpPr/>
      </xdr:nvSpPr>
      <xdr:spPr bwMode="auto">
        <a:xfrm>
          <a:off x="4958080" y="100603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261938</xdr:colOff>
      <xdr:row>31</xdr:row>
      <xdr:rowOff>35814</xdr:rowOff>
    </xdr:from>
    <xdr:to>
      <xdr:col>5</xdr:col>
      <xdr:colOff>45530</xdr:colOff>
      <xdr:row>31</xdr:row>
      <xdr:rowOff>200406</xdr:rowOff>
    </xdr:to>
    <xdr:sp macro="DisplayClosestCvMSG" textlink="">
      <xdr:nvSpPr>
        <xdr:cNvPr id="55" name="?_ClosestCv_MSG" descr="Help: Closest Cv, Selected and Recommended valve">
          <a:extLst>
            <a:ext uri="{FF2B5EF4-FFF2-40B4-BE49-F238E27FC236}">
              <a16:creationId xmlns:a16="http://schemas.microsoft.com/office/drawing/2014/main" id="{0030496F-9C0C-4AEC-0E13-1FAB2383F1BB}"/>
            </a:ext>
          </a:extLst>
        </xdr:cNvPr>
        <xdr:cNvSpPr>
          <a:spLocks noChangeAspect="1"/>
        </xdr:cNvSpPr>
      </xdr:nvSpPr>
      <xdr:spPr>
        <a:xfrm>
          <a:off x="5108258" y="7023354"/>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9</xdr:col>
      <xdr:colOff>53340</xdr:colOff>
      <xdr:row>36</xdr:row>
      <xdr:rowOff>44704</xdr:rowOff>
    </xdr:from>
    <xdr:to>
      <xdr:col>9</xdr:col>
      <xdr:colOff>217932</xdr:colOff>
      <xdr:row>36</xdr:row>
      <xdr:rowOff>209296</xdr:rowOff>
    </xdr:to>
    <xdr:sp macro="DisplayCapCheckMSG" textlink="">
      <xdr:nvSpPr>
        <xdr:cNvPr id="56" name="?_CapCheck_MSG" descr="Help: capacity check">
          <a:extLst>
            <a:ext uri="{FF2B5EF4-FFF2-40B4-BE49-F238E27FC236}">
              <a16:creationId xmlns:a16="http://schemas.microsoft.com/office/drawing/2014/main" id="{3E8A589D-9A35-C83C-55EE-DD0659764282}"/>
            </a:ext>
          </a:extLst>
        </xdr:cNvPr>
        <xdr:cNvSpPr>
          <a:spLocks/>
        </xdr:cNvSpPr>
      </xdr:nvSpPr>
      <xdr:spPr>
        <a:xfrm>
          <a:off x="9563100" y="749706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editAs="oneCell">
    <xdr:from>
      <xdr:col>9</xdr:col>
      <xdr:colOff>53340</xdr:colOff>
      <xdr:row>32</xdr:row>
      <xdr:rowOff>35814</xdr:rowOff>
    </xdr:from>
    <xdr:to>
      <xdr:col>9</xdr:col>
      <xdr:colOff>217932</xdr:colOff>
      <xdr:row>32</xdr:row>
      <xdr:rowOff>200406</xdr:rowOff>
    </xdr:to>
    <xdr:sp macro="DisplaySelVelNoiseMSG" textlink="">
      <xdr:nvSpPr>
        <xdr:cNvPr id="57" name="?_SelVelNoise_MSG" descr="Help: what an undersized valve's velocity and noise mean">
          <a:extLst>
            <a:ext uri="{FF2B5EF4-FFF2-40B4-BE49-F238E27FC236}">
              <a16:creationId xmlns:a16="http://schemas.microsoft.com/office/drawing/2014/main" id="{37189BED-F7D4-51BF-8143-0A19A1E1006F}"/>
            </a:ext>
          </a:extLst>
        </xdr:cNvPr>
        <xdr:cNvSpPr>
          <a:spLocks/>
        </xdr:cNvSpPr>
      </xdr:nvSpPr>
      <xdr:spPr>
        <a:xfrm>
          <a:off x="9563100" y="72595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23</xdr:row>
      <xdr:rowOff>41275</xdr:rowOff>
    </xdr:from>
    <xdr:to>
      <xdr:col>4</xdr:col>
      <xdr:colOff>387350</xdr:colOff>
      <xdr:row>23</xdr:row>
      <xdr:rowOff>212725</xdr:rowOff>
    </xdr:to>
    <xdr:sp macro="DisplaySplitCheckMSG" textlink="">
      <xdr:nvSpPr>
        <xdr:cNvPr id="3" name="?_SplitCheck_MSG" descr="Help: turndown and 1/3 - 2/3 split valves">
          <a:extLst>
            <a:ext uri="{FF2B5EF4-FFF2-40B4-BE49-F238E27FC236}">
              <a16:creationId xmlns:a16="http://schemas.microsoft.com/office/drawing/2014/main" id="{9F01B393-BE50-48BC-EEB2-D3B600A0C03B}"/>
            </a:ext>
          </a:extLst>
        </xdr:cNvPr>
        <xdr:cNvSpPr/>
      </xdr:nvSpPr>
      <xdr:spPr bwMode="auto">
        <a:xfrm>
          <a:off x="6805930" y="459803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16</xdr:row>
      <xdr:rowOff>0</xdr:rowOff>
    </xdr:from>
    <xdr:to>
      <xdr:col>4</xdr:col>
      <xdr:colOff>387350</xdr:colOff>
      <xdr:row>17</xdr:row>
      <xdr:rowOff>26670</xdr:rowOff>
    </xdr:to>
    <xdr:sp macro="DisplayOversizeMSG" textlink="">
      <xdr:nvSpPr>
        <xdr:cNvPr id="4" name="?_Oversize_MSG" descr="Help: oversizing factor">
          <a:extLst>
            <a:ext uri="{FF2B5EF4-FFF2-40B4-BE49-F238E27FC236}">
              <a16:creationId xmlns:a16="http://schemas.microsoft.com/office/drawing/2014/main" id="{B66449CC-FEF9-1143-76C5-CAAB64A7BFBA}"/>
            </a:ext>
          </a:extLst>
        </xdr:cNvPr>
        <xdr:cNvSpPr/>
      </xdr:nvSpPr>
      <xdr:spPr bwMode="auto">
        <a:xfrm>
          <a:off x="6805930" y="340614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20</xdr:row>
      <xdr:rowOff>0</xdr:rowOff>
    </xdr:from>
    <xdr:to>
      <xdr:col>4</xdr:col>
      <xdr:colOff>387350</xdr:colOff>
      <xdr:row>21</xdr:row>
      <xdr:rowOff>3810</xdr:rowOff>
    </xdr:to>
    <xdr:sp macro="DisplayReqTurndownMSG" textlink="">
      <xdr:nvSpPr>
        <xdr:cNvPr id="5" name="?_ReqTurndown_MSG" descr="Help: required system turndown">
          <a:extLst>
            <a:ext uri="{FF2B5EF4-FFF2-40B4-BE49-F238E27FC236}">
              <a16:creationId xmlns:a16="http://schemas.microsoft.com/office/drawing/2014/main" id="{6F0D38E6-C1DB-2E58-C098-739A53BD517D}"/>
            </a:ext>
          </a:extLst>
        </xdr:cNvPr>
        <xdr:cNvSpPr/>
      </xdr:nvSpPr>
      <xdr:spPr bwMode="auto">
        <a:xfrm>
          <a:off x="6805930" y="405384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21</xdr:row>
      <xdr:rowOff>0</xdr:rowOff>
    </xdr:from>
    <xdr:to>
      <xdr:col>4</xdr:col>
      <xdr:colOff>387350</xdr:colOff>
      <xdr:row>22</xdr:row>
      <xdr:rowOff>3810</xdr:rowOff>
    </xdr:to>
    <xdr:sp macro="DisplayEffRangeMSG" textlink="">
      <xdr:nvSpPr>
        <xdr:cNvPr id="6" name="?_EffRange_MSG" descr="Help: effective rangeability">
          <a:extLst>
            <a:ext uri="{FF2B5EF4-FFF2-40B4-BE49-F238E27FC236}">
              <a16:creationId xmlns:a16="http://schemas.microsoft.com/office/drawing/2014/main" id="{F1FAE1AC-EF04-DC5E-2DAB-66C2ED121C42}"/>
            </a:ext>
          </a:extLst>
        </xdr:cNvPr>
        <xdr:cNvSpPr/>
      </xdr:nvSpPr>
      <xdr:spPr bwMode="auto">
        <a:xfrm>
          <a:off x="6805930" y="422148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26</xdr:col>
      <xdr:colOff>1539240</xdr:colOff>
      <xdr:row>8</xdr:row>
      <xdr:rowOff>20403</xdr:rowOff>
    </xdr:to>
    <xdr:pic macro="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57" t="s">
        <v>487</v>
      </c>
      <c r="B1" s="357" t="s">
        <v>488</v>
      </c>
      <c r="C1" s="357" t="s">
        <v>489</v>
      </c>
      <c r="D1" s="357" t="s">
        <v>490</v>
      </c>
      <c r="E1" s="64"/>
      <c r="F1" s="57" t="s">
        <v>491</v>
      </c>
      <c r="G1" s="57"/>
      <c r="H1" s="57"/>
      <c r="I1" s="57"/>
      <c r="J1" s="57"/>
      <c r="K1" s="57"/>
      <c r="L1" s="57"/>
      <c r="M1" s="91" t="s">
        <v>77</v>
      </c>
      <c r="N1" s="91" t="s">
        <v>78</v>
      </c>
      <c r="O1" s="91" t="s">
        <v>79</v>
      </c>
      <c r="P1" s="91" t="s">
        <v>146</v>
      </c>
      <c r="Q1" s="91" t="s">
        <v>143</v>
      </c>
      <c r="R1" s="91" t="s">
        <v>245</v>
      </c>
      <c r="S1" s="91" t="s">
        <v>244</v>
      </c>
      <c r="T1" s="91" t="s">
        <v>252</v>
      </c>
      <c r="U1" s="91" t="s">
        <v>357</v>
      </c>
    </row>
    <row r="2" spans="1:21" x14ac:dyDescent="0.25">
      <c r="A2" s="358">
        <v>0.5</v>
      </c>
      <c r="B2" s="358">
        <v>0.84</v>
      </c>
      <c r="C2" s="359">
        <v>0.109</v>
      </c>
      <c r="D2" s="358">
        <v>0.14699999999999999</v>
      </c>
      <c r="E2" s="358"/>
      <c r="F2" s="53"/>
      <c r="G2" s="59"/>
      <c r="H2" s="59"/>
      <c r="I2" s="59"/>
      <c r="J2" s="59"/>
      <c r="K2" s="59"/>
      <c r="L2" s="59"/>
      <c r="M2" s="54" t="str">
        <f>Tr("ConfigList|App_Coil","Coil")</f>
        <v>Coil</v>
      </c>
      <c r="N2" s="54" t="str">
        <f>Tr("ConfigList|Ctrl_OnOff","On/Off")</f>
        <v>On/Off</v>
      </c>
      <c r="O2" s="54" t="s">
        <v>76</v>
      </c>
      <c r="P2" s="54" t="s">
        <v>85</v>
      </c>
      <c r="Q2" s="54" t="s">
        <v>240</v>
      </c>
      <c r="R2" s="1" t="str">
        <f>Tr("ConfigList|SteamType_DrySaturated","Dry Saturated")</f>
        <v>Dry Saturated</v>
      </c>
      <c r="S2" s="54" t="s">
        <v>243</v>
      </c>
      <c r="T2" s="54" t="s">
        <v>85</v>
      </c>
      <c r="U2" s="54" t="s">
        <v>87</v>
      </c>
    </row>
    <row r="3" spans="1:21" x14ac:dyDescent="0.25">
      <c r="A3" s="64">
        <v>0.75</v>
      </c>
      <c r="B3" s="358">
        <v>1.05</v>
      </c>
      <c r="C3" s="359">
        <v>0.113</v>
      </c>
      <c r="D3" s="358">
        <v>0.154</v>
      </c>
      <c r="E3" s="64"/>
      <c r="F3" s="58"/>
      <c r="G3" s="57"/>
      <c r="H3" s="57"/>
      <c r="I3" s="57"/>
      <c r="J3" s="57"/>
      <c r="K3" s="57"/>
      <c r="L3" s="57"/>
      <c r="M3" s="54" t="str">
        <f>Tr("ConfigList|App_FinTube","Fin Tube")</f>
        <v>Fin Tube</v>
      </c>
      <c r="N3" s="54" t="str">
        <f>Tr("ConfigList|Ctrl_Modulating","Modulating")</f>
        <v>Modulating</v>
      </c>
      <c r="O3" s="54" t="s">
        <v>75</v>
      </c>
      <c r="P3" s="54" t="s">
        <v>356</v>
      </c>
      <c r="Q3" s="54" t="s">
        <v>237</v>
      </c>
      <c r="R3" s="1" t="str">
        <f>Tr("ConfigList|SteamType_WetSaturated","Wet Saturated")</f>
        <v>Wet Saturated</v>
      </c>
      <c r="S3" s="54" t="s">
        <v>237</v>
      </c>
      <c r="T3" s="54" t="s">
        <v>356</v>
      </c>
      <c r="U3" s="54" t="s">
        <v>284</v>
      </c>
    </row>
    <row r="4" spans="1:21" x14ac:dyDescent="0.25">
      <c r="A4" s="64">
        <v>1</v>
      </c>
      <c r="B4" s="64">
        <v>1.3149999999999999</v>
      </c>
      <c r="C4" s="360">
        <v>0.13300000000000001</v>
      </c>
      <c r="D4" s="64">
        <v>0.17899999999999999</v>
      </c>
      <c r="E4" s="64"/>
      <c r="F4" s="92"/>
      <c r="G4" s="57"/>
      <c r="H4" s="57"/>
      <c r="I4" s="57"/>
      <c r="J4" s="57"/>
      <c r="K4" s="57"/>
      <c r="L4" s="57"/>
      <c r="M4" s="54" t="str">
        <f>Tr("ConfigList|App_HeatExchanger","Heat Exchanger")</f>
        <v>Heat Exchanger</v>
      </c>
      <c r="O4" s="54" t="s">
        <v>18</v>
      </c>
      <c r="Q4" s="54" t="s">
        <v>99</v>
      </c>
      <c r="R4" s="1" t="str">
        <f>Tr("ConfigList|SteamType_Superheated","Superheated")</f>
        <v>Superheated</v>
      </c>
    </row>
    <row r="5" spans="1:21" x14ac:dyDescent="0.25">
      <c r="A5" s="64">
        <v>1.25</v>
      </c>
      <c r="B5" s="361">
        <v>1.66</v>
      </c>
      <c r="C5" s="360">
        <v>0.14000000000000001</v>
      </c>
      <c r="D5" s="64">
        <v>0.191</v>
      </c>
      <c r="E5" s="64"/>
      <c r="F5" s="57"/>
      <c r="G5" s="57"/>
      <c r="H5" s="57"/>
      <c r="I5" s="57"/>
      <c r="J5" s="57"/>
      <c r="K5" s="57"/>
      <c r="L5" s="57"/>
      <c r="M5" s="54" t="str">
        <f>Tr("ConfigList|App_Radiator","Radiator")</f>
        <v>Radiator</v>
      </c>
      <c r="O5" s="54" t="s">
        <v>20</v>
      </c>
      <c r="Q5" s="54" t="s">
        <v>236</v>
      </c>
    </row>
    <row r="6" spans="1:21" x14ac:dyDescent="0.25">
      <c r="A6" s="64">
        <v>1.5</v>
      </c>
      <c r="B6" s="362">
        <v>1.9</v>
      </c>
      <c r="C6" s="363">
        <v>0.14499999999999999</v>
      </c>
      <c r="D6" s="64">
        <v>0.2</v>
      </c>
      <c r="E6" s="64"/>
      <c r="F6" s="57"/>
      <c r="G6" s="57"/>
      <c r="H6" s="57"/>
      <c r="I6" s="57"/>
      <c r="J6" s="57"/>
      <c r="K6" s="57"/>
      <c r="L6" s="57"/>
      <c r="O6" s="54" t="s">
        <v>355</v>
      </c>
      <c r="Q6" s="54" t="s">
        <v>234</v>
      </c>
    </row>
    <row r="7" spans="1:21" x14ac:dyDescent="0.25">
      <c r="A7" s="64">
        <v>2</v>
      </c>
      <c r="B7" s="364">
        <v>2.375</v>
      </c>
      <c r="C7" s="363">
        <v>0.154</v>
      </c>
      <c r="D7" s="64">
        <v>0.218</v>
      </c>
      <c r="E7" s="64"/>
      <c r="F7" s="58"/>
      <c r="G7" s="57"/>
      <c r="H7" s="57"/>
      <c r="I7" s="57"/>
      <c r="J7" s="57"/>
      <c r="K7" s="57"/>
      <c r="L7" s="57"/>
      <c r="Q7" s="54" t="s">
        <v>235</v>
      </c>
    </row>
    <row r="8" spans="1:21" x14ac:dyDescent="0.25">
      <c r="A8" s="64">
        <v>2.5</v>
      </c>
      <c r="B8" s="365">
        <v>2.875</v>
      </c>
      <c r="C8" s="360">
        <v>0.20300000000000001</v>
      </c>
      <c r="D8" s="64">
        <v>0.27600000000000002</v>
      </c>
      <c r="E8" s="64"/>
      <c r="F8" s="58"/>
      <c r="G8" s="57"/>
      <c r="H8" s="57"/>
      <c r="I8" s="57"/>
      <c r="J8" s="57"/>
      <c r="K8" s="57"/>
      <c r="L8" s="57"/>
    </row>
    <row r="9" spans="1:21" x14ac:dyDescent="0.25">
      <c r="A9" s="64">
        <v>3</v>
      </c>
      <c r="B9" s="64">
        <v>3.5</v>
      </c>
      <c r="C9" s="360">
        <v>0.216</v>
      </c>
      <c r="D9" s="64">
        <v>0.3</v>
      </c>
      <c r="E9" s="64"/>
      <c r="F9" s="58"/>
      <c r="G9" s="57"/>
      <c r="H9" s="57"/>
      <c r="I9" s="57"/>
      <c r="J9" s="57"/>
      <c r="K9" s="57"/>
      <c r="L9" s="57"/>
    </row>
    <row r="10" spans="1:21" x14ac:dyDescent="0.25">
      <c r="A10" s="64">
        <v>4</v>
      </c>
      <c r="B10" s="362">
        <v>4.5</v>
      </c>
      <c r="C10" s="363">
        <v>0.23699999999999999</v>
      </c>
      <c r="D10" s="64">
        <v>0.33700000000000002</v>
      </c>
      <c r="E10" s="64"/>
      <c r="F10" s="58"/>
      <c r="G10" s="57"/>
      <c r="H10" s="57"/>
      <c r="I10" s="57"/>
      <c r="J10" s="57"/>
      <c r="K10" s="57"/>
      <c r="L10" s="57"/>
    </row>
    <row r="11" spans="1:21" x14ac:dyDescent="0.25">
      <c r="A11" s="64">
        <v>5</v>
      </c>
      <c r="B11" s="364">
        <v>5.5629999999999997</v>
      </c>
      <c r="C11" s="363">
        <v>0.25800000000000001</v>
      </c>
      <c r="D11" s="64">
        <v>0.375</v>
      </c>
      <c r="E11" s="64"/>
      <c r="F11" s="58"/>
      <c r="G11" s="57"/>
      <c r="H11" s="57"/>
      <c r="I11" s="57"/>
      <c r="J11" s="57"/>
      <c r="K11" s="57"/>
      <c r="L11" s="57"/>
    </row>
    <row r="12" spans="1:21" x14ac:dyDescent="0.25">
      <c r="A12" s="64">
        <v>6</v>
      </c>
      <c r="B12" s="365">
        <v>6.625</v>
      </c>
      <c r="C12" s="360">
        <v>0.28000000000000003</v>
      </c>
      <c r="D12" s="64">
        <v>0.432</v>
      </c>
      <c r="E12" s="64"/>
      <c r="F12" s="57"/>
      <c r="G12" s="57"/>
      <c r="H12" s="57"/>
      <c r="I12" s="57"/>
      <c r="J12" s="57"/>
      <c r="K12" s="57"/>
      <c r="L12" s="57"/>
    </row>
    <row r="13" spans="1:21" x14ac:dyDescent="0.25">
      <c r="A13" s="64">
        <v>8</v>
      </c>
      <c r="B13" s="365">
        <v>8.625</v>
      </c>
      <c r="C13" s="360">
        <v>0.32200000000000001</v>
      </c>
      <c r="D13" s="64">
        <v>0.5</v>
      </c>
      <c r="E13" s="64"/>
      <c r="F13" s="57"/>
      <c r="G13" s="57"/>
      <c r="H13" s="57"/>
      <c r="I13" s="57"/>
      <c r="J13" s="57"/>
      <c r="K13" s="57"/>
      <c r="L13" s="57"/>
    </row>
    <row r="14" spans="1:21" x14ac:dyDescent="0.25">
      <c r="A14" s="64">
        <v>10</v>
      </c>
      <c r="B14" s="129">
        <v>10.75</v>
      </c>
      <c r="C14" s="360">
        <v>0.36499999999999999</v>
      </c>
      <c r="D14" s="64">
        <v>0.59399999999999997</v>
      </c>
      <c r="E14" s="64"/>
      <c r="F14" s="94"/>
      <c r="H14" s="57"/>
      <c r="I14" s="57"/>
      <c r="J14" s="57"/>
      <c r="K14" s="57"/>
      <c r="L14" s="57"/>
    </row>
    <row r="15" spans="1:21" x14ac:dyDescent="0.25">
      <c r="A15" s="64">
        <v>12</v>
      </c>
      <c r="B15" s="365">
        <v>12.75</v>
      </c>
      <c r="C15" s="360">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56" t="s">
        <v>492</v>
      </c>
      <c r="B18" s="60"/>
      <c r="C18" s="55"/>
      <c r="D18" s="57"/>
      <c r="E18" s="57"/>
      <c r="F18" s="57"/>
      <c r="H18" s="57"/>
      <c r="I18" s="57"/>
      <c r="K18" s="57"/>
      <c r="L18" s="57"/>
    </row>
    <row r="19" spans="1:12" x14ac:dyDescent="0.25">
      <c r="A19" s="1" t="s">
        <v>493</v>
      </c>
      <c r="B19" s="60">
        <v>0.9</v>
      </c>
      <c r="C19" s="55" t="s">
        <v>494</v>
      </c>
      <c r="D19" s="57"/>
      <c r="E19" s="57"/>
      <c r="F19" s="57"/>
      <c r="H19" s="95"/>
      <c r="K19" s="57"/>
      <c r="L19" s="57"/>
    </row>
    <row r="20" spans="1:12" x14ac:dyDescent="0.25">
      <c r="A20" s="1" t="s">
        <v>495</v>
      </c>
      <c r="B20" s="63">
        <v>0.46</v>
      </c>
      <c r="C20" s="55" t="s">
        <v>496</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56" t="s">
        <v>508</v>
      </c>
      <c r="B22" s="57"/>
      <c r="C22" s="55"/>
      <c r="D22" s="57"/>
      <c r="E22" s="57"/>
      <c r="F22" s="57"/>
      <c r="G22" s="57"/>
      <c r="H22" s="57"/>
      <c r="I22" s="57"/>
      <c r="J22" s="57"/>
      <c r="K22" s="57"/>
      <c r="L22" s="57"/>
    </row>
    <row r="23" spans="1:12" x14ac:dyDescent="0.25">
      <c r="A23" s="1" t="s">
        <v>509</v>
      </c>
      <c r="B23" s="57" t="s">
        <v>510</v>
      </c>
      <c r="C23" s="55" t="s">
        <v>511</v>
      </c>
      <c r="D23" s="57"/>
      <c r="E23" s="57"/>
      <c r="F23" s="57"/>
      <c r="G23" s="57"/>
      <c r="H23" s="57"/>
      <c r="I23" s="57"/>
      <c r="J23" s="57"/>
      <c r="K23" s="57"/>
      <c r="L23" s="57"/>
    </row>
    <row r="24" spans="1:12" x14ac:dyDescent="0.25">
      <c r="A24" s="1" t="s">
        <v>512</v>
      </c>
      <c r="B24" s="93">
        <v>50</v>
      </c>
      <c r="C24" s="55" t="s">
        <v>513</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A26" s="356" t="s">
        <v>530</v>
      </c>
      <c r="B26" s="58"/>
      <c r="C26" s="55"/>
      <c r="D26" s="57"/>
      <c r="E26" s="57"/>
      <c r="F26" s="57"/>
      <c r="G26" s="57"/>
      <c r="H26" s="57"/>
      <c r="I26" s="57"/>
      <c r="J26" s="57"/>
      <c r="K26" s="57"/>
      <c r="L26" s="57"/>
    </row>
    <row r="27" spans="1:12" x14ac:dyDescent="0.25">
      <c r="A27" s="54" t="s">
        <v>531</v>
      </c>
      <c r="B27" s="60"/>
      <c r="C27" s="55"/>
      <c r="D27" s="57"/>
      <c r="E27" s="57"/>
      <c r="F27" s="57"/>
      <c r="G27" s="57"/>
      <c r="H27" s="57"/>
      <c r="I27" s="57"/>
      <c r="J27" s="57"/>
      <c r="K27" s="57"/>
      <c r="L27" s="57"/>
    </row>
    <row r="28" spans="1:12" ht="45" customHeight="1" x14ac:dyDescent="0.25">
      <c r="A28" s="1" t="s">
        <v>1684</v>
      </c>
      <c r="B28" s="57"/>
      <c r="C28" s="410"/>
      <c r="D28" s="410"/>
      <c r="E28" s="410"/>
      <c r="F28" s="410"/>
      <c r="G28" s="57"/>
      <c r="H28" s="57"/>
      <c r="I28" s="57"/>
      <c r="J28" s="57"/>
      <c r="K28" s="57"/>
      <c r="L28" s="57"/>
    </row>
    <row r="29" spans="1:12" x14ac:dyDescent="0.25">
      <c r="A29" s="356" t="s">
        <v>757</v>
      </c>
      <c r="B29" s="58"/>
      <c r="C29" s="55"/>
      <c r="D29" s="57"/>
      <c r="E29" s="57"/>
      <c r="F29" s="57"/>
      <c r="G29" s="57"/>
      <c r="H29" s="57"/>
      <c r="I29" s="57"/>
      <c r="J29" s="57"/>
      <c r="K29" s="57"/>
      <c r="L29" s="57"/>
    </row>
    <row r="30" spans="1:12" x14ac:dyDescent="0.25">
      <c r="A30" s="54" t="s">
        <v>758</v>
      </c>
      <c r="B30" s="57" t="s">
        <v>983</v>
      </c>
      <c r="C30" s="55"/>
      <c r="D30" s="57"/>
      <c r="E30" s="57"/>
      <c r="F30" s="57"/>
      <c r="G30" s="57"/>
      <c r="H30" s="57"/>
      <c r="I30" s="57"/>
      <c r="J30" s="57"/>
      <c r="K30" s="57"/>
      <c r="L30" s="57"/>
    </row>
    <row r="31" spans="1:12" x14ac:dyDescent="0.25">
      <c r="A31" s="54" t="s">
        <v>759</v>
      </c>
      <c r="B31" s="96" t="s">
        <v>983</v>
      </c>
      <c r="C31" s="55"/>
      <c r="D31" s="57"/>
      <c r="E31" s="57"/>
      <c r="F31" s="57"/>
      <c r="G31" s="57"/>
      <c r="H31" s="57"/>
      <c r="I31" s="57"/>
      <c r="J31" s="57"/>
      <c r="K31" s="57"/>
      <c r="L31" s="57"/>
    </row>
    <row r="32" spans="1:12" x14ac:dyDescent="0.25">
      <c r="A32" s="54" t="s">
        <v>760</v>
      </c>
      <c r="B32" s="57" t="b">
        <v>0</v>
      </c>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mergeCells count="1">
    <mergeCell ref="C28:F28"/>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1" r:id="rId3" name="PublishVersionButton">
              <controlPr defaultSize="0" print="0" autoFill="0" autoPict="0" macro="PublishVersionToGitHub">
                <anchor moveWithCells="1" sizeWithCells="1">
                  <from>
                    <xdr:col>0</xdr:col>
                    <xdr:colOff>0</xdr:colOff>
                    <xdr:row>28</xdr:row>
                    <xdr:rowOff>0</xdr:rowOff>
                  </from>
                  <to>
                    <xdr:col>0</xdr:col>
                    <xdr:colOff>2026920</xdr:colOff>
                    <xdr:row>29</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70"/>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275" customWidth="1"/>
    <col min="2" max="2" width="28" style="275" customWidth="1"/>
    <col min="3" max="3" width="15.21875" style="275" customWidth="1"/>
    <col min="4" max="4" width="22.77734375" style="275" customWidth="1"/>
    <col min="5" max="5" width="5.6640625" style="275" customWidth="1"/>
    <col min="6" max="6" width="5.33203125" style="275" customWidth="1"/>
    <col min="7" max="7" width="31.5546875" style="273" customWidth="1"/>
    <col min="8" max="8" width="14.109375" style="275" customWidth="1"/>
    <col min="9" max="9" width="11.33203125" style="275" customWidth="1"/>
    <col min="10" max="10" width="31.21875" style="275" customWidth="1"/>
    <col min="11" max="11" width="9.109375" style="275"/>
    <col min="12" max="12" width="18.6640625" style="275" customWidth="1"/>
    <col min="13" max="13" width="6.44140625" style="275" customWidth="1"/>
    <col min="14" max="14" width="26.5546875" style="276" customWidth="1"/>
    <col min="15" max="15" width="13.6640625" style="275" customWidth="1"/>
    <col min="16" max="16" width="25" style="275" customWidth="1"/>
    <col min="17" max="16384" width="9.109375" style="275"/>
  </cols>
  <sheetData>
    <row r="1" spans="1:26" ht="37.799999999999997" customHeight="1" x14ac:dyDescent="0.25">
      <c r="A1" s="274"/>
      <c r="Z1" s="275">
        <v>1</v>
      </c>
    </row>
    <row r="2" spans="1:26" ht="41.25" customHeight="1" x14ac:dyDescent="0.25">
      <c r="E2" s="264" t="str">
        <f>Tr("LBL_BELIMO_STEAM_VALVE_SIZING_TOOL","Belimo Steam Valve Sizing Tool")</f>
        <v>Belimo Steam Valve Sizing Tool</v>
      </c>
    </row>
    <row r="3" spans="1:26" x14ac:dyDescent="0.25">
      <c r="B3" s="400"/>
      <c r="C3" s="400"/>
      <c r="D3" s="400"/>
      <c r="H3" s="400"/>
      <c r="I3" s="400"/>
      <c r="J3" s="400"/>
      <c r="K3" s="400"/>
      <c r="L3" s="265"/>
      <c r="M3" s="265"/>
      <c r="N3" s="265"/>
    </row>
    <row r="4" spans="1:26" ht="21" x14ac:dyDescent="0.4">
      <c r="B4" s="263" t="str">
        <f>Tr("HDR_APPLICATION_DATA","A P P L I C A T I O N   D A T A")</f>
        <v>A P P L I C A T I O N   D A T A</v>
      </c>
      <c r="C4" s="277"/>
      <c r="D4" s="277"/>
    </row>
    <row r="5" spans="1:26" ht="6" customHeight="1" x14ac:dyDescent="0.25">
      <c r="D5" s="265"/>
      <c r="G5" s="278"/>
      <c r="H5" s="278"/>
      <c r="I5" s="278"/>
      <c r="J5" s="278"/>
      <c r="K5" s="278"/>
      <c r="L5" s="278"/>
      <c r="M5" s="278"/>
      <c r="N5" s="278"/>
      <c r="O5" s="272"/>
    </row>
    <row r="6" spans="1:26" ht="18.75" customHeight="1" x14ac:dyDescent="0.25">
      <c r="B6" s="515" t="str">
        <f>Tr("LBL_APPLICATION_APP","Application  [APP]")</f>
        <v>Application  [APP]</v>
      </c>
      <c r="C6" s="516"/>
      <c r="D6" s="300" t="s">
        <v>497</v>
      </c>
      <c r="O6" s="272"/>
    </row>
    <row r="7" spans="1:26" ht="3" hidden="1" customHeight="1" x14ac:dyDescent="0.25">
      <c r="B7" s="517"/>
      <c r="C7" s="297"/>
      <c r="D7" s="301"/>
      <c r="O7" s="272"/>
    </row>
    <row r="8" spans="1:26" ht="18.75" customHeight="1" x14ac:dyDescent="0.25">
      <c r="B8" s="515" t="str">
        <f>Tr("LBL_ON_OFF_OR_MODULATING_CONTROL_CTRL","On/Off or Modulating Control? [Ctrl]")</f>
        <v>On/Off or Modulating Control? [Ctrl]</v>
      </c>
      <c r="C8" s="518"/>
      <c r="D8" s="300" t="s">
        <v>497</v>
      </c>
      <c r="O8" s="272"/>
    </row>
    <row r="9" spans="1:26" x14ac:dyDescent="0.25">
      <c r="B9" s="519"/>
      <c r="C9" s="265"/>
      <c r="D9" s="265"/>
      <c r="H9" s="279"/>
      <c r="O9" s="272"/>
    </row>
    <row r="10" spans="1:26" ht="21" x14ac:dyDescent="0.4">
      <c r="B10" s="520" t="str">
        <f>Tr("HDR_STEAM_DATA","S T E A M   D A T A")</f>
        <v>S T E A M   D A T A</v>
      </c>
      <c r="C10" s="277"/>
      <c r="D10" s="277"/>
      <c r="K10" s="279"/>
      <c r="O10" s="272"/>
    </row>
    <row r="11" spans="1:26" ht="6" customHeight="1" x14ac:dyDescent="0.25">
      <c r="B11" s="521"/>
      <c r="C11" s="272"/>
      <c r="D11" s="272"/>
      <c r="O11" s="272"/>
    </row>
    <row r="12" spans="1:26" ht="18.75" customHeight="1" x14ac:dyDescent="0.25">
      <c r="B12" s="522" t="str">
        <f>Tr("LBL_FLOWRATE_Q","FLOWRATE  [Q]")</f>
        <v>FLOWRATE  [Q]</v>
      </c>
      <c r="C12" s="299">
        <v>0</v>
      </c>
      <c r="D12" s="300" t="s">
        <v>18</v>
      </c>
      <c r="I12" s="266"/>
      <c r="O12" s="272"/>
    </row>
    <row r="13" spans="1:26" ht="18.75" customHeight="1" x14ac:dyDescent="0.25">
      <c r="B13" s="522" t="str">
        <f>Tr("LBL_SUPPLY_INLET_PRESSURE_PI","Supply INLET Pressure [PI]")</f>
        <v>Supply INLET Pressure [PI]</v>
      </c>
      <c r="C13" s="298">
        <v>0</v>
      </c>
      <c r="D13" s="300" t="s">
        <v>85</v>
      </c>
      <c r="O13" s="272"/>
    </row>
    <row r="14" spans="1:26" ht="19.5" customHeight="1" x14ac:dyDescent="0.25">
      <c r="B14" s="522" t="str">
        <f>Tr("LBL_OUTLET_PRESSURE_PO","OUTLET Pressure  [PO]")</f>
        <v>OUTLET Pressure  [PO]</v>
      </c>
      <c r="C14" s="298">
        <v>0</v>
      </c>
      <c r="D14" s="300" t="s">
        <v>85</v>
      </c>
    </row>
    <row r="15" spans="1:26" ht="18.75" customHeight="1" x14ac:dyDescent="0.25">
      <c r="B15" s="522" t="str">
        <f>Tr("LBL_ATMOSPHERIC_PRESSURE_AP","Atmospheric Pressure  [AP]")</f>
        <v>Atmospheric Pressure  [AP]</v>
      </c>
      <c r="C15" s="298">
        <v>14.7</v>
      </c>
      <c r="D15" s="300" t="s">
        <v>73</v>
      </c>
    </row>
    <row r="16" spans="1:26" x14ac:dyDescent="0.25">
      <c r="B16" s="269"/>
      <c r="C16" s="280"/>
      <c r="D16" s="280"/>
    </row>
    <row r="17" spans="2:82" x14ac:dyDescent="0.25">
      <c r="B17" s="401"/>
      <c r="C17" s="401"/>
      <c r="D17" s="401"/>
    </row>
    <row r="18" spans="2:82" x14ac:dyDescent="0.25">
      <c r="B18" s="281"/>
      <c r="C18" s="281"/>
      <c r="D18" s="281"/>
    </row>
    <row r="19" spans="2:82" x14ac:dyDescent="0.25">
      <c r="B19" s="281"/>
      <c r="C19" s="281"/>
      <c r="D19" s="267">
        <v>16.7</v>
      </c>
      <c r="K19" s="282" t="s">
        <v>84</v>
      </c>
      <c r="L19" s="282"/>
      <c r="M19" s="282"/>
      <c r="N19" s="283"/>
      <c r="S19" s="82"/>
    </row>
    <row r="20" spans="2:82" ht="21.75" customHeight="1" x14ac:dyDescent="0.25">
      <c r="B20" s="281"/>
      <c r="C20" s="281"/>
      <c r="D20" s="267">
        <v>25.954820257724354</v>
      </c>
      <c r="G20" s="379" t="str">
        <f>Tr("HDR_CORRECTED_PRESSURE_DROP","CORRECTED PRESSURE DROP [H] &amp; [Q] BASED ON VALVE")&amp;" "&amp;CoeffType</f>
        <v>C O R R E C T E D   P R E S S U R E   D R O P   
[H] &amp; [Q]   B A S E D   O N   V A L V E Cv</v>
      </c>
      <c r="H20" s="379"/>
      <c r="I20" s="379"/>
      <c r="K20" s="282"/>
      <c r="L20" s="282"/>
      <c r="M20" s="282"/>
      <c r="N20" s="283" t="s">
        <v>256</v>
      </c>
      <c r="S20" s="82"/>
    </row>
    <row r="21" spans="2:82" ht="21" customHeight="1" x14ac:dyDescent="0.4">
      <c r="B21" s="263" t="str">
        <f>Tr("HDR_CV_CALCULATOR_RESULTS","C v   C A L C U L A T O R   R E S U L T S")</f>
        <v>C v   C A L C U L A T O R   R E S U L T S</v>
      </c>
      <c r="C21" s="277"/>
      <c r="D21" s="277"/>
      <c r="G21" s="380"/>
      <c r="H21" s="380"/>
      <c r="I21" s="380"/>
      <c r="J21" s="351"/>
      <c r="K21" s="282"/>
      <c r="L21" s="282"/>
      <c r="M21" s="282" t="s">
        <v>146</v>
      </c>
      <c r="N21" s="284">
        <v>0</v>
      </c>
      <c r="S21" s="82"/>
    </row>
    <row r="22" spans="2:82" ht="16.2" customHeight="1" x14ac:dyDescent="0.25">
      <c r="G22" s="393"/>
      <c r="H22" s="393"/>
      <c r="I22" s="393"/>
      <c r="J22" s="300" t="str">
        <f>Tr("LBL_VALVE_SELECTION","Valve Selection")</f>
        <v>Valve Selection</v>
      </c>
      <c r="K22" s="282"/>
      <c r="L22" s="282"/>
      <c r="M22" s="282" t="s">
        <v>252</v>
      </c>
      <c r="N22" s="284">
        <v>0</v>
      </c>
      <c r="S22" s="82"/>
    </row>
    <row r="23" spans="2:82" ht="18.75" customHeight="1" x14ac:dyDescent="0.25">
      <c r="B23" s="523" t="str">
        <f>Tr("LBL_CONVERTED_FLOWRATE_Q","Converted Flowrate [Q]")</f>
        <v>Converted Flowrate [Q]</v>
      </c>
      <c r="C23" s="271">
        <f>Q</f>
        <v>0</v>
      </c>
      <c r="D23" s="285" t="str">
        <f>FlowRate</f>
        <v>LB/HR</v>
      </c>
      <c r="E23" s="289"/>
      <c r="F23" s="289"/>
      <c r="G23" s="522" t="s">
        <v>383</v>
      </c>
      <c r="H23" s="293">
        <v>0</v>
      </c>
      <c r="I23" s="285" t="s">
        <v>87</v>
      </c>
      <c r="J23" s="300" t="s">
        <v>497</v>
      </c>
      <c r="K23" s="372"/>
      <c r="L23" s="282"/>
      <c r="M23" s="282" t="s">
        <v>253</v>
      </c>
      <c r="N23" s="284">
        <v>0</v>
      </c>
      <c r="S23" s="55"/>
    </row>
    <row r="24" spans="2:82" ht="18.75" customHeight="1" x14ac:dyDescent="0.25">
      <c r="B24" s="523" t="s">
        <v>833</v>
      </c>
      <c r="C24" s="291">
        <v>0</v>
      </c>
      <c r="D24" s="285" t="str">
        <f>IF(PSI="PSIG",Tr("UNIT_PSIG_GAUGE","psig (gauge)"),Tr("UNIT_BARG_GAUGE","barg (gauge)"))</f>
        <v>psig (gauge)</v>
      </c>
      <c r="E24" s="289"/>
      <c r="F24" s="289"/>
      <c r="G24" s="528" t="str">
        <f>Tr("LBL_CORRECTED_PRESSURE_DROP","Corrected Pressure Drop")</f>
        <v>Corrected Pressure Drop</v>
      </c>
      <c r="H24" s="271">
        <v>0</v>
      </c>
      <c r="I24" s="285" t="s">
        <v>360</v>
      </c>
      <c r="J24" s="350"/>
      <c r="K24" s="282"/>
      <c r="L24" s="282"/>
      <c r="M24" s="282" t="s">
        <v>255</v>
      </c>
      <c r="N24" s="286">
        <v>0</v>
      </c>
      <c r="S24" s="90"/>
    </row>
    <row r="25" spans="2:82" ht="18.75" customHeight="1" x14ac:dyDescent="0.25">
      <c r="B25" s="523" t="s">
        <v>843</v>
      </c>
      <c r="C25" s="291">
        <v>0</v>
      </c>
      <c r="D25" s="285" t="str">
        <f>IF(PSI="PSIG",Tr("UNIT_PSIG_GAUGE","psig (gauge)"),Tr("UNIT_BARG_GAUGE","barg (gauge)"))</f>
        <v>psig (gauge)</v>
      </c>
      <c r="E25" s="289"/>
      <c r="F25" s="289"/>
      <c r="G25" s="523" t="str">
        <f>Tr("LBL_CORRECTED_DROP_RATIO_P_CORR_P1","Corrected Drop Ratio (ΔP_corr/P1)")</f>
        <v>Corrected Drop Ratio (ΔP_corr/P1)</v>
      </c>
      <c r="H25" s="295">
        <v>0</v>
      </c>
      <c r="I25" s="294" t="str">
        <f>Tr("UNIT_PERCENT","%")</f>
        <v>%</v>
      </c>
      <c r="J25" s="82"/>
      <c r="K25" s="282"/>
      <c r="L25" s="282"/>
      <c r="M25" s="282" t="s">
        <v>254</v>
      </c>
      <c r="N25" s="334">
        <v>0</v>
      </c>
      <c r="S25" s="55"/>
    </row>
    <row r="26" spans="2:82" ht="18.75" customHeight="1" x14ac:dyDescent="0.25">
      <c r="B26" s="523" t="str">
        <f>Tr("LBL_INLET_PRESSURE_PI","Inlet Pressure [Pi]")</f>
        <v>Inlet Pressure [Pi]</v>
      </c>
      <c r="C26" s="291">
        <v>0</v>
      </c>
      <c r="D26" s="285" t="str">
        <f>IF(PSI="PSIG",Tr("UNIT_PSIG_GAUGE","psig (gauge)"),Tr("UNIT_BARG_GAUGE","barg (gauge)"))</f>
        <v>psig (gauge)</v>
      </c>
      <c r="E26" s="289"/>
      <c r="F26" s="289"/>
      <c r="G26" s="523" t="str">
        <f>Tr("LBL_FLOW_REGIME","Flow Regime")</f>
        <v>Flow Regime</v>
      </c>
      <c r="H26" s="377">
        <v>0</v>
      </c>
      <c r="I26" s="285"/>
      <c r="K26" s="282"/>
      <c r="L26" s="282"/>
      <c r="M26" s="282"/>
      <c r="N26" s="287" t="s">
        <v>86</v>
      </c>
      <c r="S26" s="55"/>
    </row>
    <row r="27" spans="2:82" ht="18.75" customHeight="1" x14ac:dyDescent="0.25">
      <c r="B27" s="523" t="str">
        <f>Tr("LBL_OUTLET_PRESSURE_AP_POA","Outlet Pressure + AP [Poa]")</f>
        <v>Outlet Pressure + AP [Poa]</v>
      </c>
      <c r="C27" s="291">
        <v>0</v>
      </c>
      <c r="D27" s="285" t="str">
        <f>IF(PSI="PSIG",Tr("UNIT_PSIA_ABS","psia (absolute)"),Tr("UNIT_BARA_ABS","bara (absolute)"))</f>
        <v>psia (absolute)</v>
      </c>
      <c r="E27" s="289"/>
      <c r="F27" s="289"/>
      <c r="G27" s="523" t="str">
        <f>Tr("LBL_INLET_ABSOLUTE_PRESSURE_P1_ABS","Inlet Absolute Pressure (P1_abs)")</f>
        <v>Inlet Absolute Pressure (P1_abs)</v>
      </c>
      <c r="H27" s="270">
        <v>0</v>
      </c>
      <c r="I27" s="285" t="s">
        <v>361</v>
      </c>
      <c r="K27" s="282"/>
      <c r="L27" s="282"/>
      <c r="M27" s="282"/>
      <c r="N27" s="268" t="s">
        <v>86</v>
      </c>
      <c r="S27" s="55"/>
    </row>
    <row r="28" spans="2:82" ht="18.75" customHeight="1" x14ac:dyDescent="0.25">
      <c r="B28" s="523" t="s">
        <v>367</v>
      </c>
      <c r="C28" s="291">
        <v>0</v>
      </c>
      <c r="D28" s="300" t="s">
        <v>87</v>
      </c>
      <c r="E28" s="289"/>
      <c r="F28" s="289"/>
      <c r="G28" s="523" t="str">
        <f>Tr("LBL_CORRECTED_OUTLET_ABS_PRESSURE_P2","Corrected Outlet Abs Pressure (P2_corr_abs)")</f>
        <v>Corrected Outlet Abs Pressure (P2_corr_abs)</v>
      </c>
      <c r="H28" s="270">
        <v>0</v>
      </c>
      <c r="I28" s="285" t="s">
        <v>361</v>
      </c>
      <c r="K28" s="282"/>
      <c r="L28" s="282"/>
      <c r="M28" s="282"/>
      <c r="N28" s="288" t="s">
        <v>860</v>
      </c>
      <c r="S28" s="55"/>
      <c r="CD28" s="275">
        <v>110.84060954183826</v>
      </c>
    </row>
    <row r="29" spans="2:82" ht="18.75" customHeight="1" x14ac:dyDescent="0.25">
      <c r="B29" s="524"/>
      <c r="C29" s="290" t="s">
        <v>86</v>
      </c>
      <c r="D29" s="289"/>
      <c r="E29" s="289"/>
      <c r="F29" s="289"/>
      <c r="G29" s="523" t="str">
        <f>Tr("LBL_CORRECTED_FLOW_OUTPUT","Corrected Flow Output")</f>
        <v>Corrected Flow Output</v>
      </c>
      <c r="H29" s="292">
        <v>0</v>
      </c>
      <c r="I29" s="285" t="s">
        <v>369</v>
      </c>
      <c r="K29" s="282"/>
      <c r="L29" s="282"/>
      <c r="M29" s="282"/>
      <c r="N29" s="283"/>
      <c r="S29" s="90"/>
    </row>
    <row r="30" spans="2:82" ht="18.75" customHeight="1" x14ac:dyDescent="0.25">
      <c r="B30" s="381" t="s">
        <v>86</v>
      </c>
      <c r="C30" s="382"/>
      <c r="D30" s="383"/>
      <c r="E30" s="289"/>
      <c r="F30" s="289"/>
      <c r="G30" s="528" t="s">
        <v>380</v>
      </c>
      <c r="H30" s="271">
        <v>0</v>
      </c>
      <c r="I30" s="285" t="s">
        <v>87</v>
      </c>
      <c r="K30" s="282"/>
      <c r="L30" s="282"/>
      <c r="M30" s="282"/>
      <c r="N30" s="283"/>
      <c r="S30" s="55"/>
    </row>
    <row r="31" spans="2:82" ht="18.75" customHeight="1" x14ac:dyDescent="0.25">
      <c r="B31" s="387" t="s">
        <v>86</v>
      </c>
      <c r="C31" s="385"/>
      <c r="D31" s="386"/>
      <c r="E31" s="289"/>
      <c r="F31" s="289"/>
      <c r="G31" s="523" t="s">
        <v>384</v>
      </c>
      <c r="H31" s="335">
        <v>0</v>
      </c>
      <c r="I31" s="294" t="s">
        <v>87</v>
      </c>
      <c r="K31" s="282"/>
      <c r="L31" s="282"/>
      <c r="M31" s="282"/>
      <c r="N31" s="283"/>
      <c r="S31" s="55"/>
    </row>
    <row r="32" spans="2:82" ht="18.75" customHeight="1" x14ac:dyDescent="0.25">
      <c r="B32" s="384" t="s">
        <v>86</v>
      </c>
      <c r="C32" s="385"/>
      <c r="D32" s="386"/>
      <c r="E32" s="289"/>
      <c r="F32" s="289"/>
      <c r="G32" s="523" t="str">
        <f>Tr("LBL_MARGIN","Margin [%]")</f>
        <v>Margin [%]</v>
      </c>
      <c r="H32" s="336">
        <v>0</v>
      </c>
      <c r="I32" s="285" t="s">
        <v>362</v>
      </c>
      <c r="K32" s="282">
        <v>2</v>
      </c>
      <c r="L32" s="282"/>
      <c r="M32" s="282"/>
      <c r="N32" s="283"/>
      <c r="S32" s="55"/>
    </row>
    <row r="33" spans="2:19" ht="18.75" customHeight="1" x14ac:dyDescent="0.25">
      <c r="B33" s="513"/>
      <c r="C33" s="514"/>
      <c r="D33" s="514"/>
      <c r="E33" s="289"/>
      <c r="F33" s="289"/>
      <c r="G33" s="529" t="str">
        <f>Tr("LBL_SELECTED_VALVE_VELOCITY","Selected Valve Outlet Velocity")</f>
        <v>Selected Valve Outlet Velocity</v>
      </c>
      <c r="H33" s="511"/>
      <c r="I33" s="285" t="s">
        <v>172</v>
      </c>
      <c r="K33" s="282"/>
      <c r="L33" s="282"/>
      <c r="M33" s="282"/>
      <c r="N33" s="283"/>
      <c r="S33" s="55"/>
    </row>
    <row r="34" spans="2:19" ht="18.75" customHeight="1" x14ac:dyDescent="0.25">
      <c r="B34" s="513"/>
      <c r="C34" s="514"/>
      <c r="D34" s="514"/>
      <c r="E34" s="289"/>
      <c r="F34" s="289"/>
      <c r="G34" s="529" t="str">
        <f>Tr("LBL_SELECTED_VALVE_NOISE","Selected Valve Noise")</f>
        <v>Selected Valve Noise</v>
      </c>
      <c r="H34" s="511"/>
      <c r="I34" s="285" t="s">
        <v>2591</v>
      </c>
      <c r="K34" s="282"/>
      <c r="L34" s="282"/>
      <c r="M34" s="282"/>
      <c r="N34" s="283"/>
      <c r="S34" s="55"/>
    </row>
    <row r="35" spans="2:19" ht="18.75" customHeight="1" x14ac:dyDescent="0.25">
      <c r="B35" s="513"/>
      <c r="C35" s="514"/>
      <c r="D35" s="514"/>
      <c r="E35" s="289"/>
      <c r="F35" s="289"/>
      <c r="G35" s="510"/>
      <c r="H35" s="336"/>
      <c r="I35" s="285"/>
      <c r="K35" s="282"/>
      <c r="L35" s="282"/>
      <c r="M35" s="282"/>
      <c r="N35" s="283"/>
      <c r="S35" s="55"/>
    </row>
    <row r="36" spans="2:19" ht="18" customHeight="1" x14ac:dyDescent="0.25">
      <c r="B36" s="273"/>
      <c r="C36" s="273"/>
      <c r="D36" s="273"/>
      <c r="G36" s="337"/>
      <c r="H36" s="337"/>
      <c r="I36" s="337"/>
      <c r="K36" s="282"/>
      <c r="L36" s="282"/>
      <c r="M36" s="282"/>
      <c r="N36" s="283"/>
      <c r="S36" s="55"/>
    </row>
    <row r="37" spans="2:19" ht="61.2" customHeight="1" x14ac:dyDescent="0.25">
      <c r="B37" s="394" t="s">
        <v>86</v>
      </c>
      <c r="C37" s="404"/>
      <c r="D37" s="404"/>
      <c r="G37" s="394" t="s">
        <v>86</v>
      </c>
      <c r="H37" s="394"/>
      <c r="I37" s="394"/>
      <c r="S37" s="55"/>
    </row>
    <row r="38" spans="2:19" ht="27" customHeight="1" x14ac:dyDescent="0.25">
      <c r="B38" s="391" t="s">
        <v>86</v>
      </c>
      <c r="C38" s="392"/>
      <c r="D38" s="392"/>
      <c r="G38" s="402" t="s">
        <v>86</v>
      </c>
      <c r="H38" s="402"/>
      <c r="I38" s="402"/>
    </row>
    <row r="39" spans="2:19" ht="27" customHeight="1" x14ac:dyDescent="0.25">
      <c r="B39" s="345"/>
      <c r="C39" s="346"/>
      <c r="D39" s="346"/>
      <c r="G39" s="405"/>
      <c r="H39" s="406"/>
      <c r="I39" s="406"/>
    </row>
    <row r="40" spans="2:19" ht="32.4" customHeight="1" x14ac:dyDescent="0.4">
      <c r="B40" s="367" t="str">
        <f>Tr("HDR_SUGGESTED_VALVE_PIPE_SIZE","S U G G E S T E D   V A L V E   &amp;  P I P E   S I Z E")</f>
        <v>R E C O M M E N D E D   V A L V E   &amp;   P I P E   S I Z E</v>
      </c>
      <c r="C40" s="367"/>
      <c r="D40" s="367"/>
      <c r="G40" s="407" t="str">
        <f>Tr("HDR_PIPE_VALVE_VELOCITY_CHECK","P I P E   &amp;   V A L V E   V E L O C I T Y  C H E C  K")</f>
        <v>P I P E   &amp;   V A L V E   V E L O C I T Y   C H E C K</v>
      </c>
      <c r="H40" s="408"/>
      <c r="I40" s="408"/>
    </row>
    <row r="41" spans="2:19" ht="25.95" customHeight="1" x14ac:dyDescent="0.25">
      <c r="B41" s="525" t="str">
        <f>Tr("LBL_TARGET_VELOCITY_FT_S","Target Velocity (ft/s)")</f>
        <v>Target Velocity (ft/s)</v>
      </c>
      <c r="C41" s="395">
        <v>80</v>
      </c>
      <c r="D41" s="396"/>
      <c r="G41"/>
      <c r="H41"/>
      <c r="I41"/>
    </row>
    <row r="42" spans="2:19" ht="25.95" customHeight="1" x14ac:dyDescent="0.25">
      <c r="B42" s="522" t="s">
        <v>506</v>
      </c>
      <c r="C42" s="399"/>
      <c r="D42" s="398"/>
      <c r="G42" s="522" t="str">
        <f>Tr("LBL_VALVE_TYPE","Valve Type")</f>
        <v>Valve Type</v>
      </c>
      <c r="H42" s="299" t="s">
        <v>497</v>
      </c>
      <c r="I42" s="300"/>
    </row>
    <row r="43" spans="2:19" ht="25.95" customHeight="1" x14ac:dyDescent="0.25">
      <c r="B43" s="522" t="str">
        <f>Tr("LBL_VALVE_TRAVEL","Valve Travel %")</f>
        <v>Valve Travel %</v>
      </c>
      <c r="C43" s="399"/>
      <c r="D43" s="398"/>
      <c r="G43" s="522" t="str">
        <f>Tr("LBL_STEAM_TYPE","Steam Type")</f>
        <v>Steam Type</v>
      </c>
      <c r="H43" s="299" t="s">
        <v>407</v>
      </c>
      <c r="I43" s="300"/>
      <c r="L43" s="275" t="s">
        <v>93</v>
      </c>
    </row>
    <row r="44" spans="2:19" ht="25.95" customHeight="1" x14ac:dyDescent="0.25">
      <c r="B44" s="522" t="str">
        <f>Tr("LBL_CALCULATED_VALVE_NOISE_DBA","Calculated Valve Noise (dBA)")</f>
        <v>Calculated Valve Noise (dBA)</v>
      </c>
      <c r="C44" s="397"/>
      <c r="D44" s="398"/>
      <c r="G44" s="522" t="str">
        <f>Tr("LBL_SUPPLY_PIPE_SIZE","Supply Pipe Size")</f>
        <v>Supply Pipe Size</v>
      </c>
      <c r="H44" s="299" t="s">
        <v>497</v>
      </c>
      <c r="I44" s="300" t="str">
        <f>Tr("UNIT_INCH","inch")</f>
        <v>inch</v>
      </c>
    </row>
    <row r="45" spans="2:19" ht="25.95" customHeight="1" x14ac:dyDescent="0.25">
      <c r="B45" s="522" t="str">
        <f>Tr("LBL_VALVE_VELOCITY","Valve Velocity")</f>
        <v>Valve Velocity</v>
      </c>
      <c r="C45" s="397"/>
      <c r="D45" s="398"/>
      <c r="G45" s="522" t="str">
        <f>Tr("LBL_OUTLET_PIPE_SIZE","Outlet Pipe Size")</f>
        <v>Outlet Pipe Size</v>
      </c>
      <c r="H45" s="299" t="s">
        <v>497</v>
      </c>
      <c r="I45" s="300" t="str">
        <f>Tr("UNIT_INCH","inch")</f>
        <v>inch</v>
      </c>
    </row>
    <row r="46" spans="2:19" ht="25.95" customHeight="1" x14ac:dyDescent="0.25">
      <c r="B46" s="522" t="str">
        <f>Tr("LBL_INLET_PIPE_SIZE","Inlet Pipe Size")</f>
        <v>Inlet Pipe Size</v>
      </c>
      <c r="C46" s="399"/>
      <c r="D46" s="398"/>
      <c r="G46" s="522" t="str">
        <f>Tr("LBL_VALVE_SIZE","Valve Size")</f>
        <v>Valve Size</v>
      </c>
      <c r="H46" s="299" t="s">
        <v>497</v>
      </c>
      <c r="I46" s="300" t="str">
        <f>Tr("UNIT_INCH","inch")</f>
        <v>inch</v>
      </c>
    </row>
    <row r="47" spans="2:19" ht="25.95" customHeight="1" x14ac:dyDescent="0.25">
      <c r="B47" s="522" t="str">
        <f>Tr("LBL_OUTLET_PIPE_SIZE","Outlet Pipe Size")</f>
        <v>Outlet Pipe Size</v>
      </c>
      <c r="C47" s="399"/>
      <c r="D47" s="398"/>
      <c r="G47"/>
      <c r="H47"/>
      <c r="I47"/>
    </row>
    <row r="48" spans="2:19" ht="25.95" customHeight="1" x14ac:dyDescent="0.3">
      <c r="B48" s="526" t="str">
        <f>Tr("LBL_INLET_PIPE_VELOCITY","Inlet Pipe Velocity")</f>
        <v>Inlet Pipe Velocity</v>
      </c>
      <c r="C48" s="389"/>
      <c r="D48" s="390"/>
      <c r="G48" s="348" t="str">
        <f>Tr("LBL_RESULT","Result:")</f>
        <v>Result:</v>
      </c>
      <c r="H48"/>
      <c r="I48"/>
    </row>
    <row r="49" spans="2:9" ht="25.95" customHeight="1" x14ac:dyDescent="0.25">
      <c r="B49" s="526" t="str">
        <f>Tr("LBL_OUTLET_PIPE_VELOCITY","Outlet Pipe Velocity")</f>
        <v>Outlet Pipe Velocity</v>
      </c>
      <c r="C49" s="389"/>
      <c r="D49" s="390"/>
      <c r="G49" s="403"/>
      <c r="H49" s="403"/>
      <c r="I49" s="403"/>
    </row>
    <row r="50" spans="2:9" ht="16.05" customHeight="1" x14ac:dyDescent="0.25">
      <c r="B50" s="527" t="str">
        <f>Tr("LBL_VIEW_SIMPLE_OR_DETAILED","View ( Simple -or-  Detailed)")</f>
        <v>View ( Simple -or-  Detailed)</v>
      </c>
      <c r="C50" s="388" t="s">
        <v>528</v>
      </c>
      <c r="D50" s="388"/>
      <c r="G50" s="403"/>
      <c r="H50" s="403"/>
      <c r="I50" s="403"/>
    </row>
    <row r="51" spans="2:9" ht="15" customHeight="1" x14ac:dyDescent="0.25">
      <c r="B51" s="409"/>
      <c r="C51" s="409"/>
      <c r="D51" s="409"/>
      <c r="G51" s="403"/>
      <c r="H51" s="403"/>
      <c r="I51" s="403"/>
    </row>
    <row r="52" spans="2:9" ht="15" customHeight="1" x14ac:dyDescent="0.25">
      <c r="G52" s="403"/>
      <c r="H52" s="403"/>
      <c r="I52" s="403"/>
    </row>
    <row r="53" spans="2:9" ht="15" customHeight="1" x14ac:dyDescent="0.4">
      <c r="B53" s="263" t="str">
        <f>Tr("HDR_FEEDBACK","F E E D B A C K")</f>
        <v>F E E D B A C K</v>
      </c>
      <c r="C53" s="277"/>
      <c r="D53" s="277"/>
      <c r="G53" s="370"/>
      <c r="H53" s="370"/>
      <c r="I53"/>
    </row>
    <row r="54" spans="2:9" ht="15" customHeight="1" x14ac:dyDescent="0.25">
      <c r="G54" s="370"/>
      <c r="H54" s="370"/>
      <c r="I54"/>
    </row>
    <row r="55" spans="2:9" ht="15" customHeight="1" x14ac:dyDescent="0.25">
      <c r="G55" s="370"/>
      <c r="H55" s="370"/>
      <c r="I55"/>
    </row>
    <row r="56" spans="2:9" ht="15" customHeight="1" x14ac:dyDescent="0.25">
      <c r="G56" s="347" t="str">
        <f>Tr("HDR_RELEASE_INFORMATION","R E L E A S E   I N F O R M A T I O N")</f>
        <v>R E L E A S E   I N F O R M A T I O N</v>
      </c>
      <c r="H56"/>
      <c r="I56"/>
    </row>
    <row r="57" spans="2:9" ht="15" customHeight="1" x14ac:dyDescent="0.25">
      <c r="G57" s="296" t="str">
        <f>Tr("LBL_RELEASE_VERSION","Release Version")</f>
        <v>Release Version</v>
      </c>
      <c r="H57" s="352">
        <v>3.5</v>
      </c>
      <c r="I57"/>
    </row>
    <row r="58" spans="2:9" ht="15" customHeight="1" x14ac:dyDescent="0.25">
      <c r="G58" s="296" t="str">
        <f>Tr("LBL_RELEASE_DATE","Release Date")</f>
        <v>Release Date</v>
      </c>
      <c r="H58" s="349">
        <v>46291</v>
      </c>
      <c r="I58"/>
    </row>
    <row r="59" spans="2:9" ht="15" customHeight="1" x14ac:dyDescent="0.25">
      <c r="G59" s="296" t="str">
        <f>Tr("LBL_UPDATE_MODE","Update Mode")</f>
        <v>Update Mode</v>
      </c>
      <c r="H59" s="296">
        <v>1</v>
      </c>
      <c r="I59"/>
    </row>
    <row r="60" spans="2:9" ht="15" customHeight="1" x14ac:dyDescent="0.25">
      <c r="G60" s="373" t="str">
        <f>Tr("LBL_VERSION_CHECK_STATUS","Version Check Status")</f>
        <v>Version Check Status</v>
      </c>
      <c r="H60" s="374" t="s">
        <v>532</v>
      </c>
      <c r="I60"/>
    </row>
    <row r="61" spans="2:9" ht="15" customHeight="1" x14ac:dyDescent="0.4">
      <c r="G61" s="366"/>
      <c r="H61"/>
      <c r="I61" s="369"/>
    </row>
    <row r="62" spans="2:9" ht="15" customHeight="1" x14ac:dyDescent="0.25">
      <c r="G62" s="82" t="str">
        <f>Tr("LBL_LANGUAGE","Language")</f>
        <v>Language</v>
      </c>
      <c r="H62"/>
      <c r="I62" s="369"/>
    </row>
    <row r="63" spans="2:9" ht="15" customHeight="1" x14ac:dyDescent="0.3">
      <c r="B63" s="82"/>
      <c r="G63" s="348"/>
      <c r="H63"/>
      <c r="I63" s="369"/>
    </row>
    <row r="64" spans="2:9" ht="15" customHeight="1" x14ac:dyDescent="0.25">
      <c r="G64" s="368"/>
      <c r="H64" s="369"/>
      <c r="I64" s="369"/>
    </row>
    <row r="65" spans="7:9" ht="15" customHeight="1" x14ac:dyDescent="0.25">
      <c r="G65" s="369"/>
      <c r="H65" s="369"/>
      <c r="I65"/>
    </row>
    <row r="66" spans="7:9" ht="15" customHeight="1" x14ac:dyDescent="0.25">
      <c r="G66" s="369"/>
      <c r="H66" s="369"/>
      <c r="I66"/>
    </row>
    <row r="67" spans="7:9" ht="15" customHeight="1" x14ac:dyDescent="0.25">
      <c r="G67" s="369"/>
      <c r="H67" s="369"/>
      <c r="I67"/>
    </row>
    <row r="68" spans="7:9" x14ac:dyDescent="0.25">
      <c r="G68"/>
      <c r="H68"/>
    </row>
    <row r="69" spans="7:9" x14ac:dyDescent="0.25">
      <c r="G69"/>
      <c r="H69"/>
    </row>
    <row r="70" spans="7:9" x14ac:dyDescent="0.25">
      <c r="G70"/>
      <c r="H70"/>
    </row>
  </sheetData>
  <sheetProtection algorithmName="SHA-512" hashValue="bcdfeJb2b2siMIOyhdWaX3scgn67BbIzXkoGZkZIPuss+vc+j+iNNnyeXJIT9NJ4dNkBU4O/0JyaQJIg1sRk/w==" saltValue="Y5MvRo2dGVn0cITfqz8d/Q==" spinCount="100000" sheet="1" objects="1" scenarios="1" selectLockedCells="1" sort="0" autoFilter="0"/>
  <mergeCells count="28">
    <mergeCell ref="B51:D51"/>
    <mergeCell ref="C48:D48"/>
    <mergeCell ref="B37:D37"/>
    <mergeCell ref="G39:I39"/>
    <mergeCell ref="G40:I40"/>
    <mergeCell ref="C42:D42"/>
    <mergeCell ref="C43:D43"/>
    <mergeCell ref="B3:D3"/>
    <mergeCell ref="H3:K3"/>
    <mergeCell ref="B17:D17"/>
    <mergeCell ref="B8:C8"/>
    <mergeCell ref="B6:C6"/>
    <mergeCell ref="G20:I21"/>
    <mergeCell ref="B30:D30"/>
    <mergeCell ref="B32:D32"/>
    <mergeCell ref="B31:D31"/>
    <mergeCell ref="C50:D50"/>
    <mergeCell ref="C49:D49"/>
    <mergeCell ref="B38:D38"/>
    <mergeCell ref="G22:I22"/>
    <mergeCell ref="G37:I37"/>
    <mergeCell ref="C41:D41"/>
    <mergeCell ref="C44:D44"/>
    <mergeCell ref="C45:D45"/>
    <mergeCell ref="C46:D46"/>
    <mergeCell ref="C47:D47"/>
    <mergeCell ref="G38:I38"/>
    <mergeCell ref="G49:I52"/>
  </mergeCells>
  <dataValidations count="3">
    <dataValidation type="list" errorStyle="warning" allowBlank="1" showInputMessage="1" showErrorMessage="1" sqref="H44 H45 H46" xr:uid="{F07D1931-8845-4E10-88B3-9A8EE24C7CC5}">
      <formula1>"""-Select-,0.5,0.75,1,1.25,1.5,2,2.5,3,4,5,6,8,10,12"""</formula1>
    </dataValidation>
    <dataValidation type="list" allowBlank="1" showInputMessage="1" showErrorMessage="1" sqref="C41" xr:uid="{05C9678B-BE49-4493-B508-114BC28E44E2}">
      <formula1>"50,80,120"</formula1>
    </dataValidation>
    <dataValidation type="list" allowBlank="1" showInputMessage="1" showErrorMessage="1" sqref="C50:D50"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40</xdr:row>
                <xdr:rowOff>213360</xdr:rowOff>
              </to>
            </anchor>
          </objectPr>
        </oleObject>
      </mc:Choice>
      <mc:Fallback>
        <oleObject progId="Word.Document.12" shapeId="1044" r:id="rId4"/>
      </mc:Fallback>
    </mc:AlternateContent>
  </oleObjects>
  <mc:AlternateContent xmlns:mc="http://schemas.openxmlformats.org/markup-compatibility/2006">
    <mc:Choice Requires="x14">
      <controls>
        <mc:AlternateContent xmlns:mc="http://schemas.openxmlformats.org/markup-compatibility/2006">
          <mc:Choice Requires="x14">
            <control shapeId="1049" r:id="rId6" name="chkRememberLanguage">
              <controlPr defaultSize="0" autoFill="0" autoLine="0" autoPict="0" macro="RememberLanguageCheckbox_Click">
                <anchor moveWithCells="1">
                  <from>
                    <xdr:col>7</xdr:col>
                    <xdr:colOff>76200</xdr:colOff>
                    <xdr:row>62</xdr:row>
                    <xdr:rowOff>137160</xdr:rowOff>
                  </from>
                  <to>
                    <xdr:col>9</xdr:col>
                    <xdr:colOff>1127760</xdr:colOff>
                    <xdr:row>63</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H42</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 type="list" allowBlank="1" showInputMessage="1" showErrorMessage="1" xr:uid="{02F49D2C-06EA-41D4-8942-47274649ECB6}">
          <x14:formula1>
            <xm:f>Config!$R$2:$R$4</xm:f>
          </x14:formula1>
          <xm:sqref>H43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tabColor theme="3" tint="0.749992370372631"/>
  </sheetPr>
  <dimension ref="B2:D27"/>
  <sheetViews>
    <sheetView workbookViewId="0">
      <selection activeCell="F33" sqref="F33"/>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366" t="str">
        <f>Tr("HDR_OTT_CALC","⅓  - ⅔   V A L V E   C A L C U L A T O R")</f>
        <v>⅓  - ⅔   V A L V E   C A L C U L A T O R</v>
      </c>
    </row>
    <row r="3" spans="2:4" ht="14.4" customHeight="1" x14ac:dyDescent="0.25"/>
    <row r="4" spans="2:4" ht="19.2" customHeight="1" x14ac:dyDescent="0.25">
      <c r="B4" s="296"/>
      <c r="C4" s="471" t="s">
        <v>462</v>
      </c>
      <c r="D4" s="471" t="s">
        <v>463</v>
      </c>
    </row>
    <row r="5" spans="2:4" ht="19.2" customHeight="1" x14ac:dyDescent="0.25">
      <c r="B5" s="296" t="str">
        <f>IF(UPPER(CoeffType)="KV","Kv","Cv")&amp;" 1/3 - 2/3:"</f>
        <v>Cv 1/3 - 2/3:</v>
      </c>
      <c r="C5" s="472"/>
      <c r="D5" s="472"/>
    </row>
    <row r="6" spans="2:4" ht="19.2" customHeight="1" x14ac:dyDescent="0.25">
      <c r="B6" s="296"/>
      <c r="C6" s="376"/>
      <c r="D6" s="376"/>
    </row>
    <row r="7" spans="2:4" ht="19.2" customHeight="1" x14ac:dyDescent="0.25">
      <c r="B7" s="296" t="str">
        <f>FlowRate&amp;" 1/3 - 2/3:"</f>
        <v>LB/HR 1/3 - 2/3:</v>
      </c>
      <c r="C7" s="473"/>
      <c r="D7" s="473"/>
    </row>
    <row r="8" spans="2:4" x14ac:dyDescent="0.25">
      <c r="B8" s="296"/>
      <c r="C8" s="376"/>
      <c r="D8" s="376"/>
    </row>
    <row r="10" spans="2:4" ht="18" x14ac:dyDescent="0.35">
      <c r="B10" s="371" t="str">
        <f>Tr("HDR_OTT_TURNDOWN","T U R N D O W N   A N A L Y S I S   ( E F F E C T I V E   R A N G E A B I L I T Y )")</f>
        <v>T U R N D O W N   A N A L Y S I S   ( E F F E C T I V E   R A N G E A B I L I T Y )</v>
      </c>
    </row>
    <row r="12" spans="2:4" x14ac:dyDescent="0.25">
      <c r="B12" s="468" t="str">
        <f>Tr("OTT_REC_VALVE","Recommended Valve:")</f>
        <v>Valve to Analyze:</v>
      </c>
      <c r="C12" s="412" t="s">
        <v>861</v>
      </c>
      <c r="D12" s="512"/>
    </row>
    <row r="13" spans="2:4" ht="14.4" customHeight="1" x14ac:dyDescent="0.25">
      <c r="B13" s="468" t="str">
        <f>Tr("OTT_CURVE_TYPE","Curve Type:")</f>
        <v>Curve Type:</v>
      </c>
      <c r="C13" s="411" t="s">
        <v>510</v>
      </c>
      <c r="D13" s="411"/>
    </row>
    <row r="14" spans="2:4" ht="16.8" customHeight="1" x14ac:dyDescent="0.25">
      <c r="B14" s="468" t="str">
        <f>Tr("OTT_RATED_R","Rated Rangeability (R):")</f>
        <v>Rated Rangeability (R):</v>
      </c>
      <c r="C14" s="474" t="s">
        <v>2535</v>
      </c>
      <c r="D14" s="411"/>
    </row>
    <row r="15" spans="2:4" ht="14.4" customHeight="1" x14ac:dyDescent="0.25">
      <c r="B15" s="468" t="s">
        <v>518</v>
      </c>
      <c r="C15" s="411">
        <v>10.98</v>
      </c>
      <c r="D15" s="411"/>
    </row>
    <row r="16" spans="2:4" ht="15" customHeight="1" x14ac:dyDescent="0.25">
      <c r="B16" s="468" t="s">
        <v>519</v>
      </c>
      <c r="C16" s="411">
        <v>14</v>
      </c>
      <c r="D16" s="411"/>
    </row>
    <row r="17" spans="2:4" ht="11.4" customHeight="1" x14ac:dyDescent="0.25">
      <c r="B17" s="468" t="str">
        <f>Tr("OTT_OVERSIZE","Oversizing Factor (installed / required):")</f>
        <v>Oversizing Factor (installed / required):</v>
      </c>
      <c r="C17" s="411" t="s">
        <v>862</v>
      </c>
      <c r="D17" s="411"/>
    </row>
    <row r="18" spans="2:4" x14ac:dyDescent="0.25">
      <c r="B18" s="469"/>
    </row>
    <row r="19" spans="2:4" x14ac:dyDescent="0.25">
      <c r="B19" s="468" t="str">
        <f>Tr("OTT_MIN_FLOW","Minimum / Turndown Flow (lb/hr):")</f>
        <v>Minimum / Turndown Flow (lb/hr):</v>
      </c>
      <c r="C19" s="412"/>
      <c r="D19" s="412"/>
    </row>
    <row r="20" spans="2:4" x14ac:dyDescent="0.25">
      <c r="B20" s="468" t="str">
        <f>Tr("OTT_FLOW_BASIS","Flow Basis (design flow, lb/hr):")</f>
        <v>Flow Basis (design flow, lb/hr):</v>
      </c>
      <c r="C20" s="411" t="s">
        <v>534</v>
      </c>
      <c r="D20" s="411"/>
    </row>
    <row r="21" spans="2:4" x14ac:dyDescent="0.25">
      <c r="B21" s="468" t="str">
        <f>Tr("OTT_REQ_TURNDOWN","Required System Turndown (design / min):")</f>
        <v>Required System Turndown (design / min):</v>
      </c>
      <c r="C21" s="411" t="s">
        <v>507</v>
      </c>
      <c r="D21" s="411"/>
    </row>
    <row r="22" spans="2:4" x14ac:dyDescent="0.25">
      <c r="B22" s="468" t="str">
        <f>Tr("OTT_EFF_R","Effective Rangeability (R / Oversizing):")</f>
        <v>Effective Rangeability (R / Oversizing):</v>
      </c>
      <c r="C22" s="411" t="s">
        <v>865</v>
      </c>
      <c r="D22" s="411"/>
    </row>
    <row r="23" spans="2:4" x14ac:dyDescent="0.25">
      <c r="B23" s="469"/>
    </row>
    <row r="24" spans="2:4" ht="42" customHeight="1" x14ac:dyDescent="0.25">
      <c r="B24" s="468" t="str">
        <f>Tr("OTT_RECOMMENDATION","Recommendation:")</f>
        <v>Recommendation:</v>
      </c>
      <c r="C24" s="413" t="s">
        <v>529</v>
      </c>
      <c r="D24" s="414"/>
    </row>
    <row r="25" spans="2:4" x14ac:dyDescent="0.25">
      <c r="B25" s="470" t="str">
        <f>Tr("OTT_SPLIT_PAIR","Split Valve Pair (1/3 - 2/3):")</f>
        <v>Split Valve Pair (1/3 - 2/3):</v>
      </c>
      <c r="C25" s="375" t="s">
        <v>497</v>
      </c>
    </row>
    <row r="26" spans="2:4" x14ac:dyDescent="0.25">
      <c r="B26" s="468" t="str">
        <f>Tr("OTT_SMALL_VALVE","Small Valve (Low-Load, 1/3):")</f>
        <v>Small Valve (Low-Load, 1/3):</v>
      </c>
      <c r="C26" s="411" t="s">
        <v>863</v>
      </c>
      <c r="D26" s="411"/>
    </row>
    <row r="27" spans="2:4" x14ac:dyDescent="0.25">
      <c r="B27" s="468" t="str">
        <f>Tr("OTT_LARGE_VALVE","Large Valve (Peak, 2/3):")</f>
        <v>Large Valve (Peak, 2/3):</v>
      </c>
      <c r="C27" s="411" t="s">
        <v>864</v>
      </c>
      <c r="D27" s="411"/>
    </row>
  </sheetData>
  <sheetProtection algorithmName="SHA-512" hashValue="tBJZOefwFX5MTaRQIdbOhHlRuctstbBwVO7dYmUBUlLOcabSTPAO+qRv29PaEW3hr6hSnWoj98m31PzenZIsZQ==" saltValue="jjKYS2iNlPUUZK48TcBBTQ==" spinCount="100000" sheet="1" objects="1" scenarios="1" sort="0" autoFilter="0"/>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dataValidations count="2">
    <dataValidation type="list" allowBlank="1" showInputMessage="1" showErrorMessage="1" sqref="C25" xr:uid="{FBFD10D0-11A7-4A69-B2C5-E64B33294DE7}">
      <formula1>"-Select-,Ball,Globe"</formula1>
    </dataValidation>
    <dataValidation type="list" allowBlank="1" showInputMessage="1" showErrorMessage="1" sqref="C12" xr:uid="{B887A722-7344-4955-B80A-9F8A896E0C98}">
      <formula1>"-Select-,Recommended Valve,Selected Valve"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05" customWidth="1"/>
    <col min="2" max="2" width="28" style="305" customWidth="1"/>
    <col min="3" max="3" width="12.109375" style="305" customWidth="1"/>
    <col min="4" max="4" width="11.109375" style="305" customWidth="1"/>
    <col min="5" max="5" width="9.109375" style="305"/>
    <col min="6" max="6" width="10.6640625" style="305" customWidth="1"/>
    <col min="7" max="7" width="12" style="305" customWidth="1"/>
    <col min="8" max="8" width="10.33203125" style="305" customWidth="1"/>
    <col min="9" max="9" width="13.44140625" style="305" customWidth="1"/>
    <col min="10" max="10" width="13.6640625" style="306" customWidth="1"/>
    <col min="11" max="11" width="13.33203125" style="305" customWidth="1"/>
    <col min="12" max="12" width="24.44140625" style="305" customWidth="1"/>
    <col min="13" max="13" width="11" style="306" customWidth="1"/>
    <col min="14" max="14" width="8.88671875" style="302"/>
    <col min="15" max="15" width="9.109375" style="307"/>
    <col min="16" max="16" width="37.88671875" style="308" customWidth="1"/>
    <col min="17" max="24" width="24.44140625" style="305" customWidth="1"/>
    <col min="25" max="27" width="22.77734375" customWidth="1"/>
  </cols>
  <sheetData>
    <row r="1" spans="1:28" s="64" customFormat="1" ht="37.5" customHeight="1" x14ac:dyDescent="0.25">
      <c r="A1" s="476" t="s">
        <v>255</v>
      </c>
      <c r="B1" s="476" t="s">
        <v>77</v>
      </c>
      <c r="C1" s="476" t="s">
        <v>78</v>
      </c>
      <c r="D1" s="477" t="s">
        <v>89</v>
      </c>
      <c r="E1" s="476" t="s">
        <v>419</v>
      </c>
      <c r="F1" s="477" t="s">
        <v>90</v>
      </c>
      <c r="G1" s="476" t="s">
        <v>420</v>
      </c>
      <c r="H1" s="477" t="s">
        <v>91</v>
      </c>
      <c r="I1" s="476" t="s">
        <v>421</v>
      </c>
      <c r="J1" s="478" t="s">
        <v>422</v>
      </c>
      <c r="K1" s="477" t="s">
        <v>92</v>
      </c>
      <c r="L1" s="476" t="s">
        <v>423</v>
      </c>
      <c r="M1" s="478" t="s">
        <v>424</v>
      </c>
      <c r="N1" s="478" t="s">
        <v>425</v>
      </c>
      <c r="O1" s="479" t="s">
        <v>436</v>
      </c>
      <c r="P1" s="480" t="s">
        <v>430</v>
      </c>
      <c r="Q1" s="476" t="s">
        <v>306</v>
      </c>
      <c r="R1" s="476" t="s">
        <v>426</v>
      </c>
      <c r="S1" s="476" t="s">
        <v>427</v>
      </c>
      <c r="T1" s="476" t="s">
        <v>428</v>
      </c>
      <c r="U1" s="476" t="s">
        <v>397</v>
      </c>
      <c r="V1" s="476" t="s">
        <v>429</v>
      </c>
      <c r="W1" s="476" t="s">
        <v>415</v>
      </c>
      <c r="X1" s="476" t="s">
        <v>88</v>
      </c>
      <c r="Y1" s="476" t="s">
        <v>2592</v>
      </c>
      <c r="Z1" s="476" t="s">
        <v>500</v>
      </c>
      <c r="AA1" s="476" t="s">
        <v>501</v>
      </c>
      <c r="AB1" s="530">
        <v>0</v>
      </c>
    </row>
    <row r="2" spans="1:28" x14ac:dyDescent="0.25">
      <c r="A2" s="302"/>
      <c r="B2" s="302"/>
      <c r="C2" s="302"/>
      <c r="D2" s="302"/>
      <c r="E2" s="302"/>
      <c r="F2" s="302"/>
      <c r="G2" s="303"/>
      <c r="H2" s="303"/>
      <c r="I2" s="303"/>
      <c r="J2" s="303"/>
      <c r="K2" s="303"/>
      <c r="L2" s="303"/>
      <c r="M2" s="303"/>
      <c r="N2" s="303"/>
      <c r="Q2" s="303"/>
      <c r="R2" s="303"/>
      <c r="S2" s="303"/>
      <c r="T2" s="303"/>
      <c r="U2" s="303"/>
      <c r="V2" s="303"/>
      <c r="W2" s="303"/>
      <c r="X2" s="303"/>
      <c r="AB2" s="531"/>
    </row>
    <row r="3" spans="1:28" x14ac:dyDescent="0.25">
      <c r="A3" s="302"/>
      <c r="B3" s="302"/>
      <c r="C3" s="302"/>
      <c r="D3" s="302"/>
      <c r="E3" s="302"/>
      <c r="F3" s="302"/>
      <c r="G3" s="303"/>
      <c r="H3" s="303"/>
      <c r="I3" s="303"/>
      <c r="J3" s="303"/>
      <c r="K3" s="303"/>
      <c r="L3" s="303"/>
      <c r="M3" s="303"/>
      <c r="N3" s="303"/>
      <c r="Q3" s="303"/>
      <c r="R3" s="303"/>
      <c r="S3" s="303"/>
      <c r="T3" s="303"/>
      <c r="U3" s="303"/>
      <c r="V3" s="303"/>
      <c r="W3" s="303"/>
      <c r="X3" s="303"/>
    </row>
    <row r="4" spans="1:28" x14ac:dyDescent="0.25">
      <c r="A4" s="302"/>
      <c r="B4" s="302"/>
      <c r="C4" s="302"/>
      <c r="D4" s="302"/>
      <c r="E4" s="302"/>
      <c r="F4" s="302"/>
      <c r="G4" s="303"/>
      <c r="H4" s="303"/>
      <c r="I4" s="303"/>
      <c r="J4" s="303"/>
      <c r="K4" s="303"/>
      <c r="L4" s="303"/>
      <c r="M4" s="303"/>
      <c r="N4" s="303"/>
      <c r="Q4" s="303"/>
      <c r="R4" s="303"/>
      <c r="S4" s="303"/>
      <c r="T4" s="303"/>
      <c r="U4" s="303"/>
      <c r="V4" s="303"/>
      <c r="W4" s="303"/>
      <c r="X4" s="303"/>
    </row>
    <row r="5" spans="1:28" x14ac:dyDescent="0.25">
      <c r="A5" s="302"/>
      <c r="B5" s="302"/>
      <c r="C5" s="302"/>
      <c r="D5" s="302"/>
      <c r="E5" s="302"/>
      <c r="F5" s="302"/>
      <c r="G5" s="302"/>
      <c r="H5" s="302"/>
      <c r="I5" s="302"/>
      <c r="J5" s="304"/>
      <c r="K5" s="302"/>
      <c r="L5" s="302"/>
      <c r="M5" s="304"/>
      <c r="Q5" s="302"/>
      <c r="R5" s="302"/>
      <c r="S5" s="302"/>
      <c r="T5" s="302"/>
      <c r="U5" s="302"/>
      <c r="V5" s="302"/>
      <c r="W5" s="302"/>
      <c r="X5" s="302"/>
    </row>
    <row r="6" spans="1:28" x14ac:dyDescent="0.25">
      <c r="A6" s="302"/>
      <c r="B6" s="302"/>
      <c r="C6" s="302"/>
      <c r="D6" s="302"/>
      <c r="E6" s="302"/>
      <c r="F6" s="302"/>
      <c r="G6" s="302"/>
      <c r="H6" s="302"/>
      <c r="I6" s="302"/>
      <c r="J6" s="304"/>
      <c r="K6" s="302"/>
      <c r="L6" s="302"/>
      <c r="M6" s="304"/>
      <c r="Q6" s="302"/>
      <c r="R6" s="302"/>
      <c r="S6" s="302"/>
      <c r="T6" s="302"/>
      <c r="U6" s="302"/>
      <c r="V6" s="302"/>
      <c r="W6" s="302"/>
      <c r="X6" s="302"/>
    </row>
    <row r="7" spans="1:28" x14ac:dyDescent="0.25">
      <c r="A7" s="302"/>
      <c r="B7" s="302"/>
      <c r="C7" s="302"/>
      <c r="D7" s="302"/>
      <c r="E7" s="302"/>
      <c r="F7" s="302"/>
      <c r="G7" s="302"/>
      <c r="H7" s="302"/>
      <c r="I7" s="302"/>
      <c r="J7" s="304"/>
      <c r="K7" s="302"/>
      <c r="L7" s="302"/>
      <c r="M7" s="304"/>
      <c r="Q7" s="302"/>
      <c r="R7" s="302"/>
      <c r="S7" s="302"/>
      <c r="T7" s="302"/>
      <c r="U7" s="302"/>
      <c r="V7" s="302"/>
      <c r="W7" s="302"/>
      <c r="X7" s="302"/>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35"/>
    <col min="4" max="4" width="1.88671875" style="135" customWidth="1"/>
    <col min="5" max="5" width="1.44140625" style="135" customWidth="1"/>
    <col min="6" max="6" width="1.77734375" style="135" customWidth="1"/>
    <col min="7" max="7" width="1.5546875" style="135" customWidth="1"/>
    <col min="8" max="8" width="14.88671875" style="135" customWidth="1"/>
    <col min="9" max="9" width="9.109375" style="135"/>
    <col min="10" max="10" width="13.33203125" style="135" customWidth="1"/>
    <col min="11" max="11" width="6.44140625" style="135" customWidth="1"/>
    <col min="12" max="12" width="15.109375" style="135" customWidth="1"/>
    <col min="13" max="13" width="17.33203125" style="135" customWidth="1"/>
    <col min="14" max="18" width="9.109375" style="135"/>
    <col min="19" max="19" width="17" style="135" customWidth="1"/>
    <col min="20" max="20" width="9.109375" style="135"/>
    <col min="21" max="21" width="3.33203125" style="135" customWidth="1"/>
    <col min="22" max="22" width="13.44140625" style="135" customWidth="1"/>
    <col min="23" max="23" width="19.6640625" style="135" customWidth="1"/>
    <col min="24" max="16384" width="9.109375" style="135"/>
  </cols>
  <sheetData>
    <row r="2" spans="1:24" ht="12" customHeight="1" x14ac:dyDescent="0.2"/>
    <row r="3" spans="1:24" ht="14.4" customHeight="1" x14ac:dyDescent="0.2">
      <c r="A3" s="321"/>
      <c r="B3" s="134" t="s">
        <v>257</v>
      </c>
      <c r="F3" s="481" t="s">
        <v>381</v>
      </c>
      <c r="G3" s="481"/>
      <c r="H3" s="481"/>
      <c r="I3" s="481"/>
      <c r="J3" s="481"/>
      <c r="K3" s="481"/>
      <c r="L3" s="481"/>
      <c r="M3" s="481"/>
      <c r="N3" s="481"/>
      <c r="O3" s="481"/>
      <c r="P3" s="481"/>
      <c r="Q3" s="481"/>
      <c r="R3" s="481"/>
      <c r="S3" s="481"/>
    </row>
    <row r="4" spans="1:24" ht="10.199999999999999" customHeight="1" x14ac:dyDescent="0.2">
      <c r="A4" s="338"/>
      <c r="B4" s="134" t="s">
        <v>258</v>
      </c>
      <c r="F4" s="481"/>
      <c r="G4" s="481"/>
      <c r="H4" s="481"/>
      <c r="I4" s="481"/>
      <c r="J4" s="481"/>
      <c r="K4" s="481"/>
      <c r="L4" s="481"/>
      <c r="M4" s="481"/>
      <c r="N4" s="481"/>
      <c r="O4" s="481"/>
      <c r="P4" s="481"/>
      <c r="Q4" s="481"/>
      <c r="R4" s="481"/>
      <c r="S4" s="481"/>
    </row>
    <row r="8" spans="1:24" ht="10.8" thickBot="1" x14ac:dyDescent="0.25"/>
    <row r="9" spans="1:24" ht="12.75" customHeight="1" x14ac:dyDescent="0.2">
      <c r="A9" s="426" t="s">
        <v>259</v>
      </c>
      <c r="B9" s="427"/>
      <c r="C9" s="428"/>
      <c r="H9" s="451" t="s">
        <v>260</v>
      </c>
      <c r="I9" s="452"/>
      <c r="J9" s="453"/>
      <c r="K9" s="136"/>
      <c r="L9" s="457" t="s">
        <v>261</v>
      </c>
      <c r="M9" s="458"/>
      <c r="N9" s="459"/>
      <c r="O9" s="137"/>
      <c r="P9" s="136"/>
      <c r="Q9" s="457" t="s">
        <v>262</v>
      </c>
      <c r="R9" s="458"/>
      <c r="S9" s="459"/>
      <c r="T9" s="138"/>
      <c r="U9" s="138"/>
      <c r="V9" s="433" t="s">
        <v>1770</v>
      </c>
      <c r="W9" s="434"/>
      <c r="X9" s="435"/>
    </row>
    <row r="10" spans="1:24" x14ac:dyDescent="0.2">
      <c r="A10" s="139"/>
      <c r="B10" s="140"/>
      <c r="C10" s="141"/>
      <c r="H10" s="454"/>
      <c r="I10" s="455"/>
      <c r="J10" s="456"/>
      <c r="K10" s="136"/>
      <c r="L10" s="142"/>
      <c r="M10" s="143"/>
      <c r="N10" s="144"/>
      <c r="O10" s="137"/>
      <c r="P10" s="136"/>
      <c r="Q10" s="460"/>
      <c r="R10" s="461"/>
      <c r="S10" s="462"/>
      <c r="T10" s="138"/>
      <c r="U10" s="138"/>
      <c r="V10" s="436" t="s">
        <v>263</v>
      </c>
      <c r="W10" s="437"/>
      <c r="X10" s="321">
        <v>40</v>
      </c>
    </row>
    <row r="11" spans="1:24" x14ac:dyDescent="0.2">
      <c r="A11" s="145" t="s">
        <v>264</v>
      </c>
      <c r="B11" s="310">
        <v>24</v>
      </c>
      <c r="C11" s="141"/>
      <c r="H11" s="146" t="s">
        <v>265</v>
      </c>
      <c r="I11" s="311">
        <v>35</v>
      </c>
      <c r="J11" s="147" t="s">
        <v>266</v>
      </c>
      <c r="K11" s="148"/>
      <c r="L11" s="149" t="s">
        <v>267</v>
      </c>
      <c r="M11" s="314">
        <v>1000</v>
      </c>
      <c r="N11" s="150" t="s">
        <v>266</v>
      </c>
      <c r="O11" s="151"/>
      <c r="P11" s="151"/>
      <c r="Q11" s="152" t="s">
        <v>268</v>
      </c>
      <c r="R11" s="153"/>
      <c r="S11" s="319">
        <v>100</v>
      </c>
      <c r="T11" s="154"/>
      <c r="U11" s="154"/>
      <c r="V11" s="436" t="s">
        <v>269</v>
      </c>
      <c r="W11" s="437"/>
      <c r="X11" s="321">
        <v>100</v>
      </c>
    </row>
    <row r="12" spans="1:24" x14ac:dyDescent="0.2">
      <c r="A12" s="145" t="s">
        <v>270</v>
      </c>
      <c r="B12" s="310">
        <v>0.5</v>
      </c>
      <c r="C12" s="141"/>
      <c r="H12" s="155"/>
      <c r="I12" s="156"/>
      <c r="J12" s="157"/>
      <c r="L12" s="155"/>
      <c r="M12" s="156"/>
      <c r="N12" s="157"/>
      <c r="Q12" s="155" t="s">
        <v>271</v>
      </c>
      <c r="S12" s="319">
        <v>240</v>
      </c>
      <c r="T12" s="154"/>
      <c r="U12" s="154"/>
      <c r="V12" s="436" t="s">
        <v>272</v>
      </c>
      <c r="W12" s="444"/>
      <c r="X12" s="158">
        <f>IF(X10=0,0,X10*0.5)</f>
        <v>20</v>
      </c>
    </row>
    <row r="13" spans="1:24" x14ac:dyDescent="0.2">
      <c r="A13" s="159" t="s">
        <v>273</v>
      </c>
      <c r="B13" s="160">
        <f>B11/B12</f>
        <v>48</v>
      </c>
      <c r="C13" s="161"/>
      <c r="H13" s="146" t="s">
        <v>274</v>
      </c>
      <c r="I13" s="312">
        <v>4</v>
      </c>
      <c r="J13" s="147" t="s">
        <v>275</v>
      </c>
      <c r="K13" s="148"/>
      <c r="L13" s="149" t="s">
        <v>276</v>
      </c>
      <c r="M13" s="315">
        <v>30</v>
      </c>
      <c r="N13" s="147" t="s">
        <v>275</v>
      </c>
      <c r="O13" s="148"/>
      <c r="P13" s="148"/>
      <c r="Q13" s="155" t="s">
        <v>277</v>
      </c>
      <c r="S13" s="162">
        <f>SUM(S11/S12)</f>
        <v>0.41666666666666669</v>
      </c>
      <c r="T13" s="154"/>
      <c r="U13" s="154"/>
      <c r="V13" s="436" t="s">
        <v>278</v>
      </c>
      <c r="W13" s="444"/>
      <c r="X13" s="163">
        <f>IF(X11=0,0,X11/SQRT(X12))</f>
        <v>22.360679774997894</v>
      </c>
    </row>
    <row r="14" spans="1:24" ht="10.8" thickBot="1" x14ac:dyDescent="0.25">
      <c r="B14" s="140"/>
      <c r="H14" s="155"/>
      <c r="J14" s="150"/>
      <c r="K14" s="151"/>
      <c r="L14" s="164"/>
      <c r="N14" s="150"/>
      <c r="O14" s="151"/>
      <c r="P14" s="151"/>
      <c r="Q14" s="155" t="s">
        <v>279</v>
      </c>
      <c r="S14" s="165">
        <f>SUMSQ(S13)</f>
        <v>0.17361111111111113</v>
      </c>
      <c r="T14" s="166"/>
      <c r="U14" s="166"/>
      <c r="V14" s="167"/>
      <c r="W14" s="168"/>
      <c r="X14" s="169"/>
    </row>
    <row r="15" spans="1:24" ht="10.8" thickBot="1" x14ac:dyDescent="0.25">
      <c r="B15" s="140"/>
      <c r="H15" s="170" t="s">
        <v>280</v>
      </c>
      <c r="I15" s="166">
        <f>IF(I13=0,0,I11/SQRT(I13))</f>
        <v>17.5</v>
      </c>
      <c r="J15" s="150"/>
      <c r="K15" s="151"/>
      <c r="L15" s="149" t="s">
        <v>281</v>
      </c>
      <c r="M15" s="316">
        <v>30</v>
      </c>
      <c r="N15" s="150" t="s">
        <v>275</v>
      </c>
      <c r="O15" s="151"/>
      <c r="P15" s="151"/>
      <c r="Q15" s="171"/>
      <c r="R15" s="172"/>
      <c r="S15" s="173"/>
    </row>
    <row r="16" spans="1:24" x14ac:dyDescent="0.2">
      <c r="A16" s="426" t="s">
        <v>282</v>
      </c>
      <c r="B16" s="427"/>
      <c r="C16" s="428"/>
      <c r="H16" s="155"/>
      <c r="I16" s="174"/>
      <c r="J16" s="157"/>
      <c r="L16" s="155"/>
      <c r="N16" s="157"/>
      <c r="S16" s="175"/>
      <c r="V16" s="433" t="s">
        <v>283</v>
      </c>
      <c r="W16" s="434"/>
      <c r="X16" s="435"/>
    </row>
    <row r="17" spans="1:24" ht="10.8" thickBot="1" x14ac:dyDescent="0.25">
      <c r="A17" s="139"/>
      <c r="B17" s="140"/>
      <c r="C17" s="141"/>
      <c r="H17" s="176" t="s">
        <v>284</v>
      </c>
      <c r="I17" s="313">
        <v>10</v>
      </c>
      <c r="J17" s="177">
        <f>SUM(I18/1.16)</f>
        <v>10</v>
      </c>
      <c r="K17" s="178"/>
      <c r="L17" s="179" t="s">
        <v>285</v>
      </c>
      <c r="M17" s="340">
        <f>IF(M13=0,0,M11*SQRT(M13/M15))</f>
        <v>1000</v>
      </c>
      <c r="N17" s="180"/>
      <c r="S17" s="175"/>
      <c r="U17" s="151"/>
      <c r="V17" s="436" t="s">
        <v>286</v>
      </c>
      <c r="W17" s="437"/>
      <c r="X17" s="330">
        <v>2</v>
      </c>
    </row>
    <row r="18" spans="1:24" ht="10.8" thickBot="1" x14ac:dyDescent="0.25">
      <c r="A18" s="145" t="s">
        <v>287</v>
      </c>
      <c r="B18" s="310">
        <v>5</v>
      </c>
      <c r="C18" s="141"/>
      <c r="H18" s="181" t="s">
        <v>288</v>
      </c>
      <c r="I18" s="182">
        <f>SUM(I17*1.16)</f>
        <v>11.6</v>
      </c>
      <c r="J18" s="183"/>
      <c r="K18" s="178"/>
      <c r="L18" s="184"/>
      <c r="M18" s="166"/>
      <c r="V18" s="436" t="s">
        <v>289</v>
      </c>
      <c r="W18" s="437"/>
      <c r="X18" s="330">
        <v>4</v>
      </c>
    </row>
    <row r="19" spans="1:24" ht="10.8" thickBot="1" x14ac:dyDescent="0.25">
      <c r="A19" s="145" t="s">
        <v>270</v>
      </c>
      <c r="B19" s="310">
        <v>3</v>
      </c>
      <c r="C19" s="141"/>
      <c r="H19" s="185"/>
      <c r="I19" s="178"/>
      <c r="J19" s="178"/>
      <c r="K19" s="178"/>
      <c r="L19" s="156"/>
      <c r="M19" s="148"/>
      <c r="Q19" s="186" t="s">
        <v>290</v>
      </c>
      <c r="R19" s="187" t="s">
        <v>86</v>
      </c>
      <c r="S19" s="187" t="s">
        <v>86</v>
      </c>
      <c r="T19" s="188" t="s">
        <v>86</v>
      </c>
      <c r="V19" s="436" t="s">
        <v>291</v>
      </c>
      <c r="W19" s="444"/>
      <c r="X19" s="189">
        <f>IF(X17=0,0,X17/X18)</f>
        <v>0.5</v>
      </c>
    </row>
    <row r="20" spans="1:24" x14ac:dyDescent="0.2">
      <c r="A20" s="159" t="s">
        <v>264</v>
      </c>
      <c r="B20" s="160">
        <f>B18/B19</f>
        <v>1.6666666666666667</v>
      </c>
      <c r="C20" s="161"/>
      <c r="H20" s="448" t="s">
        <v>292</v>
      </c>
      <c r="I20" s="449"/>
      <c r="J20" s="450"/>
      <c r="K20" s="190"/>
      <c r="L20" s="191"/>
      <c r="M20" s="192"/>
      <c r="N20" s="193"/>
      <c r="O20" s="151"/>
      <c r="P20" s="151"/>
      <c r="Q20" s="320">
        <v>100</v>
      </c>
      <c r="R20" s="178" t="s">
        <v>266</v>
      </c>
      <c r="T20" s="157"/>
      <c r="V20" s="436" t="s">
        <v>86</v>
      </c>
      <c r="W20" s="444"/>
      <c r="X20" s="194" t="s">
        <v>86</v>
      </c>
    </row>
    <row r="21" spans="1:24" x14ac:dyDescent="0.2">
      <c r="B21" s="140"/>
      <c r="H21" s="195" t="s">
        <v>293</v>
      </c>
      <c r="I21" s="317">
        <v>10</v>
      </c>
      <c r="J21" s="196"/>
      <c r="K21" s="178"/>
      <c r="L21" s="197" t="s">
        <v>267</v>
      </c>
      <c r="M21" s="310">
        <v>100</v>
      </c>
      <c r="N21" s="150" t="s">
        <v>266</v>
      </c>
      <c r="O21" s="151"/>
      <c r="P21" s="151"/>
      <c r="Q21" s="320">
        <v>4</v>
      </c>
      <c r="R21" s="178" t="s">
        <v>294</v>
      </c>
      <c r="T21" s="157"/>
      <c r="U21" s="178"/>
      <c r="V21" s="155" t="s">
        <v>279</v>
      </c>
      <c r="W21" s="151"/>
      <c r="X21" s="321">
        <v>5.52</v>
      </c>
    </row>
    <row r="22" spans="1:24" x14ac:dyDescent="0.2">
      <c r="B22" s="140"/>
      <c r="H22" s="198"/>
      <c r="I22" s="178"/>
      <c r="J22" s="196"/>
      <c r="K22" s="178"/>
      <c r="L22" s="197"/>
      <c r="N22" s="150"/>
      <c r="O22" s="151"/>
      <c r="P22" s="151"/>
      <c r="Q22" s="164"/>
      <c r="R22" s="151"/>
      <c r="T22" s="157"/>
      <c r="U22" s="151"/>
      <c r="V22" s="436" t="s">
        <v>295</v>
      </c>
      <c r="W22" s="444"/>
      <c r="X22" s="321">
        <v>20.2</v>
      </c>
    </row>
    <row r="23" spans="1:24" x14ac:dyDescent="0.2">
      <c r="A23" s="438" t="s">
        <v>296</v>
      </c>
      <c r="B23" s="439"/>
      <c r="C23" s="440"/>
      <c r="H23" s="195" t="s">
        <v>297</v>
      </c>
      <c r="I23" s="317">
        <v>3</v>
      </c>
      <c r="J23" s="196"/>
      <c r="K23" s="178"/>
      <c r="L23" s="197" t="s">
        <v>298</v>
      </c>
      <c r="M23" s="309">
        <v>8</v>
      </c>
      <c r="N23" s="150" t="s">
        <v>275</v>
      </c>
      <c r="O23" s="151"/>
      <c r="P23" s="151"/>
      <c r="Q23" s="199" t="s">
        <v>299</v>
      </c>
      <c r="R23" s="178" t="s">
        <v>300</v>
      </c>
      <c r="S23" s="178" t="s">
        <v>301</v>
      </c>
      <c r="T23" s="196" t="s">
        <v>266</v>
      </c>
      <c r="U23" s="151"/>
      <c r="V23" s="436" t="s">
        <v>302</v>
      </c>
      <c r="W23" s="444"/>
      <c r="X23" s="200">
        <f>IF(X21=0,0,X21/X22)</f>
        <v>0.27326732673267323</v>
      </c>
    </row>
    <row r="24" spans="1:24" ht="10.8" thickBot="1" x14ac:dyDescent="0.25">
      <c r="A24" s="441"/>
      <c r="B24" s="442"/>
      <c r="C24" s="443"/>
      <c r="H24" s="198"/>
      <c r="I24" s="178"/>
      <c r="J24" s="196"/>
      <c r="K24" s="178"/>
      <c r="L24" s="197"/>
      <c r="N24" s="150"/>
      <c r="O24" s="151"/>
      <c r="P24" s="151"/>
      <c r="Q24" s="320">
        <v>500</v>
      </c>
      <c r="R24" s="321">
        <v>300</v>
      </c>
      <c r="S24" s="201">
        <f>Q24-R24</f>
        <v>200</v>
      </c>
      <c r="T24" s="202">
        <f>(S24/$Q$21)* $Q$20</f>
        <v>5000</v>
      </c>
      <c r="U24" s="151"/>
      <c r="V24" s="445" t="s">
        <v>303</v>
      </c>
      <c r="W24" s="446"/>
      <c r="X24" s="447"/>
    </row>
    <row r="25" spans="1:24" ht="10.8" thickBot="1" x14ac:dyDescent="0.25">
      <c r="A25" s="203"/>
      <c r="B25" s="140"/>
      <c r="C25" s="141"/>
      <c r="H25" s="204" t="s">
        <v>266</v>
      </c>
      <c r="I25" s="339">
        <f>IF(I21=0,0,I21*SQRT(I23))</f>
        <v>17.320508075688771</v>
      </c>
      <c r="J25" s="169"/>
      <c r="K25" s="151"/>
      <c r="L25" s="197" t="s">
        <v>304</v>
      </c>
      <c r="M25" s="318">
        <v>100</v>
      </c>
      <c r="N25" s="150" t="s">
        <v>266</v>
      </c>
      <c r="O25" s="151"/>
      <c r="P25" s="151"/>
      <c r="Q25" s="320">
        <v>800</v>
      </c>
      <c r="R25" s="321">
        <v>300</v>
      </c>
      <c r="S25" s="201">
        <f t="shared" ref="S25:S26" si="0">Q25-R25</f>
        <v>500</v>
      </c>
      <c r="T25" s="202">
        <f>(S25/$Q$21)* $Q$20</f>
        <v>12500</v>
      </c>
      <c r="V25" s="156"/>
    </row>
    <row r="26" spans="1:24" ht="10.8" thickBot="1" x14ac:dyDescent="0.25">
      <c r="A26" s="205" t="s">
        <v>287</v>
      </c>
      <c r="B26" s="310">
        <v>5</v>
      </c>
      <c r="C26" s="141"/>
      <c r="L26" s="206" t="s">
        <v>305</v>
      </c>
      <c r="M26" s="341">
        <f>(M25^2)*(M23/(M21^2))</f>
        <v>8</v>
      </c>
      <c r="N26" s="169" t="s">
        <v>275</v>
      </c>
      <c r="Q26" s="322">
        <v>500</v>
      </c>
      <c r="R26" s="323">
        <v>100</v>
      </c>
      <c r="S26" s="207">
        <f t="shared" si="0"/>
        <v>400</v>
      </c>
      <c r="T26" s="208">
        <f t="shared" ref="T26" si="1">(S26/$Q$21)* $Q$20</f>
        <v>10000</v>
      </c>
    </row>
    <row r="27" spans="1:24" x14ac:dyDescent="0.2">
      <c r="A27" s="205" t="s">
        <v>264</v>
      </c>
      <c r="B27" s="310">
        <v>24</v>
      </c>
      <c r="C27" s="141"/>
      <c r="Q27" s="151"/>
      <c r="R27" s="151"/>
      <c r="S27" s="151"/>
      <c r="T27" s="151"/>
    </row>
    <row r="28" spans="1:24" x14ac:dyDescent="0.2">
      <c r="A28" s="159" t="s">
        <v>270</v>
      </c>
      <c r="B28" s="209">
        <f>B26/B27</f>
        <v>0.20833333333333334</v>
      </c>
      <c r="C28" s="161"/>
    </row>
    <row r="29" spans="1:24" ht="10.8" thickBot="1" x14ac:dyDescent="0.25">
      <c r="B29" s="140"/>
    </row>
    <row r="30" spans="1:24" ht="10.8" thickTop="1" x14ac:dyDescent="0.2">
      <c r="B30" s="140"/>
      <c r="H30" s="210" t="s">
        <v>306</v>
      </c>
      <c r="I30" s="324">
        <v>200</v>
      </c>
      <c r="J30" s="211"/>
      <c r="K30" s="211"/>
      <c r="L30" s="211"/>
      <c r="M30" s="211"/>
      <c r="N30" s="211"/>
      <c r="O30" s="211"/>
      <c r="P30" s="211"/>
      <c r="Q30" s="211"/>
      <c r="R30" s="211"/>
      <c r="S30" s="211"/>
      <c r="T30" s="212"/>
      <c r="V30" s="424" t="s">
        <v>307</v>
      </c>
      <c r="W30" s="425"/>
      <c r="X30" s="155"/>
    </row>
    <row r="31" spans="1:24" ht="12.75" customHeight="1" x14ac:dyDescent="0.25">
      <c r="A31" s="426" t="s">
        <v>308</v>
      </c>
      <c r="B31" s="427"/>
      <c r="C31" s="428"/>
      <c r="H31" s="213"/>
      <c r="I31" s="140"/>
      <c r="K31" s="429" t="s">
        <v>309</v>
      </c>
      <c r="L31" s="429"/>
      <c r="M31" s="429"/>
      <c r="N31" s="429"/>
      <c r="O31" s="429"/>
      <c r="P31" s="429"/>
      <c r="Q31" s="429"/>
      <c r="R31" s="429"/>
      <c r="T31" s="214"/>
      <c r="V31" s="152" t="s">
        <v>87</v>
      </c>
      <c r="W31" s="331">
        <v>16</v>
      </c>
      <c r="X31" s="155"/>
    </row>
    <row r="32" spans="1:24" x14ac:dyDescent="0.2">
      <c r="A32" s="139"/>
      <c r="B32" s="140"/>
      <c r="C32" s="141"/>
      <c r="H32" s="215" t="s">
        <v>310</v>
      </c>
      <c r="I32" s="216">
        <v>1</v>
      </c>
      <c r="J32" s="178">
        <v>2</v>
      </c>
      <c r="K32" s="178">
        <v>3</v>
      </c>
      <c r="L32" s="178">
        <v>4</v>
      </c>
      <c r="M32" s="178">
        <v>5</v>
      </c>
      <c r="N32" s="178">
        <v>6</v>
      </c>
      <c r="O32" s="178">
        <v>7</v>
      </c>
      <c r="P32" s="178">
        <v>8</v>
      </c>
      <c r="Q32" s="178">
        <v>9</v>
      </c>
      <c r="R32" s="178">
        <v>10</v>
      </c>
      <c r="S32" s="178">
        <v>11</v>
      </c>
      <c r="T32" s="217">
        <v>12</v>
      </c>
      <c r="U32" s="178"/>
      <c r="V32" s="155" t="s">
        <v>223</v>
      </c>
      <c r="W32" s="331">
        <v>0.5</v>
      </c>
      <c r="X32" s="155"/>
    </row>
    <row r="33" spans="1:24" x14ac:dyDescent="0.2">
      <c r="A33" s="145" t="s">
        <v>264</v>
      </c>
      <c r="B33" s="310">
        <v>24</v>
      </c>
      <c r="C33" s="141"/>
      <c r="H33" s="213"/>
      <c r="I33" s="140"/>
      <c r="T33" s="214"/>
      <c r="V33" s="155" t="s">
        <v>311</v>
      </c>
      <c r="W33" s="331">
        <v>1</v>
      </c>
      <c r="X33" s="155"/>
    </row>
    <row r="34" spans="1:24" x14ac:dyDescent="0.2">
      <c r="A34" s="145" t="s">
        <v>270</v>
      </c>
      <c r="B34" s="310">
        <v>2</v>
      </c>
      <c r="C34" s="141"/>
      <c r="H34" s="215" t="s">
        <v>266</v>
      </c>
      <c r="I34" s="218">
        <f>IF($I$30=0,0,$I$30*SQRT(I32))</f>
        <v>200</v>
      </c>
      <c r="J34" s="218">
        <f>IF($I$30=0,0,$I$30*SQRT(J32))</f>
        <v>282.84271247461902</v>
      </c>
      <c r="K34" s="218">
        <f t="shared" ref="K34:T34" si="2">IF($I$30=0,0,$I$30*SQRT(K32))</f>
        <v>346.41016151377545</v>
      </c>
      <c r="L34" s="218">
        <f t="shared" si="2"/>
        <v>400</v>
      </c>
      <c r="M34" s="218">
        <f t="shared" si="2"/>
        <v>447.21359549995793</v>
      </c>
      <c r="N34" s="218">
        <f t="shared" si="2"/>
        <v>489.89794855663558</v>
      </c>
      <c r="O34" s="218">
        <f t="shared" si="2"/>
        <v>529.15026221291816</v>
      </c>
      <c r="P34" s="218">
        <f t="shared" si="2"/>
        <v>565.68542494923804</v>
      </c>
      <c r="Q34" s="219">
        <f t="shared" si="2"/>
        <v>600</v>
      </c>
      <c r="R34" s="220">
        <f t="shared" si="2"/>
        <v>632.45553203367592</v>
      </c>
      <c r="S34" s="218">
        <f t="shared" si="2"/>
        <v>663.32495807108</v>
      </c>
      <c r="T34" s="221">
        <f t="shared" si="2"/>
        <v>692.8203230275509</v>
      </c>
      <c r="U34" s="222"/>
      <c r="V34" s="155" t="s">
        <v>312</v>
      </c>
      <c r="W34" s="223">
        <f>1/SQRT(1+((1.5*(1-(W32/W33)^2)^2)/890)*((W31/W32^2)^2))</f>
        <v>0.45253288292040411</v>
      </c>
      <c r="X34" s="155"/>
    </row>
    <row r="35" spans="1:24" ht="10.8" thickBot="1" x14ac:dyDescent="0.25">
      <c r="A35" s="159" t="s">
        <v>287</v>
      </c>
      <c r="B35" s="160">
        <f>B33*B34</f>
        <v>48</v>
      </c>
      <c r="C35" s="161"/>
      <c r="H35" s="215"/>
      <c r="I35" s="222"/>
      <c r="J35" s="222"/>
      <c r="K35" s="222"/>
      <c r="L35" s="222"/>
      <c r="M35" s="222"/>
      <c r="N35" s="222"/>
      <c r="O35" s="222"/>
      <c r="P35" s="222"/>
      <c r="Q35" s="222"/>
      <c r="R35" s="222"/>
      <c r="S35" s="222"/>
      <c r="T35" s="224"/>
      <c r="U35" s="222"/>
      <c r="V35" s="225" t="s">
        <v>313</v>
      </c>
      <c r="W35" s="226">
        <f>W34*W31</f>
        <v>7.2405261267264658</v>
      </c>
      <c r="X35" s="155"/>
    </row>
    <row r="36" spans="1:24" x14ac:dyDescent="0.2">
      <c r="B36" s="140"/>
      <c r="H36" s="215" t="s">
        <v>310</v>
      </c>
      <c r="I36" s="325">
        <v>8</v>
      </c>
      <c r="J36" s="227">
        <f>IF($I$30=0,0,$I$30*SQRT(I36))</f>
        <v>565.68542494923804</v>
      </c>
      <c r="K36" s="222"/>
      <c r="L36" s="222"/>
      <c r="M36" s="222"/>
      <c r="N36" s="222"/>
      <c r="O36" s="222"/>
      <c r="P36" s="222"/>
      <c r="Q36" s="222"/>
      <c r="R36" s="222"/>
      <c r="S36" s="222"/>
      <c r="T36" s="224"/>
      <c r="U36" s="222"/>
    </row>
    <row r="37" spans="1:24" ht="10.8" thickBot="1" x14ac:dyDescent="0.25">
      <c r="B37" s="140"/>
      <c r="H37" s="215"/>
      <c r="I37" s="222"/>
      <c r="J37" s="222"/>
      <c r="K37" s="222"/>
      <c r="L37" s="222"/>
      <c r="M37" s="222"/>
      <c r="N37" s="222"/>
      <c r="O37" s="222"/>
      <c r="P37" s="222"/>
      <c r="Q37" s="222"/>
      <c r="R37" s="222"/>
      <c r="S37" s="222"/>
      <c r="T37" s="224"/>
      <c r="U37" s="222"/>
    </row>
    <row r="38" spans="1:24" ht="13.2" x14ac:dyDescent="0.25">
      <c r="A38" s="421" t="s">
        <v>314</v>
      </c>
      <c r="B38" s="422"/>
      <c r="C38" s="423"/>
      <c r="H38" s="215"/>
      <c r="I38" s="222"/>
      <c r="J38" s="222"/>
      <c r="K38" s="222"/>
      <c r="L38" s="222"/>
      <c r="M38" s="222"/>
      <c r="N38" s="222"/>
      <c r="O38" s="222"/>
      <c r="P38" s="222"/>
      <c r="Q38" s="222"/>
      <c r="R38" s="222"/>
      <c r="S38" s="222"/>
      <c r="T38" s="224"/>
      <c r="U38" s="222"/>
      <c r="V38" s="430" t="s">
        <v>315</v>
      </c>
      <c r="W38" s="431"/>
      <c r="X38" s="432"/>
    </row>
    <row r="39" spans="1:24" ht="13.2" x14ac:dyDescent="0.25">
      <c r="A39" s="155"/>
      <c r="B39" s="140"/>
      <c r="C39" s="157"/>
      <c r="H39" s="213"/>
      <c r="I39" s="140"/>
      <c r="K39" s="429" t="s">
        <v>316</v>
      </c>
      <c r="L39" s="429"/>
      <c r="M39" s="429"/>
      <c r="N39" s="429"/>
      <c r="O39" s="429"/>
      <c r="P39" s="429"/>
      <c r="Q39" s="429"/>
      <c r="R39" s="429"/>
      <c r="S39" s="228"/>
      <c r="T39" s="229"/>
      <c r="U39" s="228"/>
      <c r="V39"/>
      <c r="W39"/>
      <c r="X39"/>
    </row>
    <row r="40" spans="1:24" ht="13.2" x14ac:dyDescent="0.25">
      <c r="A40" s="164" t="s">
        <v>266</v>
      </c>
      <c r="B40" s="310">
        <v>10</v>
      </c>
      <c r="C40" s="157"/>
      <c r="H40" s="230" t="s">
        <v>311</v>
      </c>
      <c r="I40" s="140"/>
      <c r="T40" s="214"/>
      <c r="V40" s="231" t="s">
        <v>317</v>
      </c>
      <c r="W40" s="332">
        <v>1600</v>
      </c>
      <c r="X40" s="232">
        <f>SUM(W40*0.8)</f>
        <v>1280</v>
      </c>
    </row>
    <row r="41" spans="1:24" ht="13.2" x14ac:dyDescent="0.25">
      <c r="A41" s="164" t="s">
        <v>318</v>
      </c>
      <c r="B41" s="310">
        <v>30</v>
      </c>
      <c r="C41" s="157"/>
      <c r="H41" s="326">
        <v>1</v>
      </c>
      <c r="I41" s="233">
        <f>I34/((((($H$41/2)^2*3.14159)*12)/231)*60)</f>
        <v>81.699606462544978</v>
      </c>
      <c r="J41" s="233">
        <f>J34/((((($H$41/2)^2*3.14159)*12)/231)*60)</f>
        <v>115.54069149987568</v>
      </c>
      <c r="K41" s="233">
        <f t="shared" ref="K41:T41" si="3">K34/((((($H$41/2)^2*3.14159)*12)/231)*60)</f>
        <v>141.50786935151049</v>
      </c>
      <c r="L41" s="233">
        <f t="shared" si="3"/>
        <v>163.39921292508996</v>
      </c>
      <c r="M41" s="233">
        <f t="shared" si="3"/>
        <v>182.68587378523171</v>
      </c>
      <c r="N41" s="233">
        <f t="shared" si="3"/>
        <v>200.12234801942617</v>
      </c>
      <c r="O41" s="233">
        <f t="shared" si="3"/>
        <v>216.15684091173949</v>
      </c>
      <c r="P41" s="233">
        <f t="shared" si="3"/>
        <v>231.08138299975136</v>
      </c>
      <c r="Q41" s="233">
        <f t="shared" si="3"/>
        <v>245.09881938763493</v>
      </c>
      <c r="R41" s="233">
        <f t="shared" si="3"/>
        <v>258.35684036105414</v>
      </c>
      <c r="S41" s="233">
        <f t="shared" si="3"/>
        <v>270.96694015595693</v>
      </c>
      <c r="T41" s="234">
        <f t="shared" si="3"/>
        <v>283.01573870302099</v>
      </c>
      <c r="U41" s="222"/>
      <c r="V41" s="235" t="s">
        <v>319</v>
      </c>
      <c r="W41"/>
      <c r="X41" s="236"/>
    </row>
    <row r="42" spans="1:24" ht="13.8" thickBot="1" x14ac:dyDescent="0.3">
      <c r="A42" s="199" t="s">
        <v>320</v>
      </c>
      <c r="B42" s="237">
        <f>SUM(B40*B41/3960)</f>
        <v>7.575757575757576E-2</v>
      </c>
      <c r="C42" s="157"/>
      <c r="H42" s="238"/>
      <c r="I42" s="239"/>
      <c r="J42" s="239"/>
      <c r="K42" s="239"/>
      <c r="L42" s="239"/>
      <c r="M42" s="239"/>
      <c r="N42" s="239"/>
      <c r="O42" s="239"/>
      <c r="P42" s="239"/>
      <c r="Q42" s="239"/>
      <c r="R42" s="239"/>
      <c r="S42" s="239"/>
      <c r="T42" s="240"/>
      <c r="V42" s="235" t="s">
        <v>321</v>
      </c>
      <c r="W42" s="332">
        <v>25</v>
      </c>
      <c r="X42" s="241">
        <f>+SUM(W42*0.5)</f>
        <v>12.5</v>
      </c>
    </row>
    <row r="43" spans="1:24" ht="14.4" thickTop="1" thickBot="1" x14ac:dyDescent="0.3">
      <c r="A43" s="171"/>
      <c r="B43" s="242"/>
      <c r="C43" s="180"/>
      <c r="V43" s="243" t="s">
        <v>322</v>
      </c>
      <c r="W43" s="244"/>
      <c r="X43" s="245">
        <f>IF(W40=0,0,X40/SQRT(X42))</f>
        <v>362.0386719675123</v>
      </c>
    </row>
    <row r="44" spans="1:24" ht="10.8" thickBot="1" x14ac:dyDescent="0.25">
      <c r="B44" s="140"/>
    </row>
    <row r="45" spans="1:24" ht="14.4" thickTop="1" thickBot="1" x14ac:dyDescent="0.3">
      <c r="B45" s="140"/>
      <c r="H45" s="415" t="s">
        <v>323</v>
      </c>
      <c r="I45" s="416"/>
      <c r="J45" s="416"/>
      <c r="K45" s="416"/>
      <c r="L45" s="416"/>
      <c r="M45" s="416"/>
      <c r="N45" s="416"/>
      <c r="O45" s="416"/>
      <c r="P45" s="417"/>
      <c r="R45" s="418" t="s">
        <v>324</v>
      </c>
      <c r="S45" s="419"/>
      <c r="T45" s="420"/>
    </row>
    <row r="46" spans="1:24" ht="13.2" x14ac:dyDescent="0.25">
      <c r="A46" s="421" t="s">
        <v>325</v>
      </c>
      <c r="B46" s="422"/>
      <c r="C46" s="423"/>
      <c r="H46" s="246" t="s">
        <v>326</v>
      </c>
      <c r="I46" s="327">
        <v>2000</v>
      </c>
      <c r="J46" s="135" t="s">
        <v>266</v>
      </c>
      <c r="P46" s="157"/>
      <c r="R46" s="247" t="s">
        <v>327</v>
      </c>
      <c r="S46" s="138" t="s">
        <v>328</v>
      </c>
      <c r="T46" s="248" t="s">
        <v>329</v>
      </c>
    </row>
    <row r="47" spans="1:24" ht="13.2" x14ac:dyDescent="0.25">
      <c r="A47" s="155"/>
      <c r="B47" s="140"/>
      <c r="C47" s="157"/>
      <c r="H47" s="246" t="s">
        <v>223</v>
      </c>
      <c r="I47" s="327">
        <v>8</v>
      </c>
      <c r="J47" s="135" t="s">
        <v>330</v>
      </c>
      <c r="P47" s="157"/>
      <c r="R47" s="249">
        <f>(SUM(S47*500*T47))</f>
        <v>8901.5</v>
      </c>
      <c r="S47" s="328">
        <v>0.93700000000000006</v>
      </c>
      <c r="T47" s="333">
        <v>19</v>
      </c>
    </row>
    <row r="48" spans="1:24" ht="13.2" x14ac:dyDescent="0.25">
      <c r="A48" s="164" t="s">
        <v>331</v>
      </c>
      <c r="B48" s="310">
        <v>5</v>
      </c>
      <c r="C48" s="157"/>
      <c r="H48" s="246" t="s">
        <v>332</v>
      </c>
      <c r="I48" s="250">
        <f>I46/(((((I47/2)^2*3.14159)*12)/231)*60)</f>
        <v>12.765563509772653</v>
      </c>
      <c r="J48" s="135" t="s">
        <v>333</v>
      </c>
      <c r="P48" s="157"/>
      <c r="R48" s="213"/>
      <c r="T48" s="214"/>
    </row>
    <row r="49" spans="1:20" ht="13.2" x14ac:dyDescent="0.2">
      <c r="A49" s="164" t="s">
        <v>318</v>
      </c>
      <c r="B49" s="310">
        <v>25</v>
      </c>
      <c r="C49" s="157"/>
      <c r="H49" s="155"/>
      <c r="P49" s="157"/>
      <c r="R49" s="247" t="s">
        <v>334</v>
      </c>
      <c r="S49" s="138" t="s">
        <v>335</v>
      </c>
      <c r="T49" s="248" t="s">
        <v>336</v>
      </c>
    </row>
    <row r="50" spans="1:20" x14ac:dyDescent="0.2">
      <c r="A50" s="199" t="s">
        <v>266</v>
      </c>
      <c r="B50" s="160">
        <f>SUM(3960*B48/B49)</f>
        <v>792</v>
      </c>
      <c r="C50" s="157"/>
      <c r="H50" s="155"/>
      <c r="P50" s="157"/>
      <c r="R50" s="251">
        <f>SUM(S50/(500*T50))</f>
        <v>1.6277999999999999</v>
      </c>
      <c r="S50" s="329">
        <v>16278</v>
      </c>
      <c r="T50" s="333">
        <v>20</v>
      </c>
    </row>
    <row r="51" spans="1:20" ht="10.8" thickBot="1" x14ac:dyDescent="0.25">
      <c r="A51" s="171"/>
      <c r="B51" s="242"/>
      <c r="C51" s="180"/>
      <c r="H51" s="155"/>
      <c r="P51" s="157"/>
      <c r="R51" s="213"/>
      <c r="T51" s="214"/>
    </row>
    <row r="52" spans="1:20" ht="13.8" thickBot="1" x14ac:dyDescent="0.3">
      <c r="B52" s="140"/>
      <c r="H52" s="252" t="s">
        <v>337</v>
      </c>
      <c r="P52" s="157"/>
      <c r="R52" s="253" t="s">
        <v>338</v>
      </c>
      <c r="S52" s="178" t="s">
        <v>339</v>
      </c>
      <c r="T52" s="217" t="s">
        <v>340</v>
      </c>
    </row>
    <row r="53" spans="1:20" ht="13.2" x14ac:dyDescent="0.25">
      <c r="A53" s="421" t="s">
        <v>341</v>
      </c>
      <c r="B53" s="422"/>
      <c r="C53" s="423"/>
      <c r="H53" s="252" t="s">
        <v>342</v>
      </c>
      <c r="P53" s="157"/>
      <c r="R53" s="251">
        <f>SUM(S53/(500*T53))</f>
        <v>20</v>
      </c>
      <c r="S53" s="329">
        <v>10000</v>
      </c>
      <c r="T53" s="333">
        <v>1</v>
      </c>
    </row>
    <row r="54" spans="1:20" ht="13.8" thickBot="1" x14ac:dyDescent="0.3">
      <c r="A54" s="155"/>
      <c r="B54" s="140"/>
      <c r="C54" s="157"/>
      <c r="H54" s="252" t="s">
        <v>343</v>
      </c>
      <c r="P54" s="157"/>
      <c r="R54" s="238"/>
      <c r="S54" s="239"/>
      <c r="T54" s="240"/>
    </row>
    <row r="55" spans="1:20" ht="13.8" thickTop="1" x14ac:dyDescent="0.25">
      <c r="A55" s="164" t="s">
        <v>266</v>
      </c>
      <c r="B55" s="310">
        <v>400</v>
      </c>
      <c r="C55" s="157"/>
      <c r="H55" s="252" t="s">
        <v>86</v>
      </c>
      <c r="P55" s="157"/>
    </row>
    <row r="56" spans="1:20" ht="13.2" x14ac:dyDescent="0.25">
      <c r="A56" s="199" t="s">
        <v>344</v>
      </c>
      <c r="B56" s="209">
        <f>POWER(B55,0.4)*0.44</f>
        <v>4.8336663905469184</v>
      </c>
      <c r="C56" s="157"/>
      <c r="H56" s="254" t="s">
        <v>345</v>
      </c>
      <c r="P56" s="157"/>
    </row>
    <row r="57" spans="1:20" ht="13.8" thickBot="1" x14ac:dyDescent="0.3">
      <c r="A57" s="171"/>
      <c r="B57" s="242"/>
      <c r="C57" s="180"/>
      <c r="H57" s="252" t="s">
        <v>346</v>
      </c>
      <c r="P57" s="157"/>
    </row>
    <row r="58" spans="1:20" ht="13.2" x14ac:dyDescent="0.25">
      <c r="H58" s="252" t="s">
        <v>347</v>
      </c>
      <c r="P58" s="157"/>
    </row>
    <row r="59" spans="1:20" ht="13.2" x14ac:dyDescent="0.25">
      <c r="H59" s="255" t="s">
        <v>348</v>
      </c>
      <c r="P59" s="157"/>
    </row>
    <row r="60" spans="1:20" ht="13.2" x14ac:dyDescent="0.25">
      <c r="H60" s="252" t="s">
        <v>349</v>
      </c>
      <c r="P60" s="157"/>
    </row>
    <row r="61" spans="1:20" ht="13.2" x14ac:dyDescent="0.25">
      <c r="H61" s="252" t="s">
        <v>350</v>
      </c>
      <c r="P61" s="157"/>
    </row>
    <row r="62" spans="1:20" ht="13.2" x14ac:dyDescent="0.25">
      <c r="H62" s="256"/>
      <c r="P62" s="157"/>
    </row>
    <row r="63" spans="1:20" ht="13.2" x14ac:dyDescent="0.25">
      <c r="H63" s="256"/>
      <c r="P63" s="157"/>
    </row>
    <row r="64" spans="1:20" ht="13.2" x14ac:dyDescent="0.25">
      <c r="H64" s="257" t="s">
        <v>351</v>
      </c>
      <c r="P64" s="157"/>
    </row>
    <row r="65" spans="8:16" ht="13.2" x14ac:dyDescent="0.25">
      <c r="H65" s="252" t="s">
        <v>346</v>
      </c>
      <c r="P65" s="157"/>
    </row>
    <row r="66" spans="8:16" ht="13.2" x14ac:dyDescent="0.25">
      <c r="H66" s="252" t="s">
        <v>352</v>
      </c>
      <c r="P66" s="157"/>
    </row>
    <row r="67" spans="8:16" ht="13.2" x14ac:dyDescent="0.25">
      <c r="H67" s="258" t="s">
        <v>353</v>
      </c>
      <c r="P67" s="157"/>
    </row>
    <row r="68" spans="8:16" ht="13.2" x14ac:dyDescent="0.25">
      <c r="H68" s="252" t="s">
        <v>349</v>
      </c>
      <c r="P68" s="157"/>
    </row>
    <row r="69" spans="8:16" ht="13.2" x14ac:dyDescent="0.25">
      <c r="H69" s="252" t="s">
        <v>350</v>
      </c>
      <c r="P69" s="157"/>
    </row>
    <row r="70" spans="8:16" ht="13.2" x14ac:dyDescent="0.25">
      <c r="H70" s="259" t="s">
        <v>354</v>
      </c>
      <c r="P70" s="157"/>
    </row>
    <row r="71" spans="8:16" ht="10.8" thickBot="1" x14ac:dyDescent="0.25">
      <c r="H71" s="171"/>
      <c r="I71" s="172"/>
      <c r="J71" s="172"/>
      <c r="K71" s="172"/>
      <c r="L71" s="172"/>
      <c r="M71" s="172"/>
      <c r="N71" s="172"/>
      <c r="O71" s="172"/>
      <c r="P71" s="180"/>
    </row>
  </sheetData>
  <mergeCells count="31">
    <mergeCell ref="A9:C9"/>
    <mergeCell ref="H9:J10"/>
    <mergeCell ref="L9:N9"/>
    <mergeCell ref="Q9:S10"/>
    <mergeCell ref="F3:S4"/>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H45:P45"/>
    <mergeCell ref="R45:T45"/>
    <mergeCell ref="A46:C46"/>
    <mergeCell ref="A53:C53"/>
    <mergeCell ref="V30:W30"/>
    <mergeCell ref="A31:C31"/>
    <mergeCell ref="K31:R31"/>
    <mergeCell ref="A38:C38"/>
    <mergeCell ref="V38:X38"/>
    <mergeCell ref="K39:R39"/>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1" customWidth="1"/>
    <col min="2" max="2" width="17.5546875" style="101" customWidth="1"/>
    <col min="3" max="16384" width="9.109375" style="101"/>
  </cols>
  <sheetData>
    <row r="1" spans="1:16" s="99" customFormat="1" ht="14.4" thickTop="1" thickBot="1" x14ac:dyDescent="0.3">
      <c r="A1" s="482" t="s">
        <v>148</v>
      </c>
      <c r="B1" s="483"/>
      <c r="C1" s="484" t="s">
        <v>149</v>
      </c>
      <c r="D1" s="485"/>
      <c r="E1" s="485"/>
      <c r="F1" s="485"/>
      <c r="G1" s="485"/>
      <c r="H1" s="485"/>
      <c r="I1" s="485"/>
      <c r="J1" s="485"/>
      <c r="K1" s="485"/>
      <c r="L1" s="485"/>
      <c r="M1" s="485"/>
      <c r="N1" s="485"/>
      <c r="O1" s="485"/>
      <c r="P1" s="486"/>
    </row>
    <row r="2" spans="1:16" s="99" customFormat="1" thickBot="1" x14ac:dyDescent="0.3">
      <c r="A2" s="487" t="s">
        <v>150</v>
      </c>
      <c r="B2" s="488" t="s">
        <v>151</v>
      </c>
      <c r="C2" s="488" t="s">
        <v>177</v>
      </c>
      <c r="D2" s="488" t="s">
        <v>178</v>
      </c>
      <c r="E2" s="488" t="s">
        <v>179</v>
      </c>
      <c r="F2" s="488" t="s">
        <v>222</v>
      </c>
      <c r="G2" s="488" t="s">
        <v>180</v>
      </c>
      <c r="H2" s="488" t="s">
        <v>181</v>
      </c>
      <c r="I2" s="488" t="s">
        <v>182</v>
      </c>
      <c r="J2" s="488" t="s">
        <v>175</v>
      </c>
      <c r="K2" s="488" t="s">
        <v>147</v>
      </c>
      <c r="L2" s="488" t="s">
        <v>176</v>
      </c>
      <c r="M2" s="488" t="s">
        <v>183</v>
      </c>
      <c r="N2" s="488" t="s">
        <v>225</v>
      </c>
      <c r="O2" s="488" t="s">
        <v>224</v>
      </c>
      <c r="P2" s="489" t="s">
        <v>239</v>
      </c>
    </row>
    <row r="3" spans="1:16" x14ac:dyDescent="0.25">
      <c r="A3" s="101">
        <v>5</v>
      </c>
      <c r="B3" s="101">
        <v>50</v>
      </c>
      <c r="C3" s="101">
        <v>12</v>
      </c>
      <c r="D3" s="101">
        <v>26</v>
      </c>
      <c r="E3" s="101">
        <v>45</v>
      </c>
      <c r="F3" s="101">
        <v>70</v>
      </c>
      <c r="G3" s="101">
        <v>100</v>
      </c>
      <c r="H3" s="101">
        <v>190</v>
      </c>
      <c r="I3" s="101">
        <v>280</v>
      </c>
      <c r="J3" s="101">
        <v>410</v>
      </c>
      <c r="K3" s="101">
        <v>760</v>
      </c>
      <c r="L3" s="101">
        <v>1250</v>
      </c>
      <c r="M3" s="101">
        <v>1770</v>
      </c>
      <c r="N3" s="101">
        <v>3100</v>
      </c>
      <c r="O3" s="101">
        <v>5000</v>
      </c>
      <c r="P3" s="101">
        <v>7100</v>
      </c>
    </row>
    <row r="4" spans="1:16" x14ac:dyDescent="0.25">
      <c r="A4" s="101">
        <v>5</v>
      </c>
      <c r="B4" s="101">
        <v>80</v>
      </c>
      <c r="C4" s="101">
        <v>19</v>
      </c>
      <c r="D4" s="101">
        <v>45</v>
      </c>
      <c r="E4" s="101">
        <v>75</v>
      </c>
      <c r="F4" s="101">
        <v>115</v>
      </c>
      <c r="G4" s="101">
        <v>170</v>
      </c>
      <c r="H4" s="101">
        <v>300</v>
      </c>
      <c r="I4" s="101">
        <v>490</v>
      </c>
      <c r="J4" s="101">
        <v>710</v>
      </c>
      <c r="K4" s="101">
        <v>1250</v>
      </c>
      <c r="L4" s="101">
        <v>1800</v>
      </c>
      <c r="M4" s="101">
        <v>2700</v>
      </c>
      <c r="N4" s="101">
        <v>5200</v>
      </c>
      <c r="O4" s="101">
        <v>7600</v>
      </c>
      <c r="P4" s="101">
        <v>11000</v>
      </c>
    </row>
    <row r="5" spans="1:16" x14ac:dyDescent="0.25">
      <c r="A5" s="101">
        <v>5</v>
      </c>
      <c r="B5" s="101">
        <v>120</v>
      </c>
      <c r="C5" s="101">
        <v>29</v>
      </c>
      <c r="D5" s="101">
        <v>60</v>
      </c>
      <c r="E5" s="101">
        <v>110</v>
      </c>
      <c r="F5" s="101">
        <v>175</v>
      </c>
      <c r="G5" s="101">
        <v>245</v>
      </c>
      <c r="H5" s="101">
        <v>460</v>
      </c>
      <c r="I5" s="101">
        <v>700</v>
      </c>
      <c r="J5" s="101">
        <v>1000</v>
      </c>
      <c r="K5" s="101">
        <v>1800</v>
      </c>
      <c r="L5" s="101">
        <v>2900</v>
      </c>
      <c r="M5" s="101">
        <v>4000</v>
      </c>
      <c r="N5" s="101">
        <v>7500</v>
      </c>
      <c r="O5" s="101">
        <v>12000</v>
      </c>
      <c r="P5" s="101">
        <v>16500</v>
      </c>
    </row>
    <row r="6" spans="1:16" x14ac:dyDescent="0.25">
      <c r="A6" s="101">
        <v>10</v>
      </c>
      <c r="B6" s="101">
        <v>50</v>
      </c>
      <c r="C6" s="101">
        <v>15</v>
      </c>
      <c r="D6" s="101">
        <v>35</v>
      </c>
      <c r="E6" s="101">
        <v>55</v>
      </c>
      <c r="F6" s="101">
        <v>88</v>
      </c>
      <c r="G6" s="101">
        <v>130</v>
      </c>
      <c r="H6" s="101">
        <v>240</v>
      </c>
      <c r="I6" s="101">
        <v>365</v>
      </c>
      <c r="J6" s="101">
        <v>550</v>
      </c>
      <c r="K6" s="101">
        <v>950</v>
      </c>
      <c r="L6" s="101">
        <v>1500</v>
      </c>
      <c r="M6" s="101">
        <v>2200</v>
      </c>
      <c r="N6" s="101">
        <v>3770</v>
      </c>
      <c r="O6" s="101">
        <v>6160</v>
      </c>
      <c r="P6" s="101">
        <v>8500</v>
      </c>
    </row>
    <row r="7" spans="1:16" x14ac:dyDescent="0.25">
      <c r="A7" s="101">
        <v>10</v>
      </c>
      <c r="B7" s="101">
        <v>80</v>
      </c>
      <c r="C7" s="101">
        <v>24</v>
      </c>
      <c r="D7" s="101">
        <v>52</v>
      </c>
      <c r="E7" s="101">
        <v>95</v>
      </c>
      <c r="F7" s="101">
        <v>150</v>
      </c>
      <c r="G7" s="101">
        <v>210</v>
      </c>
      <c r="H7" s="101">
        <v>380</v>
      </c>
      <c r="I7" s="101">
        <v>600</v>
      </c>
      <c r="J7" s="101">
        <v>900</v>
      </c>
      <c r="K7" s="101">
        <v>1500</v>
      </c>
      <c r="L7" s="101">
        <v>2400</v>
      </c>
      <c r="M7" s="101">
        <v>3300</v>
      </c>
      <c r="N7" s="101">
        <v>5900</v>
      </c>
      <c r="O7" s="101">
        <v>9700</v>
      </c>
      <c r="P7" s="101">
        <v>13000</v>
      </c>
    </row>
    <row r="8" spans="1:16" x14ac:dyDescent="0.25">
      <c r="A8" s="101">
        <v>10</v>
      </c>
      <c r="B8" s="101">
        <v>120</v>
      </c>
      <c r="C8" s="101">
        <v>35</v>
      </c>
      <c r="D8" s="101">
        <v>72</v>
      </c>
      <c r="E8" s="101">
        <v>135</v>
      </c>
      <c r="F8" s="101">
        <v>210</v>
      </c>
      <c r="G8" s="101">
        <v>330</v>
      </c>
      <c r="H8" s="101">
        <v>590</v>
      </c>
      <c r="I8" s="101">
        <v>850</v>
      </c>
      <c r="J8" s="101">
        <v>1250</v>
      </c>
      <c r="K8" s="101">
        <v>2200</v>
      </c>
      <c r="L8" s="101">
        <v>3400</v>
      </c>
      <c r="M8" s="101">
        <v>4800</v>
      </c>
      <c r="N8" s="101">
        <v>9000</v>
      </c>
      <c r="O8" s="101">
        <v>14400</v>
      </c>
      <c r="P8" s="101">
        <v>20500</v>
      </c>
    </row>
    <row r="9" spans="1:16" x14ac:dyDescent="0.25">
      <c r="A9" s="101">
        <v>20</v>
      </c>
      <c r="B9" s="101">
        <v>50</v>
      </c>
      <c r="C9" s="100">
        <v>21</v>
      </c>
      <c r="D9" s="100">
        <v>47</v>
      </c>
      <c r="E9" s="100">
        <v>82</v>
      </c>
      <c r="F9" s="100">
        <v>123</v>
      </c>
      <c r="G9" s="100">
        <v>185</v>
      </c>
      <c r="H9" s="100">
        <v>210</v>
      </c>
      <c r="I9" s="100">
        <v>520</v>
      </c>
      <c r="J9" s="100">
        <v>740</v>
      </c>
      <c r="K9" s="100">
        <v>1340</v>
      </c>
      <c r="L9" s="100">
        <v>1980</v>
      </c>
      <c r="M9" s="100">
        <v>2900</v>
      </c>
      <c r="N9" s="100">
        <v>5300</v>
      </c>
      <c r="O9" s="100">
        <v>8000</v>
      </c>
      <c r="P9" s="100">
        <v>11500</v>
      </c>
    </row>
    <row r="10" spans="1:16" x14ac:dyDescent="0.25">
      <c r="A10" s="101">
        <v>20</v>
      </c>
      <c r="B10" s="101">
        <v>80</v>
      </c>
      <c r="C10" s="100">
        <v>32</v>
      </c>
      <c r="D10" s="100">
        <v>70</v>
      </c>
      <c r="E10" s="100">
        <v>120</v>
      </c>
      <c r="F10" s="100">
        <v>190</v>
      </c>
      <c r="G10" s="100">
        <v>260</v>
      </c>
      <c r="H10" s="100">
        <v>520</v>
      </c>
      <c r="I10" s="100">
        <v>810</v>
      </c>
      <c r="J10" s="100">
        <v>1100</v>
      </c>
      <c r="K10" s="100">
        <v>1900</v>
      </c>
      <c r="L10" s="100">
        <v>3100</v>
      </c>
      <c r="M10" s="100">
        <v>4500</v>
      </c>
      <c r="N10" s="100">
        <v>8400</v>
      </c>
      <c r="O10" s="100">
        <v>13200</v>
      </c>
      <c r="P10" s="100">
        <v>18300</v>
      </c>
    </row>
    <row r="11" spans="1:16" x14ac:dyDescent="0.25">
      <c r="A11" s="101">
        <v>20</v>
      </c>
      <c r="B11" s="101">
        <v>120</v>
      </c>
      <c r="C11" s="100">
        <v>50</v>
      </c>
      <c r="D11" s="100">
        <v>105</v>
      </c>
      <c r="E11" s="100">
        <v>190</v>
      </c>
      <c r="F11" s="100">
        <v>300</v>
      </c>
      <c r="G11" s="100">
        <v>440</v>
      </c>
      <c r="H11" s="100">
        <v>840</v>
      </c>
      <c r="I11" s="100">
        <v>1250</v>
      </c>
      <c r="J11" s="100">
        <v>1720</v>
      </c>
      <c r="K11" s="100">
        <v>3100</v>
      </c>
      <c r="L11" s="100">
        <v>4850</v>
      </c>
      <c r="M11" s="100">
        <v>6750</v>
      </c>
      <c r="N11" s="100">
        <v>1300</v>
      </c>
      <c r="O11" s="100">
        <v>19800</v>
      </c>
      <c r="P11" s="100">
        <v>28000</v>
      </c>
    </row>
    <row r="12" spans="1:16" x14ac:dyDescent="0.25">
      <c r="A12" s="101">
        <v>30</v>
      </c>
      <c r="B12" s="101">
        <v>50</v>
      </c>
      <c r="C12" s="100">
        <v>26</v>
      </c>
      <c r="D12" s="100">
        <v>56</v>
      </c>
      <c r="E12" s="100">
        <v>100</v>
      </c>
      <c r="F12" s="100">
        <v>160</v>
      </c>
      <c r="G12" s="100">
        <v>230</v>
      </c>
      <c r="H12" s="100">
        <v>420</v>
      </c>
      <c r="I12" s="100">
        <v>650</v>
      </c>
      <c r="J12" s="100">
        <v>950</v>
      </c>
      <c r="K12" s="100">
        <v>1650</v>
      </c>
      <c r="L12" s="100">
        <v>2600</v>
      </c>
      <c r="M12" s="100">
        <v>3650</v>
      </c>
      <c r="N12" s="100">
        <v>6500</v>
      </c>
      <c r="O12" s="100">
        <v>10500</v>
      </c>
      <c r="P12" s="100">
        <v>14500</v>
      </c>
    </row>
    <row r="13" spans="1:16" x14ac:dyDescent="0.25">
      <c r="A13" s="101">
        <v>30</v>
      </c>
      <c r="B13" s="101">
        <v>80</v>
      </c>
      <c r="C13" s="100">
        <v>42</v>
      </c>
      <c r="D13" s="100">
        <v>94</v>
      </c>
      <c r="E13" s="100">
        <v>155</v>
      </c>
      <c r="F13" s="100">
        <v>250</v>
      </c>
      <c r="G13" s="100">
        <v>360</v>
      </c>
      <c r="H13" s="100">
        <v>655</v>
      </c>
      <c r="I13" s="100">
        <v>950</v>
      </c>
      <c r="J13" s="100">
        <v>1460</v>
      </c>
      <c r="K13" s="100">
        <v>2700</v>
      </c>
      <c r="L13" s="100">
        <v>3900</v>
      </c>
      <c r="M13" s="100">
        <v>5600</v>
      </c>
      <c r="N13" s="100">
        <v>10700</v>
      </c>
      <c r="O13" s="100">
        <v>16500</v>
      </c>
      <c r="P13" s="100">
        <v>23500</v>
      </c>
    </row>
    <row r="14" spans="1:16" x14ac:dyDescent="0.25">
      <c r="A14" s="101">
        <v>30</v>
      </c>
      <c r="B14" s="101">
        <v>120</v>
      </c>
      <c r="C14" s="100">
        <v>62</v>
      </c>
      <c r="D14" s="100">
        <v>130</v>
      </c>
      <c r="E14" s="100">
        <v>240</v>
      </c>
      <c r="F14" s="100">
        <v>370</v>
      </c>
      <c r="G14" s="100">
        <v>570</v>
      </c>
      <c r="H14" s="100">
        <v>990</v>
      </c>
      <c r="I14" s="100">
        <v>1550</v>
      </c>
      <c r="J14" s="100">
        <v>2100</v>
      </c>
      <c r="K14" s="100">
        <v>3950</v>
      </c>
      <c r="L14" s="100">
        <v>6100</v>
      </c>
      <c r="M14" s="100">
        <v>8700</v>
      </c>
      <c r="N14" s="100">
        <v>16000</v>
      </c>
      <c r="O14" s="100">
        <v>25000</v>
      </c>
      <c r="P14" s="100">
        <v>35000</v>
      </c>
    </row>
    <row r="15" spans="1:16" x14ac:dyDescent="0.25">
      <c r="A15" s="101">
        <v>40</v>
      </c>
      <c r="B15" s="101">
        <v>50</v>
      </c>
      <c r="C15" s="100">
        <v>32</v>
      </c>
      <c r="D15" s="100">
        <v>75</v>
      </c>
      <c r="E15" s="100">
        <v>120</v>
      </c>
      <c r="F15" s="100">
        <v>190</v>
      </c>
      <c r="G15" s="100">
        <v>260</v>
      </c>
      <c r="H15" s="100">
        <v>505</v>
      </c>
      <c r="I15" s="100">
        <v>790</v>
      </c>
      <c r="J15" s="100">
        <v>1100</v>
      </c>
      <c r="K15" s="100">
        <v>1900</v>
      </c>
      <c r="L15" s="100">
        <v>3100</v>
      </c>
      <c r="M15" s="100">
        <v>4200</v>
      </c>
      <c r="N15" s="100">
        <v>8200</v>
      </c>
      <c r="O15" s="100">
        <v>12800</v>
      </c>
      <c r="P15" s="100">
        <v>18000</v>
      </c>
    </row>
    <row r="16" spans="1:16" x14ac:dyDescent="0.25">
      <c r="A16" s="101">
        <v>40</v>
      </c>
      <c r="B16" s="101">
        <v>80</v>
      </c>
      <c r="C16" s="100">
        <v>51</v>
      </c>
      <c r="D16" s="100">
        <v>110</v>
      </c>
      <c r="E16" s="100">
        <v>195</v>
      </c>
      <c r="F16" s="100">
        <v>300</v>
      </c>
      <c r="G16" s="100">
        <v>445</v>
      </c>
      <c r="H16" s="100">
        <v>840</v>
      </c>
      <c r="I16" s="100">
        <v>1250</v>
      </c>
      <c r="J16" s="100">
        <v>1800</v>
      </c>
      <c r="K16" s="100">
        <v>3120</v>
      </c>
      <c r="L16" s="100">
        <v>4900</v>
      </c>
      <c r="M16" s="100">
        <v>6800</v>
      </c>
      <c r="N16" s="100">
        <v>13400</v>
      </c>
      <c r="O16" s="100">
        <v>20300</v>
      </c>
      <c r="P16" s="100">
        <v>28300</v>
      </c>
    </row>
    <row r="17" spans="1:16" x14ac:dyDescent="0.25">
      <c r="A17" s="101">
        <v>40</v>
      </c>
      <c r="B17" s="101">
        <v>120</v>
      </c>
      <c r="C17" s="100">
        <v>75</v>
      </c>
      <c r="D17" s="100">
        <v>160</v>
      </c>
      <c r="E17" s="100">
        <v>290</v>
      </c>
      <c r="F17" s="100">
        <v>460</v>
      </c>
      <c r="G17" s="100">
        <v>660</v>
      </c>
      <c r="H17" s="100">
        <v>1100</v>
      </c>
      <c r="I17" s="100">
        <v>1900</v>
      </c>
      <c r="J17" s="100">
        <v>2700</v>
      </c>
      <c r="K17" s="100">
        <v>4700</v>
      </c>
      <c r="L17" s="100">
        <v>7500</v>
      </c>
      <c r="M17" s="100">
        <v>11000</v>
      </c>
      <c r="N17" s="100">
        <v>19400</v>
      </c>
      <c r="O17" s="100">
        <v>30500</v>
      </c>
      <c r="P17" s="100">
        <v>42500</v>
      </c>
    </row>
    <row r="18" spans="1:16" x14ac:dyDescent="0.25">
      <c r="A18" s="101">
        <v>60</v>
      </c>
      <c r="B18" s="101">
        <v>50</v>
      </c>
      <c r="C18" s="100">
        <v>43</v>
      </c>
      <c r="D18" s="100">
        <v>95</v>
      </c>
      <c r="E18" s="100">
        <v>160</v>
      </c>
      <c r="F18" s="100">
        <v>250</v>
      </c>
      <c r="G18" s="100">
        <v>360</v>
      </c>
      <c r="H18" s="100">
        <v>650</v>
      </c>
      <c r="I18" s="100">
        <v>1000</v>
      </c>
      <c r="J18" s="100">
        <v>1470</v>
      </c>
      <c r="K18" s="100">
        <v>2700</v>
      </c>
      <c r="L18" s="100">
        <v>3900</v>
      </c>
      <c r="M18" s="100">
        <v>5700</v>
      </c>
      <c r="N18" s="100">
        <v>10700</v>
      </c>
      <c r="O18" s="100">
        <v>16500</v>
      </c>
      <c r="P18" s="100">
        <v>24000</v>
      </c>
    </row>
    <row r="19" spans="1:16" x14ac:dyDescent="0.25">
      <c r="A19" s="101">
        <v>60</v>
      </c>
      <c r="B19" s="101">
        <v>80</v>
      </c>
      <c r="C19" s="100">
        <v>65</v>
      </c>
      <c r="D19" s="100">
        <v>140</v>
      </c>
      <c r="E19" s="100">
        <v>250</v>
      </c>
      <c r="F19" s="100">
        <v>400</v>
      </c>
      <c r="G19" s="100">
        <v>600</v>
      </c>
      <c r="H19" s="100">
        <v>1000</v>
      </c>
      <c r="I19" s="100">
        <v>1650</v>
      </c>
      <c r="J19" s="100">
        <v>2400</v>
      </c>
      <c r="K19" s="100">
        <v>4400</v>
      </c>
      <c r="L19" s="100">
        <v>6500</v>
      </c>
      <c r="M19" s="100">
        <v>9400</v>
      </c>
      <c r="N19" s="100">
        <v>17500</v>
      </c>
      <c r="O19" s="100">
        <v>27200</v>
      </c>
      <c r="P19" s="100">
        <v>38500</v>
      </c>
    </row>
    <row r="20" spans="1:16" x14ac:dyDescent="0.25">
      <c r="A20" s="101">
        <v>60</v>
      </c>
      <c r="B20" s="101">
        <v>120</v>
      </c>
      <c r="C20" s="100">
        <v>102</v>
      </c>
      <c r="D20" s="100">
        <v>240</v>
      </c>
      <c r="E20" s="100">
        <v>410</v>
      </c>
      <c r="F20" s="100">
        <v>610</v>
      </c>
      <c r="G20" s="100">
        <v>950</v>
      </c>
      <c r="H20" s="100">
        <v>1660</v>
      </c>
      <c r="I20" s="100">
        <v>2600</v>
      </c>
      <c r="J20" s="100">
        <v>3800</v>
      </c>
      <c r="K20" s="100">
        <v>6500</v>
      </c>
      <c r="L20" s="100">
        <v>10300</v>
      </c>
      <c r="M20" s="100">
        <v>14700</v>
      </c>
      <c r="N20" s="100">
        <v>26400</v>
      </c>
      <c r="O20" s="100">
        <v>41000</v>
      </c>
      <c r="P20" s="100">
        <v>58000</v>
      </c>
    </row>
    <row r="21" spans="1:16" x14ac:dyDescent="0.25">
      <c r="A21" s="101">
        <v>80</v>
      </c>
      <c r="B21" s="101">
        <v>50</v>
      </c>
      <c r="C21" s="100">
        <v>53</v>
      </c>
      <c r="D21" s="100">
        <v>120</v>
      </c>
      <c r="E21" s="100">
        <v>215</v>
      </c>
      <c r="F21" s="100">
        <v>315</v>
      </c>
      <c r="G21" s="100">
        <v>460</v>
      </c>
      <c r="H21" s="100">
        <v>870</v>
      </c>
      <c r="I21" s="100">
        <v>1300</v>
      </c>
      <c r="J21" s="100">
        <v>1900</v>
      </c>
      <c r="K21" s="100">
        <v>3200</v>
      </c>
      <c r="L21" s="100">
        <v>5200</v>
      </c>
      <c r="M21" s="100">
        <v>7000</v>
      </c>
      <c r="N21" s="100">
        <v>13700</v>
      </c>
      <c r="O21" s="100">
        <v>21200</v>
      </c>
      <c r="P21" s="100">
        <v>29500</v>
      </c>
    </row>
    <row r="22" spans="1:16" x14ac:dyDescent="0.25">
      <c r="A22" s="101">
        <v>80</v>
      </c>
      <c r="B22" s="101">
        <v>80</v>
      </c>
      <c r="C22" s="100">
        <v>83</v>
      </c>
      <c r="D22" s="100">
        <v>190</v>
      </c>
      <c r="E22" s="100">
        <v>320</v>
      </c>
      <c r="F22" s="100">
        <v>500</v>
      </c>
      <c r="G22" s="100">
        <v>730</v>
      </c>
      <c r="H22" s="100">
        <v>1300</v>
      </c>
      <c r="I22" s="100">
        <v>2100</v>
      </c>
      <c r="J22" s="100">
        <v>3000</v>
      </c>
      <c r="K22" s="100">
        <v>5000</v>
      </c>
      <c r="L22" s="100">
        <v>8400</v>
      </c>
      <c r="M22" s="100">
        <v>12200</v>
      </c>
      <c r="N22" s="100">
        <v>21000</v>
      </c>
      <c r="O22" s="100">
        <v>33800</v>
      </c>
      <c r="P22" s="100">
        <v>47500</v>
      </c>
    </row>
    <row r="23" spans="1:16" x14ac:dyDescent="0.25">
      <c r="A23" s="101">
        <v>80</v>
      </c>
      <c r="B23" s="101">
        <v>120</v>
      </c>
      <c r="C23" s="100">
        <v>130</v>
      </c>
      <c r="D23" s="100">
        <v>290</v>
      </c>
      <c r="E23" s="100">
        <v>500</v>
      </c>
      <c r="F23" s="100">
        <v>750</v>
      </c>
      <c r="G23" s="100">
        <v>1100</v>
      </c>
      <c r="H23" s="100">
        <v>1900</v>
      </c>
      <c r="I23" s="100">
        <v>3000</v>
      </c>
      <c r="J23" s="100">
        <v>4200</v>
      </c>
      <c r="K23" s="100">
        <v>7800</v>
      </c>
      <c r="L23" s="100">
        <v>12000</v>
      </c>
      <c r="M23" s="100">
        <v>17500</v>
      </c>
      <c r="N23" s="100">
        <v>30600</v>
      </c>
      <c r="O23" s="100">
        <v>51600</v>
      </c>
      <c r="P23" s="100">
        <v>71700</v>
      </c>
    </row>
    <row r="24" spans="1:16" x14ac:dyDescent="0.25">
      <c r="A24" s="101">
        <v>100</v>
      </c>
      <c r="B24" s="101">
        <v>50</v>
      </c>
      <c r="C24" s="100">
        <v>63</v>
      </c>
      <c r="D24" s="100">
        <v>130</v>
      </c>
      <c r="E24" s="100">
        <v>240</v>
      </c>
      <c r="F24" s="100">
        <v>360</v>
      </c>
      <c r="G24" s="100">
        <v>570</v>
      </c>
      <c r="H24" s="100">
        <v>980</v>
      </c>
      <c r="I24" s="100">
        <v>1550</v>
      </c>
      <c r="J24" s="100">
        <v>2100</v>
      </c>
      <c r="K24" s="100">
        <v>4000</v>
      </c>
      <c r="L24" s="100">
        <v>6100</v>
      </c>
      <c r="M24" s="100">
        <v>8800</v>
      </c>
      <c r="N24" s="100">
        <v>16300</v>
      </c>
      <c r="O24" s="100">
        <v>26500</v>
      </c>
      <c r="P24" s="100">
        <v>35500</v>
      </c>
    </row>
    <row r="25" spans="1:16" x14ac:dyDescent="0.25">
      <c r="A25" s="101">
        <v>100</v>
      </c>
      <c r="B25" s="101">
        <v>80</v>
      </c>
      <c r="C25" s="100">
        <v>102</v>
      </c>
      <c r="D25" s="100">
        <v>240</v>
      </c>
      <c r="E25" s="100">
        <v>400</v>
      </c>
      <c r="F25" s="100">
        <v>610</v>
      </c>
      <c r="G25" s="100">
        <v>950</v>
      </c>
      <c r="H25" s="100">
        <v>1660</v>
      </c>
      <c r="I25" s="100">
        <v>2550</v>
      </c>
      <c r="J25" s="100">
        <v>3700</v>
      </c>
      <c r="K25" s="100">
        <v>6400</v>
      </c>
      <c r="L25" s="100">
        <v>10200</v>
      </c>
      <c r="M25" s="100">
        <v>14600</v>
      </c>
      <c r="N25" s="100">
        <v>26000</v>
      </c>
      <c r="O25" s="100">
        <v>41000</v>
      </c>
      <c r="P25" s="100">
        <v>57300</v>
      </c>
    </row>
    <row r="26" spans="1:16" x14ac:dyDescent="0.25">
      <c r="A26" s="101">
        <v>100</v>
      </c>
      <c r="B26" s="101">
        <v>120</v>
      </c>
      <c r="C26" s="100">
        <v>150</v>
      </c>
      <c r="D26" s="100">
        <v>350</v>
      </c>
      <c r="E26" s="100">
        <v>600</v>
      </c>
      <c r="F26" s="100">
        <v>900</v>
      </c>
      <c r="G26" s="100">
        <v>1370</v>
      </c>
      <c r="H26" s="100">
        <v>2400</v>
      </c>
      <c r="I26" s="100">
        <v>3700</v>
      </c>
      <c r="J26" s="100">
        <v>5000</v>
      </c>
      <c r="K26" s="100">
        <v>9100</v>
      </c>
      <c r="L26" s="100">
        <v>15000</v>
      </c>
      <c r="M26" s="100">
        <v>21600</v>
      </c>
      <c r="N26" s="100">
        <v>38000</v>
      </c>
      <c r="O26" s="100">
        <v>61500</v>
      </c>
      <c r="P26" s="100">
        <v>86300</v>
      </c>
    </row>
    <row r="27" spans="1:16" x14ac:dyDescent="0.25">
      <c r="A27" s="101">
        <v>120</v>
      </c>
      <c r="B27" s="101">
        <v>50</v>
      </c>
      <c r="C27" s="100">
        <v>74</v>
      </c>
      <c r="D27" s="100">
        <v>160</v>
      </c>
      <c r="E27" s="100">
        <v>290</v>
      </c>
      <c r="F27" s="100">
        <v>440</v>
      </c>
      <c r="G27" s="100">
        <v>660</v>
      </c>
      <c r="H27" s="100">
        <v>1100</v>
      </c>
      <c r="I27" s="100">
        <v>1850</v>
      </c>
      <c r="J27" s="100">
        <v>2600</v>
      </c>
      <c r="K27" s="100">
        <v>4600</v>
      </c>
      <c r="L27" s="100">
        <v>7000</v>
      </c>
      <c r="M27" s="100">
        <v>10500</v>
      </c>
      <c r="N27" s="100">
        <v>18600</v>
      </c>
      <c r="O27" s="100">
        <v>29200</v>
      </c>
      <c r="P27" s="100">
        <v>41000</v>
      </c>
    </row>
    <row r="28" spans="1:16" x14ac:dyDescent="0.25">
      <c r="A28" s="101">
        <v>120</v>
      </c>
      <c r="B28" s="101">
        <v>80</v>
      </c>
      <c r="C28" s="100">
        <v>120</v>
      </c>
      <c r="D28" s="100">
        <v>270</v>
      </c>
      <c r="E28" s="100">
        <v>450</v>
      </c>
      <c r="F28" s="100">
        <v>710</v>
      </c>
      <c r="G28" s="100">
        <v>1030</v>
      </c>
      <c r="H28" s="100">
        <v>1800</v>
      </c>
      <c r="I28" s="100">
        <v>2800</v>
      </c>
      <c r="J28" s="100">
        <v>4150</v>
      </c>
      <c r="K28" s="100">
        <v>7200</v>
      </c>
      <c r="L28" s="100">
        <v>11600</v>
      </c>
      <c r="M28" s="100">
        <v>16500</v>
      </c>
      <c r="N28" s="100">
        <v>29200</v>
      </c>
      <c r="O28" s="100">
        <v>48000</v>
      </c>
      <c r="P28" s="100">
        <v>73800</v>
      </c>
    </row>
    <row r="29" spans="1:16" x14ac:dyDescent="0.25">
      <c r="A29" s="101">
        <v>120</v>
      </c>
      <c r="B29" s="101">
        <v>120</v>
      </c>
      <c r="C29" s="100">
        <v>175</v>
      </c>
      <c r="D29" s="100">
        <v>400</v>
      </c>
      <c r="E29" s="100">
        <v>680</v>
      </c>
      <c r="F29" s="100">
        <v>1060</v>
      </c>
      <c r="G29" s="100">
        <v>1520</v>
      </c>
      <c r="H29" s="100">
        <v>2850</v>
      </c>
      <c r="I29" s="100">
        <v>4300</v>
      </c>
      <c r="J29" s="100">
        <v>6500</v>
      </c>
      <c r="K29" s="100">
        <v>10700</v>
      </c>
      <c r="L29" s="100">
        <v>17500</v>
      </c>
      <c r="M29" s="100">
        <v>26000</v>
      </c>
      <c r="N29" s="100">
        <v>44300</v>
      </c>
      <c r="O29" s="100">
        <v>70200</v>
      </c>
      <c r="P29" s="100">
        <v>97700</v>
      </c>
    </row>
    <row r="30" spans="1:16" x14ac:dyDescent="0.25">
      <c r="A30" s="101">
        <v>150</v>
      </c>
      <c r="B30" s="101">
        <v>50</v>
      </c>
      <c r="C30" s="100">
        <v>90</v>
      </c>
      <c r="D30" s="100">
        <v>208</v>
      </c>
      <c r="E30" s="100">
        <v>340</v>
      </c>
      <c r="F30" s="100">
        <v>550</v>
      </c>
      <c r="G30" s="100">
        <v>820</v>
      </c>
      <c r="H30" s="100">
        <v>1380</v>
      </c>
      <c r="I30" s="100">
        <v>2230</v>
      </c>
      <c r="J30" s="100">
        <v>3220</v>
      </c>
      <c r="K30" s="100">
        <v>5500</v>
      </c>
      <c r="L30" s="100">
        <v>8800</v>
      </c>
      <c r="M30" s="100">
        <v>12900</v>
      </c>
      <c r="N30" s="100">
        <v>22000</v>
      </c>
      <c r="O30" s="100">
        <v>35600</v>
      </c>
      <c r="P30" s="100">
        <v>50000</v>
      </c>
    </row>
    <row r="31" spans="1:16" x14ac:dyDescent="0.25">
      <c r="A31" s="101">
        <v>150</v>
      </c>
      <c r="B31" s="101">
        <v>80</v>
      </c>
      <c r="C31" s="100">
        <v>145</v>
      </c>
      <c r="D31" s="100">
        <v>320</v>
      </c>
      <c r="E31" s="100">
        <v>570</v>
      </c>
      <c r="F31" s="100">
        <v>900</v>
      </c>
      <c r="G31" s="100">
        <v>1250</v>
      </c>
      <c r="H31" s="100">
        <v>2200</v>
      </c>
      <c r="I31" s="100">
        <v>3400</v>
      </c>
      <c r="J31" s="100">
        <v>4900</v>
      </c>
      <c r="K31" s="100">
        <v>8500</v>
      </c>
      <c r="L31" s="100">
        <v>14000</v>
      </c>
      <c r="M31" s="100">
        <v>20000</v>
      </c>
      <c r="N31" s="100">
        <v>35500</v>
      </c>
      <c r="O31" s="100">
        <v>57500</v>
      </c>
      <c r="P31" s="100">
        <v>79800</v>
      </c>
    </row>
    <row r="32" spans="1:16" x14ac:dyDescent="0.25">
      <c r="A32" s="101">
        <v>150</v>
      </c>
      <c r="B32" s="101">
        <v>120</v>
      </c>
      <c r="C32" s="100">
        <v>215</v>
      </c>
      <c r="D32" s="100">
        <v>450</v>
      </c>
      <c r="E32" s="100">
        <v>850</v>
      </c>
      <c r="F32" s="100">
        <v>1280</v>
      </c>
      <c r="G32" s="100">
        <v>1890</v>
      </c>
      <c r="H32" s="100">
        <v>3400</v>
      </c>
      <c r="I32" s="100">
        <v>5300</v>
      </c>
      <c r="J32" s="100">
        <v>7500</v>
      </c>
      <c r="K32" s="100">
        <v>13400</v>
      </c>
      <c r="L32" s="100">
        <v>20600</v>
      </c>
      <c r="M32" s="100">
        <v>30000</v>
      </c>
      <c r="N32" s="100">
        <v>55500</v>
      </c>
      <c r="O32" s="100">
        <v>85500</v>
      </c>
      <c r="P32" s="100">
        <v>120000</v>
      </c>
    </row>
    <row r="33" spans="1:16" x14ac:dyDescent="0.25">
      <c r="A33" s="101">
        <v>200</v>
      </c>
      <c r="B33" s="101">
        <v>50</v>
      </c>
      <c r="C33" s="100">
        <v>110</v>
      </c>
      <c r="D33" s="100">
        <v>265</v>
      </c>
      <c r="E33" s="100">
        <v>450</v>
      </c>
      <c r="F33" s="100">
        <v>680</v>
      </c>
      <c r="G33" s="100">
        <v>1020</v>
      </c>
      <c r="H33" s="100">
        <v>1780</v>
      </c>
      <c r="I33" s="100">
        <v>2800</v>
      </c>
      <c r="J33" s="100">
        <v>4120</v>
      </c>
      <c r="K33" s="100">
        <v>7100</v>
      </c>
      <c r="L33" s="100">
        <v>11500</v>
      </c>
      <c r="M33" s="100">
        <v>16300</v>
      </c>
      <c r="N33" s="100">
        <v>28500</v>
      </c>
      <c r="O33" s="100">
        <v>45300</v>
      </c>
      <c r="P33" s="100">
        <v>64000</v>
      </c>
    </row>
    <row r="34" spans="1:16" x14ac:dyDescent="0.25">
      <c r="A34" s="101">
        <v>200</v>
      </c>
      <c r="B34" s="101">
        <v>80</v>
      </c>
      <c r="C34" s="100">
        <v>180</v>
      </c>
      <c r="D34" s="100">
        <v>410</v>
      </c>
      <c r="E34" s="100">
        <v>700</v>
      </c>
      <c r="F34" s="100">
        <v>1100</v>
      </c>
      <c r="G34" s="100">
        <v>1560</v>
      </c>
      <c r="H34" s="100">
        <v>2910</v>
      </c>
      <c r="I34" s="100">
        <v>4400</v>
      </c>
      <c r="J34" s="100">
        <v>6600</v>
      </c>
      <c r="K34" s="100">
        <v>11000</v>
      </c>
      <c r="L34" s="100">
        <v>18000</v>
      </c>
      <c r="M34" s="100">
        <v>26600</v>
      </c>
      <c r="N34" s="100">
        <v>46000</v>
      </c>
      <c r="O34" s="100">
        <v>72300</v>
      </c>
      <c r="P34" s="100">
        <v>100000</v>
      </c>
    </row>
    <row r="35" spans="1:16" x14ac:dyDescent="0.25">
      <c r="A35" s="101">
        <v>200</v>
      </c>
      <c r="B35" s="101">
        <v>120</v>
      </c>
      <c r="C35" s="100">
        <v>250</v>
      </c>
      <c r="D35" s="100">
        <v>600</v>
      </c>
      <c r="E35" s="100">
        <v>1100</v>
      </c>
      <c r="F35" s="100">
        <v>1630</v>
      </c>
      <c r="G35" s="100">
        <v>2400</v>
      </c>
      <c r="H35" s="100">
        <v>4350</v>
      </c>
      <c r="I35" s="100">
        <v>6800</v>
      </c>
      <c r="J35" s="100">
        <v>9400</v>
      </c>
      <c r="K35" s="100">
        <v>16900</v>
      </c>
      <c r="L35" s="100">
        <v>25900</v>
      </c>
      <c r="M35" s="100">
        <v>37000</v>
      </c>
      <c r="N35" s="100">
        <v>70600</v>
      </c>
      <c r="O35" s="100">
        <v>109000</v>
      </c>
      <c r="P35" s="100">
        <v>152000</v>
      </c>
    </row>
  </sheetData>
  <sheetProtection algorithmName="SHA-512" hashValue="8a1XFkPEQSbjJD+W6IZG604eRRnWfbMQuIxb3zNX9JrLhyg1uP581LJLsl+PxwbNdolR7oAAW1Y/uT99mOhdqg==" saltValue="9piZhTycN/NN72jFIfnuAQ==" spinCount="100000" sheet="1" objects="1" scenarios="1" sort="0" autoFilter="0"/>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25" t="s">
        <v>185</v>
      </c>
    </row>
    <row r="5" spans="2:2" x14ac:dyDescent="0.25">
      <c r="B5" s="82" t="s">
        <v>186</v>
      </c>
    </row>
    <row r="7" spans="2:2" x14ac:dyDescent="0.25">
      <c r="B7" s="82" t="s">
        <v>187</v>
      </c>
    </row>
    <row r="9" spans="2:2" x14ac:dyDescent="0.25">
      <c r="B9" s="82" t="s">
        <v>188</v>
      </c>
    </row>
    <row r="13" spans="2:2" ht="22.8" x14ac:dyDescent="0.25">
      <c r="B13" s="126" t="s">
        <v>189</v>
      </c>
    </row>
    <row r="15" spans="2:2" x14ac:dyDescent="0.25">
      <c r="B15" s="82" t="s">
        <v>190</v>
      </c>
    </row>
    <row r="17" spans="2:2" x14ac:dyDescent="0.25">
      <c r="B17" s="127" t="s">
        <v>191</v>
      </c>
    </row>
    <row r="18" spans="2:2" x14ac:dyDescent="0.25">
      <c r="B18" s="61"/>
    </row>
    <row r="19" spans="2:2" x14ac:dyDescent="0.25">
      <c r="B19" s="90" t="s">
        <v>192</v>
      </c>
    </row>
    <row r="20" spans="2:2" x14ac:dyDescent="0.25">
      <c r="B20" s="61"/>
    </row>
    <row r="21" spans="2:2" x14ac:dyDescent="0.25">
      <c r="B21" s="55" t="s">
        <v>193</v>
      </c>
    </row>
    <row r="22" spans="2:2" x14ac:dyDescent="0.25">
      <c r="B22" s="61"/>
    </row>
    <row r="23" spans="2:2" x14ac:dyDescent="0.25">
      <c r="B23" s="90" t="s">
        <v>194</v>
      </c>
    </row>
    <row r="24" spans="2:2" x14ac:dyDescent="0.25">
      <c r="B24" s="61"/>
    </row>
    <row r="25" spans="2:2" x14ac:dyDescent="0.25">
      <c r="B25" s="55" t="s">
        <v>195</v>
      </c>
    </row>
    <row r="26" spans="2:2" x14ac:dyDescent="0.25">
      <c r="B26" s="61"/>
    </row>
    <row r="27" spans="2:2" x14ac:dyDescent="0.25">
      <c r="B27" s="90" t="s">
        <v>196</v>
      </c>
    </row>
    <row r="28" spans="2:2" x14ac:dyDescent="0.25">
      <c r="B28" s="61"/>
    </row>
    <row r="29" spans="2:2" x14ac:dyDescent="0.25">
      <c r="B29" s="55" t="s">
        <v>197</v>
      </c>
    </row>
    <row r="33" spans="2:2" ht="22.8" x14ac:dyDescent="0.25">
      <c r="B33" s="126" t="s">
        <v>198</v>
      </c>
    </row>
    <row r="35" spans="2:2" x14ac:dyDescent="0.25">
      <c r="B35" s="127" t="s">
        <v>199</v>
      </c>
    </row>
    <row r="36" spans="2:2" x14ac:dyDescent="0.25">
      <c r="B36" s="61"/>
    </row>
    <row r="37" spans="2:2" x14ac:dyDescent="0.25">
      <c r="B37" s="55" t="s">
        <v>200</v>
      </c>
    </row>
    <row r="38" spans="2:2" x14ac:dyDescent="0.25">
      <c r="B38" s="61"/>
    </row>
    <row r="39" spans="2:2" x14ac:dyDescent="0.25">
      <c r="B39" s="55" t="s">
        <v>201</v>
      </c>
    </row>
    <row r="40" spans="2:2" x14ac:dyDescent="0.25">
      <c r="B40" s="55" t="s">
        <v>202</v>
      </c>
    </row>
    <row r="41" spans="2:2" x14ac:dyDescent="0.25">
      <c r="B41" s="61"/>
    </row>
    <row r="42" spans="2:2" x14ac:dyDescent="0.25">
      <c r="B42" s="55" t="s">
        <v>203</v>
      </c>
    </row>
    <row r="44" spans="2:2" x14ac:dyDescent="0.25">
      <c r="B44" s="127" t="s">
        <v>204</v>
      </c>
    </row>
    <row r="46" spans="2:2" x14ac:dyDescent="0.25">
      <c r="B46" s="82" t="s">
        <v>205</v>
      </c>
    </row>
    <row r="48" spans="2:2" x14ac:dyDescent="0.25">
      <c r="B48" s="127" t="s">
        <v>206</v>
      </c>
    </row>
    <row r="50" spans="2:2" x14ac:dyDescent="0.25">
      <c r="B50" s="82" t="s">
        <v>207</v>
      </c>
    </row>
    <row r="52" spans="2:2" x14ac:dyDescent="0.25">
      <c r="B52" s="127" t="s">
        <v>208</v>
      </c>
    </row>
    <row r="53" spans="2:2" x14ac:dyDescent="0.25">
      <c r="B53" s="82" t="s">
        <v>209</v>
      </c>
    </row>
    <row r="55" spans="2:2" x14ac:dyDescent="0.25">
      <c r="B55" s="82" t="s">
        <v>210</v>
      </c>
    </row>
    <row r="57" spans="2:2" x14ac:dyDescent="0.25">
      <c r="B57" s="127" t="s">
        <v>211</v>
      </c>
    </row>
    <row r="59" spans="2:2" x14ac:dyDescent="0.25">
      <c r="B59" s="82" t="s">
        <v>212</v>
      </c>
    </row>
    <row r="62" spans="2:2" ht="22.8" x14ac:dyDescent="0.25">
      <c r="B62" s="126" t="s">
        <v>213</v>
      </c>
    </row>
    <row r="64" spans="2:2" x14ac:dyDescent="0.25">
      <c r="B64" s="82" t="s">
        <v>214</v>
      </c>
    </row>
    <row r="65" spans="2:2" x14ac:dyDescent="0.25">
      <c r="B65" s="82" t="s">
        <v>215</v>
      </c>
    </row>
    <row r="66" spans="2:2" x14ac:dyDescent="0.25">
      <c r="B66" s="82" t="s">
        <v>216</v>
      </c>
    </row>
    <row r="67" spans="2:2" x14ac:dyDescent="0.25">
      <c r="B67" s="82" t="s">
        <v>217</v>
      </c>
    </row>
    <row r="69" spans="2:2" x14ac:dyDescent="0.25">
      <c r="B69" s="127" t="s">
        <v>218</v>
      </c>
    </row>
    <row r="70" spans="2:2" x14ac:dyDescent="0.25">
      <c r="B70" s="61"/>
    </row>
    <row r="71" spans="2:2" x14ac:dyDescent="0.25">
      <c r="B71" s="55" t="s">
        <v>219</v>
      </c>
    </row>
    <row r="72" spans="2:2" x14ac:dyDescent="0.25">
      <c r="B72" s="61"/>
    </row>
    <row r="73" spans="2:2" x14ac:dyDescent="0.25">
      <c r="B73" s="55" t="s">
        <v>220</v>
      </c>
    </row>
    <row r="74" spans="2:2" x14ac:dyDescent="0.25">
      <c r="B74" s="61"/>
    </row>
    <row r="75" spans="2:2" x14ac:dyDescent="0.25">
      <c r="B75" s="55" t="s">
        <v>221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L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60" customWidth="1"/>
    <col min="9" max="9" width="8.88671875" style="260"/>
    <col min="10" max="10" width="18.6640625" customWidth="1"/>
  </cols>
  <sheetData>
    <row r="1" spans="3:12" ht="26.4" x14ac:dyDescent="0.25">
      <c r="C1" s="65" t="s">
        <v>21</v>
      </c>
      <c r="D1" s="84" t="s">
        <v>2586</v>
      </c>
      <c r="F1" s="84" t="s">
        <v>2587</v>
      </c>
      <c r="H1" s="261" t="s">
        <v>2588</v>
      </c>
      <c r="I1" s="261"/>
      <c r="L1" t="s">
        <v>2589</v>
      </c>
    </row>
    <row r="2" spans="3:12" x14ac:dyDescent="0.25">
      <c r="C2" s="88" t="s">
        <v>73</v>
      </c>
      <c r="D2" s="84"/>
      <c r="F2" s="87">
        <v>14.7</v>
      </c>
      <c r="G2" s="260"/>
      <c r="H2" s="260">
        <v>1.0135274893476192</v>
      </c>
      <c r="J2" s="89" t="s">
        <v>74</v>
      </c>
    </row>
    <row r="3" spans="3:12" x14ac:dyDescent="0.25">
      <c r="C3" s="83" t="s">
        <v>438</v>
      </c>
      <c r="D3" s="85"/>
      <c r="F3" s="85"/>
      <c r="G3" s="260"/>
    </row>
    <row r="4" spans="3:12" x14ac:dyDescent="0.25">
      <c r="C4" s="83" t="s">
        <v>22</v>
      </c>
      <c r="D4" s="85">
        <v>29.3</v>
      </c>
      <c r="F4" s="85">
        <v>14.39</v>
      </c>
      <c r="G4" s="260"/>
      <c r="H4" s="260">
        <v>0.99215557264137699</v>
      </c>
      <c r="J4" s="82" t="s">
        <v>72</v>
      </c>
      <c r="L4" t="s">
        <v>2536</v>
      </c>
    </row>
    <row r="5" spans="3:12" x14ac:dyDescent="0.25">
      <c r="C5" s="83" t="s">
        <v>23</v>
      </c>
      <c r="D5" s="85">
        <v>29.81</v>
      </c>
      <c r="F5" s="85">
        <v>14.64</v>
      </c>
      <c r="G5" s="260"/>
      <c r="H5" s="260">
        <v>1.0093924658422349</v>
      </c>
      <c r="L5" t="s">
        <v>2537</v>
      </c>
    </row>
    <row r="6" spans="3:12" x14ac:dyDescent="0.25">
      <c r="C6" s="83" t="s">
        <v>24</v>
      </c>
      <c r="D6" s="85">
        <v>28.77</v>
      </c>
      <c r="F6" s="85">
        <v>14.13</v>
      </c>
      <c r="G6" s="260"/>
      <c r="H6" s="260">
        <v>0.97422920371248489</v>
      </c>
      <c r="L6" t="s">
        <v>2538</v>
      </c>
    </row>
    <row r="7" spans="3:12" x14ac:dyDescent="0.25">
      <c r="C7" s="83" t="s">
        <v>25</v>
      </c>
      <c r="D7" s="85">
        <v>29.62</v>
      </c>
      <c r="F7" s="85">
        <v>14.55</v>
      </c>
      <c r="G7" s="260"/>
      <c r="H7" s="260">
        <v>1.003187184289926</v>
      </c>
      <c r="L7" t="s">
        <v>2539</v>
      </c>
    </row>
    <row r="8" spans="3:12" x14ac:dyDescent="0.25">
      <c r="C8" s="83" t="s">
        <v>26</v>
      </c>
      <c r="D8" s="85">
        <v>29.67</v>
      </c>
      <c r="F8" s="85">
        <v>14.57</v>
      </c>
      <c r="G8" s="260"/>
      <c r="H8" s="260">
        <v>1.0045661357459947</v>
      </c>
      <c r="L8" t="s">
        <v>2540</v>
      </c>
    </row>
    <row r="9" spans="3:12" x14ac:dyDescent="0.25">
      <c r="C9" s="83" t="s">
        <v>27</v>
      </c>
      <c r="D9" s="85">
        <v>24.64</v>
      </c>
      <c r="F9" s="85">
        <v>12.1</v>
      </c>
      <c r="G9" s="260"/>
      <c r="H9" s="260">
        <v>0.83426563092151917</v>
      </c>
      <c r="L9" t="s">
        <v>2541</v>
      </c>
    </row>
    <row r="10" spans="3:12" x14ac:dyDescent="0.25">
      <c r="C10" s="83" t="s">
        <v>28</v>
      </c>
      <c r="D10" s="85">
        <v>29.92</v>
      </c>
      <c r="F10" s="85">
        <v>14.69</v>
      </c>
      <c r="G10" s="260"/>
      <c r="H10" s="260">
        <v>1.0128398444824063</v>
      </c>
      <c r="L10" t="s">
        <v>2542</v>
      </c>
    </row>
    <row r="11" spans="3:12" x14ac:dyDescent="0.25">
      <c r="C11" s="83" t="s">
        <v>29</v>
      </c>
      <c r="D11" s="85">
        <v>29.82</v>
      </c>
      <c r="F11" s="85">
        <v>14.65</v>
      </c>
      <c r="G11" s="260"/>
      <c r="H11" s="262">
        <v>1.0100819415702691</v>
      </c>
      <c r="I11" s="262"/>
      <c r="L11" t="s">
        <v>2543</v>
      </c>
    </row>
    <row r="12" spans="3:12" x14ac:dyDescent="0.25">
      <c r="C12" s="83" t="s">
        <v>30</v>
      </c>
      <c r="D12" s="85">
        <v>29.92</v>
      </c>
      <c r="F12" s="85">
        <v>14.69</v>
      </c>
      <c r="G12" s="260"/>
      <c r="H12" s="260">
        <v>1.0128398444824063</v>
      </c>
      <c r="L12" t="s">
        <v>2544</v>
      </c>
    </row>
    <row r="13" spans="3:12" x14ac:dyDescent="0.25">
      <c r="C13" s="83" t="s">
        <v>31</v>
      </c>
      <c r="D13" s="85">
        <v>28.8</v>
      </c>
      <c r="F13" s="85">
        <v>14.15</v>
      </c>
      <c r="G13" s="260"/>
      <c r="H13" s="260">
        <v>0.97560815516855348</v>
      </c>
      <c r="L13" t="s">
        <v>2545</v>
      </c>
    </row>
    <row r="14" spans="3:12" x14ac:dyDescent="0.25">
      <c r="C14" s="83" t="s">
        <v>32</v>
      </c>
      <c r="D14" s="85">
        <v>29.9</v>
      </c>
      <c r="F14" s="85">
        <v>14.69</v>
      </c>
      <c r="G14" s="260"/>
      <c r="H14" s="260">
        <v>1.0128398444824063</v>
      </c>
      <c r="L14" t="s">
        <v>2546</v>
      </c>
    </row>
    <row r="15" spans="3:12" x14ac:dyDescent="0.25">
      <c r="C15" s="83" t="s">
        <v>33</v>
      </c>
      <c r="D15" s="85">
        <v>27.11</v>
      </c>
      <c r="F15" s="85">
        <v>13.32</v>
      </c>
      <c r="G15" s="260"/>
      <c r="H15" s="260">
        <v>0.91838166974170554</v>
      </c>
      <c r="L15" t="s">
        <v>2547</v>
      </c>
    </row>
    <row r="16" spans="3:12" x14ac:dyDescent="0.25">
      <c r="C16" s="83" t="s">
        <v>34</v>
      </c>
      <c r="D16" s="85">
        <v>29.28</v>
      </c>
      <c r="F16" s="85">
        <v>14.38</v>
      </c>
      <c r="G16" s="260"/>
      <c r="H16" s="260">
        <v>0.99146609691334275</v>
      </c>
      <c r="L16" t="s">
        <v>2548</v>
      </c>
    </row>
    <row r="17" spans="3:12" x14ac:dyDescent="0.25">
      <c r="C17" s="83" t="s">
        <v>35</v>
      </c>
      <c r="D17" s="85">
        <v>29.15</v>
      </c>
      <c r="F17" s="85">
        <v>14.32</v>
      </c>
      <c r="G17" s="260"/>
      <c r="H17" s="260">
        <v>0.98732924254513688</v>
      </c>
      <c r="L17" t="s">
        <v>2549</v>
      </c>
    </row>
    <row r="18" spans="3:12" x14ac:dyDescent="0.25">
      <c r="C18" s="83" t="s">
        <v>36</v>
      </c>
      <c r="D18" s="85">
        <v>29.07</v>
      </c>
      <c r="F18" s="85">
        <v>14.28</v>
      </c>
      <c r="G18" s="260"/>
      <c r="H18" s="260">
        <v>0.98457133963299948</v>
      </c>
      <c r="L18" t="s">
        <v>2550</v>
      </c>
    </row>
    <row r="19" spans="3:12" x14ac:dyDescent="0.25">
      <c r="C19" s="83" t="s">
        <v>37</v>
      </c>
      <c r="D19" s="85">
        <v>28.54</v>
      </c>
      <c r="F19" s="85">
        <v>14.02</v>
      </c>
      <c r="G19" s="260"/>
      <c r="H19" s="260">
        <v>0.96664497070410738</v>
      </c>
      <c r="L19" t="s">
        <v>2551</v>
      </c>
    </row>
    <row r="20" spans="3:12" x14ac:dyDescent="0.25">
      <c r="C20" s="83" t="s">
        <v>38</v>
      </c>
      <c r="D20" s="85">
        <v>29.42</v>
      </c>
      <c r="F20" s="85">
        <v>14.45</v>
      </c>
      <c r="G20" s="260"/>
      <c r="H20" s="260">
        <v>0.99629242700958287</v>
      </c>
      <c r="L20" t="s">
        <v>2552</v>
      </c>
    </row>
    <row r="21" spans="3:12" x14ac:dyDescent="0.25">
      <c r="C21" s="83" t="s">
        <v>39</v>
      </c>
      <c r="D21" s="85">
        <v>29.92</v>
      </c>
      <c r="F21" s="85">
        <v>14.7</v>
      </c>
      <c r="G21" s="260"/>
      <c r="H21" s="260">
        <v>1.0135293202104407</v>
      </c>
      <c r="L21" t="s">
        <v>2553</v>
      </c>
    </row>
    <row r="22" spans="3:12" x14ac:dyDescent="0.25">
      <c r="C22" s="83" t="s">
        <v>40</v>
      </c>
      <c r="D22" s="85">
        <v>29.85</v>
      </c>
      <c r="F22" s="85">
        <v>14.66</v>
      </c>
      <c r="G22" s="260"/>
      <c r="H22" s="260">
        <v>1.0107714172983036</v>
      </c>
      <c r="L22" t="s">
        <v>2554</v>
      </c>
    </row>
    <row r="23" spans="3:12" x14ac:dyDescent="0.25">
      <c r="C23" s="83" t="s">
        <v>41</v>
      </c>
      <c r="D23" s="85">
        <v>29.66</v>
      </c>
      <c r="F23" s="85">
        <v>14.57</v>
      </c>
      <c r="G23" s="260"/>
      <c r="H23" s="260">
        <v>1.0045661357459947</v>
      </c>
      <c r="L23" t="s">
        <v>2555</v>
      </c>
    </row>
    <row r="24" spans="3:12" x14ac:dyDescent="0.25">
      <c r="C24" s="83" t="s">
        <v>42</v>
      </c>
      <c r="D24" s="85">
        <v>29.87</v>
      </c>
      <c r="F24" s="85">
        <v>14.67</v>
      </c>
      <c r="G24" s="260"/>
      <c r="H24" s="260">
        <v>1.0114608930263378</v>
      </c>
      <c r="L24" t="s">
        <v>2556</v>
      </c>
    </row>
    <row r="25" spans="3:12" x14ac:dyDescent="0.25">
      <c r="C25" s="83" t="s">
        <v>43</v>
      </c>
      <c r="D25" s="85">
        <v>29.28</v>
      </c>
      <c r="F25" s="85">
        <v>14.38</v>
      </c>
      <c r="G25" s="260"/>
      <c r="H25" s="260">
        <v>0.99146609691334275</v>
      </c>
      <c r="L25" t="s">
        <v>2557</v>
      </c>
    </row>
    <row r="26" spans="3:12" x14ac:dyDescent="0.25">
      <c r="C26" s="83" t="s">
        <v>44</v>
      </c>
      <c r="D26" s="85">
        <v>29.03</v>
      </c>
      <c r="F26" s="85">
        <v>14.26</v>
      </c>
      <c r="G26" s="260"/>
      <c r="H26" s="260">
        <v>0.98319238817693089</v>
      </c>
      <c r="L26" t="s">
        <v>2558</v>
      </c>
    </row>
    <row r="27" spans="3:12" x14ac:dyDescent="0.25">
      <c r="C27" s="83" t="s">
        <v>45</v>
      </c>
      <c r="D27" s="85">
        <v>29.53</v>
      </c>
      <c r="F27" s="85">
        <v>14.51</v>
      </c>
      <c r="G27" s="260"/>
      <c r="H27" s="260">
        <v>1.0004292813777889</v>
      </c>
      <c r="L27" t="s">
        <v>2559</v>
      </c>
    </row>
    <row r="28" spans="3:12" x14ac:dyDescent="0.25">
      <c r="C28" s="83" t="s">
        <v>46</v>
      </c>
      <c r="D28" s="85">
        <v>28.95</v>
      </c>
      <c r="F28" s="85">
        <v>14.22</v>
      </c>
      <c r="G28" s="260"/>
      <c r="H28" s="260">
        <v>0.98043448526479371</v>
      </c>
      <c r="L28" t="s">
        <v>2560</v>
      </c>
    </row>
    <row r="29" spans="3:12" x14ac:dyDescent="0.25">
      <c r="C29" s="83" t="s">
        <v>47</v>
      </c>
      <c r="D29" s="85">
        <v>26.61</v>
      </c>
      <c r="F29" s="85">
        <v>13.07</v>
      </c>
      <c r="G29" s="260"/>
      <c r="H29" s="260">
        <v>0.90114477654084768</v>
      </c>
      <c r="L29" t="s">
        <v>2561</v>
      </c>
    </row>
    <row r="30" spans="3:12" x14ac:dyDescent="0.25">
      <c r="C30" s="83" t="s">
        <v>48</v>
      </c>
      <c r="D30" s="85">
        <v>28.79</v>
      </c>
      <c r="F30" s="85">
        <v>14.14</v>
      </c>
      <c r="G30" s="260"/>
      <c r="H30" s="260">
        <v>0.97491867944051924</v>
      </c>
      <c r="L30" t="s">
        <v>2562</v>
      </c>
    </row>
    <row r="31" spans="3:12" x14ac:dyDescent="0.25">
      <c r="C31" s="83" t="s">
        <v>49</v>
      </c>
      <c r="D31" s="85">
        <v>27.82</v>
      </c>
      <c r="F31" s="85">
        <v>13.66</v>
      </c>
      <c r="G31" s="260"/>
      <c r="H31" s="260">
        <v>0.94182384449487211</v>
      </c>
      <c r="L31" t="s">
        <v>2563</v>
      </c>
    </row>
    <row r="32" spans="3:12" x14ac:dyDescent="0.25">
      <c r="C32" s="83" t="s">
        <v>50</v>
      </c>
      <c r="D32" s="85">
        <v>29.69</v>
      </c>
      <c r="F32" s="85">
        <v>14.58</v>
      </c>
      <c r="G32" s="260"/>
      <c r="H32" s="260">
        <v>1.005255611474029</v>
      </c>
      <c r="L32" t="s">
        <v>2564</v>
      </c>
    </row>
    <row r="33" spans="3:12" x14ac:dyDescent="0.25">
      <c r="C33" s="83" t="s">
        <v>51</v>
      </c>
      <c r="D33" s="85">
        <v>29.91</v>
      </c>
      <c r="F33" s="85">
        <v>14.69</v>
      </c>
      <c r="G33" s="260"/>
      <c r="H33" s="260">
        <v>1.0128398444824063</v>
      </c>
      <c r="L33" t="s">
        <v>2565</v>
      </c>
    </row>
    <row r="34" spans="3:12" x14ac:dyDescent="0.25">
      <c r="C34" s="83" t="s">
        <v>52</v>
      </c>
      <c r="D34" s="85">
        <v>24.61</v>
      </c>
      <c r="F34" s="85">
        <v>12.09</v>
      </c>
      <c r="G34" s="260"/>
      <c r="H34" s="260">
        <v>0.83357615519348494</v>
      </c>
      <c r="L34" t="s">
        <v>2566</v>
      </c>
    </row>
    <row r="35" spans="3:12" x14ac:dyDescent="0.25">
      <c r="C35" s="83" t="s">
        <v>53</v>
      </c>
      <c r="D35" s="85">
        <v>29.89</v>
      </c>
      <c r="F35" s="85">
        <v>14.68</v>
      </c>
      <c r="G35" s="260"/>
      <c r="H35" s="260">
        <v>1.012150368754372</v>
      </c>
      <c r="L35" t="s">
        <v>2567</v>
      </c>
    </row>
    <row r="36" spans="3:12" x14ac:dyDescent="0.25">
      <c r="C36" s="83" t="s">
        <v>54</v>
      </c>
      <c r="D36" s="85">
        <v>29.12</v>
      </c>
      <c r="F36" s="85">
        <v>14.3</v>
      </c>
      <c r="G36" s="260"/>
      <c r="H36" s="260">
        <v>0.98595029108906829</v>
      </c>
      <c r="L36" t="s">
        <v>2568</v>
      </c>
    </row>
    <row r="37" spans="3:12" x14ac:dyDescent="0.25">
      <c r="C37" s="83" t="s">
        <v>55</v>
      </c>
      <c r="D37" s="85">
        <v>28.95</v>
      </c>
      <c r="F37" s="85">
        <v>14.22</v>
      </c>
      <c r="G37" s="260"/>
      <c r="H37" s="260">
        <v>0.98043448526479371</v>
      </c>
      <c r="L37" t="s">
        <v>2569</v>
      </c>
    </row>
    <row r="38" spans="3:12" x14ac:dyDescent="0.25">
      <c r="C38" s="83" t="s">
        <v>56</v>
      </c>
      <c r="D38" s="85">
        <v>29.08</v>
      </c>
      <c r="F38" s="85">
        <v>14.28</v>
      </c>
      <c r="G38" s="260"/>
      <c r="H38" s="260">
        <v>0.98457133963299948</v>
      </c>
      <c r="L38" t="s">
        <v>2570</v>
      </c>
    </row>
    <row r="39" spans="3:12" x14ac:dyDescent="0.25">
      <c r="C39" s="83" t="s">
        <v>57</v>
      </c>
      <c r="D39" s="85">
        <v>28.65</v>
      </c>
      <c r="F39" s="85">
        <v>14.07</v>
      </c>
      <c r="G39" s="260"/>
      <c r="H39" s="260">
        <v>0.97009234934427901</v>
      </c>
      <c r="L39" t="s">
        <v>2571</v>
      </c>
    </row>
    <row r="40" spans="3:12" x14ac:dyDescent="0.25">
      <c r="C40" s="83" t="s">
        <v>58</v>
      </c>
      <c r="D40" s="85">
        <v>29.75</v>
      </c>
      <c r="F40" s="85">
        <v>14.61</v>
      </c>
      <c r="G40" s="260"/>
      <c r="H40" s="260">
        <v>1.0073240386581319</v>
      </c>
      <c r="L40" t="s">
        <v>2572</v>
      </c>
    </row>
    <row r="41" spans="3:12" x14ac:dyDescent="0.25">
      <c r="C41" s="83" t="s">
        <v>59</v>
      </c>
      <c r="D41" s="85">
        <v>29.88</v>
      </c>
      <c r="F41" s="85">
        <v>14.68</v>
      </c>
      <c r="G41" s="260"/>
      <c r="H41" s="260">
        <v>1.012150368754372</v>
      </c>
      <c r="L41" t="s">
        <v>2573</v>
      </c>
    </row>
    <row r="42" spans="3:12" x14ac:dyDescent="0.25">
      <c r="C42" s="83" t="s">
        <v>60</v>
      </c>
      <c r="D42" s="85">
        <v>29.91</v>
      </c>
      <c r="F42" s="85">
        <v>14.69</v>
      </c>
      <c r="G42" s="260"/>
      <c r="H42" s="260">
        <v>1.0128398444824063</v>
      </c>
      <c r="L42" t="s">
        <v>2574</v>
      </c>
    </row>
    <row r="43" spans="3:12" x14ac:dyDescent="0.25">
      <c r="C43" s="83" t="s">
        <v>61</v>
      </c>
      <c r="D43" s="85">
        <v>29.92</v>
      </c>
      <c r="F43" s="85">
        <v>14.69</v>
      </c>
      <c r="G43" s="260"/>
      <c r="H43" s="260">
        <v>1.0128398444824063</v>
      </c>
      <c r="L43" t="s">
        <v>2575</v>
      </c>
    </row>
    <row r="44" spans="3:12" x14ac:dyDescent="0.25">
      <c r="C44" s="83" t="s">
        <v>62</v>
      </c>
      <c r="D44" s="85">
        <v>28.37</v>
      </c>
      <c r="F44" s="85">
        <v>13.94</v>
      </c>
      <c r="G44" s="260"/>
      <c r="H44" s="260">
        <v>0.96112916487983291</v>
      </c>
      <c r="L44" t="s">
        <v>2576</v>
      </c>
    </row>
    <row r="45" spans="3:12" x14ac:dyDescent="0.25">
      <c r="C45" s="83" t="s">
        <v>63</v>
      </c>
      <c r="D45" s="85">
        <v>29.33</v>
      </c>
      <c r="F45" s="85">
        <v>14.4</v>
      </c>
      <c r="G45" s="260"/>
      <c r="H45" s="260">
        <v>0.99284504836941134</v>
      </c>
      <c r="L45" t="s">
        <v>2577</v>
      </c>
    </row>
    <row r="46" spans="3:12" x14ac:dyDescent="0.25">
      <c r="C46" s="83" t="s">
        <v>64</v>
      </c>
      <c r="D46" s="85">
        <v>29.81</v>
      </c>
      <c r="F46" s="85">
        <v>14.64</v>
      </c>
      <c r="G46" s="260"/>
      <c r="H46" s="260">
        <v>1.0093924658422349</v>
      </c>
      <c r="L46" t="s">
        <v>2578</v>
      </c>
    </row>
    <row r="47" spans="3:12" x14ac:dyDescent="0.25">
      <c r="C47" s="83" t="s">
        <v>65</v>
      </c>
      <c r="D47" s="85">
        <v>25.56</v>
      </c>
      <c r="F47" s="85">
        <v>12.55</v>
      </c>
      <c r="G47" s="260"/>
      <c r="H47" s="260">
        <v>0.86529203868306337</v>
      </c>
      <c r="L47" t="s">
        <v>2579</v>
      </c>
    </row>
    <row r="48" spans="3:12" x14ac:dyDescent="0.25">
      <c r="C48" s="83" t="s">
        <v>66</v>
      </c>
      <c r="D48" s="85">
        <v>29.82</v>
      </c>
      <c r="F48" s="85">
        <v>14.64</v>
      </c>
      <c r="G48" s="260"/>
      <c r="H48" s="260">
        <v>1.0093924658422349</v>
      </c>
      <c r="L48" t="s">
        <v>2580</v>
      </c>
    </row>
    <row r="49" spans="3:12" x14ac:dyDescent="0.25">
      <c r="C49" s="83" t="s">
        <v>67</v>
      </c>
      <c r="D49" s="85">
        <v>29.91</v>
      </c>
      <c r="F49" s="85">
        <v>14.69</v>
      </c>
      <c r="G49" s="260"/>
      <c r="H49" s="260">
        <v>1.0128398444824063</v>
      </c>
      <c r="L49" t="s">
        <v>2581</v>
      </c>
    </row>
    <row r="50" spans="3:12" x14ac:dyDescent="0.25">
      <c r="C50" s="83" t="s">
        <v>68</v>
      </c>
      <c r="D50" s="85">
        <v>29.76</v>
      </c>
      <c r="F50" s="85">
        <v>14.62</v>
      </c>
      <c r="G50" s="260"/>
      <c r="H50" s="260">
        <v>1.0080135143861662</v>
      </c>
      <c r="L50" t="s">
        <v>2582</v>
      </c>
    </row>
    <row r="51" spans="3:12" x14ac:dyDescent="0.25">
      <c r="C51" s="83" t="s">
        <v>69</v>
      </c>
      <c r="D51" s="85">
        <v>29.28</v>
      </c>
      <c r="F51" s="85">
        <v>14.38</v>
      </c>
      <c r="G51" s="260"/>
      <c r="H51" s="260">
        <v>0.99146609691334275</v>
      </c>
      <c r="L51" t="s">
        <v>2583</v>
      </c>
    </row>
    <row r="52" spans="3:12" x14ac:dyDescent="0.25">
      <c r="C52" s="83" t="s">
        <v>70</v>
      </c>
      <c r="D52" s="85">
        <v>29.26</v>
      </c>
      <c r="F52" s="85">
        <v>14.37</v>
      </c>
      <c r="G52" s="260"/>
      <c r="H52" s="260">
        <v>0.99077662118530829</v>
      </c>
      <c r="L52" t="s">
        <v>2584</v>
      </c>
    </row>
    <row r="53" spans="3:12" x14ac:dyDescent="0.25">
      <c r="C53" s="83" t="s">
        <v>71</v>
      </c>
      <c r="D53" s="85">
        <v>23.9</v>
      </c>
      <c r="F53" s="85">
        <v>11.74</v>
      </c>
      <c r="G53" s="260"/>
      <c r="H53" s="260">
        <v>0.80944450471228402</v>
      </c>
      <c r="L53" t="s">
        <v>2585</v>
      </c>
    </row>
    <row r="54" spans="3:12" x14ac:dyDescent="0.25">
      <c r="C54" s="83" t="s">
        <v>439</v>
      </c>
      <c r="D54" s="85">
        <v>26.41</v>
      </c>
      <c r="F54" s="85">
        <v>12.97</v>
      </c>
      <c r="G54" s="260"/>
    </row>
    <row r="55" spans="3:12" x14ac:dyDescent="0.25">
      <c r="C55" s="83" t="s">
        <v>440</v>
      </c>
      <c r="D55" s="85">
        <v>29.85</v>
      </c>
      <c r="F55" s="85">
        <v>14.66</v>
      </c>
      <c r="G55" s="260"/>
    </row>
    <row r="56" spans="3:12" x14ac:dyDescent="0.25">
      <c r="C56" s="83" t="s">
        <v>441</v>
      </c>
      <c r="D56" s="85">
        <v>29.09</v>
      </c>
      <c r="F56" s="85">
        <v>14.29</v>
      </c>
      <c r="G56" s="260"/>
    </row>
    <row r="57" spans="3:12" x14ac:dyDescent="0.25">
      <c r="C57" s="83" t="s">
        <v>442</v>
      </c>
      <c r="D57" s="85">
        <v>29.91</v>
      </c>
      <c r="F57" s="85">
        <v>14.69</v>
      </c>
      <c r="G57" s="260"/>
    </row>
    <row r="58" spans="3:12" ht="26.4" x14ac:dyDescent="0.25">
      <c r="C58" s="83" t="s">
        <v>443</v>
      </c>
      <c r="D58" s="85">
        <v>29.6</v>
      </c>
      <c r="F58" s="85">
        <v>14.54</v>
      </c>
      <c r="G58" s="260"/>
    </row>
    <row r="59" spans="3:12" ht="26.4" x14ac:dyDescent="0.25">
      <c r="C59" s="83" t="s">
        <v>444</v>
      </c>
      <c r="D59" s="85">
        <v>29.2</v>
      </c>
      <c r="F59" s="85">
        <v>14.34</v>
      </c>
      <c r="G59" s="260"/>
    </row>
    <row r="60" spans="3:12" x14ac:dyDescent="0.25">
      <c r="C60" s="83" t="s">
        <v>445</v>
      </c>
      <c r="D60" s="85">
        <v>29.77</v>
      </c>
      <c r="F60" s="85">
        <v>14.62</v>
      </c>
      <c r="G60" s="260"/>
    </row>
    <row r="61" spans="3:12" x14ac:dyDescent="0.25">
      <c r="C61" s="83" t="s">
        <v>446</v>
      </c>
      <c r="D61" s="85">
        <v>29.81</v>
      </c>
      <c r="F61" s="85">
        <v>14.64</v>
      </c>
      <c r="G61" s="260"/>
    </row>
    <row r="62" spans="3:12" x14ac:dyDescent="0.25">
      <c r="C62" s="83" t="s">
        <v>447</v>
      </c>
      <c r="D62" s="85">
        <v>29.64</v>
      </c>
      <c r="F62" s="85">
        <v>14.56</v>
      </c>
      <c r="G62" s="260"/>
    </row>
    <row r="63" spans="3:12" ht="26.4" x14ac:dyDescent="0.25">
      <c r="C63" s="83" t="s">
        <v>448</v>
      </c>
      <c r="D63" s="85">
        <v>29.77</v>
      </c>
      <c r="F63" s="85">
        <v>14.62</v>
      </c>
      <c r="G63" s="260"/>
    </row>
    <row r="64" spans="3:12" x14ac:dyDescent="0.25">
      <c r="C64" s="83" t="s">
        <v>449</v>
      </c>
      <c r="D64" s="85">
        <v>29.81</v>
      </c>
      <c r="F64" s="85">
        <v>14.64</v>
      </c>
      <c r="G64" s="260"/>
    </row>
    <row r="65" spans="3:7" x14ac:dyDescent="0.25">
      <c r="C65" s="83" t="s">
        <v>450</v>
      </c>
      <c r="D65" s="85">
        <v>28.08</v>
      </c>
      <c r="F65" s="85">
        <v>13.79</v>
      </c>
      <c r="G65" s="260"/>
    </row>
    <row r="66" spans="3:7" x14ac:dyDescent="0.25">
      <c r="C66" s="83" t="s">
        <v>451</v>
      </c>
      <c r="D66" s="85">
        <v>27.69</v>
      </c>
      <c r="F66" s="85">
        <v>13.6</v>
      </c>
      <c r="G66" s="260"/>
    </row>
    <row r="67" spans="3:7" x14ac:dyDescent="0.25">
      <c r="C67" s="83" t="s">
        <v>452</v>
      </c>
      <c r="D67" s="85">
        <v>21.66</v>
      </c>
      <c r="F67" s="85">
        <v>10.64</v>
      </c>
      <c r="G67" s="260"/>
    </row>
    <row r="68" spans="3:7" ht="26.4" x14ac:dyDescent="0.25">
      <c r="C68" s="83" t="s">
        <v>453</v>
      </c>
      <c r="D68" s="85">
        <v>29.83</v>
      </c>
      <c r="F68" s="85">
        <v>14.65</v>
      </c>
      <c r="G68" s="260"/>
    </row>
    <row r="69" spans="3:7" x14ac:dyDescent="0.25">
      <c r="C69" s="83" t="s">
        <v>454</v>
      </c>
      <c r="D69" s="85">
        <v>29.89</v>
      </c>
      <c r="F69" s="85">
        <v>14.68</v>
      </c>
      <c r="G69" s="260"/>
    </row>
    <row r="70" spans="3:7" ht="26.4" x14ac:dyDescent="0.25">
      <c r="C70" s="83" t="s">
        <v>455</v>
      </c>
      <c r="D70" s="85">
        <v>24.78</v>
      </c>
      <c r="F70" s="85">
        <v>12.17</v>
      </c>
      <c r="G70" s="260"/>
    </row>
    <row r="71" spans="3:7" x14ac:dyDescent="0.25">
      <c r="C71" s="83" t="s">
        <v>456</v>
      </c>
      <c r="D71" s="85">
        <v>29.38</v>
      </c>
      <c r="F71" s="85">
        <v>14.43</v>
      </c>
      <c r="G71" s="260"/>
    </row>
    <row r="72" spans="3:7" ht="26.4" x14ac:dyDescent="0.25">
      <c r="C72" s="83" t="s">
        <v>457</v>
      </c>
      <c r="D72" s="85">
        <v>22.78</v>
      </c>
      <c r="F72" s="85">
        <v>11.19</v>
      </c>
      <c r="G72" s="260"/>
    </row>
    <row r="73" spans="3:7" x14ac:dyDescent="0.25">
      <c r="C73" s="83" t="s">
        <v>458</v>
      </c>
      <c r="D73" s="85">
        <v>28.1</v>
      </c>
      <c r="F73" s="85">
        <v>13.8</v>
      </c>
      <c r="G73" s="260"/>
    </row>
    <row r="74" spans="3:7" x14ac:dyDescent="0.25">
      <c r="C74" s="83" t="s">
        <v>459</v>
      </c>
      <c r="D74" s="85">
        <v>28.12</v>
      </c>
      <c r="F74" s="85">
        <v>13.81</v>
      </c>
      <c r="G74" s="260"/>
    </row>
    <row r="75" spans="3:7" x14ac:dyDescent="0.25">
      <c r="C75" s="83" t="s">
        <v>460</v>
      </c>
      <c r="D75" s="85">
        <v>27.22</v>
      </c>
      <c r="F75" s="85">
        <v>13.37</v>
      </c>
      <c r="G75" s="260"/>
    </row>
    <row r="76" spans="3:7" x14ac:dyDescent="0.25">
      <c r="C76" s="82"/>
    </row>
    <row r="77" spans="3:7" x14ac:dyDescent="0.25">
      <c r="C77" s="82" t="s">
        <v>2590</v>
      </c>
    </row>
    <row r="78" spans="3:7" x14ac:dyDescent="0.25">
      <c r="C78" s="82" t="s">
        <v>461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254"/>
  <sheetViews>
    <sheetView topLeftCell="A89" zoomScaleNormal="100" zoomScaleSheetLayoutView="100" workbookViewId="0">
      <selection activeCell="L104" sqref="L104:Z254"/>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463" t="s">
        <v>2</v>
      </c>
      <c r="B1" s="463"/>
      <c r="C1" s="463"/>
      <c r="D1" s="463"/>
      <c r="E1" s="463"/>
      <c r="F1" s="463"/>
      <c r="G1" s="463"/>
      <c r="H1" s="464" t="s">
        <v>241</v>
      </c>
      <c r="I1" s="464"/>
    </row>
    <row r="2" spans="1:27" s="2" customFormat="1" ht="61.2" x14ac:dyDescent="0.25">
      <c r="A2" s="4" t="s">
        <v>0</v>
      </c>
      <c r="B2" s="4" t="s">
        <v>3</v>
      </c>
      <c r="C2" s="3" t="s">
        <v>4</v>
      </c>
      <c r="D2" s="5"/>
      <c r="E2" s="6"/>
      <c r="F2" s="7" t="s">
        <v>5</v>
      </c>
      <c r="G2" s="8"/>
      <c r="L2" s="110" t="s">
        <v>0</v>
      </c>
      <c r="M2" s="111" t="s">
        <v>152</v>
      </c>
      <c r="N2" s="111" t="s">
        <v>153</v>
      </c>
      <c r="O2" s="111" t="s">
        <v>154</v>
      </c>
      <c r="P2" s="111" t="s">
        <v>155</v>
      </c>
      <c r="Q2" s="111" t="s">
        <v>156</v>
      </c>
      <c r="R2" s="111" t="s">
        <v>157</v>
      </c>
      <c r="S2" s="111" t="s">
        <v>158</v>
      </c>
      <c r="T2" s="111" t="s">
        <v>159</v>
      </c>
      <c r="U2" s="111" t="s">
        <v>160</v>
      </c>
      <c r="V2" s="111" t="s">
        <v>161</v>
      </c>
      <c r="W2" s="111" t="s">
        <v>162</v>
      </c>
      <c r="X2" s="111" t="s">
        <v>163</v>
      </c>
      <c r="Y2" s="111" t="s">
        <v>164</v>
      </c>
      <c r="Z2" s="111" t="s">
        <v>165</v>
      </c>
      <c r="AA2" s="112" t="s">
        <v>166</v>
      </c>
    </row>
    <row r="3" spans="1:27" ht="13.8" thickBot="1" x14ac:dyDescent="0.3">
      <c r="A3" s="11" t="s">
        <v>144</v>
      </c>
      <c r="B3" s="11" t="s">
        <v>1</v>
      </c>
      <c r="C3" s="12" t="s">
        <v>6</v>
      </c>
      <c r="D3" s="13" t="s">
        <v>7</v>
      </c>
      <c r="E3" s="13" t="s">
        <v>8</v>
      </c>
      <c r="F3" s="14" t="s">
        <v>9</v>
      </c>
      <c r="G3" s="15" t="s">
        <v>10</v>
      </c>
      <c r="H3" s="133" t="s">
        <v>144</v>
      </c>
      <c r="I3" s="133" t="s">
        <v>242</v>
      </c>
      <c r="L3" s="113" t="s">
        <v>167</v>
      </c>
      <c r="M3" s="103" t="s">
        <v>145</v>
      </c>
      <c r="N3" s="103" t="s">
        <v>168</v>
      </c>
      <c r="O3" s="103" t="s">
        <v>168</v>
      </c>
      <c r="P3" s="103" t="s">
        <v>168</v>
      </c>
      <c r="Q3" s="103" t="s">
        <v>169</v>
      </c>
      <c r="R3" s="103" t="s">
        <v>170</v>
      </c>
      <c r="S3" s="103" t="s">
        <v>171</v>
      </c>
      <c r="T3" s="103" t="s">
        <v>171</v>
      </c>
      <c r="U3" s="103" t="s">
        <v>171</v>
      </c>
      <c r="V3" s="103" t="s">
        <v>171</v>
      </c>
      <c r="W3" s="103" t="s">
        <v>171</v>
      </c>
      <c r="X3" s="103" t="s">
        <v>172</v>
      </c>
      <c r="Y3" s="103" t="s">
        <v>173</v>
      </c>
      <c r="Z3" s="103"/>
      <c r="AA3" s="102"/>
    </row>
    <row r="4" spans="1:27" x14ac:dyDescent="0.25">
      <c r="A4" s="30">
        <v>0</v>
      </c>
      <c r="B4" s="26">
        <v>212</v>
      </c>
      <c r="C4" s="27">
        <v>180.2</v>
      </c>
      <c r="D4" s="28">
        <v>970.3</v>
      </c>
      <c r="E4" s="28">
        <v>1150.5</v>
      </c>
      <c r="F4" s="22">
        <v>1.6719999999999999E-2</v>
      </c>
      <c r="G4" s="31">
        <v>26.8</v>
      </c>
      <c r="H4" s="132">
        <v>0</v>
      </c>
      <c r="I4" s="132">
        <v>9.391</v>
      </c>
      <c r="L4" s="114">
        <v>0</v>
      </c>
      <c r="M4" s="105">
        <v>211.95400000000001</v>
      </c>
      <c r="N4" s="105">
        <v>179.94200000000001</v>
      </c>
      <c r="O4" s="105">
        <v>970.10799999999995</v>
      </c>
      <c r="P4" s="105">
        <v>1150.05</v>
      </c>
      <c r="Q4" s="105">
        <v>3.7310500000000003E-2</v>
      </c>
      <c r="R4" s="105">
        <v>26.802099999999999</v>
      </c>
      <c r="S4" s="105">
        <v>0.31218400000000002</v>
      </c>
      <c r="T4" s="105">
        <v>1.44442</v>
      </c>
      <c r="U4" s="105">
        <v>1.75661</v>
      </c>
      <c r="V4" s="105">
        <v>0.37158799999999997</v>
      </c>
      <c r="W4" s="105">
        <v>0.496784</v>
      </c>
      <c r="X4" s="105">
        <v>1549.15</v>
      </c>
      <c r="Y4" s="106">
        <v>8.2439499999999992E-6</v>
      </c>
      <c r="Z4" s="105">
        <v>1.31508</v>
      </c>
      <c r="AA4" s="104">
        <v>0.98451500000000003</v>
      </c>
    </row>
    <row r="5" spans="1:27" x14ac:dyDescent="0.25">
      <c r="A5" s="30">
        <v>1</v>
      </c>
      <c r="B5" s="26">
        <v>215.3</v>
      </c>
      <c r="C5" s="27">
        <v>183.5</v>
      </c>
      <c r="D5" s="28">
        <v>968.2</v>
      </c>
      <c r="E5" s="28">
        <v>1151.8</v>
      </c>
      <c r="F5" s="22">
        <v>1.6740000000000001E-2</v>
      </c>
      <c r="G5" s="31">
        <v>25.21</v>
      </c>
      <c r="H5" s="1">
        <v>10</v>
      </c>
      <c r="I5" s="132">
        <v>8.8030000000000008</v>
      </c>
      <c r="L5" s="115">
        <v>1</v>
      </c>
      <c r="M5" s="108">
        <v>215.292</v>
      </c>
      <c r="N5" s="108">
        <v>183.30699999999999</v>
      </c>
      <c r="O5" s="108">
        <v>967.99800000000005</v>
      </c>
      <c r="P5" s="108">
        <v>1151.3</v>
      </c>
      <c r="Q5" s="108">
        <v>3.9679899999999997E-2</v>
      </c>
      <c r="R5" s="108">
        <v>25.201699999999999</v>
      </c>
      <c r="S5" s="108">
        <v>0.31717699999999999</v>
      </c>
      <c r="T5" s="108">
        <v>1.43415</v>
      </c>
      <c r="U5" s="108">
        <v>1.7513300000000001</v>
      </c>
      <c r="V5" s="108">
        <v>0.37276900000000002</v>
      </c>
      <c r="W5" s="108">
        <v>0.49860900000000002</v>
      </c>
      <c r="X5" s="108">
        <v>1552.24</v>
      </c>
      <c r="Y5" s="109">
        <v>8.2865499999999995E-6</v>
      </c>
      <c r="Z5" s="108">
        <v>1.31471</v>
      </c>
      <c r="AA5" s="107">
        <v>0.98382800000000004</v>
      </c>
    </row>
    <row r="6" spans="1:27" x14ac:dyDescent="0.25">
      <c r="A6" s="30">
        <v>2</v>
      </c>
      <c r="B6" s="26">
        <v>218.5</v>
      </c>
      <c r="C6" s="27">
        <v>186.7</v>
      </c>
      <c r="D6" s="28">
        <v>966.2</v>
      </c>
      <c r="E6" s="28">
        <v>1152.9000000000001</v>
      </c>
      <c r="F6" s="22">
        <v>1.6760000000000001E-2</v>
      </c>
      <c r="G6" s="31">
        <v>23.79</v>
      </c>
      <c r="H6" s="1">
        <v>20</v>
      </c>
      <c r="I6" s="132">
        <v>8.2949999999999999</v>
      </c>
      <c r="L6" s="114">
        <v>2</v>
      </c>
      <c r="M6" s="105">
        <v>218.46</v>
      </c>
      <c r="N6" s="105">
        <v>186.501</v>
      </c>
      <c r="O6" s="105">
        <v>965.98599999999999</v>
      </c>
      <c r="P6" s="105">
        <v>1152.49</v>
      </c>
      <c r="Q6" s="105">
        <v>4.2039600000000003E-2</v>
      </c>
      <c r="R6" s="105">
        <v>23.787099999999999</v>
      </c>
      <c r="S6" s="105">
        <v>0.32189299999999998</v>
      </c>
      <c r="T6" s="105">
        <v>1.42449</v>
      </c>
      <c r="U6" s="105">
        <v>1.74638</v>
      </c>
      <c r="V6" s="105">
        <v>0.37392399999999998</v>
      </c>
      <c r="W6" s="105">
        <v>0.50039699999999998</v>
      </c>
      <c r="X6" s="105">
        <v>1555.14</v>
      </c>
      <c r="Y6" s="106">
        <v>8.3270100000000008E-6</v>
      </c>
      <c r="Z6" s="105">
        <v>1.3143499999999999</v>
      </c>
      <c r="AA6" s="104">
        <v>0.983155</v>
      </c>
    </row>
    <row r="7" spans="1:27" x14ac:dyDescent="0.25">
      <c r="A7" s="30">
        <v>3</v>
      </c>
      <c r="B7" s="26">
        <v>221.5</v>
      </c>
      <c r="C7" s="27">
        <v>189.8</v>
      </c>
      <c r="D7" s="28">
        <v>964.3</v>
      </c>
      <c r="E7" s="28">
        <v>1154</v>
      </c>
      <c r="F7" s="22">
        <v>1.6789999999999999E-2</v>
      </c>
      <c r="G7" s="31">
        <v>22.53</v>
      </c>
      <c r="H7" s="1">
        <v>30</v>
      </c>
      <c r="I7" s="132">
        <v>7.8460000000000001</v>
      </c>
      <c r="L7" s="115">
        <v>3</v>
      </c>
      <c r="M7" s="108">
        <v>221.47399999999999</v>
      </c>
      <c r="N7" s="108">
        <v>189.542</v>
      </c>
      <c r="O7" s="108">
        <v>964.06299999999999</v>
      </c>
      <c r="P7" s="108">
        <v>1153.6099999999999</v>
      </c>
      <c r="Q7" s="108">
        <v>4.4390100000000002E-2</v>
      </c>
      <c r="R7" s="108">
        <v>22.5275</v>
      </c>
      <c r="S7" s="108">
        <v>0.32636300000000001</v>
      </c>
      <c r="T7" s="108">
        <v>1.41536</v>
      </c>
      <c r="U7" s="108">
        <v>1.7417199999999999</v>
      </c>
      <c r="V7" s="108">
        <v>0.37505300000000003</v>
      </c>
      <c r="W7" s="108">
        <v>0.50214999999999999</v>
      </c>
      <c r="X7" s="108">
        <v>1557.86</v>
      </c>
      <c r="Y7" s="109">
        <v>8.3655600000000006E-6</v>
      </c>
      <c r="Z7" s="108">
        <v>1.3140099999999999</v>
      </c>
      <c r="AA7" s="107">
        <v>0.98249500000000001</v>
      </c>
    </row>
    <row r="8" spans="1:27" x14ac:dyDescent="0.25">
      <c r="A8" s="30">
        <v>4</v>
      </c>
      <c r="B8" s="26">
        <v>224.4</v>
      </c>
      <c r="C8" s="27">
        <v>192.7</v>
      </c>
      <c r="D8" s="28">
        <v>962.4</v>
      </c>
      <c r="E8" s="28">
        <v>1155</v>
      </c>
      <c r="F8" s="22">
        <v>1.6809999999999999E-2</v>
      </c>
      <c r="G8" s="31">
        <v>21.4</v>
      </c>
      <c r="H8" s="1">
        <v>40</v>
      </c>
      <c r="I8" s="132">
        <v>7.4470000000000001</v>
      </c>
      <c r="L8" s="114">
        <v>4</v>
      </c>
      <c r="M8" s="105">
        <v>224.351</v>
      </c>
      <c r="N8" s="105">
        <v>192.446</v>
      </c>
      <c r="O8" s="105">
        <v>962.21900000000005</v>
      </c>
      <c r="P8" s="105">
        <v>1154.67</v>
      </c>
      <c r="Q8" s="105">
        <v>4.6732200000000002E-2</v>
      </c>
      <c r="R8" s="105">
        <v>21.398499999999999</v>
      </c>
      <c r="S8" s="105">
        <v>0.33061200000000002</v>
      </c>
      <c r="T8" s="105">
        <v>1.4067099999999999</v>
      </c>
      <c r="U8" s="105">
        <v>1.73732</v>
      </c>
      <c r="V8" s="105">
        <v>0.37615900000000002</v>
      </c>
      <c r="W8" s="105">
        <v>0.50387199999999999</v>
      </c>
      <c r="X8" s="105">
        <v>1560.43</v>
      </c>
      <c r="Y8" s="106">
        <v>8.4023900000000004E-6</v>
      </c>
      <c r="Z8" s="105">
        <v>1.3136699999999999</v>
      </c>
      <c r="AA8" s="104">
        <v>0.98184800000000005</v>
      </c>
    </row>
    <row r="9" spans="1:27" x14ac:dyDescent="0.25">
      <c r="A9" s="30">
        <v>5</v>
      </c>
      <c r="B9" s="26">
        <v>227.1</v>
      </c>
      <c r="C9" s="27">
        <v>195.4</v>
      </c>
      <c r="D9" s="28">
        <v>960.6</v>
      </c>
      <c r="E9" s="28">
        <v>1156.0999999999999</v>
      </c>
      <c r="F9" s="22">
        <v>1.6830000000000001E-2</v>
      </c>
      <c r="G9" s="31">
        <v>20.38</v>
      </c>
      <c r="H9" s="1">
        <v>50</v>
      </c>
      <c r="I9" s="132">
        <v>7.0890000000000004</v>
      </c>
      <c r="L9" s="115">
        <v>5</v>
      </c>
      <c r="M9" s="108">
        <v>227.10300000000001</v>
      </c>
      <c r="N9" s="108">
        <v>195.226</v>
      </c>
      <c r="O9" s="108">
        <v>960.44799999999998</v>
      </c>
      <c r="P9" s="108">
        <v>1155.67</v>
      </c>
      <c r="Q9" s="108">
        <v>4.9066199999999997E-2</v>
      </c>
      <c r="R9" s="108">
        <v>20.380600000000001</v>
      </c>
      <c r="S9" s="108">
        <v>0.33466400000000002</v>
      </c>
      <c r="T9" s="108">
        <v>1.39849</v>
      </c>
      <c r="U9" s="108">
        <v>1.73316</v>
      </c>
      <c r="V9" s="108">
        <v>0.37724400000000002</v>
      </c>
      <c r="W9" s="108">
        <v>0.50556400000000001</v>
      </c>
      <c r="X9" s="108">
        <v>1562.87</v>
      </c>
      <c r="Y9" s="109">
        <v>8.4376599999999994E-6</v>
      </c>
      <c r="Z9" s="108">
        <v>1.31334</v>
      </c>
      <c r="AA9" s="107">
        <v>0.98121199999999997</v>
      </c>
    </row>
    <row r="10" spans="1:27" x14ac:dyDescent="0.25">
      <c r="A10" s="30">
        <v>6</v>
      </c>
      <c r="B10" s="26">
        <v>229.8</v>
      </c>
      <c r="C10" s="27">
        <v>198.1</v>
      </c>
      <c r="D10" s="28">
        <v>958.9</v>
      </c>
      <c r="E10" s="28">
        <v>1157</v>
      </c>
      <c r="F10" s="22">
        <v>1.685E-2</v>
      </c>
      <c r="G10" s="31">
        <v>19.46</v>
      </c>
      <c r="H10" s="1">
        <v>58</v>
      </c>
      <c r="I10" s="132">
        <v>6.8630000000000004</v>
      </c>
      <c r="L10" s="114">
        <v>6</v>
      </c>
      <c r="M10" s="105">
        <v>229.74299999999999</v>
      </c>
      <c r="N10" s="105">
        <v>197.893</v>
      </c>
      <c r="O10" s="105">
        <v>958.74199999999996</v>
      </c>
      <c r="P10" s="105">
        <v>1156.6400000000001</v>
      </c>
      <c r="Q10" s="105">
        <v>5.1392699999999999E-2</v>
      </c>
      <c r="R10" s="105">
        <v>19.457999999999998</v>
      </c>
      <c r="S10" s="105">
        <v>0.338536</v>
      </c>
      <c r="T10" s="105">
        <v>1.39066</v>
      </c>
      <c r="U10" s="105">
        <v>1.7292000000000001</v>
      </c>
      <c r="V10" s="105">
        <v>0.37830999999999998</v>
      </c>
      <c r="W10" s="105">
        <v>0.50723099999999999</v>
      </c>
      <c r="X10" s="105">
        <v>1565.18</v>
      </c>
      <c r="Y10" s="106">
        <v>8.4715000000000001E-6</v>
      </c>
      <c r="Z10" s="105">
        <v>1.3130200000000001</v>
      </c>
      <c r="AA10" s="104">
        <v>0.98058599999999996</v>
      </c>
    </row>
    <row r="11" spans="1:27" x14ac:dyDescent="0.25">
      <c r="A11" s="30">
        <v>7</v>
      </c>
      <c r="B11" s="26">
        <v>232.3</v>
      </c>
      <c r="C11" s="27">
        <v>200.7</v>
      </c>
      <c r="D11" s="28">
        <v>957.2</v>
      </c>
      <c r="E11" s="28">
        <v>1157.9000000000001</v>
      </c>
      <c r="F11" s="22">
        <v>1.687E-2</v>
      </c>
      <c r="G11" s="31">
        <v>18.62</v>
      </c>
      <c r="H11" s="1">
        <v>60</v>
      </c>
      <c r="I11" s="132">
        <v>6.8019999999999996</v>
      </c>
      <c r="L11" s="115">
        <v>7</v>
      </c>
      <c r="M11" s="108">
        <v>232.28</v>
      </c>
      <c r="N11" s="108">
        <v>200.458</v>
      </c>
      <c r="O11" s="108">
        <v>957.09500000000003</v>
      </c>
      <c r="P11" s="108">
        <v>1157.55</v>
      </c>
      <c r="Q11" s="108">
        <v>5.3712099999999999E-2</v>
      </c>
      <c r="R11" s="108">
        <v>18.617799999999999</v>
      </c>
      <c r="S11" s="108">
        <v>0.34224500000000002</v>
      </c>
      <c r="T11" s="108">
        <v>1.3831800000000001</v>
      </c>
      <c r="U11" s="108">
        <v>1.72543</v>
      </c>
      <c r="V11" s="108">
        <v>0.379357</v>
      </c>
      <c r="W11" s="108">
        <v>0.50887199999999999</v>
      </c>
      <c r="X11" s="108">
        <v>1567.38</v>
      </c>
      <c r="Y11" s="109">
        <v>8.5040500000000003E-6</v>
      </c>
      <c r="Z11" s="108">
        <v>1.31271</v>
      </c>
      <c r="AA11" s="107">
        <v>0.97997100000000004</v>
      </c>
    </row>
    <row r="12" spans="1:27" x14ac:dyDescent="0.25">
      <c r="A12" s="30">
        <v>8</v>
      </c>
      <c r="B12" s="26">
        <v>234.8</v>
      </c>
      <c r="C12" s="27">
        <v>203.1</v>
      </c>
      <c r="D12" s="28">
        <v>955.6</v>
      </c>
      <c r="E12" s="28">
        <v>1158.7</v>
      </c>
      <c r="F12" s="22">
        <v>1.6889999999999999E-2</v>
      </c>
      <c r="G12" s="31">
        <v>17.850000000000001</v>
      </c>
      <c r="H12" s="1">
        <v>70</v>
      </c>
      <c r="I12" s="132">
        <v>6.5529999999999999</v>
      </c>
      <c r="L12" s="114">
        <v>8</v>
      </c>
      <c r="M12" s="105">
        <v>234.72300000000001</v>
      </c>
      <c r="N12" s="105">
        <v>202.929</v>
      </c>
      <c r="O12" s="105">
        <v>955.50400000000002</v>
      </c>
      <c r="P12" s="105">
        <v>1158.43</v>
      </c>
      <c r="Q12" s="105">
        <v>5.6024699999999997E-2</v>
      </c>
      <c r="R12" s="105">
        <v>17.849299999999999</v>
      </c>
      <c r="S12" s="105">
        <v>0.34580499999999997</v>
      </c>
      <c r="T12" s="105">
        <v>1.3760300000000001</v>
      </c>
      <c r="U12" s="105">
        <v>1.72183</v>
      </c>
      <c r="V12" s="105">
        <v>0.38038699999999998</v>
      </c>
      <c r="W12" s="105">
        <v>0.51049</v>
      </c>
      <c r="X12" s="105">
        <v>1569.47</v>
      </c>
      <c r="Y12" s="106">
        <v>8.5354100000000003E-6</v>
      </c>
      <c r="Z12" s="105">
        <v>1.3124100000000001</v>
      </c>
      <c r="AA12" s="104">
        <v>0.97936500000000004</v>
      </c>
    </row>
    <row r="13" spans="1:27" ht="13.8" thickBot="1" x14ac:dyDescent="0.3">
      <c r="A13" s="32">
        <v>9</v>
      </c>
      <c r="B13" s="33">
        <v>237.1</v>
      </c>
      <c r="C13" s="34">
        <v>205.5</v>
      </c>
      <c r="D13" s="35">
        <v>954.1</v>
      </c>
      <c r="E13" s="35">
        <v>1159.5999999999999</v>
      </c>
      <c r="F13" s="36">
        <v>1.6899999999999998E-2</v>
      </c>
      <c r="G13" s="37">
        <v>17.14</v>
      </c>
      <c r="H13" s="1">
        <v>80</v>
      </c>
      <c r="I13" s="132">
        <v>6.3230000000000004</v>
      </c>
      <c r="L13" s="115">
        <v>9</v>
      </c>
      <c r="M13" s="108">
        <v>237.07900000000001</v>
      </c>
      <c r="N13" s="108">
        <v>205.31299999999999</v>
      </c>
      <c r="O13" s="108">
        <v>953.96299999999997</v>
      </c>
      <c r="P13" s="108">
        <v>1159.28</v>
      </c>
      <c r="Q13" s="108">
        <v>5.8331000000000001E-2</v>
      </c>
      <c r="R13" s="108">
        <v>17.1435</v>
      </c>
      <c r="S13" s="108">
        <v>0.34922799999999998</v>
      </c>
      <c r="T13" s="108">
        <v>1.3691599999999999</v>
      </c>
      <c r="U13" s="108">
        <v>1.7183900000000001</v>
      </c>
      <c r="V13" s="108">
        <v>0.38140099999999999</v>
      </c>
      <c r="W13" s="108">
        <v>0.51208600000000004</v>
      </c>
      <c r="X13" s="108">
        <v>1571.47</v>
      </c>
      <c r="Y13" s="109">
        <v>8.5656699999999996E-6</v>
      </c>
      <c r="Z13" s="108">
        <v>1.3121100000000001</v>
      </c>
      <c r="AA13" s="107">
        <v>0.97876799999999997</v>
      </c>
    </row>
    <row r="14" spans="1:27" x14ac:dyDescent="0.25">
      <c r="A14" s="30">
        <v>10</v>
      </c>
      <c r="B14" s="26">
        <v>239.4</v>
      </c>
      <c r="C14" s="27">
        <v>207.8</v>
      </c>
      <c r="D14" s="28">
        <v>952.6</v>
      </c>
      <c r="E14" s="28">
        <v>1160.4000000000001</v>
      </c>
      <c r="F14" s="22">
        <v>1.6920000000000001E-2</v>
      </c>
      <c r="G14" s="31">
        <v>16.489999999999998</v>
      </c>
      <c r="H14" s="1">
        <v>90</v>
      </c>
      <c r="I14" s="132">
        <v>6.11</v>
      </c>
      <c r="L14" s="114">
        <v>10</v>
      </c>
      <c r="M14" s="105">
        <v>239.35499999999999</v>
      </c>
      <c r="N14" s="105">
        <v>207.61699999999999</v>
      </c>
      <c r="O14" s="105">
        <v>952.46799999999996</v>
      </c>
      <c r="P14" s="105">
        <v>1160.0899999999999</v>
      </c>
      <c r="Q14" s="105">
        <v>6.0631200000000003E-2</v>
      </c>
      <c r="R14" s="105">
        <v>16.493099999999998</v>
      </c>
      <c r="S14" s="105">
        <v>0.35252499999999998</v>
      </c>
      <c r="T14" s="105">
        <v>1.3625700000000001</v>
      </c>
      <c r="U14" s="105">
        <v>1.71509</v>
      </c>
      <c r="V14" s="105">
        <v>0.38240000000000002</v>
      </c>
      <c r="W14" s="105">
        <v>0.51366100000000003</v>
      </c>
      <c r="X14" s="105">
        <v>1573.39</v>
      </c>
      <c r="Y14" s="106">
        <v>8.5949199999999994E-6</v>
      </c>
      <c r="Z14" s="105">
        <v>1.31182</v>
      </c>
      <c r="AA14" s="104">
        <v>0.97818000000000005</v>
      </c>
    </row>
    <row r="15" spans="1:27" x14ac:dyDescent="0.25">
      <c r="A15" s="30">
        <v>12</v>
      </c>
      <c r="B15" s="26">
        <v>243.7</v>
      </c>
      <c r="C15" s="27">
        <v>212.2</v>
      </c>
      <c r="D15" s="28">
        <v>949.6</v>
      </c>
      <c r="E15" s="28">
        <v>1161.9000000000001</v>
      </c>
      <c r="F15" s="22">
        <v>1.6959999999999999E-2</v>
      </c>
      <c r="G15" s="31">
        <v>15.33</v>
      </c>
      <c r="H15" s="1">
        <v>100</v>
      </c>
      <c r="I15" s="132">
        <v>5.9109999999999996</v>
      </c>
      <c r="L15" s="115">
        <v>11</v>
      </c>
      <c r="M15" s="108">
        <v>241.55600000000001</v>
      </c>
      <c r="N15" s="108">
        <v>209.84700000000001</v>
      </c>
      <c r="O15" s="108">
        <v>951.01700000000005</v>
      </c>
      <c r="P15" s="108">
        <v>1160.8599999999999</v>
      </c>
      <c r="Q15" s="108">
        <v>6.2925599999999998E-2</v>
      </c>
      <c r="R15" s="108">
        <v>15.8918</v>
      </c>
      <c r="S15" s="108">
        <v>0.35570499999999999</v>
      </c>
      <c r="T15" s="108">
        <v>1.35622</v>
      </c>
      <c r="U15" s="108">
        <v>1.71193</v>
      </c>
      <c r="V15" s="108">
        <v>0.38338499999999998</v>
      </c>
      <c r="W15" s="108">
        <v>0.51521700000000004</v>
      </c>
      <c r="X15" s="108">
        <v>1575.22</v>
      </c>
      <c r="Y15" s="109">
        <v>8.6232200000000004E-6</v>
      </c>
      <c r="Z15" s="108">
        <v>1.3115300000000001</v>
      </c>
      <c r="AA15" s="107">
        <v>0.977599</v>
      </c>
    </row>
    <row r="16" spans="1:27" x14ac:dyDescent="0.25">
      <c r="A16" s="30">
        <v>14</v>
      </c>
      <c r="B16" s="26">
        <v>247.8</v>
      </c>
      <c r="C16" s="27">
        <v>216.4</v>
      </c>
      <c r="D16" s="28">
        <v>946.9</v>
      </c>
      <c r="E16" s="28">
        <v>1163.3</v>
      </c>
      <c r="F16" s="22">
        <v>1.6990000000000002E-2</v>
      </c>
      <c r="G16" s="31">
        <v>14.33</v>
      </c>
      <c r="H16" s="1">
        <v>150</v>
      </c>
      <c r="I16" s="132">
        <v>5.085</v>
      </c>
      <c r="L16" s="114">
        <v>12</v>
      </c>
      <c r="M16" s="105">
        <v>243.68799999999999</v>
      </c>
      <c r="N16" s="105">
        <v>212.00800000000001</v>
      </c>
      <c r="O16" s="105">
        <v>949.60699999999997</v>
      </c>
      <c r="P16" s="105">
        <v>1161.6099999999999</v>
      </c>
      <c r="Q16" s="105">
        <v>6.5214499999999995E-2</v>
      </c>
      <c r="R16" s="105">
        <v>15.334</v>
      </c>
      <c r="S16" s="105">
        <v>0.35877799999999999</v>
      </c>
      <c r="T16" s="105">
        <v>1.3501000000000001</v>
      </c>
      <c r="U16" s="105">
        <v>1.70888</v>
      </c>
      <c r="V16" s="105">
        <v>0.38435599999999998</v>
      </c>
      <c r="W16" s="105">
        <v>0.51675499999999996</v>
      </c>
      <c r="X16" s="105">
        <v>1576.98</v>
      </c>
      <c r="Y16" s="106">
        <v>8.6506399999999992E-6</v>
      </c>
      <c r="Z16" s="105">
        <v>1.31125</v>
      </c>
      <c r="AA16" s="104">
        <v>0.97702599999999995</v>
      </c>
    </row>
    <row r="17" spans="1:27" x14ac:dyDescent="0.25">
      <c r="A17" s="30">
        <v>16</v>
      </c>
      <c r="B17" s="26">
        <v>251.7</v>
      </c>
      <c r="C17" s="27">
        <v>220.2</v>
      </c>
      <c r="D17" s="28">
        <v>944.3</v>
      </c>
      <c r="E17" s="28">
        <v>1164.5</v>
      </c>
      <c r="F17" s="22">
        <v>1.702E-2</v>
      </c>
      <c r="G17" s="31">
        <v>13.45</v>
      </c>
      <c r="H17" s="1">
        <v>200</v>
      </c>
      <c r="I17" s="132">
        <v>4.4320000000000004</v>
      </c>
      <c r="L17" s="115">
        <v>13</v>
      </c>
      <c r="M17" s="108">
        <v>245.756</v>
      </c>
      <c r="N17" s="108">
        <v>214.10400000000001</v>
      </c>
      <c r="O17" s="108">
        <v>948.23400000000004</v>
      </c>
      <c r="P17" s="108">
        <v>1162.3399999999999</v>
      </c>
      <c r="Q17" s="108">
        <v>6.7498199999999994E-2</v>
      </c>
      <c r="R17" s="108">
        <v>14.815200000000001</v>
      </c>
      <c r="S17" s="108">
        <v>0.36175000000000002</v>
      </c>
      <c r="T17" s="108">
        <v>1.3442000000000001</v>
      </c>
      <c r="U17" s="108">
        <v>1.7059500000000001</v>
      </c>
      <c r="V17" s="108">
        <v>0.38531500000000002</v>
      </c>
      <c r="W17" s="108">
        <v>0.51827599999999996</v>
      </c>
      <c r="X17" s="108">
        <v>1578.67</v>
      </c>
      <c r="Y17" s="109">
        <v>8.67724E-6</v>
      </c>
      <c r="Z17" s="108">
        <v>1.31098</v>
      </c>
      <c r="AA17" s="107">
        <v>0.97645999999999999</v>
      </c>
    </row>
    <row r="18" spans="1:27" ht="13.8" thickBot="1" x14ac:dyDescent="0.3">
      <c r="A18" s="32">
        <v>18</v>
      </c>
      <c r="B18" s="33">
        <v>255.3</v>
      </c>
      <c r="C18" s="34">
        <v>224</v>
      </c>
      <c r="D18" s="35">
        <v>941.9</v>
      </c>
      <c r="E18" s="35">
        <v>1165.8</v>
      </c>
      <c r="F18" s="36">
        <v>1.7049999999999999E-2</v>
      </c>
      <c r="G18" s="37">
        <v>12.68</v>
      </c>
      <c r="H18" s="1">
        <v>250</v>
      </c>
      <c r="I18" s="132">
        <v>3.9079999999999999</v>
      </c>
      <c r="L18" s="114">
        <v>14</v>
      </c>
      <c r="M18" s="105">
        <v>247.76400000000001</v>
      </c>
      <c r="N18" s="105">
        <v>216.14099999999999</v>
      </c>
      <c r="O18" s="105">
        <v>946.89599999999996</v>
      </c>
      <c r="P18" s="105">
        <v>1163.04</v>
      </c>
      <c r="Q18" s="105">
        <v>6.97768E-2</v>
      </c>
      <c r="R18" s="105">
        <v>14.3314</v>
      </c>
      <c r="S18" s="105">
        <v>0.36462800000000001</v>
      </c>
      <c r="T18" s="105">
        <v>1.33849</v>
      </c>
      <c r="U18" s="105">
        <v>1.70312</v>
      </c>
      <c r="V18" s="105">
        <v>0.38626100000000002</v>
      </c>
      <c r="W18" s="105">
        <v>0.51978000000000002</v>
      </c>
      <c r="X18" s="105">
        <v>1580.3</v>
      </c>
      <c r="Y18" s="106">
        <v>8.70308E-6</v>
      </c>
      <c r="Z18" s="105">
        <v>1.31071</v>
      </c>
      <c r="AA18" s="104">
        <v>0.97590100000000002</v>
      </c>
    </row>
    <row r="19" spans="1:27" x14ac:dyDescent="0.25">
      <c r="A19" s="30">
        <v>20</v>
      </c>
      <c r="B19" s="26">
        <v>258.8</v>
      </c>
      <c r="C19" s="27">
        <v>227.5</v>
      </c>
      <c r="D19" s="28">
        <v>939.5</v>
      </c>
      <c r="E19" s="28">
        <v>1167</v>
      </c>
      <c r="F19" s="22">
        <v>1.7080000000000001E-2</v>
      </c>
      <c r="G19" s="31">
        <v>11.99</v>
      </c>
      <c r="H19" s="1">
        <v>300</v>
      </c>
      <c r="I19" s="132">
        <v>3.4910000000000001</v>
      </c>
      <c r="L19" s="115">
        <v>15</v>
      </c>
      <c r="M19" s="108">
        <v>249.71600000000001</v>
      </c>
      <c r="N19" s="108">
        <v>218.12100000000001</v>
      </c>
      <c r="O19" s="108">
        <v>945.59100000000001</v>
      </c>
      <c r="P19" s="108">
        <v>1163.71</v>
      </c>
      <c r="Q19" s="108">
        <v>7.2050500000000003E-2</v>
      </c>
      <c r="R19" s="108">
        <v>13.879099999999999</v>
      </c>
      <c r="S19" s="108">
        <v>0.367419</v>
      </c>
      <c r="T19" s="108">
        <v>1.33297</v>
      </c>
      <c r="U19" s="108">
        <v>1.7003900000000001</v>
      </c>
      <c r="V19" s="108">
        <v>0.38719500000000001</v>
      </c>
      <c r="W19" s="108">
        <v>0.52126799999999995</v>
      </c>
      <c r="X19" s="108">
        <v>1581.86</v>
      </c>
      <c r="Y19" s="109">
        <v>8.7282000000000006E-6</v>
      </c>
      <c r="Z19" s="108">
        <v>1.3104499999999999</v>
      </c>
      <c r="AA19" s="107">
        <v>0.97534799999999999</v>
      </c>
    </row>
    <row r="20" spans="1:27" x14ac:dyDescent="0.25">
      <c r="A20" s="30">
        <v>22</v>
      </c>
      <c r="B20" s="26">
        <v>262.10000000000002</v>
      </c>
      <c r="C20" s="27">
        <v>230.9</v>
      </c>
      <c r="D20" s="28">
        <v>937.2</v>
      </c>
      <c r="E20" s="28">
        <v>1168.0999999999999</v>
      </c>
      <c r="F20" s="22">
        <v>1.711E-2</v>
      </c>
      <c r="G20" s="31">
        <v>11.38</v>
      </c>
      <c r="H20" s="1">
        <v>400</v>
      </c>
      <c r="I20" s="132">
        <v>2.86</v>
      </c>
      <c r="L20" s="114">
        <v>16</v>
      </c>
      <c r="M20" s="105">
        <v>251.614</v>
      </c>
      <c r="N20" s="105">
        <v>220.04900000000001</v>
      </c>
      <c r="O20" s="105">
        <v>944.31799999999998</v>
      </c>
      <c r="P20" s="105">
        <v>1164.3699999999999</v>
      </c>
      <c r="Q20" s="105">
        <v>7.4319700000000002E-2</v>
      </c>
      <c r="R20" s="105">
        <v>13.455399999999999</v>
      </c>
      <c r="S20" s="105">
        <v>0.37012800000000001</v>
      </c>
      <c r="T20" s="105">
        <v>1.32762</v>
      </c>
      <c r="U20" s="105">
        <v>1.6977500000000001</v>
      </c>
      <c r="V20" s="105">
        <v>0.38811899999999999</v>
      </c>
      <c r="W20" s="105">
        <v>0.52274100000000001</v>
      </c>
      <c r="X20" s="105">
        <v>1583.37</v>
      </c>
      <c r="Y20" s="106">
        <v>8.75265E-6</v>
      </c>
      <c r="Z20" s="105">
        <v>1.31019</v>
      </c>
      <c r="AA20" s="104">
        <v>0.97480100000000003</v>
      </c>
    </row>
    <row r="21" spans="1:27" x14ac:dyDescent="0.25">
      <c r="A21" s="30">
        <v>24</v>
      </c>
      <c r="B21" s="26">
        <v>265.3</v>
      </c>
      <c r="C21" s="27">
        <v>234.1</v>
      </c>
      <c r="D21" s="28">
        <v>935</v>
      </c>
      <c r="E21" s="28">
        <v>1169.2</v>
      </c>
      <c r="F21" s="22">
        <v>1.7129999999999999E-2</v>
      </c>
      <c r="G21" s="31">
        <v>10.83</v>
      </c>
      <c r="H21" s="1">
        <v>500</v>
      </c>
      <c r="I21" s="132">
        <v>2.4049999999999998</v>
      </c>
      <c r="L21" s="115">
        <v>17</v>
      </c>
      <c r="M21" s="108">
        <v>253.46299999999999</v>
      </c>
      <c r="N21" s="108">
        <v>221.92599999999999</v>
      </c>
      <c r="O21" s="108">
        <v>943.07299999999998</v>
      </c>
      <c r="P21" s="108">
        <v>1165</v>
      </c>
      <c r="Q21" s="108">
        <v>7.6584299999999994E-2</v>
      </c>
      <c r="R21" s="108">
        <v>13.057499999999999</v>
      </c>
      <c r="S21" s="108">
        <v>0.37275999999999998</v>
      </c>
      <c r="T21" s="108">
        <v>1.3224400000000001</v>
      </c>
      <c r="U21" s="108">
        <v>1.6952</v>
      </c>
      <c r="V21" s="108">
        <v>0.38903199999999999</v>
      </c>
      <c r="W21" s="108">
        <v>0.5242</v>
      </c>
      <c r="X21" s="108">
        <v>1584.83</v>
      </c>
      <c r="Y21" s="109">
        <v>8.7764600000000003E-6</v>
      </c>
      <c r="Z21" s="108">
        <v>1.30993</v>
      </c>
      <c r="AA21" s="107">
        <v>0.97426100000000004</v>
      </c>
    </row>
    <row r="22" spans="1:27" x14ac:dyDescent="0.25">
      <c r="A22" s="30">
        <v>25</v>
      </c>
      <c r="B22" s="26">
        <v>266.8</v>
      </c>
      <c r="C22" s="27">
        <v>235.7</v>
      </c>
      <c r="D22" s="28">
        <v>933.9</v>
      </c>
      <c r="E22" s="28">
        <v>1169.5999999999999</v>
      </c>
      <c r="F22" s="22">
        <v>1.7149999999999999E-2</v>
      </c>
      <c r="G22" s="31">
        <v>10.57</v>
      </c>
      <c r="H22" s="1">
        <v>600</v>
      </c>
      <c r="I22" s="132">
        <v>2.0590000000000002</v>
      </c>
      <c r="L22" s="114">
        <v>18</v>
      </c>
      <c r="M22" s="105">
        <v>255.26499999999999</v>
      </c>
      <c r="N22" s="105">
        <v>223.75700000000001</v>
      </c>
      <c r="O22" s="105">
        <v>941.85699999999997</v>
      </c>
      <c r="P22" s="105">
        <v>1165.6099999999999</v>
      </c>
      <c r="Q22" s="105">
        <v>7.8844800000000007E-2</v>
      </c>
      <c r="R22" s="105">
        <v>12.683199999999999</v>
      </c>
      <c r="S22" s="105">
        <v>0.37531900000000001</v>
      </c>
      <c r="T22" s="105">
        <v>1.3173999999999999</v>
      </c>
      <c r="U22" s="105">
        <v>1.69272</v>
      </c>
      <c r="V22" s="105">
        <v>0.389934</v>
      </c>
      <c r="W22" s="105">
        <v>0.52564500000000003</v>
      </c>
      <c r="X22" s="105">
        <v>1586.24</v>
      </c>
      <c r="Y22" s="106">
        <v>8.7996699999999994E-6</v>
      </c>
      <c r="Z22" s="105">
        <v>1.30968</v>
      </c>
      <c r="AA22" s="104">
        <v>0.97372599999999998</v>
      </c>
    </row>
    <row r="23" spans="1:27" ht="13.8" thickBot="1" x14ac:dyDescent="0.3">
      <c r="A23" s="30">
        <v>26</v>
      </c>
      <c r="B23" s="26">
        <v>268.3</v>
      </c>
      <c r="C23" s="27">
        <v>237.2</v>
      </c>
      <c r="D23" s="28">
        <v>932.9</v>
      </c>
      <c r="E23" s="28">
        <v>1170.0999999999999</v>
      </c>
      <c r="F23" s="22">
        <v>1.7160000000000002E-2</v>
      </c>
      <c r="G23" s="31">
        <v>10.33</v>
      </c>
      <c r="L23" s="116">
        <v>19</v>
      </c>
      <c r="M23" s="117">
        <v>257.02199999999999</v>
      </c>
      <c r="N23" s="117">
        <v>225.54400000000001</v>
      </c>
      <c r="O23" s="117">
        <v>940.66600000000005</v>
      </c>
      <c r="P23" s="117">
        <v>1166.21</v>
      </c>
      <c r="Q23" s="117">
        <v>8.1101099999999995E-2</v>
      </c>
      <c r="R23" s="117">
        <v>12.330299999999999</v>
      </c>
      <c r="S23" s="117">
        <v>0.37781100000000001</v>
      </c>
      <c r="T23" s="117">
        <v>1.3125100000000001</v>
      </c>
      <c r="U23" s="117">
        <v>1.69032</v>
      </c>
      <c r="V23" s="117">
        <v>0.39082699999999998</v>
      </c>
      <c r="W23" s="117">
        <v>0.52707599999999999</v>
      </c>
      <c r="X23" s="117">
        <v>1587.6</v>
      </c>
      <c r="Y23" s="118">
        <v>8.8223099999999992E-6</v>
      </c>
      <c r="Z23" s="117">
        <v>1.3094300000000001</v>
      </c>
      <c r="AA23" s="119">
        <v>0.97319699999999998</v>
      </c>
    </row>
    <row r="24" spans="1:27" ht="13.8" thickBot="1" x14ac:dyDescent="0.3">
      <c r="A24" s="32">
        <v>28</v>
      </c>
      <c r="B24" s="33">
        <v>271.2</v>
      </c>
      <c r="C24" s="34">
        <v>240.2</v>
      </c>
      <c r="D24" s="35">
        <v>930.8</v>
      </c>
      <c r="E24" s="35">
        <v>1171</v>
      </c>
      <c r="F24" s="36">
        <v>1.719E-2</v>
      </c>
      <c r="G24" s="40">
        <v>9.8740000000000006</v>
      </c>
      <c r="L24" s="120">
        <v>20</v>
      </c>
      <c r="M24" s="121">
        <v>258.73700000000002</v>
      </c>
      <c r="N24" s="121">
        <v>227.28800000000001</v>
      </c>
      <c r="O24" s="121">
        <v>939.5</v>
      </c>
      <c r="P24" s="121">
        <v>1166.79</v>
      </c>
      <c r="Q24" s="121">
        <v>8.3353399999999994E-2</v>
      </c>
      <c r="R24" s="121">
        <v>11.9971</v>
      </c>
      <c r="S24" s="121">
        <v>0.38023800000000002</v>
      </c>
      <c r="T24" s="121">
        <v>1.30775</v>
      </c>
      <c r="U24" s="121">
        <v>1.6879900000000001</v>
      </c>
      <c r="V24" s="121">
        <v>0.39171</v>
      </c>
      <c r="W24" s="121">
        <v>0.52849500000000005</v>
      </c>
      <c r="X24" s="121">
        <v>1588.92</v>
      </c>
      <c r="Y24" s="122">
        <v>8.8444100000000002E-6</v>
      </c>
      <c r="Z24" s="121">
        <v>1.3091900000000001</v>
      </c>
      <c r="AA24" s="123">
        <v>0.97267199999999998</v>
      </c>
    </row>
    <row r="25" spans="1:27" x14ac:dyDescent="0.25">
      <c r="A25" s="30">
        <v>30</v>
      </c>
      <c r="B25" s="26">
        <v>274</v>
      </c>
      <c r="C25" s="27">
        <v>243.1</v>
      </c>
      <c r="D25" s="28">
        <v>928.9</v>
      </c>
      <c r="E25" s="28">
        <v>1172</v>
      </c>
      <c r="F25" s="22">
        <v>1.721E-2</v>
      </c>
      <c r="G25" s="41">
        <v>9.4589999999999996</v>
      </c>
      <c r="L25" s="115">
        <v>21</v>
      </c>
      <c r="M25" s="108">
        <v>260.41300000000001</v>
      </c>
      <c r="N25" s="108">
        <v>228.99299999999999</v>
      </c>
      <c r="O25" s="108">
        <v>938.35699999999997</v>
      </c>
      <c r="P25" s="108">
        <v>1167.3499999999999</v>
      </c>
      <c r="Q25" s="108">
        <v>8.5601899999999995E-2</v>
      </c>
      <c r="R25" s="108">
        <v>11.682</v>
      </c>
      <c r="S25" s="108">
        <v>0.382604</v>
      </c>
      <c r="T25" s="108">
        <v>1.3031200000000001</v>
      </c>
      <c r="U25" s="108">
        <v>1.68573</v>
      </c>
      <c r="V25" s="108">
        <v>0.39258399999999999</v>
      </c>
      <c r="W25" s="108">
        <v>0.52990199999999998</v>
      </c>
      <c r="X25" s="108">
        <v>1590.2</v>
      </c>
      <c r="Y25" s="109">
        <v>8.8659999999999995E-6</v>
      </c>
      <c r="Z25" s="108">
        <v>1.3089500000000001</v>
      </c>
      <c r="AA25" s="107">
        <v>0.97215300000000004</v>
      </c>
    </row>
    <row r="26" spans="1:27" x14ac:dyDescent="0.25">
      <c r="A26" s="30">
        <v>32</v>
      </c>
      <c r="B26" s="26">
        <v>276.7</v>
      </c>
      <c r="C26" s="27">
        <v>245.8</v>
      </c>
      <c r="D26" s="28">
        <v>926.9</v>
      </c>
      <c r="E26" s="28">
        <v>1172.7</v>
      </c>
      <c r="F26" s="22">
        <v>1.7229999999999999E-2</v>
      </c>
      <c r="G26" s="41">
        <v>9.0779999999999994</v>
      </c>
      <c r="L26" s="114">
        <v>22</v>
      </c>
      <c r="M26" s="105">
        <v>262.05099999999999</v>
      </c>
      <c r="N26" s="105">
        <v>230.66</v>
      </c>
      <c r="O26" s="105">
        <v>937.23699999999997</v>
      </c>
      <c r="P26" s="105">
        <v>1167.9000000000001</v>
      </c>
      <c r="Q26" s="105">
        <v>8.7846800000000003E-2</v>
      </c>
      <c r="R26" s="105">
        <v>11.3835</v>
      </c>
      <c r="S26" s="105">
        <v>0.38491199999999998</v>
      </c>
      <c r="T26" s="105">
        <v>1.29861</v>
      </c>
      <c r="U26" s="105">
        <v>1.68353</v>
      </c>
      <c r="V26" s="105">
        <v>0.39344899999999999</v>
      </c>
      <c r="W26" s="105">
        <v>0.53129700000000002</v>
      </c>
      <c r="X26" s="105">
        <v>1591.44</v>
      </c>
      <c r="Y26" s="106">
        <v>8.8871100000000007E-6</v>
      </c>
      <c r="Z26" s="105">
        <v>1.30871</v>
      </c>
      <c r="AA26" s="104">
        <v>0.97163900000000003</v>
      </c>
    </row>
    <row r="27" spans="1:27" x14ac:dyDescent="0.25">
      <c r="A27" s="30">
        <v>34</v>
      </c>
      <c r="B27" s="26">
        <v>279.39999999999998</v>
      </c>
      <c r="C27" s="27">
        <v>248.5</v>
      </c>
      <c r="D27" s="28">
        <v>925.1</v>
      </c>
      <c r="E27" s="28">
        <v>1173.5999999999999</v>
      </c>
      <c r="F27" s="22">
        <v>1.7260000000000001E-2</v>
      </c>
      <c r="G27" s="41">
        <v>8.7279999999999998</v>
      </c>
      <c r="L27" s="115">
        <v>23</v>
      </c>
      <c r="M27" s="108">
        <v>263.65300000000002</v>
      </c>
      <c r="N27" s="108">
        <v>232.292</v>
      </c>
      <c r="O27" s="108">
        <v>936.13800000000003</v>
      </c>
      <c r="P27" s="108">
        <v>1168.43</v>
      </c>
      <c r="Q27" s="108">
        <v>9.0088100000000004E-2</v>
      </c>
      <c r="R27" s="108">
        <v>11.100300000000001</v>
      </c>
      <c r="S27" s="108">
        <v>0.38716499999999998</v>
      </c>
      <c r="T27" s="108">
        <v>1.2942199999999999</v>
      </c>
      <c r="U27" s="108">
        <v>1.6813800000000001</v>
      </c>
      <c r="V27" s="108">
        <v>0.39430599999999999</v>
      </c>
      <c r="W27" s="108">
        <v>0.53268099999999996</v>
      </c>
      <c r="X27" s="108">
        <v>1592.64</v>
      </c>
      <c r="Y27" s="109">
        <v>8.9077600000000002E-6</v>
      </c>
      <c r="Z27" s="108">
        <v>1.3084800000000001</v>
      </c>
      <c r="AA27" s="107">
        <v>0.97112900000000002</v>
      </c>
    </row>
    <row r="28" spans="1:27" x14ac:dyDescent="0.25">
      <c r="A28" s="30">
        <v>35</v>
      </c>
      <c r="B28" s="26">
        <v>280.60000000000002</v>
      </c>
      <c r="C28" s="27">
        <v>249.8</v>
      </c>
      <c r="D28" s="28">
        <v>924.2</v>
      </c>
      <c r="E28" s="28">
        <v>1174</v>
      </c>
      <c r="F28" s="22">
        <v>1.7270000000000001E-2</v>
      </c>
      <c r="G28" s="41">
        <v>8.5630000000000006</v>
      </c>
      <c r="L28" s="114">
        <v>24</v>
      </c>
      <c r="M28" s="105">
        <v>265.221</v>
      </c>
      <c r="N28" s="105">
        <v>233.88900000000001</v>
      </c>
      <c r="O28" s="105">
        <v>935.05899999999997</v>
      </c>
      <c r="P28" s="105">
        <v>1168.95</v>
      </c>
      <c r="Q28" s="105">
        <v>9.2325900000000002E-2</v>
      </c>
      <c r="R28" s="105">
        <v>10.831200000000001</v>
      </c>
      <c r="S28" s="105">
        <v>0.38936700000000002</v>
      </c>
      <c r="T28" s="105">
        <v>1.28993</v>
      </c>
      <c r="U28" s="105">
        <v>1.6793</v>
      </c>
      <c r="V28" s="105">
        <v>0.39515400000000001</v>
      </c>
      <c r="W28" s="105">
        <v>0.534053</v>
      </c>
      <c r="X28" s="105">
        <v>1593.8</v>
      </c>
      <c r="Y28" s="106">
        <v>8.9279800000000002E-6</v>
      </c>
      <c r="Z28" s="105">
        <v>1.3082499999999999</v>
      </c>
      <c r="AA28" s="104">
        <v>0.97062400000000004</v>
      </c>
    </row>
    <row r="29" spans="1:27" x14ac:dyDescent="0.25">
      <c r="A29" s="30">
        <v>36</v>
      </c>
      <c r="B29" s="26">
        <v>281.89999999999998</v>
      </c>
      <c r="C29" s="27">
        <v>251.1</v>
      </c>
      <c r="D29" s="28">
        <v>923.3</v>
      </c>
      <c r="E29" s="28">
        <v>1174.4000000000001</v>
      </c>
      <c r="F29" s="22">
        <v>1.728E-2</v>
      </c>
      <c r="G29" s="41">
        <v>8.4039999999999999</v>
      </c>
      <c r="L29" s="115">
        <v>25</v>
      </c>
      <c r="M29" s="108">
        <v>266.75599999999997</v>
      </c>
      <c r="N29" s="108">
        <v>235.45400000000001</v>
      </c>
      <c r="O29" s="108">
        <v>933.99900000000002</v>
      </c>
      <c r="P29" s="108">
        <v>1169.45</v>
      </c>
      <c r="Q29" s="108">
        <v>9.4560400000000003E-2</v>
      </c>
      <c r="R29" s="108">
        <v>10.575200000000001</v>
      </c>
      <c r="S29" s="108">
        <v>0.39151900000000001</v>
      </c>
      <c r="T29" s="108">
        <v>1.2857499999999999</v>
      </c>
      <c r="U29" s="108">
        <v>1.67726</v>
      </c>
      <c r="V29" s="108">
        <v>0.39599400000000001</v>
      </c>
      <c r="W29" s="108">
        <v>0.53541499999999997</v>
      </c>
      <c r="X29" s="108">
        <v>1594.94</v>
      </c>
      <c r="Y29" s="109">
        <v>8.9477700000000006E-6</v>
      </c>
      <c r="Z29" s="108">
        <v>1.30802</v>
      </c>
      <c r="AA29" s="107">
        <v>0.97012399999999999</v>
      </c>
    </row>
    <row r="30" spans="1:27" ht="13.8" thickBot="1" x14ac:dyDescent="0.3">
      <c r="A30" s="32">
        <v>38</v>
      </c>
      <c r="B30" s="33">
        <v>284.3</v>
      </c>
      <c r="C30" s="34">
        <v>253.6</v>
      </c>
      <c r="D30" s="35">
        <v>921.5</v>
      </c>
      <c r="E30" s="35">
        <v>1175.0999999999999</v>
      </c>
      <c r="F30" s="36">
        <v>1.7299999999999999E-2</v>
      </c>
      <c r="G30" s="40">
        <v>8.1039999999999992</v>
      </c>
      <c r="L30" s="114">
        <v>26</v>
      </c>
      <c r="M30" s="105">
        <v>268.26100000000002</v>
      </c>
      <c r="N30" s="105">
        <v>236.98699999999999</v>
      </c>
      <c r="O30" s="105">
        <v>932.95799999999997</v>
      </c>
      <c r="P30" s="105">
        <v>1169.95</v>
      </c>
      <c r="Q30" s="105">
        <v>9.6791699999999994E-2</v>
      </c>
      <c r="R30" s="105">
        <v>10.3315</v>
      </c>
      <c r="S30" s="105">
        <v>0.39362399999999997</v>
      </c>
      <c r="T30" s="105">
        <v>1.28166</v>
      </c>
      <c r="U30" s="105">
        <v>1.6752800000000001</v>
      </c>
      <c r="V30" s="105">
        <v>0.39682699999999999</v>
      </c>
      <c r="W30" s="105">
        <v>0.53676699999999999</v>
      </c>
      <c r="X30" s="105">
        <v>1596.04</v>
      </c>
      <c r="Y30" s="106">
        <v>8.96716E-6</v>
      </c>
      <c r="Z30" s="105">
        <v>1.3078000000000001</v>
      </c>
      <c r="AA30" s="104">
        <v>0.96962700000000002</v>
      </c>
    </row>
    <row r="31" spans="1:27" x14ac:dyDescent="0.25">
      <c r="A31" s="30">
        <v>40</v>
      </c>
      <c r="B31" s="26">
        <v>286.7</v>
      </c>
      <c r="C31" s="27">
        <v>256</v>
      </c>
      <c r="D31" s="28">
        <v>919.8</v>
      </c>
      <c r="E31" s="28">
        <v>1175.8</v>
      </c>
      <c r="F31" s="22">
        <v>1.7330000000000002E-2</v>
      </c>
      <c r="G31" s="41">
        <v>7.8259999999999996</v>
      </c>
      <c r="L31" s="115">
        <v>27</v>
      </c>
      <c r="M31" s="108">
        <v>269.73500000000001</v>
      </c>
      <c r="N31" s="108">
        <v>238.49100000000001</v>
      </c>
      <c r="O31" s="108">
        <v>931.93399999999997</v>
      </c>
      <c r="P31" s="108">
        <v>1170.43</v>
      </c>
      <c r="Q31" s="108">
        <v>9.9019899999999994E-2</v>
      </c>
      <c r="R31" s="108">
        <v>10.099</v>
      </c>
      <c r="S31" s="108">
        <v>0.39568300000000001</v>
      </c>
      <c r="T31" s="108">
        <v>1.27766</v>
      </c>
      <c r="U31" s="108">
        <v>1.6733499999999999</v>
      </c>
      <c r="V31" s="108">
        <v>0.39765200000000001</v>
      </c>
      <c r="W31" s="108">
        <v>0.53810899999999995</v>
      </c>
      <c r="X31" s="108">
        <v>1597.11</v>
      </c>
      <c r="Y31" s="109">
        <v>8.9861700000000001E-6</v>
      </c>
      <c r="Z31" s="108">
        <v>1.30758</v>
      </c>
      <c r="AA31" s="107">
        <v>0.96913499999999997</v>
      </c>
    </row>
    <row r="32" spans="1:27" x14ac:dyDescent="0.25">
      <c r="A32" s="30">
        <v>42</v>
      </c>
      <c r="B32" s="26">
        <v>289</v>
      </c>
      <c r="C32" s="27">
        <v>258.39999999999998</v>
      </c>
      <c r="D32" s="28">
        <v>918.1</v>
      </c>
      <c r="E32" s="28">
        <v>1176.5</v>
      </c>
      <c r="F32" s="22">
        <v>1.7350000000000001E-2</v>
      </c>
      <c r="G32" s="41">
        <v>7.5659999999999998</v>
      </c>
      <c r="L32" s="114">
        <v>28</v>
      </c>
      <c r="M32" s="105">
        <v>271.18099999999998</v>
      </c>
      <c r="N32" s="105">
        <v>239.96700000000001</v>
      </c>
      <c r="O32" s="105">
        <v>930.928</v>
      </c>
      <c r="P32" s="105">
        <v>1170.8900000000001</v>
      </c>
      <c r="Q32" s="105">
        <v>0.101245</v>
      </c>
      <c r="R32" s="105">
        <v>9.8770199999999999</v>
      </c>
      <c r="S32" s="105">
        <v>0.3977</v>
      </c>
      <c r="T32" s="105">
        <v>1.27376</v>
      </c>
      <c r="U32" s="105">
        <v>1.6714599999999999</v>
      </c>
      <c r="V32" s="105">
        <v>0.39846999999999999</v>
      </c>
      <c r="W32" s="105">
        <v>0.53944000000000003</v>
      </c>
      <c r="X32" s="105">
        <v>1598.15</v>
      </c>
      <c r="Y32" s="106">
        <v>9.0048200000000003E-6</v>
      </c>
      <c r="Z32" s="105">
        <v>1.3073600000000001</v>
      </c>
      <c r="AA32" s="104">
        <v>0.96864700000000004</v>
      </c>
    </row>
    <row r="33" spans="1:27" x14ac:dyDescent="0.25">
      <c r="A33" s="30">
        <v>44</v>
      </c>
      <c r="B33" s="26">
        <v>291.3</v>
      </c>
      <c r="C33" s="27">
        <v>260.7</v>
      </c>
      <c r="D33" s="28">
        <v>916.4</v>
      </c>
      <c r="E33" s="28">
        <v>1177.2</v>
      </c>
      <c r="F33" s="22">
        <v>1.737E-2</v>
      </c>
      <c r="G33" s="41">
        <v>7.3230000000000004</v>
      </c>
      <c r="L33" s="115">
        <v>29</v>
      </c>
      <c r="M33" s="108">
        <v>272.60000000000002</v>
      </c>
      <c r="N33" s="108">
        <v>241.416</v>
      </c>
      <c r="O33" s="108">
        <v>929.93700000000001</v>
      </c>
      <c r="P33" s="108">
        <v>1171.3499999999999</v>
      </c>
      <c r="Q33" s="108">
        <v>0.103467</v>
      </c>
      <c r="R33" s="108">
        <v>9.6648800000000001</v>
      </c>
      <c r="S33" s="108">
        <v>0.39967599999999998</v>
      </c>
      <c r="T33" s="108">
        <v>1.2699400000000001</v>
      </c>
      <c r="U33" s="108">
        <v>1.66961</v>
      </c>
      <c r="V33" s="108">
        <v>0.399281</v>
      </c>
      <c r="W33" s="108">
        <v>0.54076299999999999</v>
      </c>
      <c r="X33" s="108">
        <v>1599.16</v>
      </c>
      <c r="Y33" s="109">
        <v>9.0231199999999998E-6</v>
      </c>
      <c r="Z33" s="108">
        <v>1.30715</v>
      </c>
      <c r="AA33" s="107">
        <v>0.96816199999999997</v>
      </c>
    </row>
    <row r="34" spans="1:27" x14ac:dyDescent="0.25">
      <c r="A34" s="30">
        <v>45</v>
      </c>
      <c r="B34" s="26">
        <v>292.39999999999998</v>
      </c>
      <c r="C34" s="27">
        <v>261.89999999999998</v>
      </c>
      <c r="D34" s="28">
        <v>915.6</v>
      </c>
      <c r="E34" s="28">
        <v>1177.5</v>
      </c>
      <c r="F34" s="22">
        <v>1.738E-2</v>
      </c>
      <c r="G34" s="41">
        <v>7.2080000000000002</v>
      </c>
      <c r="L34" s="114">
        <v>30</v>
      </c>
      <c r="M34" s="105">
        <v>273.99299999999999</v>
      </c>
      <c r="N34" s="105">
        <v>242.83799999999999</v>
      </c>
      <c r="O34" s="105">
        <v>928.96199999999999</v>
      </c>
      <c r="P34" s="105">
        <v>1171.8</v>
      </c>
      <c r="Q34" s="105">
        <v>0.105687</v>
      </c>
      <c r="R34" s="105">
        <v>9.4619199999999992</v>
      </c>
      <c r="S34" s="105">
        <v>0.40161200000000002</v>
      </c>
      <c r="T34" s="105">
        <v>1.2662</v>
      </c>
      <c r="U34" s="105">
        <v>1.66781</v>
      </c>
      <c r="V34" s="105">
        <v>0.40008500000000002</v>
      </c>
      <c r="W34" s="105">
        <v>0.542076</v>
      </c>
      <c r="X34" s="105">
        <v>1600.15</v>
      </c>
      <c r="Y34" s="106">
        <v>9.0410799999999992E-6</v>
      </c>
      <c r="Z34" s="105">
        <v>1.30694</v>
      </c>
      <c r="AA34" s="104">
        <v>0.96768100000000001</v>
      </c>
    </row>
    <row r="35" spans="1:27" x14ac:dyDescent="0.25">
      <c r="A35" s="30">
        <v>46</v>
      </c>
      <c r="B35" s="26">
        <v>293.5</v>
      </c>
      <c r="C35" s="27">
        <v>263</v>
      </c>
      <c r="D35" s="28">
        <v>914.8</v>
      </c>
      <c r="E35" s="28">
        <v>1177.8</v>
      </c>
      <c r="F35" s="22">
        <v>1.7389999999999999E-2</v>
      </c>
      <c r="G35" s="41">
        <v>7.0960000000000001</v>
      </c>
      <c r="L35" s="115">
        <v>31</v>
      </c>
      <c r="M35" s="108">
        <v>275.36099999999999</v>
      </c>
      <c r="N35" s="108">
        <v>244.23599999999999</v>
      </c>
      <c r="O35" s="108">
        <v>928.00099999999998</v>
      </c>
      <c r="P35" s="108">
        <v>1172.24</v>
      </c>
      <c r="Q35" s="108">
        <v>0.107904</v>
      </c>
      <c r="R35" s="108">
        <v>9.2675400000000003</v>
      </c>
      <c r="S35" s="108">
        <v>0.40351100000000001</v>
      </c>
      <c r="T35" s="108">
        <v>1.2625299999999999</v>
      </c>
      <c r="U35" s="108">
        <v>1.66604</v>
      </c>
      <c r="V35" s="108">
        <v>0.40088200000000002</v>
      </c>
      <c r="W35" s="108">
        <v>0.543381</v>
      </c>
      <c r="X35" s="108">
        <v>1601.11</v>
      </c>
      <c r="Y35" s="109">
        <v>9.0587199999999999E-6</v>
      </c>
      <c r="Z35" s="108">
        <v>1.3067299999999999</v>
      </c>
      <c r="AA35" s="107">
        <v>0.96720399999999995</v>
      </c>
    </row>
    <row r="36" spans="1:27" ht="13.8" thickBot="1" x14ac:dyDescent="0.3">
      <c r="A36" s="32">
        <v>48</v>
      </c>
      <c r="B36" s="33">
        <v>295.60000000000002</v>
      </c>
      <c r="C36" s="34">
        <v>265.2</v>
      </c>
      <c r="D36" s="35">
        <v>913.2</v>
      </c>
      <c r="E36" s="35">
        <v>1178.4000000000001</v>
      </c>
      <c r="F36" s="36">
        <v>1.7409999999999998E-2</v>
      </c>
      <c r="G36" s="40">
        <v>6.883</v>
      </c>
      <c r="L36" s="114">
        <v>32</v>
      </c>
      <c r="M36" s="105">
        <v>276.70499999999998</v>
      </c>
      <c r="N36" s="105">
        <v>245.60900000000001</v>
      </c>
      <c r="O36" s="105">
        <v>927.05499999999995</v>
      </c>
      <c r="P36" s="105">
        <v>1172.6600000000001</v>
      </c>
      <c r="Q36" s="105">
        <v>0.11011799999999999</v>
      </c>
      <c r="R36" s="105">
        <v>9.0812100000000004</v>
      </c>
      <c r="S36" s="105">
        <v>0.40537400000000001</v>
      </c>
      <c r="T36" s="105">
        <v>1.2589399999999999</v>
      </c>
      <c r="U36" s="105">
        <v>1.66432</v>
      </c>
      <c r="V36" s="105">
        <v>0.40167199999999997</v>
      </c>
      <c r="W36" s="105">
        <v>0.54467699999999997</v>
      </c>
      <c r="X36" s="105">
        <v>1602.05</v>
      </c>
      <c r="Y36" s="106">
        <v>9.0760499999999993E-6</v>
      </c>
      <c r="Z36" s="105">
        <v>1.3065199999999999</v>
      </c>
      <c r="AA36" s="104">
        <v>0.96673100000000001</v>
      </c>
    </row>
    <row r="37" spans="1:27" x14ac:dyDescent="0.25">
      <c r="A37" s="30">
        <v>50</v>
      </c>
      <c r="B37" s="26">
        <v>297.7</v>
      </c>
      <c r="C37" s="27">
        <v>267.3</v>
      </c>
      <c r="D37" s="28">
        <v>911.7</v>
      </c>
      <c r="E37" s="28">
        <v>1179</v>
      </c>
      <c r="F37" s="22">
        <v>1.7430000000000001E-2</v>
      </c>
      <c r="G37" s="41">
        <v>6.6829999999999998</v>
      </c>
      <c r="L37" s="115">
        <v>33</v>
      </c>
      <c r="M37" s="108">
        <v>278.02600000000001</v>
      </c>
      <c r="N37" s="108">
        <v>246.96</v>
      </c>
      <c r="O37" s="108">
        <v>926.12300000000005</v>
      </c>
      <c r="P37" s="108">
        <v>1173.08</v>
      </c>
      <c r="Q37" s="108">
        <v>0.112329</v>
      </c>
      <c r="R37" s="108">
        <v>8.9024199999999993</v>
      </c>
      <c r="S37" s="108">
        <v>0.40720200000000001</v>
      </c>
      <c r="T37" s="108">
        <v>1.25543</v>
      </c>
      <c r="U37" s="108">
        <v>1.6626300000000001</v>
      </c>
      <c r="V37" s="108">
        <v>0.40245599999999998</v>
      </c>
      <c r="W37" s="108">
        <v>0.545964</v>
      </c>
      <c r="X37" s="108">
        <v>1602.96</v>
      </c>
      <c r="Y37" s="109">
        <v>9.0930799999999997E-6</v>
      </c>
      <c r="Z37" s="108">
        <v>1.3063199999999999</v>
      </c>
      <c r="AA37" s="107">
        <v>0.96626000000000001</v>
      </c>
    </row>
    <row r="38" spans="1:27" ht="13.8" thickBot="1" x14ac:dyDescent="0.3">
      <c r="A38" s="32">
        <v>55</v>
      </c>
      <c r="B38" s="33">
        <v>302.60000000000002</v>
      </c>
      <c r="C38" s="34">
        <v>272.39999999999998</v>
      </c>
      <c r="D38" s="35">
        <v>908</v>
      </c>
      <c r="E38" s="35">
        <v>1180.4000000000001</v>
      </c>
      <c r="F38" s="36">
        <v>1.7479999999999999E-2</v>
      </c>
      <c r="G38" s="40">
        <v>6.23</v>
      </c>
      <c r="L38" s="114">
        <v>34</v>
      </c>
      <c r="M38" s="105">
        <v>279.32499999999999</v>
      </c>
      <c r="N38" s="105">
        <v>248.28800000000001</v>
      </c>
      <c r="O38" s="105">
        <v>925.20399999999995</v>
      </c>
      <c r="P38" s="105">
        <v>1173.49</v>
      </c>
      <c r="Q38" s="105">
        <v>0.114538</v>
      </c>
      <c r="R38" s="105">
        <v>8.7307400000000008</v>
      </c>
      <c r="S38" s="105">
        <v>0.40899600000000003</v>
      </c>
      <c r="T38" s="105">
        <v>1.2519800000000001</v>
      </c>
      <c r="U38" s="105">
        <v>1.6609700000000001</v>
      </c>
      <c r="V38" s="105">
        <v>0.40323399999999998</v>
      </c>
      <c r="W38" s="105">
        <v>0.54724300000000003</v>
      </c>
      <c r="X38" s="105">
        <v>1603.85</v>
      </c>
      <c r="Y38" s="106">
        <v>9.1098300000000008E-6</v>
      </c>
      <c r="Z38" s="105">
        <v>1.3061199999999999</v>
      </c>
      <c r="AA38" s="104">
        <v>0.96579400000000004</v>
      </c>
    </row>
    <row r="39" spans="1:27" x14ac:dyDescent="0.25">
      <c r="A39" s="30">
        <v>60</v>
      </c>
      <c r="B39" s="26">
        <v>307.3</v>
      </c>
      <c r="C39" s="27">
        <v>277.3</v>
      </c>
      <c r="D39" s="28">
        <v>904.5</v>
      </c>
      <c r="E39" s="28">
        <v>1181.8</v>
      </c>
      <c r="F39" s="22">
        <v>1.753E-2</v>
      </c>
      <c r="G39" s="41">
        <v>5.8369999999999997</v>
      </c>
      <c r="L39" s="115">
        <v>35</v>
      </c>
      <c r="M39" s="108">
        <v>280.60199999999998</v>
      </c>
      <c r="N39" s="108">
        <v>249.595</v>
      </c>
      <c r="O39" s="108">
        <v>924.29700000000003</v>
      </c>
      <c r="P39" s="108">
        <v>1173.8900000000001</v>
      </c>
      <c r="Q39" s="108">
        <v>0.116744</v>
      </c>
      <c r="R39" s="108">
        <v>8.5657300000000003</v>
      </c>
      <c r="S39" s="108">
        <v>0.41075899999999999</v>
      </c>
      <c r="T39" s="108">
        <v>1.2485900000000001</v>
      </c>
      <c r="U39" s="108">
        <v>1.6593500000000001</v>
      </c>
      <c r="V39" s="108">
        <v>0.40400599999999998</v>
      </c>
      <c r="W39" s="108">
        <v>0.54851399999999995</v>
      </c>
      <c r="X39" s="108">
        <v>1604.73</v>
      </c>
      <c r="Y39" s="109">
        <v>9.1262999999999993E-6</v>
      </c>
      <c r="Z39" s="108">
        <v>1.30592</v>
      </c>
      <c r="AA39" s="107">
        <v>0.96533000000000002</v>
      </c>
    </row>
    <row r="40" spans="1:27" ht="13.8" thickBot="1" x14ac:dyDescent="0.3">
      <c r="A40" s="32">
        <v>65</v>
      </c>
      <c r="B40" s="33">
        <v>311.8</v>
      </c>
      <c r="C40" s="34">
        <v>281.89999999999998</v>
      </c>
      <c r="D40" s="35">
        <v>901.1</v>
      </c>
      <c r="E40" s="35">
        <v>1183</v>
      </c>
      <c r="F40" s="36">
        <v>1.7569999999999999E-2</v>
      </c>
      <c r="G40" s="40">
        <v>5.4909999999999997</v>
      </c>
      <c r="L40" s="114">
        <v>36</v>
      </c>
      <c r="M40" s="105">
        <v>281.85899999999998</v>
      </c>
      <c r="N40" s="105">
        <v>250.881</v>
      </c>
      <c r="O40" s="105">
        <v>923.40300000000002</v>
      </c>
      <c r="P40" s="105">
        <v>1174.28</v>
      </c>
      <c r="Q40" s="105">
        <v>0.118948</v>
      </c>
      <c r="R40" s="105">
        <v>8.4070099999999996</v>
      </c>
      <c r="S40" s="105">
        <v>0.412491</v>
      </c>
      <c r="T40" s="105">
        <v>1.2452700000000001</v>
      </c>
      <c r="U40" s="105">
        <v>1.6577599999999999</v>
      </c>
      <c r="V40" s="105">
        <v>0.40477200000000002</v>
      </c>
      <c r="W40" s="105">
        <v>0.54977699999999996</v>
      </c>
      <c r="X40" s="105">
        <v>1605.58</v>
      </c>
      <c r="Y40" s="106">
        <v>9.14251E-6</v>
      </c>
      <c r="Z40" s="105">
        <v>1.30572</v>
      </c>
      <c r="AA40" s="104">
        <v>0.96486899999999998</v>
      </c>
    </row>
    <row r="41" spans="1:27" x14ac:dyDescent="0.25">
      <c r="A41" s="30">
        <v>70</v>
      </c>
      <c r="B41" s="26">
        <v>316</v>
      </c>
      <c r="C41" s="27">
        <v>286.3</v>
      </c>
      <c r="D41" s="28">
        <v>897.9</v>
      </c>
      <c r="E41" s="28">
        <v>1184.0999999999999</v>
      </c>
      <c r="F41" s="22">
        <v>1.7610000000000001E-2</v>
      </c>
      <c r="G41" s="41">
        <v>5.1840000000000002</v>
      </c>
      <c r="L41" s="115">
        <v>37</v>
      </c>
      <c r="M41" s="108">
        <v>283.096</v>
      </c>
      <c r="N41" s="108">
        <v>252.148</v>
      </c>
      <c r="O41" s="108">
        <v>922.52099999999996</v>
      </c>
      <c r="P41" s="108">
        <v>1174.67</v>
      </c>
      <c r="Q41" s="108">
        <v>0.12114999999999999</v>
      </c>
      <c r="R41" s="108">
        <v>8.2542200000000001</v>
      </c>
      <c r="S41" s="108">
        <v>0.41419400000000001</v>
      </c>
      <c r="T41" s="108">
        <v>1.2420100000000001</v>
      </c>
      <c r="U41" s="108">
        <v>1.6561999999999999</v>
      </c>
      <c r="V41" s="108">
        <v>0.405532</v>
      </c>
      <c r="W41" s="108">
        <v>0.551033</v>
      </c>
      <c r="X41" s="108">
        <v>1606.41</v>
      </c>
      <c r="Y41" s="109">
        <v>9.1584599999999994E-6</v>
      </c>
      <c r="Z41" s="108">
        <v>1.3055300000000001</v>
      </c>
      <c r="AA41" s="107">
        <v>0.96441200000000005</v>
      </c>
    </row>
    <row r="42" spans="1:27" ht="13.8" thickBot="1" x14ac:dyDescent="0.3">
      <c r="A42" s="32">
        <v>75</v>
      </c>
      <c r="B42" s="33">
        <v>320</v>
      </c>
      <c r="C42" s="34">
        <v>290.5</v>
      </c>
      <c r="D42" s="35">
        <v>894.8</v>
      </c>
      <c r="E42" s="35">
        <v>1185.2</v>
      </c>
      <c r="F42" s="36">
        <v>1.7659999999999999E-2</v>
      </c>
      <c r="G42" s="40">
        <v>4.9109999999999996</v>
      </c>
      <c r="L42" s="114">
        <v>38</v>
      </c>
      <c r="M42" s="105">
        <v>284.31400000000002</v>
      </c>
      <c r="N42" s="105">
        <v>253.39500000000001</v>
      </c>
      <c r="O42" s="105">
        <v>921.65</v>
      </c>
      <c r="P42" s="105">
        <v>1175.05</v>
      </c>
      <c r="Q42" s="105">
        <v>0.12335</v>
      </c>
      <c r="R42" s="105">
        <v>8.1070399999999996</v>
      </c>
      <c r="S42" s="105">
        <v>0.41586699999999999</v>
      </c>
      <c r="T42" s="105">
        <v>1.2387999999999999</v>
      </c>
      <c r="U42" s="105">
        <v>1.6546700000000001</v>
      </c>
      <c r="V42" s="105">
        <v>0.40628599999999998</v>
      </c>
      <c r="W42" s="105">
        <v>0.55228100000000002</v>
      </c>
      <c r="X42" s="105">
        <v>1607.22</v>
      </c>
      <c r="Y42" s="106">
        <v>9.1741599999999999E-6</v>
      </c>
      <c r="Z42" s="105">
        <v>1.3053300000000001</v>
      </c>
      <c r="AA42" s="104">
        <v>0.96395699999999995</v>
      </c>
    </row>
    <row r="43" spans="1:27" ht="13.8" thickBot="1" x14ac:dyDescent="0.3">
      <c r="A43" s="30">
        <v>80</v>
      </c>
      <c r="B43" s="26">
        <v>323.89999999999998</v>
      </c>
      <c r="C43" s="27">
        <v>294.5</v>
      </c>
      <c r="D43" s="28">
        <v>891.7</v>
      </c>
      <c r="E43" s="28">
        <v>1186.0999999999999</v>
      </c>
      <c r="F43" s="22">
        <v>1.77E-2</v>
      </c>
      <c r="G43" s="41">
        <v>4.665</v>
      </c>
      <c r="L43" s="116">
        <v>39</v>
      </c>
      <c r="M43" s="117">
        <v>285.51299999999998</v>
      </c>
      <c r="N43" s="117">
        <v>254.624</v>
      </c>
      <c r="O43" s="117">
        <v>920.79100000000005</v>
      </c>
      <c r="P43" s="117">
        <v>1175.42</v>
      </c>
      <c r="Q43" s="117">
        <v>0.12554699999999999</v>
      </c>
      <c r="R43" s="117">
        <v>7.9651500000000004</v>
      </c>
      <c r="S43" s="117">
        <v>0.417514</v>
      </c>
      <c r="T43" s="117">
        <v>1.23566</v>
      </c>
      <c r="U43" s="117">
        <v>1.65317</v>
      </c>
      <c r="V43" s="117">
        <v>0.40703400000000001</v>
      </c>
      <c r="W43" s="117">
        <v>0.55352199999999996</v>
      </c>
      <c r="X43" s="117">
        <v>1608.01</v>
      </c>
      <c r="Y43" s="118">
        <v>9.1896200000000006E-6</v>
      </c>
      <c r="Z43" s="117">
        <v>1.30514</v>
      </c>
      <c r="AA43" s="119">
        <v>0.96350599999999997</v>
      </c>
    </row>
    <row r="44" spans="1:27" ht="13.8" thickBot="1" x14ac:dyDescent="0.3">
      <c r="A44" s="32">
        <v>85</v>
      </c>
      <c r="B44" s="33">
        <v>327.60000000000002</v>
      </c>
      <c r="C44" s="34">
        <v>298.3</v>
      </c>
      <c r="D44" s="35">
        <v>888.8</v>
      </c>
      <c r="E44" s="35">
        <v>1187.0999999999999</v>
      </c>
      <c r="F44" s="36">
        <v>1.7739999999999999E-2</v>
      </c>
      <c r="G44" s="40">
        <v>4.444</v>
      </c>
      <c r="L44" s="120">
        <v>40</v>
      </c>
      <c r="M44" s="121">
        <v>286.69400000000002</v>
      </c>
      <c r="N44" s="121">
        <v>255.83600000000001</v>
      </c>
      <c r="O44" s="121">
        <v>919.94200000000001</v>
      </c>
      <c r="P44" s="121">
        <v>1175.78</v>
      </c>
      <c r="Q44" s="121">
        <v>0.12774199999999999</v>
      </c>
      <c r="R44" s="121">
        <v>7.8282699999999998</v>
      </c>
      <c r="S44" s="121">
        <v>0.41913299999999998</v>
      </c>
      <c r="T44" s="121">
        <v>1.2325600000000001</v>
      </c>
      <c r="U44" s="121">
        <v>1.6516999999999999</v>
      </c>
      <c r="V44" s="121">
        <v>0.40777799999999997</v>
      </c>
      <c r="W44" s="121">
        <v>0.554755</v>
      </c>
      <c r="X44" s="121">
        <v>1608.79</v>
      </c>
      <c r="Y44" s="122">
        <v>9.2048500000000005E-6</v>
      </c>
      <c r="Z44" s="121">
        <v>1.3049599999999999</v>
      </c>
      <c r="AA44" s="123">
        <v>0.96305700000000005</v>
      </c>
    </row>
    <row r="45" spans="1:27" x14ac:dyDescent="0.25">
      <c r="A45" s="30">
        <v>90</v>
      </c>
      <c r="B45" s="26">
        <v>331.2</v>
      </c>
      <c r="C45" s="27">
        <v>302</v>
      </c>
      <c r="D45" s="28">
        <v>886</v>
      </c>
      <c r="E45" s="28">
        <v>1188</v>
      </c>
      <c r="F45" s="22">
        <v>1.7780000000000001E-2</v>
      </c>
      <c r="G45" s="41">
        <v>4.242</v>
      </c>
      <c r="L45" s="115">
        <v>41</v>
      </c>
      <c r="M45" s="108">
        <v>287.85899999999998</v>
      </c>
      <c r="N45" s="108">
        <v>257.029</v>
      </c>
      <c r="O45" s="108">
        <v>919.10299999999995</v>
      </c>
      <c r="P45" s="108">
        <v>1176.1300000000001</v>
      </c>
      <c r="Q45" s="108">
        <v>0.12993499999999999</v>
      </c>
      <c r="R45" s="108">
        <v>7.6961399999999998</v>
      </c>
      <c r="S45" s="108">
        <v>0.42072700000000002</v>
      </c>
      <c r="T45" s="108">
        <v>1.2295199999999999</v>
      </c>
      <c r="U45" s="108">
        <v>1.65025</v>
      </c>
      <c r="V45" s="108">
        <v>0.40851599999999999</v>
      </c>
      <c r="W45" s="108">
        <v>0.55598199999999998</v>
      </c>
      <c r="X45" s="108">
        <v>1609.55</v>
      </c>
      <c r="Y45" s="109">
        <v>9.2198600000000002E-6</v>
      </c>
      <c r="Z45" s="108">
        <v>1.30477</v>
      </c>
      <c r="AA45" s="107">
        <v>0.96261099999999999</v>
      </c>
    </row>
    <row r="46" spans="1:27" ht="13.8" thickBot="1" x14ac:dyDescent="0.3">
      <c r="A46" s="32">
        <v>95</v>
      </c>
      <c r="B46" s="33">
        <v>334.6</v>
      </c>
      <c r="C46" s="34">
        <v>305.60000000000002</v>
      </c>
      <c r="D46" s="35">
        <v>883.3</v>
      </c>
      <c r="E46" s="35">
        <v>1188.8</v>
      </c>
      <c r="F46" s="36">
        <v>1.7819999999999999E-2</v>
      </c>
      <c r="G46" s="40">
        <v>4.0590000000000002</v>
      </c>
      <c r="L46" s="114">
        <v>42</v>
      </c>
      <c r="M46" s="105">
        <v>289.00599999999997</v>
      </c>
      <c r="N46" s="105">
        <v>258.20699999999999</v>
      </c>
      <c r="O46" s="105">
        <v>918.27499999999998</v>
      </c>
      <c r="P46" s="105">
        <v>1176.48</v>
      </c>
      <c r="Q46" s="105">
        <v>0.13212599999999999</v>
      </c>
      <c r="R46" s="105">
        <v>7.5685200000000004</v>
      </c>
      <c r="S46" s="105">
        <v>0.42229699999999998</v>
      </c>
      <c r="T46" s="105">
        <v>1.2265299999999999</v>
      </c>
      <c r="U46" s="105">
        <v>1.64883</v>
      </c>
      <c r="V46" s="105">
        <v>0.409248</v>
      </c>
      <c r="W46" s="105">
        <v>0.55720199999999998</v>
      </c>
      <c r="X46" s="105">
        <v>1610.29</v>
      </c>
      <c r="Y46" s="106">
        <v>9.2346499999999998E-6</v>
      </c>
      <c r="Z46" s="105">
        <v>1.3045899999999999</v>
      </c>
      <c r="AA46" s="104">
        <v>0.96216800000000002</v>
      </c>
    </row>
    <row r="47" spans="1:27" x14ac:dyDescent="0.25">
      <c r="A47" s="30">
        <v>100</v>
      </c>
      <c r="B47" s="26">
        <v>337.9</v>
      </c>
      <c r="C47" s="27">
        <v>309.10000000000002</v>
      </c>
      <c r="D47" s="28">
        <v>880.6</v>
      </c>
      <c r="E47" s="28">
        <v>1189.5999999999999</v>
      </c>
      <c r="F47" s="22">
        <v>1.7850000000000001E-2</v>
      </c>
      <c r="G47" s="41">
        <v>3.891</v>
      </c>
      <c r="L47" s="115">
        <v>43</v>
      </c>
      <c r="M47" s="108">
        <v>290.137</v>
      </c>
      <c r="N47" s="108">
        <v>259.36799999999999</v>
      </c>
      <c r="O47" s="108">
        <v>917.45600000000002</v>
      </c>
      <c r="P47" s="108">
        <v>1176.82</v>
      </c>
      <c r="Q47" s="108">
        <v>0.13431499999999999</v>
      </c>
      <c r="R47" s="108">
        <v>7.4451700000000001</v>
      </c>
      <c r="S47" s="108">
        <v>0.423842</v>
      </c>
      <c r="T47" s="108">
        <v>1.22359</v>
      </c>
      <c r="U47" s="108">
        <v>1.6474299999999999</v>
      </c>
      <c r="V47" s="108">
        <v>0.40997600000000001</v>
      </c>
      <c r="W47" s="108">
        <v>0.55841499999999999</v>
      </c>
      <c r="X47" s="108">
        <v>1611.02</v>
      </c>
      <c r="Y47" s="109">
        <v>9.2492400000000006E-6</v>
      </c>
      <c r="Z47" s="108">
        <v>1.3044</v>
      </c>
      <c r="AA47" s="107">
        <v>0.961727</v>
      </c>
    </row>
    <row r="48" spans="1:27" ht="13.8" thickBot="1" x14ac:dyDescent="0.3">
      <c r="A48" s="32">
        <v>105</v>
      </c>
      <c r="B48" s="33">
        <v>341.1</v>
      </c>
      <c r="C48" s="34">
        <v>312.39999999999998</v>
      </c>
      <c r="D48" s="35">
        <v>878</v>
      </c>
      <c r="E48" s="35">
        <v>1190.3</v>
      </c>
      <c r="F48" s="36">
        <v>1.789E-2</v>
      </c>
      <c r="G48" s="40">
        <v>3.7360000000000002</v>
      </c>
      <c r="L48" s="114">
        <v>44</v>
      </c>
      <c r="M48" s="105">
        <v>291.25299999999999</v>
      </c>
      <c r="N48" s="105">
        <v>260.51299999999998</v>
      </c>
      <c r="O48" s="105">
        <v>916.64599999999996</v>
      </c>
      <c r="P48" s="105">
        <v>1177.1600000000001</v>
      </c>
      <c r="Q48" s="105">
        <v>0.13650200000000001</v>
      </c>
      <c r="R48" s="105">
        <v>7.3258700000000001</v>
      </c>
      <c r="S48" s="105">
        <v>0.42536400000000002</v>
      </c>
      <c r="T48" s="105">
        <v>1.2206900000000001</v>
      </c>
      <c r="U48" s="105">
        <v>1.6460600000000001</v>
      </c>
      <c r="V48" s="105">
        <v>0.41069800000000001</v>
      </c>
      <c r="W48" s="105">
        <v>0.55962199999999995</v>
      </c>
      <c r="X48" s="105">
        <v>1611.73</v>
      </c>
      <c r="Y48" s="106">
        <v>9.2636200000000003E-6</v>
      </c>
      <c r="Z48" s="105">
        <v>1.3042199999999999</v>
      </c>
      <c r="AA48" s="104">
        <v>0.96128899999999995</v>
      </c>
    </row>
    <row r="49" spans="1:27" x14ac:dyDescent="0.25">
      <c r="A49" s="30">
        <v>110</v>
      </c>
      <c r="B49" s="26">
        <v>344.2</v>
      </c>
      <c r="C49" s="27">
        <v>315.60000000000002</v>
      </c>
      <c r="D49" s="28">
        <v>875.5</v>
      </c>
      <c r="E49" s="28">
        <v>1191.0999999999999</v>
      </c>
      <c r="F49" s="22">
        <v>1.7919999999999998E-2</v>
      </c>
      <c r="G49" s="41">
        <v>3.5939999999999999</v>
      </c>
      <c r="L49" s="115">
        <v>45</v>
      </c>
      <c r="M49" s="108">
        <v>292.35300000000001</v>
      </c>
      <c r="N49" s="108">
        <v>261.64299999999997</v>
      </c>
      <c r="O49" s="108">
        <v>915.846</v>
      </c>
      <c r="P49" s="108">
        <v>1177.49</v>
      </c>
      <c r="Q49" s="108">
        <v>0.13868800000000001</v>
      </c>
      <c r="R49" s="108">
        <v>7.2104400000000002</v>
      </c>
      <c r="S49" s="108">
        <v>0.42686299999999999</v>
      </c>
      <c r="T49" s="108">
        <v>1.21784</v>
      </c>
      <c r="U49" s="108">
        <v>1.6447099999999999</v>
      </c>
      <c r="V49" s="108">
        <v>0.41141499999999998</v>
      </c>
      <c r="W49" s="108">
        <v>0.56082200000000004</v>
      </c>
      <c r="X49" s="108">
        <v>1612.43</v>
      </c>
      <c r="Y49" s="109">
        <v>9.2777999999999995E-6</v>
      </c>
      <c r="Z49" s="108">
        <v>1.3040499999999999</v>
      </c>
      <c r="AA49" s="107">
        <v>0.96085399999999999</v>
      </c>
    </row>
    <row r="50" spans="1:27" ht="13.8" thickBot="1" x14ac:dyDescent="0.3">
      <c r="A50" s="32">
        <v>115</v>
      </c>
      <c r="B50" s="33">
        <v>347.2</v>
      </c>
      <c r="C50" s="34">
        <v>318.8</v>
      </c>
      <c r="D50" s="35">
        <v>873</v>
      </c>
      <c r="E50" s="35">
        <v>1191.7</v>
      </c>
      <c r="F50" s="36">
        <v>1.796E-2</v>
      </c>
      <c r="G50" s="40">
        <v>3.4620000000000002</v>
      </c>
      <c r="L50" s="114">
        <v>46</v>
      </c>
      <c r="M50" s="105">
        <v>293.43900000000002</v>
      </c>
      <c r="N50" s="105">
        <v>262.75799999999998</v>
      </c>
      <c r="O50" s="105">
        <v>915.05399999999997</v>
      </c>
      <c r="P50" s="105">
        <v>1177.81</v>
      </c>
      <c r="Q50" s="105">
        <v>0.140871</v>
      </c>
      <c r="R50" s="105">
        <v>7.0986799999999999</v>
      </c>
      <c r="S50" s="105">
        <v>0.42834100000000003</v>
      </c>
      <c r="T50" s="105">
        <v>1.2150399999999999</v>
      </c>
      <c r="U50" s="105">
        <v>1.6433800000000001</v>
      </c>
      <c r="V50" s="105">
        <v>0.41212799999999999</v>
      </c>
      <c r="W50" s="105">
        <v>0.56201599999999996</v>
      </c>
      <c r="X50" s="105">
        <v>1613.11</v>
      </c>
      <c r="Y50" s="106">
        <v>9.2917999999999997E-6</v>
      </c>
      <c r="Z50" s="105">
        <v>1.3038700000000001</v>
      </c>
      <c r="AA50" s="104">
        <v>0.96042099999999997</v>
      </c>
    </row>
    <row r="51" spans="1:27" x14ac:dyDescent="0.25">
      <c r="A51" s="30">
        <v>120</v>
      </c>
      <c r="B51" s="26">
        <v>350.1</v>
      </c>
      <c r="C51" s="27">
        <v>321.8</v>
      </c>
      <c r="D51" s="28">
        <v>870.5</v>
      </c>
      <c r="E51" s="28">
        <v>1192.3</v>
      </c>
      <c r="F51" s="22">
        <v>1.7989999999999999E-2</v>
      </c>
      <c r="G51" s="41">
        <v>3.34</v>
      </c>
      <c r="L51" s="115">
        <v>47</v>
      </c>
      <c r="M51" s="108">
        <v>294.51</v>
      </c>
      <c r="N51" s="108">
        <v>263.86</v>
      </c>
      <c r="O51" s="108">
        <v>914.27099999999996</v>
      </c>
      <c r="P51" s="108">
        <v>1178.1300000000001</v>
      </c>
      <c r="Q51" s="108">
        <v>0.14305300000000001</v>
      </c>
      <c r="R51" s="108">
        <v>6.9904200000000003</v>
      </c>
      <c r="S51" s="108">
        <v>0.42979800000000001</v>
      </c>
      <c r="T51" s="108">
        <v>1.21227</v>
      </c>
      <c r="U51" s="108">
        <v>1.6420699999999999</v>
      </c>
      <c r="V51" s="108">
        <v>0.41283599999999998</v>
      </c>
      <c r="W51" s="108">
        <v>0.56320400000000004</v>
      </c>
      <c r="X51" s="108">
        <v>1613.78</v>
      </c>
      <c r="Y51" s="109">
        <v>9.3056100000000002E-6</v>
      </c>
      <c r="Z51" s="108">
        <v>1.30369</v>
      </c>
      <c r="AA51" s="107">
        <v>0.95999000000000001</v>
      </c>
    </row>
    <row r="52" spans="1:27" ht="13.8" thickBot="1" x14ac:dyDescent="0.3">
      <c r="A52" s="32">
        <v>125</v>
      </c>
      <c r="B52" s="33">
        <v>352.9</v>
      </c>
      <c r="C52" s="34">
        <v>324.8</v>
      </c>
      <c r="D52" s="35">
        <v>868.2</v>
      </c>
      <c r="E52" s="35">
        <v>1193</v>
      </c>
      <c r="F52" s="36">
        <v>1.8030000000000001E-2</v>
      </c>
      <c r="G52" s="40">
        <v>3.226</v>
      </c>
      <c r="L52" s="114">
        <v>48</v>
      </c>
      <c r="M52" s="105">
        <v>295.56799999999998</v>
      </c>
      <c r="N52" s="105">
        <v>264.947</v>
      </c>
      <c r="O52" s="105">
        <v>913.49699999999996</v>
      </c>
      <c r="P52" s="105">
        <v>1178.44</v>
      </c>
      <c r="Q52" s="105">
        <v>0.145233</v>
      </c>
      <c r="R52" s="105">
        <v>6.8855000000000004</v>
      </c>
      <c r="S52" s="105">
        <v>0.43123499999999998</v>
      </c>
      <c r="T52" s="105">
        <v>1.2095499999999999</v>
      </c>
      <c r="U52" s="105">
        <v>1.6407799999999999</v>
      </c>
      <c r="V52" s="105">
        <v>0.41353899999999999</v>
      </c>
      <c r="W52" s="105">
        <v>0.56438500000000003</v>
      </c>
      <c r="X52" s="105">
        <v>1614.44</v>
      </c>
      <c r="Y52" s="106">
        <v>9.3192399999999999E-6</v>
      </c>
      <c r="Z52" s="105">
        <v>1.30352</v>
      </c>
      <c r="AA52" s="104">
        <v>0.95956200000000003</v>
      </c>
    </row>
    <row r="53" spans="1:27" x14ac:dyDescent="0.25">
      <c r="A53" s="30">
        <v>130</v>
      </c>
      <c r="B53" s="26">
        <v>355.6</v>
      </c>
      <c r="C53" s="27">
        <v>327.7</v>
      </c>
      <c r="D53" s="28">
        <v>865.9</v>
      </c>
      <c r="E53" s="28">
        <v>1193.5</v>
      </c>
      <c r="F53" s="22">
        <v>1.806E-2</v>
      </c>
      <c r="G53" s="41">
        <v>3.1190000000000002</v>
      </c>
      <c r="L53" s="115">
        <v>49</v>
      </c>
      <c r="M53" s="108">
        <v>296.61200000000002</v>
      </c>
      <c r="N53" s="108">
        <v>266.02100000000002</v>
      </c>
      <c r="O53" s="108">
        <v>912.73</v>
      </c>
      <c r="P53" s="108">
        <v>1178.75</v>
      </c>
      <c r="Q53" s="108">
        <v>0.14741099999999999</v>
      </c>
      <c r="R53" s="108">
        <v>6.78376</v>
      </c>
      <c r="S53" s="108">
        <v>0.43265100000000001</v>
      </c>
      <c r="T53" s="108">
        <v>1.20686</v>
      </c>
      <c r="U53" s="108">
        <v>1.6395200000000001</v>
      </c>
      <c r="V53" s="108">
        <v>0.414238</v>
      </c>
      <c r="W53" s="108">
        <v>0.56556099999999998</v>
      </c>
      <c r="X53" s="108">
        <v>1615.08</v>
      </c>
      <c r="Y53" s="109">
        <v>9.3326999999999996E-6</v>
      </c>
      <c r="Z53" s="108">
        <v>1.30335</v>
      </c>
      <c r="AA53" s="107">
        <v>0.95913599999999999</v>
      </c>
    </row>
    <row r="54" spans="1:27" ht="13.8" thickBot="1" x14ac:dyDescent="0.3">
      <c r="A54" s="32">
        <v>135</v>
      </c>
      <c r="B54" s="33">
        <v>358.3</v>
      </c>
      <c r="C54" s="34">
        <v>330.5</v>
      </c>
      <c r="D54" s="35">
        <v>863.6</v>
      </c>
      <c r="E54" s="35">
        <v>1194</v>
      </c>
      <c r="F54" s="36">
        <v>1.8089999999999998E-2</v>
      </c>
      <c r="G54" s="40">
        <v>3.02</v>
      </c>
      <c r="L54" s="114">
        <v>50</v>
      </c>
      <c r="M54" s="105">
        <v>297.64299999999997</v>
      </c>
      <c r="N54" s="105">
        <v>267.08100000000002</v>
      </c>
      <c r="O54" s="105">
        <v>911.97199999999998</v>
      </c>
      <c r="P54" s="105">
        <v>1179.05</v>
      </c>
      <c r="Q54" s="105">
        <v>0.149587</v>
      </c>
      <c r="R54" s="105">
        <v>6.6850500000000004</v>
      </c>
      <c r="S54" s="105">
        <v>0.43404900000000002</v>
      </c>
      <c r="T54" s="105">
        <v>1.2042200000000001</v>
      </c>
      <c r="U54" s="105">
        <v>1.6382699999999999</v>
      </c>
      <c r="V54" s="105">
        <v>0.41493200000000002</v>
      </c>
      <c r="W54" s="105">
        <v>0.56673099999999998</v>
      </c>
      <c r="X54" s="105">
        <v>1615.71</v>
      </c>
      <c r="Y54" s="106">
        <v>9.3459800000000003E-6</v>
      </c>
      <c r="Z54" s="105">
        <v>1.30318</v>
      </c>
      <c r="AA54" s="104">
        <v>0.95871300000000004</v>
      </c>
    </row>
    <row r="55" spans="1:27" x14ac:dyDescent="0.25">
      <c r="A55" s="30">
        <v>140</v>
      </c>
      <c r="B55" s="26">
        <v>360.9</v>
      </c>
      <c r="C55" s="27">
        <v>333.2</v>
      </c>
      <c r="D55" s="28">
        <v>861.3</v>
      </c>
      <c r="E55" s="28">
        <v>1194.5</v>
      </c>
      <c r="F55" s="22">
        <v>1.8120000000000001E-2</v>
      </c>
      <c r="G55" s="41">
        <v>2.927</v>
      </c>
      <c r="L55" s="115">
        <v>51</v>
      </c>
      <c r="M55" s="108">
        <v>298.661</v>
      </c>
      <c r="N55" s="108">
        <v>268.13</v>
      </c>
      <c r="O55" s="108">
        <v>911.221</v>
      </c>
      <c r="P55" s="108">
        <v>1179.3499999999999</v>
      </c>
      <c r="Q55" s="108">
        <v>0.15176200000000001</v>
      </c>
      <c r="R55" s="108">
        <v>6.5892499999999998</v>
      </c>
      <c r="S55" s="108">
        <v>0.43542700000000001</v>
      </c>
      <c r="T55" s="108">
        <v>1.2016100000000001</v>
      </c>
      <c r="U55" s="108">
        <v>1.6370400000000001</v>
      </c>
      <c r="V55" s="108">
        <v>0.41562100000000002</v>
      </c>
      <c r="W55" s="108">
        <v>0.56789500000000004</v>
      </c>
      <c r="X55" s="108">
        <v>1616.33</v>
      </c>
      <c r="Y55" s="109">
        <v>9.3590999999999999E-6</v>
      </c>
      <c r="Z55" s="108">
        <v>1.30301</v>
      </c>
      <c r="AA55" s="107">
        <v>0.958291</v>
      </c>
    </row>
    <row r="56" spans="1:27" ht="13.8" thickBot="1" x14ac:dyDescent="0.3">
      <c r="A56" s="32">
        <v>145</v>
      </c>
      <c r="B56" s="33">
        <v>363.4</v>
      </c>
      <c r="C56" s="34">
        <v>335.9</v>
      </c>
      <c r="D56" s="35">
        <v>859.1</v>
      </c>
      <c r="E56" s="35">
        <v>1195.0999999999999</v>
      </c>
      <c r="F56" s="36">
        <v>1.8149999999999999E-2</v>
      </c>
      <c r="G56" s="40">
        <v>2.839</v>
      </c>
      <c r="L56" s="114">
        <v>52</v>
      </c>
      <c r="M56" s="105">
        <v>299.66699999999997</v>
      </c>
      <c r="N56" s="105">
        <v>269.16500000000002</v>
      </c>
      <c r="O56" s="105">
        <v>910.47699999999998</v>
      </c>
      <c r="P56" s="105">
        <v>1179.6400000000001</v>
      </c>
      <c r="Q56" s="105">
        <v>0.15393599999999999</v>
      </c>
      <c r="R56" s="105">
        <v>6.4962200000000001</v>
      </c>
      <c r="S56" s="105">
        <v>0.43678800000000001</v>
      </c>
      <c r="T56" s="105">
        <v>1.1990400000000001</v>
      </c>
      <c r="U56" s="105">
        <v>1.6358299999999999</v>
      </c>
      <c r="V56" s="105">
        <v>0.41630600000000001</v>
      </c>
      <c r="W56" s="105">
        <v>0.56905300000000003</v>
      </c>
      <c r="X56" s="105">
        <v>1616.93</v>
      </c>
      <c r="Y56" s="106">
        <v>9.3720699999999992E-6</v>
      </c>
      <c r="Z56" s="105">
        <v>1.3028500000000001</v>
      </c>
      <c r="AA56" s="104">
        <v>0.95787199999999995</v>
      </c>
    </row>
    <row r="57" spans="1:27" x14ac:dyDescent="0.25">
      <c r="A57" s="25">
        <v>150</v>
      </c>
      <c r="B57" s="26">
        <v>365.9</v>
      </c>
      <c r="C57" s="27">
        <v>338.6</v>
      </c>
      <c r="D57" s="28">
        <v>857</v>
      </c>
      <c r="E57" s="28">
        <v>1195.5999999999999</v>
      </c>
      <c r="F57" s="22">
        <v>1.8180000000000002E-2</v>
      </c>
      <c r="G57" s="29">
        <v>2.7559999999999998</v>
      </c>
      <c r="L57" s="115">
        <v>53</v>
      </c>
      <c r="M57" s="108">
        <v>300.661</v>
      </c>
      <c r="N57" s="108">
        <v>270.18900000000002</v>
      </c>
      <c r="O57" s="108">
        <v>909.74099999999999</v>
      </c>
      <c r="P57" s="108">
        <v>1179.93</v>
      </c>
      <c r="Q57" s="108">
        <v>0.156107</v>
      </c>
      <c r="R57" s="108">
        <v>6.40585</v>
      </c>
      <c r="S57" s="108">
        <v>0.43813099999999999</v>
      </c>
      <c r="T57" s="108">
        <v>1.19651</v>
      </c>
      <c r="U57" s="108">
        <v>1.6346400000000001</v>
      </c>
      <c r="V57" s="108">
        <v>0.416987</v>
      </c>
      <c r="W57" s="108">
        <v>0.57020599999999999</v>
      </c>
      <c r="X57" s="108">
        <v>1617.53</v>
      </c>
      <c r="Y57" s="109">
        <v>9.3848700000000002E-6</v>
      </c>
      <c r="Z57" s="108">
        <v>1.3026800000000001</v>
      </c>
      <c r="AA57" s="107">
        <v>0.95745499999999995</v>
      </c>
    </row>
    <row r="58" spans="1:27" x14ac:dyDescent="0.25">
      <c r="A58" s="25">
        <v>155</v>
      </c>
      <c r="B58" s="26">
        <v>368.3</v>
      </c>
      <c r="C58" s="27">
        <v>341.1</v>
      </c>
      <c r="D58" s="28">
        <v>854.9</v>
      </c>
      <c r="E58" s="28">
        <v>1196</v>
      </c>
      <c r="F58" s="22">
        <v>1.821E-2</v>
      </c>
      <c r="G58" s="29">
        <v>2.6779999999999999</v>
      </c>
      <c r="L58" s="114">
        <v>54</v>
      </c>
      <c r="M58" s="105">
        <v>301.64299999999997</v>
      </c>
      <c r="N58" s="105">
        <v>271.20100000000002</v>
      </c>
      <c r="O58" s="105">
        <v>909.01199999999994</v>
      </c>
      <c r="P58" s="105">
        <v>1180.21</v>
      </c>
      <c r="Q58" s="105">
        <v>0.158278</v>
      </c>
      <c r="R58" s="105">
        <v>6.3180100000000001</v>
      </c>
      <c r="S58" s="105">
        <v>0.43945699999999999</v>
      </c>
      <c r="T58" s="105">
        <v>1.19401</v>
      </c>
      <c r="U58" s="105">
        <v>1.6334599999999999</v>
      </c>
      <c r="V58" s="105">
        <v>0.41766399999999998</v>
      </c>
      <c r="W58" s="105">
        <v>0.57135400000000003</v>
      </c>
      <c r="X58" s="105">
        <v>1618.11</v>
      </c>
      <c r="Y58" s="106">
        <v>9.3975299999999998E-6</v>
      </c>
      <c r="Z58" s="105">
        <v>1.3025199999999999</v>
      </c>
      <c r="AA58" s="104">
        <v>0.95704</v>
      </c>
    </row>
    <row r="59" spans="1:27" x14ac:dyDescent="0.25">
      <c r="A59" s="25">
        <v>160</v>
      </c>
      <c r="B59" s="26">
        <v>370.6</v>
      </c>
      <c r="C59" s="27">
        <v>343.6</v>
      </c>
      <c r="D59" s="28">
        <v>852.8</v>
      </c>
      <c r="E59" s="28">
        <v>1196.4000000000001</v>
      </c>
      <c r="F59" s="22">
        <v>1.8239999999999999E-2</v>
      </c>
      <c r="G59" s="29">
        <v>2.605</v>
      </c>
      <c r="L59" s="115">
        <v>55</v>
      </c>
      <c r="M59" s="108">
        <v>302.61399999999998</v>
      </c>
      <c r="N59" s="108">
        <v>272.202</v>
      </c>
      <c r="O59" s="108">
        <v>908.29</v>
      </c>
      <c r="P59" s="108">
        <v>1180.49</v>
      </c>
      <c r="Q59" s="108">
        <v>0.16044600000000001</v>
      </c>
      <c r="R59" s="108">
        <v>6.2326100000000002</v>
      </c>
      <c r="S59" s="108">
        <v>0.44076599999999999</v>
      </c>
      <c r="T59" s="108">
        <v>1.19154</v>
      </c>
      <c r="U59" s="108">
        <v>1.6323000000000001</v>
      </c>
      <c r="V59" s="108">
        <v>0.41833700000000001</v>
      </c>
      <c r="W59" s="108">
        <v>0.572496</v>
      </c>
      <c r="X59" s="108">
        <v>1618.68</v>
      </c>
      <c r="Y59" s="109">
        <v>9.4100400000000008E-6</v>
      </c>
      <c r="Z59" s="108">
        <v>1.30236</v>
      </c>
      <c r="AA59" s="107">
        <v>0.95662700000000001</v>
      </c>
    </row>
    <row r="60" spans="1:27" x14ac:dyDescent="0.25">
      <c r="A60" s="25">
        <v>165</v>
      </c>
      <c r="B60" s="26">
        <v>372.9</v>
      </c>
      <c r="C60" s="27">
        <v>346.1</v>
      </c>
      <c r="D60" s="28">
        <v>850.8</v>
      </c>
      <c r="E60" s="28">
        <v>1196.9000000000001</v>
      </c>
      <c r="F60" s="22">
        <v>1.8270000000000002E-2</v>
      </c>
      <c r="G60" s="29">
        <v>2.5350000000000001</v>
      </c>
      <c r="L60" s="114">
        <v>56</v>
      </c>
      <c r="M60" s="105">
        <v>303.57400000000001</v>
      </c>
      <c r="N60" s="105">
        <v>273.19099999999997</v>
      </c>
      <c r="O60" s="105">
        <v>907.57500000000005</v>
      </c>
      <c r="P60" s="105">
        <v>1180.77</v>
      </c>
      <c r="Q60" s="105">
        <v>0.16261400000000001</v>
      </c>
      <c r="R60" s="105">
        <v>6.1495499999999996</v>
      </c>
      <c r="S60" s="105">
        <v>0.44205899999999998</v>
      </c>
      <c r="T60" s="105">
        <v>1.1891</v>
      </c>
      <c r="U60" s="105">
        <v>1.6311599999999999</v>
      </c>
      <c r="V60" s="105">
        <v>0.41900500000000002</v>
      </c>
      <c r="W60" s="105">
        <v>0.57363299999999995</v>
      </c>
      <c r="X60" s="105">
        <v>1619.25</v>
      </c>
      <c r="Y60" s="106">
        <v>9.4223999999999998E-6</v>
      </c>
      <c r="Z60" s="105">
        <v>1.3022</v>
      </c>
      <c r="AA60" s="104">
        <v>0.95621599999999995</v>
      </c>
    </row>
    <row r="61" spans="1:27" x14ac:dyDescent="0.25">
      <c r="A61" s="25">
        <v>170</v>
      </c>
      <c r="B61" s="26">
        <v>375.2</v>
      </c>
      <c r="C61" s="27">
        <v>348.5</v>
      </c>
      <c r="D61" s="28">
        <v>848.8</v>
      </c>
      <c r="E61" s="28">
        <v>1197.3</v>
      </c>
      <c r="F61" s="22">
        <v>1.83E-2</v>
      </c>
      <c r="G61" s="29">
        <v>2.4689999999999999</v>
      </c>
      <c r="L61" s="115">
        <v>57</v>
      </c>
      <c r="M61" s="108">
        <v>304.52300000000002</v>
      </c>
      <c r="N61" s="108">
        <v>274.17</v>
      </c>
      <c r="O61" s="108">
        <v>906.86599999999999</v>
      </c>
      <c r="P61" s="108">
        <v>1181.04</v>
      </c>
      <c r="Q61" s="108">
        <v>0.16477900000000001</v>
      </c>
      <c r="R61" s="108">
        <v>6.0687199999999999</v>
      </c>
      <c r="S61" s="108">
        <v>0.44333600000000001</v>
      </c>
      <c r="T61" s="108">
        <v>1.1867000000000001</v>
      </c>
      <c r="U61" s="108">
        <v>1.6300300000000001</v>
      </c>
      <c r="V61" s="108">
        <v>0.41966900000000001</v>
      </c>
      <c r="W61" s="108">
        <v>0.57476499999999997</v>
      </c>
      <c r="X61" s="108">
        <v>1619.8</v>
      </c>
      <c r="Y61" s="109">
        <v>9.4346200000000008E-6</v>
      </c>
      <c r="Z61" s="108">
        <v>1.3020400000000001</v>
      </c>
      <c r="AA61" s="107">
        <v>0.95580699999999996</v>
      </c>
    </row>
    <row r="62" spans="1:27" x14ac:dyDescent="0.25">
      <c r="A62" s="25">
        <v>175</v>
      </c>
      <c r="B62" s="26">
        <v>377.4</v>
      </c>
      <c r="C62" s="27">
        <v>350.8</v>
      </c>
      <c r="D62" s="28">
        <v>846.8</v>
      </c>
      <c r="E62" s="28">
        <v>1197.5999999999999</v>
      </c>
      <c r="F62" s="22">
        <v>1.8329999999999999E-2</v>
      </c>
      <c r="G62" s="29">
        <v>2.407</v>
      </c>
      <c r="L62" s="114">
        <v>58</v>
      </c>
      <c r="M62" s="105">
        <v>305.46100000000001</v>
      </c>
      <c r="N62" s="105">
        <v>275.13799999999998</v>
      </c>
      <c r="O62" s="105">
        <v>906.16300000000001</v>
      </c>
      <c r="P62" s="105">
        <v>1181.3</v>
      </c>
      <c r="Q62" s="105">
        <v>0.16694400000000001</v>
      </c>
      <c r="R62" s="105">
        <v>5.99003</v>
      </c>
      <c r="S62" s="105">
        <v>0.44459799999999999</v>
      </c>
      <c r="T62" s="105">
        <v>1.18432</v>
      </c>
      <c r="U62" s="105">
        <v>1.6289199999999999</v>
      </c>
      <c r="V62" s="105">
        <v>0.42032999999999998</v>
      </c>
      <c r="W62" s="105">
        <v>0.57589199999999996</v>
      </c>
      <c r="X62" s="105">
        <v>1620.34</v>
      </c>
      <c r="Y62" s="106">
        <v>9.4467099999999995E-6</v>
      </c>
      <c r="Z62" s="105">
        <v>1.3018799999999999</v>
      </c>
      <c r="AA62" s="104">
        <v>0.95540000000000003</v>
      </c>
    </row>
    <row r="63" spans="1:27" ht="13.8" thickBot="1" x14ac:dyDescent="0.3">
      <c r="A63" s="25">
        <v>180</v>
      </c>
      <c r="B63" s="26">
        <v>379.6</v>
      </c>
      <c r="C63" s="27">
        <v>353.1</v>
      </c>
      <c r="D63" s="28">
        <v>844.9</v>
      </c>
      <c r="E63" s="28">
        <v>1198</v>
      </c>
      <c r="F63" s="22">
        <v>1.8350000000000002E-2</v>
      </c>
      <c r="G63" s="29">
        <v>2.347</v>
      </c>
      <c r="L63" s="116">
        <v>59</v>
      </c>
      <c r="M63" s="117">
        <v>306.38900000000001</v>
      </c>
      <c r="N63" s="117">
        <v>276.096</v>
      </c>
      <c r="O63" s="117">
        <v>905.46699999999998</v>
      </c>
      <c r="P63" s="117">
        <v>1181.56</v>
      </c>
      <c r="Q63" s="117">
        <v>0.16910700000000001</v>
      </c>
      <c r="R63" s="117">
        <v>5.9134200000000003</v>
      </c>
      <c r="S63" s="117">
        <v>0.44584499999999999</v>
      </c>
      <c r="T63" s="117">
        <v>1.18198</v>
      </c>
      <c r="U63" s="117">
        <v>1.6278300000000001</v>
      </c>
      <c r="V63" s="117">
        <v>0.42098600000000003</v>
      </c>
      <c r="W63" s="117">
        <v>0.577013</v>
      </c>
      <c r="X63" s="117">
        <v>1620.88</v>
      </c>
      <c r="Y63" s="118">
        <v>9.4586699999999993E-6</v>
      </c>
      <c r="Z63" s="117">
        <v>1.30172</v>
      </c>
      <c r="AA63" s="119">
        <v>0.95499500000000004</v>
      </c>
    </row>
    <row r="64" spans="1:27" x14ac:dyDescent="0.25">
      <c r="A64" s="25">
        <v>185</v>
      </c>
      <c r="B64" s="26">
        <v>381.7</v>
      </c>
      <c r="C64" s="27">
        <v>355.4</v>
      </c>
      <c r="D64" s="28">
        <v>842.9</v>
      </c>
      <c r="E64" s="28">
        <v>1198.3</v>
      </c>
      <c r="F64" s="22">
        <v>1.839E-2</v>
      </c>
      <c r="G64" s="29">
        <v>2.2909999999999999</v>
      </c>
      <c r="L64" s="120">
        <v>60</v>
      </c>
      <c r="M64" s="121">
        <v>307.30799999999999</v>
      </c>
      <c r="N64" s="121">
        <v>277.04300000000001</v>
      </c>
      <c r="O64" s="121">
        <v>904.77700000000004</v>
      </c>
      <c r="P64" s="121">
        <v>1181.82</v>
      </c>
      <c r="Q64" s="121">
        <v>0.171269</v>
      </c>
      <c r="R64" s="121">
        <v>5.8387799999999999</v>
      </c>
      <c r="S64" s="121">
        <v>0.44707799999999998</v>
      </c>
      <c r="T64" s="121">
        <v>1.17967</v>
      </c>
      <c r="U64" s="121">
        <v>1.6267400000000001</v>
      </c>
      <c r="V64" s="121">
        <v>0.42163899999999999</v>
      </c>
      <c r="W64" s="121">
        <v>0.57813000000000003</v>
      </c>
      <c r="X64" s="121">
        <v>1621.4</v>
      </c>
      <c r="Y64" s="122">
        <v>9.4704899999999995E-6</v>
      </c>
      <c r="Z64" s="121">
        <v>1.3015699999999999</v>
      </c>
      <c r="AA64" s="123">
        <v>0.954592</v>
      </c>
    </row>
    <row r="65" spans="1:27" x14ac:dyDescent="0.25">
      <c r="A65" s="25">
        <v>190</v>
      </c>
      <c r="B65" s="26">
        <v>383.8</v>
      </c>
      <c r="C65" s="27">
        <v>357.6</v>
      </c>
      <c r="D65" s="28">
        <v>841</v>
      </c>
      <c r="E65" s="28">
        <v>1198.5999999999999</v>
      </c>
      <c r="F65" s="22">
        <v>1.8409999999999999E-2</v>
      </c>
      <c r="G65" s="29">
        <v>2.2370000000000001</v>
      </c>
      <c r="L65" s="115">
        <v>61</v>
      </c>
      <c r="M65" s="108">
        <v>308.21600000000001</v>
      </c>
      <c r="N65" s="108">
        <v>277.98099999999999</v>
      </c>
      <c r="O65" s="108">
        <v>904.09299999999996</v>
      </c>
      <c r="P65" s="108">
        <v>1182.07</v>
      </c>
      <c r="Q65" s="108">
        <v>0.173429</v>
      </c>
      <c r="R65" s="108">
        <v>5.7660400000000003</v>
      </c>
      <c r="S65" s="108">
        <v>0.44829599999999997</v>
      </c>
      <c r="T65" s="108">
        <v>1.1773800000000001</v>
      </c>
      <c r="U65" s="108">
        <v>1.6256699999999999</v>
      </c>
      <c r="V65" s="108">
        <v>0.422288</v>
      </c>
      <c r="W65" s="108">
        <v>0.57924200000000003</v>
      </c>
      <c r="X65" s="108">
        <v>1621.91</v>
      </c>
      <c r="Y65" s="109">
        <v>9.4821899999999998E-6</v>
      </c>
      <c r="Z65" s="108">
        <v>1.30142</v>
      </c>
      <c r="AA65" s="107">
        <v>0.95419100000000001</v>
      </c>
    </row>
    <row r="66" spans="1:27" ht="13.8" thickBot="1" x14ac:dyDescent="0.3">
      <c r="A66" s="38">
        <v>195</v>
      </c>
      <c r="B66" s="33">
        <v>385.8</v>
      </c>
      <c r="C66" s="34">
        <v>359.8</v>
      </c>
      <c r="D66" s="35">
        <v>839.2</v>
      </c>
      <c r="E66" s="35">
        <v>1199</v>
      </c>
      <c r="F66" s="36">
        <v>1.8440000000000002E-2</v>
      </c>
      <c r="G66" s="39">
        <v>2.1850000000000001</v>
      </c>
      <c r="L66" s="114">
        <v>62</v>
      </c>
      <c r="M66" s="105">
        <v>309.11500000000001</v>
      </c>
      <c r="N66" s="105">
        <v>278.91000000000003</v>
      </c>
      <c r="O66" s="105">
        <v>903.41399999999999</v>
      </c>
      <c r="P66" s="105">
        <v>1182.32</v>
      </c>
      <c r="Q66" s="105">
        <v>0.17558799999999999</v>
      </c>
      <c r="R66" s="105">
        <v>5.6951400000000003</v>
      </c>
      <c r="S66" s="105">
        <v>0.44950000000000001</v>
      </c>
      <c r="T66" s="105">
        <v>1.1751199999999999</v>
      </c>
      <c r="U66" s="105">
        <v>1.62462</v>
      </c>
      <c r="V66" s="105">
        <v>0.422933</v>
      </c>
      <c r="W66" s="105">
        <v>0.580349</v>
      </c>
      <c r="X66" s="105">
        <v>1622.42</v>
      </c>
      <c r="Y66" s="106">
        <v>9.4937599999999994E-6</v>
      </c>
      <c r="Z66" s="105">
        <v>1.3012699999999999</v>
      </c>
      <c r="AA66" s="104">
        <v>0.95379100000000006</v>
      </c>
    </row>
    <row r="67" spans="1:27" x14ac:dyDescent="0.25">
      <c r="A67" s="25">
        <v>200</v>
      </c>
      <c r="B67" s="26">
        <v>387.8</v>
      </c>
      <c r="C67" s="27">
        <v>362</v>
      </c>
      <c r="D67" s="28">
        <v>837.3</v>
      </c>
      <c r="E67" s="28">
        <v>1199.3</v>
      </c>
      <c r="F67" s="22">
        <v>1.847E-2</v>
      </c>
      <c r="G67" s="29">
        <v>2.1360000000000001</v>
      </c>
      <c r="L67" s="115">
        <v>63</v>
      </c>
      <c r="M67" s="108">
        <v>310.00400000000002</v>
      </c>
      <c r="N67" s="108">
        <v>279.82900000000001</v>
      </c>
      <c r="O67" s="108">
        <v>902.74099999999999</v>
      </c>
      <c r="P67" s="108">
        <v>1182.57</v>
      </c>
      <c r="Q67" s="108">
        <v>0.17774599999999999</v>
      </c>
      <c r="R67" s="108">
        <v>5.6259899999999998</v>
      </c>
      <c r="S67" s="108">
        <v>0.45069100000000001</v>
      </c>
      <c r="T67" s="108">
        <v>1.17289</v>
      </c>
      <c r="U67" s="108">
        <v>1.62358</v>
      </c>
      <c r="V67" s="108">
        <v>0.42357400000000001</v>
      </c>
      <c r="W67" s="108">
        <v>0.58145199999999997</v>
      </c>
      <c r="X67" s="108">
        <v>1622.92</v>
      </c>
      <c r="Y67" s="109">
        <v>9.5052199999999998E-6</v>
      </c>
      <c r="Z67" s="108">
        <v>1.30111</v>
      </c>
      <c r="AA67" s="107">
        <v>0.95339300000000005</v>
      </c>
    </row>
    <row r="68" spans="1:27" x14ac:dyDescent="0.25">
      <c r="A68" s="25">
        <v>205</v>
      </c>
      <c r="B68" s="26">
        <v>389.8</v>
      </c>
      <c r="C68" s="27">
        <v>364.1</v>
      </c>
      <c r="D68" s="28">
        <v>835.5</v>
      </c>
      <c r="E68" s="28">
        <v>1199.5999999999999</v>
      </c>
      <c r="F68" s="22">
        <v>1.8499999999999999E-2</v>
      </c>
      <c r="G68" s="29">
        <v>2.089</v>
      </c>
      <c r="L68" s="114">
        <v>64</v>
      </c>
      <c r="M68" s="105">
        <v>310.88400000000001</v>
      </c>
      <c r="N68" s="105">
        <v>280.73899999999998</v>
      </c>
      <c r="O68" s="105">
        <v>902.07399999999996</v>
      </c>
      <c r="P68" s="105">
        <v>1182.81</v>
      </c>
      <c r="Q68" s="105">
        <v>0.17990300000000001</v>
      </c>
      <c r="R68" s="105">
        <v>5.5585500000000003</v>
      </c>
      <c r="S68" s="105">
        <v>0.45186799999999999</v>
      </c>
      <c r="T68" s="105">
        <v>1.1706799999999999</v>
      </c>
      <c r="U68" s="105">
        <v>1.6225499999999999</v>
      </c>
      <c r="V68" s="105">
        <v>0.42421199999999998</v>
      </c>
      <c r="W68" s="105">
        <v>0.58254899999999998</v>
      </c>
      <c r="X68" s="105">
        <v>1623.4</v>
      </c>
      <c r="Y68" s="106">
        <v>9.5165499999999995E-6</v>
      </c>
      <c r="Z68" s="105">
        <v>1.30097</v>
      </c>
      <c r="AA68" s="104">
        <v>0.95299699999999998</v>
      </c>
    </row>
    <row r="69" spans="1:27" x14ac:dyDescent="0.25">
      <c r="A69" s="25">
        <v>210</v>
      </c>
      <c r="B69" s="26">
        <v>391.7</v>
      </c>
      <c r="C69" s="27">
        <v>366.1</v>
      </c>
      <c r="D69" s="28">
        <v>833.7</v>
      </c>
      <c r="E69" s="28">
        <v>1199.8</v>
      </c>
      <c r="F69" s="22">
        <v>1.8519999999999998E-2</v>
      </c>
      <c r="G69" s="29">
        <v>2.044</v>
      </c>
      <c r="L69" s="115">
        <v>65</v>
      </c>
      <c r="M69" s="108">
        <v>311.75599999999997</v>
      </c>
      <c r="N69" s="108">
        <v>281.64</v>
      </c>
      <c r="O69" s="108">
        <v>901.41200000000003</v>
      </c>
      <c r="P69" s="108">
        <v>1183.05</v>
      </c>
      <c r="Q69" s="108">
        <v>0.182059</v>
      </c>
      <c r="R69" s="108">
        <v>5.4927299999999999</v>
      </c>
      <c r="S69" s="108">
        <v>0.45303300000000002</v>
      </c>
      <c r="T69" s="108">
        <v>1.1685000000000001</v>
      </c>
      <c r="U69" s="108">
        <v>1.6215299999999999</v>
      </c>
      <c r="V69" s="108">
        <v>0.42484699999999997</v>
      </c>
      <c r="W69" s="108">
        <v>0.58364300000000002</v>
      </c>
      <c r="X69" s="108">
        <v>1623.88</v>
      </c>
      <c r="Y69" s="109">
        <v>9.5277700000000001E-6</v>
      </c>
      <c r="Z69" s="108">
        <v>1.3008200000000001</v>
      </c>
      <c r="AA69" s="107">
        <v>0.95260299999999998</v>
      </c>
    </row>
    <row r="70" spans="1:27" x14ac:dyDescent="0.25">
      <c r="A70" s="25">
        <v>215</v>
      </c>
      <c r="B70" s="26">
        <v>393.6</v>
      </c>
      <c r="C70" s="27">
        <v>368.2</v>
      </c>
      <c r="D70" s="28">
        <v>831.9</v>
      </c>
      <c r="E70" s="28">
        <v>1200.0999999999999</v>
      </c>
      <c r="F70" s="22">
        <v>1.8550000000000001E-2</v>
      </c>
      <c r="G70" s="29">
        <v>2.0009999999999999</v>
      </c>
      <c r="L70" s="114">
        <v>66</v>
      </c>
      <c r="M70" s="105">
        <v>312.61900000000003</v>
      </c>
      <c r="N70" s="105">
        <v>282.53300000000002</v>
      </c>
      <c r="O70" s="105">
        <v>900.75599999999997</v>
      </c>
      <c r="P70" s="105">
        <v>1183.29</v>
      </c>
      <c r="Q70" s="105">
        <v>0.18421299999999999</v>
      </c>
      <c r="R70" s="105">
        <v>5.42849</v>
      </c>
      <c r="S70" s="105">
        <v>0.45418500000000001</v>
      </c>
      <c r="T70" s="105">
        <v>1.16635</v>
      </c>
      <c r="U70" s="105">
        <v>1.62053</v>
      </c>
      <c r="V70" s="105">
        <v>0.42547699999999999</v>
      </c>
      <c r="W70" s="105">
        <v>0.58473200000000003</v>
      </c>
      <c r="X70" s="105">
        <v>1624.36</v>
      </c>
      <c r="Y70" s="106">
        <v>9.5388799999999997E-6</v>
      </c>
      <c r="Z70" s="105">
        <v>1.30067</v>
      </c>
      <c r="AA70" s="104">
        <v>0.95221</v>
      </c>
    </row>
    <row r="71" spans="1:27" x14ac:dyDescent="0.25">
      <c r="A71" s="25">
        <v>220</v>
      </c>
      <c r="B71" s="26">
        <v>395.4</v>
      </c>
      <c r="C71" s="27">
        <v>370.2</v>
      </c>
      <c r="D71" s="28">
        <v>830.2</v>
      </c>
      <c r="E71" s="28">
        <v>1200.4000000000001</v>
      </c>
      <c r="F71" s="22">
        <v>1.857E-2</v>
      </c>
      <c r="G71" s="29">
        <v>1.96</v>
      </c>
      <c r="L71" s="115">
        <v>67</v>
      </c>
      <c r="M71" s="108">
        <v>313.47300000000001</v>
      </c>
      <c r="N71" s="108">
        <v>283.41699999999997</v>
      </c>
      <c r="O71" s="108">
        <v>900.10500000000002</v>
      </c>
      <c r="P71" s="108">
        <v>1183.52</v>
      </c>
      <c r="Q71" s="108">
        <v>0.186366</v>
      </c>
      <c r="R71" s="108">
        <v>5.3657700000000004</v>
      </c>
      <c r="S71" s="108">
        <v>0.45532499999999998</v>
      </c>
      <c r="T71" s="108">
        <v>1.16421</v>
      </c>
      <c r="U71" s="108">
        <v>1.61954</v>
      </c>
      <c r="V71" s="108">
        <v>0.42610399999999998</v>
      </c>
      <c r="W71" s="108">
        <v>0.585816</v>
      </c>
      <c r="X71" s="108">
        <v>1624.82</v>
      </c>
      <c r="Y71" s="109">
        <v>9.5498800000000001E-6</v>
      </c>
      <c r="Z71" s="108">
        <v>1.30053</v>
      </c>
      <c r="AA71" s="107">
        <v>0.95182</v>
      </c>
    </row>
    <row r="72" spans="1:27" x14ac:dyDescent="0.25">
      <c r="A72" s="25">
        <v>225</v>
      </c>
      <c r="B72" s="26">
        <v>397.3</v>
      </c>
      <c r="C72" s="27">
        <v>372.2</v>
      </c>
      <c r="D72" s="28">
        <v>828.5</v>
      </c>
      <c r="E72" s="28">
        <v>1200.7</v>
      </c>
      <c r="F72" s="22">
        <v>1.8599999999999998E-2</v>
      </c>
      <c r="G72" s="29">
        <v>1.92</v>
      </c>
      <c r="L72" s="114">
        <v>68</v>
      </c>
      <c r="M72" s="105">
        <v>314.31900000000002</v>
      </c>
      <c r="N72" s="105">
        <v>284.29300000000001</v>
      </c>
      <c r="O72" s="105">
        <v>899.45799999999997</v>
      </c>
      <c r="P72" s="105">
        <v>1183.75</v>
      </c>
      <c r="Q72" s="105">
        <v>0.18851899999999999</v>
      </c>
      <c r="R72" s="105">
        <v>5.3045200000000001</v>
      </c>
      <c r="S72" s="105">
        <v>0.456453</v>
      </c>
      <c r="T72" s="105">
        <v>1.16211</v>
      </c>
      <c r="U72" s="105">
        <v>1.61856</v>
      </c>
      <c r="V72" s="105">
        <v>0.426728</v>
      </c>
      <c r="W72" s="105">
        <v>0.58689599999999997</v>
      </c>
      <c r="X72" s="105">
        <v>1625.28</v>
      </c>
      <c r="Y72" s="106">
        <v>9.5607699999999996E-6</v>
      </c>
      <c r="Z72" s="105">
        <v>1.3003800000000001</v>
      </c>
      <c r="AA72" s="104">
        <v>0.95143</v>
      </c>
    </row>
    <row r="73" spans="1:27" x14ac:dyDescent="0.25">
      <c r="A73" s="25">
        <v>230</v>
      </c>
      <c r="B73" s="26">
        <v>399.1</v>
      </c>
      <c r="C73" s="27">
        <v>374.1</v>
      </c>
      <c r="D73" s="28">
        <v>826.7</v>
      </c>
      <c r="E73" s="28">
        <v>1200.8</v>
      </c>
      <c r="F73" s="22">
        <v>1.8630000000000001E-2</v>
      </c>
      <c r="G73" s="29">
        <v>1.8819999999999999</v>
      </c>
      <c r="L73" s="115">
        <v>69</v>
      </c>
      <c r="M73" s="108">
        <v>315.15699999999998</v>
      </c>
      <c r="N73" s="108">
        <v>285.16000000000003</v>
      </c>
      <c r="O73" s="108">
        <v>898.81700000000001</v>
      </c>
      <c r="P73" s="108">
        <v>1183.98</v>
      </c>
      <c r="Q73" s="108">
        <v>0.19067000000000001</v>
      </c>
      <c r="R73" s="108">
        <v>5.2446700000000002</v>
      </c>
      <c r="S73" s="108">
        <v>0.457569</v>
      </c>
      <c r="T73" s="108">
        <v>1.1600200000000001</v>
      </c>
      <c r="U73" s="108">
        <v>1.6175900000000001</v>
      </c>
      <c r="V73" s="108">
        <v>0.42734899999999998</v>
      </c>
      <c r="W73" s="108">
        <v>0.58797200000000005</v>
      </c>
      <c r="X73" s="108">
        <v>1625.73</v>
      </c>
      <c r="Y73" s="109">
        <v>9.5715499999999999E-6</v>
      </c>
      <c r="Z73" s="108">
        <v>1.3002400000000001</v>
      </c>
      <c r="AA73" s="107">
        <v>0.95104299999999997</v>
      </c>
    </row>
    <row r="74" spans="1:27" x14ac:dyDescent="0.25">
      <c r="A74" s="25">
        <v>235</v>
      </c>
      <c r="B74" s="26">
        <v>400.9</v>
      </c>
      <c r="C74" s="27">
        <v>376</v>
      </c>
      <c r="D74" s="28">
        <v>825.1</v>
      </c>
      <c r="E74" s="28">
        <v>1201.0999999999999</v>
      </c>
      <c r="F74" s="22">
        <v>1.865E-2</v>
      </c>
      <c r="G74" s="29">
        <v>1.845</v>
      </c>
      <c r="L74" s="114">
        <v>70</v>
      </c>
      <c r="M74" s="105">
        <v>315.98700000000002</v>
      </c>
      <c r="N74" s="105">
        <v>286.02</v>
      </c>
      <c r="O74" s="105">
        <v>898.18100000000004</v>
      </c>
      <c r="P74" s="105">
        <v>1184.2</v>
      </c>
      <c r="Q74" s="105">
        <v>0.19281999999999999</v>
      </c>
      <c r="R74" s="105">
        <v>5.1862000000000004</v>
      </c>
      <c r="S74" s="105">
        <v>0.458673</v>
      </c>
      <c r="T74" s="105">
        <v>1.1579600000000001</v>
      </c>
      <c r="U74" s="105">
        <v>1.61663</v>
      </c>
      <c r="V74" s="105">
        <v>0.42796600000000001</v>
      </c>
      <c r="W74" s="105">
        <v>0.58904299999999998</v>
      </c>
      <c r="X74" s="105">
        <v>1626.17</v>
      </c>
      <c r="Y74" s="106">
        <v>9.5822400000000006E-6</v>
      </c>
      <c r="Z74" s="105">
        <v>1.3001</v>
      </c>
      <c r="AA74" s="104">
        <v>0.95065599999999995</v>
      </c>
    </row>
    <row r="75" spans="1:27" x14ac:dyDescent="0.25">
      <c r="A75" s="25">
        <v>240</v>
      </c>
      <c r="B75" s="26">
        <v>402.6</v>
      </c>
      <c r="C75" s="27">
        <v>377.9</v>
      </c>
      <c r="D75" s="28">
        <v>823.4</v>
      </c>
      <c r="E75" s="28">
        <v>1201.3</v>
      </c>
      <c r="F75" s="22">
        <v>1.8679999999999999E-2</v>
      </c>
      <c r="G75" s="29">
        <v>1.81</v>
      </c>
      <c r="L75" s="115">
        <v>71</v>
      </c>
      <c r="M75" s="108">
        <v>316.80900000000003</v>
      </c>
      <c r="N75" s="108">
        <v>286.87200000000001</v>
      </c>
      <c r="O75" s="108">
        <v>897.54899999999998</v>
      </c>
      <c r="P75" s="108">
        <v>1184.42</v>
      </c>
      <c r="Q75" s="108">
        <v>0.194968</v>
      </c>
      <c r="R75" s="108">
        <v>5.1290300000000002</v>
      </c>
      <c r="S75" s="108">
        <v>0.45976699999999998</v>
      </c>
      <c r="T75" s="108">
        <v>1.1559200000000001</v>
      </c>
      <c r="U75" s="108">
        <v>1.6156900000000001</v>
      </c>
      <c r="V75" s="108">
        <v>0.42858000000000002</v>
      </c>
      <c r="W75" s="108">
        <v>0.59011100000000005</v>
      </c>
      <c r="X75" s="108">
        <v>1626.6</v>
      </c>
      <c r="Y75" s="109">
        <v>9.5928200000000004E-6</v>
      </c>
      <c r="Z75" s="108">
        <v>1.29996</v>
      </c>
      <c r="AA75" s="107">
        <v>0.95027200000000001</v>
      </c>
    </row>
    <row r="76" spans="1:27" ht="13.8" thickBot="1" x14ac:dyDescent="0.3">
      <c r="A76" s="38">
        <v>245</v>
      </c>
      <c r="B76" s="33">
        <v>404.3</v>
      </c>
      <c r="C76" s="34">
        <v>379.8</v>
      </c>
      <c r="D76" s="35">
        <v>821.7</v>
      </c>
      <c r="E76" s="35">
        <v>1201.5</v>
      </c>
      <c r="F76" s="36">
        <v>1.8700000000000001E-2</v>
      </c>
      <c r="G76" s="39">
        <v>1.776</v>
      </c>
      <c r="L76" s="114">
        <v>72</v>
      </c>
      <c r="M76" s="105">
        <v>317.62299999999999</v>
      </c>
      <c r="N76" s="105">
        <v>287.71600000000001</v>
      </c>
      <c r="O76" s="105">
        <v>896.92200000000003</v>
      </c>
      <c r="P76" s="105">
        <v>1184.6400000000001</v>
      </c>
      <c r="Q76" s="105">
        <v>0.19711600000000001</v>
      </c>
      <c r="R76" s="105">
        <v>5.07315</v>
      </c>
      <c r="S76" s="105">
        <v>0.46084900000000001</v>
      </c>
      <c r="T76" s="105">
        <v>1.1538999999999999</v>
      </c>
      <c r="U76" s="105">
        <v>1.6147499999999999</v>
      </c>
      <c r="V76" s="105">
        <v>0.42919000000000002</v>
      </c>
      <c r="W76" s="105">
        <v>0.59117399999999998</v>
      </c>
      <c r="X76" s="105">
        <v>1627.03</v>
      </c>
      <c r="Y76" s="106">
        <v>9.6033E-6</v>
      </c>
      <c r="Z76" s="105">
        <v>1.29982</v>
      </c>
      <c r="AA76" s="104">
        <v>0.94988899999999998</v>
      </c>
    </row>
    <row r="77" spans="1:27" x14ac:dyDescent="0.25">
      <c r="A77" s="25">
        <v>250</v>
      </c>
      <c r="B77" s="26">
        <v>406</v>
      </c>
      <c r="C77" s="27">
        <v>381.6</v>
      </c>
      <c r="D77" s="28">
        <v>820.1</v>
      </c>
      <c r="E77" s="28">
        <v>1201.7</v>
      </c>
      <c r="F77" s="22">
        <v>1.873E-2</v>
      </c>
      <c r="G77" s="29">
        <v>1.744</v>
      </c>
      <c r="L77" s="115">
        <v>73</v>
      </c>
      <c r="M77" s="108">
        <v>318.43</v>
      </c>
      <c r="N77" s="108">
        <v>288.553</v>
      </c>
      <c r="O77" s="108">
        <v>896.29899999999998</v>
      </c>
      <c r="P77" s="108">
        <v>1184.8499999999999</v>
      </c>
      <c r="Q77" s="108">
        <v>0.199263</v>
      </c>
      <c r="R77" s="108">
        <v>5.0184899999999999</v>
      </c>
      <c r="S77" s="108">
        <v>0.46192100000000003</v>
      </c>
      <c r="T77" s="108">
        <v>1.15191</v>
      </c>
      <c r="U77" s="108">
        <v>1.6138300000000001</v>
      </c>
      <c r="V77" s="108">
        <v>0.42979699999999998</v>
      </c>
      <c r="W77" s="108">
        <v>0.59223300000000001</v>
      </c>
      <c r="X77" s="108">
        <v>1627.45</v>
      </c>
      <c r="Y77" s="109">
        <v>9.6136900000000001E-6</v>
      </c>
      <c r="Z77" s="108">
        <v>1.2996799999999999</v>
      </c>
      <c r="AA77" s="107">
        <v>0.94950699999999999</v>
      </c>
    </row>
    <row r="78" spans="1:27" x14ac:dyDescent="0.25">
      <c r="A78" s="25">
        <v>255</v>
      </c>
      <c r="B78" s="26">
        <v>407.7</v>
      </c>
      <c r="C78" s="27">
        <v>383.5</v>
      </c>
      <c r="D78" s="28">
        <v>818.4</v>
      </c>
      <c r="E78" s="28">
        <v>1201.9000000000001</v>
      </c>
      <c r="F78" s="22">
        <v>1.8749999999999999E-2</v>
      </c>
      <c r="G78" s="29">
        <v>1.712</v>
      </c>
      <c r="L78" s="114">
        <v>74</v>
      </c>
      <c r="M78" s="105">
        <v>319.23</v>
      </c>
      <c r="N78" s="105">
        <v>289.38200000000001</v>
      </c>
      <c r="O78" s="105">
        <v>895.68100000000004</v>
      </c>
      <c r="P78" s="105">
        <v>1185.06</v>
      </c>
      <c r="Q78" s="105">
        <v>0.201409</v>
      </c>
      <c r="R78" s="105">
        <v>4.96502</v>
      </c>
      <c r="S78" s="105">
        <v>0.46298299999999998</v>
      </c>
      <c r="T78" s="105">
        <v>1.1499299999999999</v>
      </c>
      <c r="U78" s="105">
        <v>1.6129100000000001</v>
      </c>
      <c r="V78" s="105">
        <v>0.43040099999999998</v>
      </c>
      <c r="W78" s="105">
        <v>0.59328899999999996</v>
      </c>
      <c r="X78" s="105">
        <v>1627.87</v>
      </c>
      <c r="Y78" s="106">
        <v>9.62398E-6</v>
      </c>
      <c r="Z78" s="105">
        <v>1.2995399999999999</v>
      </c>
      <c r="AA78" s="104">
        <v>0.94912700000000005</v>
      </c>
    </row>
    <row r="79" spans="1:27" x14ac:dyDescent="0.25">
      <c r="A79" s="25">
        <v>260</v>
      </c>
      <c r="B79" s="26">
        <v>409.4</v>
      </c>
      <c r="C79" s="27">
        <v>385.3</v>
      </c>
      <c r="D79" s="28">
        <v>816.8</v>
      </c>
      <c r="E79" s="28">
        <v>1202.0999999999999</v>
      </c>
      <c r="F79" s="22">
        <v>1.8780000000000002E-2</v>
      </c>
      <c r="G79" s="29">
        <v>1.6819999999999999</v>
      </c>
      <c r="L79" s="115">
        <v>75</v>
      </c>
      <c r="M79" s="108">
        <v>320.02300000000002</v>
      </c>
      <c r="N79" s="108">
        <v>290.20499999999998</v>
      </c>
      <c r="O79" s="108">
        <v>895.06799999999998</v>
      </c>
      <c r="P79" s="108">
        <v>1185.27</v>
      </c>
      <c r="Q79" s="108">
        <v>0.20355400000000001</v>
      </c>
      <c r="R79" s="108">
        <v>4.9127000000000001</v>
      </c>
      <c r="S79" s="108">
        <v>0.464034</v>
      </c>
      <c r="T79" s="108">
        <v>1.1479699999999999</v>
      </c>
      <c r="U79" s="108">
        <v>1.6120099999999999</v>
      </c>
      <c r="V79" s="108">
        <v>0.431002</v>
      </c>
      <c r="W79" s="108">
        <v>0.59433999999999998</v>
      </c>
      <c r="X79" s="108">
        <v>1628.27</v>
      </c>
      <c r="Y79" s="109">
        <v>9.6341800000000003E-6</v>
      </c>
      <c r="Z79" s="108">
        <v>1.2994000000000001</v>
      </c>
      <c r="AA79" s="107">
        <v>0.94874899999999995</v>
      </c>
    </row>
    <row r="80" spans="1:27" x14ac:dyDescent="0.25">
      <c r="A80" s="25">
        <v>265</v>
      </c>
      <c r="B80" s="26">
        <v>411</v>
      </c>
      <c r="C80" s="27">
        <v>387</v>
      </c>
      <c r="D80" s="28">
        <v>815.2</v>
      </c>
      <c r="E80" s="28">
        <v>1202.2</v>
      </c>
      <c r="F80" s="22">
        <v>1.8800000000000001E-2</v>
      </c>
      <c r="G80" s="29">
        <v>1.6519999999999999</v>
      </c>
      <c r="L80" s="114">
        <v>76</v>
      </c>
      <c r="M80" s="105">
        <v>320.80799999999999</v>
      </c>
      <c r="N80" s="105">
        <v>291.02</v>
      </c>
      <c r="O80" s="105">
        <v>894.45799999999997</v>
      </c>
      <c r="P80" s="105">
        <v>1185.48</v>
      </c>
      <c r="Q80" s="105">
        <v>0.20569799999999999</v>
      </c>
      <c r="R80" s="105">
        <v>4.8614899999999999</v>
      </c>
      <c r="S80" s="105">
        <v>0.46507399999999999</v>
      </c>
      <c r="T80" s="105">
        <v>1.1460399999999999</v>
      </c>
      <c r="U80" s="105">
        <v>1.61111</v>
      </c>
      <c r="V80" s="105">
        <v>0.43159999999999998</v>
      </c>
      <c r="W80" s="105">
        <v>0.595387</v>
      </c>
      <c r="X80" s="105">
        <v>1628.68</v>
      </c>
      <c r="Y80" s="106">
        <v>9.6442899999999994E-6</v>
      </c>
      <c r="Z80" s="105">
        <v>1.2992699999999999</v>
      </c>
      <c r="AA80" s="104">
        <v>0.94837199999999999</v>
      </c>
    </row>
    <row r="81" spans="1:27" x14ac:dyDescent="0.25">
      <c r="A81" s="25">
        <v>270</v>
      </c>
      <c r="B81" s="26">
        <v>412.6</v>
      </c>
      <c r="C81" s="27">
        <v>388.8</v>
      </c>
      <c r="D81" s="28">
        <v>813.7</v>
      </c>
      <c r="E81" s="28">
        <v>1202.5</v>
      </c>
      <c r="F81" s="22">
        <v>1.882E-2</v>
      </c>
      <c r="G81" s="29">
        <v>1.6240000000000001</v>
      </c>
      <c r="L81" s="115">
        <v>77</v>
      </c>
      <c r="M81" s="108">
        <v>321.58699999999999</v>
      </c>
      <c r="N81" s="108">
        <v>291.82799999999997</v>
      </c>
      <c r="O81" s="108">
        <v>893.85299999999995</v>
      </c>
      <c r="P81" s="108">
        <v>1185.68</v>
      </c>
      <c r="Q81" s="108">
        <v>0.207841</v>
      </c>
      <c r="R81" s="108">
        <v>4.8113700000000001</v>
      </c>
      <c r="S81" s="108">
        <v>0.46610600000000002</v>
      </c>
      <c r="T81" s="108">
        <v>1.14412</v>
      </c>
      <c r="U81" s="108">
        <v>1.6102300000000001</v>
      </c>
      <c r="V81" s="108">
        <v>0.432195</v>
      </c>
      <c r="W81" s="108">
        <v>0.59643100000000004</v>
      </c>
      <c r="X81" s="108">
        <v>1629.07</v>
      </c>
      <c r="Y81" s="109">
        <v>9.6543E-6</v>
      </c>
      <c r="Z81" s="108">
        <v>1.2991299999999999</v>
      </c>
      <c r="AA81" s="107">
        <v>0.94799599999999995</v>
      </c>
    </row>
    <row r="82" spans="1:27" x14ac:dyDescent="0.25">
      <c r="A82" s="25">
        <v>275</v>
      </c>
      <c r="B82" s="26">
        <v>414.2</v>
      </c>
      <c r="C82" s="27">
        <v>390.5</v>
      </c>
      <c r="D82" s="28">
        <v>812.1</v>
      </c>
      <c r="E82" s="28">
        <v>1202.5999999999999</v>
      </c>
      <c r="F82" s="22">
        <v>1.8849999999999999E-2</v>
      </c>
      <c r="G82" s="29">
        <v>1.5960000000000001</v>
      </c>
      <c r="L82" s="114">
        <v>78</v>
      </c>
      <c r="M82" s="105">
        <v>322.35899999999998</v>
      </c>
      <c r="N82" s="105">
        <v>292.63</v>
      </c>
      <c r="O82" s="105">
        <v>893.25199999999995</v>
      </c>
      <c r="P82" s="105">
        <v>1185.8800000000001</v>
      </c>
      <c r="Q82" s="105">
        <v>0.209983</v>
      </c>
      <c r="R82" s="105">
        <v>4.7622900000000001</v>
      </c>
      <c r="S82" s="105">
        <v>0.46712700000000001</v>
      </c>
      <c r="T82" s="105">
        <v>1.14222</v>
      </c>
      <c r="U82" s="105">
        <v>1.6093500000000001</v>
      </c>
      <c r="V82" s="105">
        <v>0.43278699999999998</v>
      </c>
      <c r="W82" s="105">
        <v>0.59747099999999997</v>
      </c>
      <c r="X82" s="105">
        <v>1629.46</v>
      </c>
      <c r="Y82" s="106">
        <v>9.6642400000000008E-6</v>
      </c>
      <c r="Z82" s="105">
        <v>1.2989999999999999</v>
      </c>
      <c r="AA82" s="104">
        <v>0.94762199999999996</v>
      </c>
    </row>
    <row r="83" spans="1:27" ht="13.8" thickBot="1" x14ac:dyDescent="0.3">
      <c r="A83" s="25">
        <v>280</v>
      </c>
      <c r="B83" s="26">
        <v>415.7</v>
      </c>
      <c r="C83" s="27">
        <v>392.2</v>
      </c>
      <c r="D83" s="28">
        <v>810.5</v>
      </c>
      <c r="E83" s="28">
        <v>1202.7</v>
      </c>
      <c r="F83" s="22">
        <v>1.8870000000000001E-2</v>
      </c>
      <c r="G83" s="29">
        <v>1.57</v>
      </c>
      <c r="L83" s="116">
        <v>79</v>
      </c>
      <c r="M83" s="117">
        <v>323.12400000000002</v>
      </c>
      <c r="N83" s="117">
        <v>293.42500000000001</v>
      </c>
      <c r="O83" s="117">
        <v>892.65499999999997</v>
      </c>
      <c r="P83" s="117">
        <v>1186.08</v>
      </c>
      <c r="Q83" s="117">
        <v>0.21212400000000001</v>
      </c>
      <c r="R83" s="117">
        <v>4.7142099999999996</v>
      </c>
      <c r="S83" s="117">
        <v>0.46813900000000003</v>
      </c>
      <c r="T83" s="117">
        <v>1.1403399999999999</v>
      </c>
      <c r="U83" s="117">
        <v>1.6084799999999999</v>
      </c>
      <c r="V83" s="117">
        <v>0.43337599999999998</v>
      </c>
      <c r="W83" s="117">
        <v>0.59850700000000001</v>
      </c>
      <c r="X83" s="117">
        <v>1629.84</v>
      </c>
      <c r="Y83" s="118">
        <v>9.6740799999999997E-6</v>
      </c>
      <c r="Z83" s="117">
        <v>1.29887</v>
      </c>
      <c r="AA83" s="119">
        <v>0.94724900000000001</v>
      </c>
    </row>
    <row r="84" spans="1:27" x14ac:dyDescent="0.25">
      <c r="A84" s="25">
        <v>285</v>
      </c>
      <c r="B84" s="26">
        <v>417.3</v>
      </c>
      <c r="C84" s="27">
        <v>393.9</v>
      </c>
      <c r="D84" s="28">
        <v>809</v>
      </c>
      <c r="E84" s="28">
        <v>1202.9000000000001</v>
      </c>
      <c r="F84" s="22">
        <v>1.8890000000000001E-2</v>
      </c>
      <c r="G84" s="29">
        <v>1.544</v>
      </c>
      <c r="L84" s="120">
        <v>80</v>
      </c>
      <c r="M84" s="121">
        <v>323.88299999999998</v>
      </c>
      <c r="N84" s="121">
        <v>294.214</v>
      </c>
      <c r="O84" s="121">
        <v>892.06200000000001</v>
      </c>
      <c r="P84" s="121">
        <v>1186.28</v>
      </c>
      <c r="Q84" s="121">
        <v>0.21426500000000001</v>
      </c>
      <c r="R84" s="121">
        <v>4.6671199999999997</v>
      </c>
      <c r="S84" s="121">
        <v>0.469142</v>
      </c>
      <c r="T84" s="121">
        <v>1.1384799999999999</v>
      </c>
      <c r="U84" s="121">
        <v>1.6076299999999999</v>
      </c>
      <c r="V84" s="121">
        <v>0.43396200000000001</v>
      </c>
      <c r="W84" s="121">
        <v>0.59953900000000004</v>
      </c>
      <c r="X84" s="121">
        <v>1630.22</v>
      </c>
      <c r="Y84" s="122">
        <v>9.6838500000000005E-6</v>
      </c>
      <c r="Z84" s="121">
        <v>1.29874</v>
      </c>
      <c r="AA84" s="123">
        <v>0.94687699999999997</v>
      </c>
    </row>
    <row r="85" spans="1:27" x14ac:dyDescent="0.25">
      <c r="A85" s="25">
        <v>290</v>
      </c>
      <c r="B85" s="26">
        <v>418.8</v>
      </c>
      <c r="C85" s="27">
        <v>395.5</v>
      </c>
      <c r="D85" s="28">
        <v>807.5</v>
      </c>
      <c r="E85" s="28">
        <v>1203</v>
      </c>
      <c r="F85" s="22">
        <v>1.891E-2</v>
      </c>
      <c r="G85" s="29">
        <v>1.52</v>
      </c>
      <c r="L85" s="115">
        <v>81</v>
      </c>
      <c r="M85" s="108">
        <v>324.63600000000002</v>
      </c>
      <c r="N85" s="108">
        <v>294.99599999999998</v>
      </c>
      <c r="O85" s="108">
        <v>891.47299999999996</v>
      </c>
      <c r="P85" s="108">
        <v>1186.47</v>
      </c>
      <c r="Q85" s="108">
        <v>0.21640400000000001</v>
      </c>
      <c r="R85" s="108">
        <v>4.6209800000000003</v>
      </c>
      <c r="S85" s="108">
        <v>0.470136</v>
      </c>
      <c r="T85" s="108">
        <v>1.1366400000000001</v>
      </c>
      <c r="U85" s="108">
        <v>1.6067800000000001</v>
      </c>
      <c r="V85" s="108">
        <v>0.43454500000000001</v>
      </c>
      <c r="W85" s="108">
        <v>0.60056799999999999</v>
      </c>
      <c r="X85" s="108">
        <v>1630.59</v>
      </c>
      <c r="Y85" s="109">
        <v>9.69353E-6</v>
      </c>
      <c r="Z85" s="108">
        <v>1.29861</v>
      </c>
      <c r="AA85" s="107">
        <v>0.94650699999999999</v>
      </c>
    </row>
    <row r="86" spans="1:27" ht="13.8" thickBot="1" x14ac:dyDescent="0.3">
      <c r="A86" s="38">
        <v>295</v>
      </c>
      <c r="B86" s="33">
        <v>420.2</v>
      </c>
      <c r="C86" s="34">
        <v>397.2</v>
      </c>
      <c r="D86" s="35">
        <v>806</v>
      </c>
      <c r="E86" s="35">
        <v>1203.0999999999999</v>
      </c>
      <c r="F86" s="36">
        <v>1.8939999999999999E-2</v>
      </c>
      <c r="G86" s="39">
        <v>1.4970000000000001</v>
      </c>
      <c r="L86" s="114">
        <v>82</v>
      </c>
      <c r="M86" s="105">
        <v>325.38200000000001</v>
      </c>
      <c r="N86" s="105">
        <v>295.77199999999999</v>
      </c>
      <c r="O86" s="105">
        <v>890.88800000000003</v>
      </c>
      <c r="P86" s="105">
        <v>1186.6600000000001</v>
      </c>
      <c r="Q86" s="105">
        <v>0.21854299999999999</v>
      </c>
      <c r="R86" s="105">
        <v>4.5757599999999998</v>
      </c>
      <c r="S86" s="105">
        <v>0.47111999999999998</v>
      </c>
      <c r="T86" s="105">
        <v>1.1348100000000001</v>
      </c>
      <c r="U86" s="105">
        <v>1.6059300000000001</v>
      </c>
      <c r="V86" s="105">
        <v>0.43512499999999998</v>
      </c>
      <c r="W86" s="105">
        <v>0.60159300000000004</v>
      </c>
      <c r="X86" s="105">
        <v>1630.96</v>
      </c>
      <c r="Y86" s="106">
        <v>9.7031300000000007E-6</v>
      </c>
      <c r="Z86" s="105">
        <v>1.2984800000000001</v>
      </c>
      <c r="AA86" s="104">
        <v>0.94613800000000003</v>
      </c>
    </row>
    <row r="87" spans="1:27" x14ac:dyDescent="0.25">
      <c r="A87" s="25">
        <v>300</v>
      </c>
      <c r="B87" s="26">
        <v>421.7</v>
      </c>
      <c r="C87" s="27">
        <v>398.8</v>
      </c>
      <c r="D87" s="28">
        <v>804.5</v>
      </c>
      <c r="E87" s="28">
        <v>1203.3</v>
      </c>
      <c r="F87" s="22">
        <v>1.8960000000000001E-2</v>
      </c>
      <c r="G87" s="29">
        <v>1.4730000000000001</v>
      </c>
      <c r="L87" s="115">
        <v>83</v>
      </c>
      <c r="M87" s="108">
        <v>326.12200000000001</v>
      </c>
      <c r="N87" s="108">
        <v>296.54199999999997</v>
      </c>
      <c r="O87" s="108">
        <v>890.30700000000002</v>
      </c>
      <c r="P87" s="108">
        <v>1186.8499999999999</v>
      </c>
      <c r="Q87" s="108">
        <v>0.22068099999999999</v>
      </c>
      <c r="R87" s="108">
        <v>4.5314300000000003</v>
      </c>
      <c r="S87" s="108">
        <v>0.47209699999999999</v>
      </c>
      <c r="T87" s="108">
        <v>1.1330100000000001</v>
      </c>
      <c r="U87" s="108">
        <v>1.6051</v>
      </c>
      <c r="V87" s="108">
        <v>0.43570199999999998</v>
      </c>
      <c r="W87" s="108">
        <v>0.60261399999999998</v>
      </c>
      <c r="X87" s="108">
        <v>1631.32</v>
      </c>
      <c r="Y87" s="109">
        <v>9.7126499999999992E-6</v>
      </c>
      <c r="Z87" s="108">
        <v>1.2983499999999999</v>
      </c>
      <c r="AA87" s="107">
        <v>0.94577100000000003</v>
      </c>
    </row>
    <row r="88" spans="1:27" x14ac:dyDescent="0.25">
      <c r="A88" s="25">
        <v>310</v>
      </c>
      <c r="B88" s="26">
        <v>424.6</v>
      </c>
      <c r="C88" s="27">
        <v>402</v>
      </c>
      <c r="D88" s="28">
        <v>801.5</v>
      </c>
      <c r="E88" s="28">
        <v>1203.5</v>
      </c>
      <c r="F88" s="22">
        <v>1.9009999999999999E-2</v>
      </c>
      <c r="G88" s="29">
        <v>1.4279999999999999</v>
      </c>
      <c r="L88" s="114">
        <v>84</v>
      </c>
      <c r="M88" s="105">
        <v>326.85700000000003</v>
      </c>
      <c r="N88" s="105">
        <v>297.30599999999998</v>
      </c>
      <c r="O88" s="105">
        <v>889.72900000000004</v>
      </c>
      <c r="P88" s="105">
        <v>1187.04</v>
      </c>
      <c r="Q88" s="105">
        <v>0.22281799999999999</v>
      </c>
      <c r="R88" s="105">
        <v>4.4879699999999998</v>
      </c>
      <c r="S88" s="105">
        <v>0.47306399999999998</v>
      </c>
      <c r="T88" s="105">
        <v>1.13121</v>
      </c>
      <c r="U88" s="105">
        <v>1.6042799999999999</v>
      </c>
      <c r="V88" s="105">
        <v>0.436276</v>
      </c>
      <c r="W88" s="105">
        <v>0.60363199999999995</v>
      </c>
      <c r="X88" s="105">
        <v>1631.68</v>
      </c>
      <c r="Y88" s="106">
        <v>9.7220900000000006E-6</v>
      </c>
      <c r="Z88" s="105">
        <v>1.2982199999999999</v>
      </c>
      <c r="AA88" s="104">
        <v>0.94540400000000002</v>
      </c>
    </row>
    <row r="89" spans="1:27" x14ac:dyDescent="0.25">
      <c r="A89" s="25">
        <v>320</v>
      </c>
      <c r="B89" s="26">
        <v>427.5</v>
      </c>
      <c r="C89" s="27">
        <v>405.1</v>
      </c>
      <c r="D89" s="28">
        <v>798.6</v>
      </c>
      <c r="E89" s="28">
        <v>1203.7</v>
      </c>
      <c r="F89" s="22">
        <v>1.9060000000000001E-2</v>
      </c>
      <c r="G89" s="29">
        <v>1.3859999999999999</v>
      </c>
      <c r="L89" s="115">
        <v>85</v>
      </c>
      <c r="M89" s="108">
        <v>327.58499999999998</v>
      </c>
      <c r="N89" s="108">
        <v>298.06400000000002</v>
      </c>
      <c r="O89" s="108">
        <v>889.15499999999997</v>
      </c>
      <c r="P89" s="108">
        <v>1187.22</v>
      </c>
      <c r="Q89" s="108">
        <v>0.22495399999999999</v>
      </c>
      <c r="R89" s="108">
        <v>4.4453500000000004</v>
      </c>
      <c r="S89" s="108">
        <v>0.47402300000000003</v>
      </c>
      <c r="T89" s="108">
        <v>1.12944</v>
      </c>
      <c r="U89" s="108">
        <v>1.6034600000000001</v>
      </c>
      <c r="V89" s="108">
        <v>0.43684800000000001</v>
      </c>
      <c r="W89" s="108">
        <v>0.60464700000000005</v>
      </c>
      <c r="X89" s="108">
        <v>1632.03</v>
      </c>
      <c r="Y89" s="109">
        <v>9.7314600000000005E-6</v>
      </c>
      <c r="Z89" s="108">
        <v>1.2981</v>
      </c>
      <c r="AA89" s="107">
        <v>0.94503899999999996</v>
      </c>
    </row>
    <row r="90" spans="1:27" x14ac:dyDescent="0.25">
      <c r="A90" s="25">
        <v>330</v>
      </c>
      <c r="B90" s="26">
        <v>430.3</v>
      </c>
      <c r="C90" s="27">
        <v>408.2</v>
      </c>
      <c r="D90" s="28">
        <v>795.7</v>
      </c>
      <c r="E90" s="28">
        <v>1203.9000000000001</v>
      </c>
      <c r="F90" s="22">
        <v>1.9099999999999999E-2</v>
      </c>
      <c r="G90" s="29">
        <v>1.3460000000000001</v>
      </c>
      <c r="L90" s="114">
        <v>86</v>
      </c>
      <c r="M90" s="105">
        <v>328.30700000000002</v>
      </c>
      <c r="N90" s="105">
        <v>298.81599999999997</v>
      </c>
      <c r="O90" s="105">
        <v>888.58399999999995</v>
      </c>
      <c r="P90" s="105">
        <v>1187.4000000000001</v>
      </c>
      <c r="Q90" s="105">
        <v>0.22708999999999999</v>
      </c>
      <c r="R90" s="105">
        <v>4.4035500000000001</v>
      </c>
      <c r="S90" s="105">
        <v>0.47497400000000001</v>
      </c>
      <c r="T90" s="105">
        <v>1.12768</v>
      </c>
      <c r="U90" s="105">
        <v>1.6026499999999999</v>
      </c>
      <c r="V90" s="105">
        <v>0.437417</v>
      </c>
      <c r="W90" s="105">
        <v>0.60565800000000003</v>
      </c>
      <c r="X90" s="105">
        <v>1632.37</v>
      </c>
      <c r="Y90" s="106">
        <v>9.7407499999999999E-6</v>
      </c>
      <c r="Z90" s="105">
        <v>1.2979700000000001</v>
      </c>
      <c r="AA90" s="104">
        <v>0.94467599999999996</v>
      </c>
    </row>
    <row r="91" spans="1:27" ht="13.8" thickBot="1" x14ac:dyDescent="0.3">
      <c r="A91" s="38">
        <v>340</v>
      </c>
      <c r="B91" s="33">
        <v>433</v>
      </c>
      <c r="C91" s="34">
        <v>411.2</v>
      </c>
      <c r="D91" s="35">
        <v>792.8</v>
      </c>
      <c r="E91" s="35">
        <v>1204</v>
      </c>
      <c r="F91" s="36">
        <v>1.915E-2</v>
      </c>
      <c r="G91" s="39">
        <v>1.3089999999999999</v>
      </c>
      <c r="L91" s="115">
        <v>87</v>
      </c>
      <c r="M91" s="108">
        <v>329.024</v>
      </c>
      <c r="N91" s="108">
        <v>299.56299999999999</v>
      </c>
      <c r="O91" s="108">
        <v>888.01700000000005</v>
      </c>
      <c r="P91" s="108">
        <v>1187.58</v>
      </c>
      <c r="Q91" s="108">
        <v>0.22922400000000001</v>
      </c>
      <c r="R91" s="108">
        <v>4.3625400000000001</v>
      </c>
      <c r="S91" s="108">
        <v>0.47591699999999998</v>
      </c>
      <c r="T91" s="108">
        <v>1.1259300000000001</v>
      </c>
      <c r="U91" s="108">
        <v>1.60185</v>
      </c>
      <c r="V91" s="108">
        <v>0.43798300000000001</v>
      </c>
      <c r="W91" s="108">
        <v>0.60666600000000004</v>
      </c>
      <c r="X91" s="108">
        <v>1632.71</v>
      </c>
      <c r="Y91" s="109">
        <v>9.7499699999999994E-6</v>
      </c>
      <c r="Z91" s="108">
        <v>1.2978499999999999</v>
      </c>
      <c r="AA91" s="107">
        <v>0.94431299999999996</v>
      </c>
    </row>
    <row r="92" spans="1:27" x14ac:dyDescent="0.25">
      <c r="A92" s="25">
        <v>350</v>
      </c>
      <c r="B92" s="26">
        <v>435.6</v>
      </c>
      <c r="C92" s="27">
        <v>414.2</v>
      </c>
      <c r="D92" s="28">
        <v>790</v>
      </c>
      <c r="E92" s="28">
        <v>1204.2</v>
      </c>
      <c r="F92" s="22">
        <v>1.9189999999999999E-2</v>
      </c>
      <c r="G92" s="29">
        <v>1.2729999999999999</v>
      </c>
      <c r="L92" s="114">
        <v>88</v>
      </c>
      <c r="M92" s="105">
        <v>329.73599999999999</v>
      </c>
      <c r="N92" s="105">
        <v>300.30399999999997</v>
      </c>
      <c r="O92" s="105">
        <v>887.45399999999995</v>
      </c>
      <c r="P92" s="105">
        <v>1187.76</v>
      </c>
      <c r="Q92" s="105">
        <v>0.23135800000000001</v>
      </c>
      <c r="R92" s="105">
        <v>4.3223000000000003</v>
      </c>
      <c r="S92" s="105">
        <v>0.476852</v>
      </c>
      <c r="T92" s="105">
        <v>1.1242000000000001</v>
      </c>
      <c r="U92" s="105">
        <v>1.6010599999999999</v>
      </c>
      <c r="V92" s="105">
        <v>0.43854700000000002</v>
      </c>
      <c r="W92" s="105">
        <v>0.60767000000000004</v>
      </c>
      <c r="X92" s="105">
        <v>1633.05</v>
      </c>
      <c r="Y92" s="106">
        <v>9.7591199999999992E-6</v>
      </c>
      <c r="Z92" s="105">
        <v>1.29772</v>
      </c>
      <c r="AA92" s="104">
        <v>0.94395200000000001</v>
      </c>
    </row>
    <row r="93" spans="1:27" x14ac:dyDescent="0.25">
      <c r="A93" s="25">
        <v>360</v>
      </c>
      <c r="B93" s="26">
        <v>438.2</v>
      </c>
      <c r="C93" s="27">
        <v>417.1</v>
      </c>
      <c r="D93" s="28">
        <v>787.3</v>
      </c>
      <c r="E93" s="28">
        <v>1204.3</v>
      </c>
      <c r="F93" s="22">
        <v>1.9230000000000001E-2</v>
      </c>
      <c r="G93" s="29">
        <v>1.24</v>
      </c>
      <c r="L93" s="115">
        <v>89</v>
      </c>
      <c r="M93" s="108">
        <v>330.44099999999997</v>
      </c>
      <c r="N93" s="108">
        <v>301.04000000000002</v>
      </c>
      <c r="O93" s="108">
        <v>886.89300000000003</v>
      </c>
      <c r="P93" s="108">
        <v>1187.93</v>
      </c>
      <c r="Q93" s="108">
        <v>0.233491</v>
      </c>
      <c r="R93" s="108">
        <v>4.2828099999999996</v>
      </c>
      <c r="S93" s="108">
        <v>0.47777900000000001</v>
      </c>
      <c r="T93" s="108">
        <v>1.12249</v>
      </c>
      <c r="U93" s="108">
        <v>1.6002700000000001</v>
      </c>
      <c r="V93" s="108">
        <v>0.43910700000000003</v>
      </c>
      <c r="W93" s="108">
        <v>0.60867099999999996</v>
      </c>
      <c r="X93" s="108">
        <v>1633.38</v>
      </c>
      <c r="Y93" s="109">
        <v>9.7682000000000008E-6</v>
      </c>
      <c r="Z93" s="108">
        <v>1.2976000000000001</v>
      </c>
      <c r="AA93" s="107">
        <v>0.94359199999999999</v>
      </c>
    </row>
    <row r="94" spans="1:27" x14ac:dyDescent="0.25">
      <c r="A94" s="25">
        <v>370</v>
      </c>
      <c r="B94" s="26">
        <v>440.8</v>
      </c>
      <c r="C94" s="27">
        <v>419.9</v>
      </c>
      <c r="D94" s="28">
        <v>784.5</v>
      </c>
      <c r="E94" s="28">
        <v>1204.4000000000001</v>
      </c>
      <c r="F94" s="22">
        <v>1.9269999999999999E-2</v>
      </c>
      <c r="G94" s="29">
        <v>1.2070000000000001</v>
      </c>
      <c r="L94" s="114">
        <v>90</v>
      </c>
      <c r="M94" s="105">
        <v>331.142</v>
      </c>
      <c r="N94" s="105">
        <v>301.77</v>
      </c>
      <c r="O94" s="105">
        <v>886.33699999999999</v>
      </c>
      <c r="P94" s="105">
        <v>1188.1099999999999</v>
      </c>
      <c r="Q94" s="105">
        <v>0.235624</v>
      </c>
      <c r="R94" s="105">
        <v>4.2440499999999997</v>
      </c>
      <c r="S94" s="105">
        <v>0.47869899999999999</v>
      </c>
      <c r="T94" s="105">
        <v>1.12079</v>
      </c>
      <c r="U94" s="105">
        <v>1.5994900000000001</v>
      </c>
      <c r="V94" s="105">
        <v>0.439666</v>
      </c>
      <c r="W94" s="105">
        <v>0.60966900000000002</v>
      </c>
      <c r="X94" s="105">
        <v>1633.71</v>
      </c>
      <c r="Y94" s="106">
        <v>9.7772000000000002E-6</v>
      </c>
      <c r="Z94" s="105">
        <v>1.29748</v>
      </c>
      <c r="AA94" s="104">
        <v>0.94323299999999999</v>
      </c>
    </row>
    <row r="95" spans="1:27" x14ac:dyDescent="0.25">
      <c r="A95" s="25">
        <v>380</v>
      </c>
      <c r="B95" s="26">
        <v>443.3</v>
      </c>
      <c r="C95" s="27">
        <v>422.7</v>
      </c>
      <c r="D95" s="28">
        <v>781.8</v>
      </c>
      <c r="E95" s="28">
        <v>1204.5</v>
      </c>
      <c r="F95" s="22">
        <v>1.932E-2</v>
      </c>
      <c r="G95" s="29">
        <v>1.177</v>
      </c>
      <c r="L95" s="115">
        <v>91</v>
      </c>
      <c r="M95" s="108">
        <v>331.83699999999999</v>
      </c>
      <c r="N95" s="108">
        <v>302.49400000000003</v>
      </c>
      <c r="O95" s="108">
        <v>885.78300000000002</v>
      </c>
      <c r="P95" s="108">
        <v>1188.28</v>
      </c>
      <c r="Q95" s="108">
        <v>0.237756</v>
      </c>
      <c r="R95" s="108">
        <v>4.2060000000000004</v>
      </c>
      <c r="S95" s="108">
        <v>0.47961100000000001</v>
      </c>
      <c r="T95" s="108">
        <v>1.11911</v>
      </c>
      <c r="U95" s="108">
        <v>1.5987199999999999</v>
      </c>
      <c r="V95" s="108">
        <v>0.44022099999999997</v>
      </c>
      <c r="W95" s="108">
        <v>0.61066399999999998</v>
      </c>
      <c r="X95" s="108">
        <v>1634.03</v>
      </c>
      <c r="Y95" s="109">
        <v>9.7861400000000005E-6</v>
      </c>
      <c r="Z95" s="108">
        <v>1.2973600000000001</v>
      </c>
      <c r="AA95" s="107">
        <v>0.94287500000000002</v>
      </c>
    </row>
    <row r="96" spans="1:27" ht="13.8" thickBot="1" x14ac:dyDescent="0.3">
      <c r="A96" s="38">
        <v>390</v>
      </c>
      <c r="B96" s="33">
        <v>445.7</v>
      </c>
      <c r="C96" s="34">
        <v>425.5</v>
      </c>
      <c r="D96" s="35">
        <v>779.2</v>
      </c>
      <c r="E96" s="35">
        <v>1204.5999999999999</v>
      </c>
      <c r="F96" s="36">
        <v>1.9359999999999999E-2</v>
      </c>
      <c r="G96" s="39">
        <v>1.1479999999999999</v>
      </c>
      <c r="L96" s="114">
        <v>92</v>
      </c>
      <c r="M96" s="105">
        <v>332.52699999999999</v>
      </c>
      <c r="N96" s="105">
        <v>303.214</v>
      </c>
      <c r="O96" s="105">
        <v>885.23199999999997</v>
      </c>
      <c r="P96" s="105">
        <v>1188.45</v>
      </c>
      <c r="Q96" s="105">
        <v>0.23988699999999999</v>
      </c>
      <c r="R96" s="105">
        <v>4.1686300000000003</v>
      </c>
      <c r="S96" s="105">
        <v>0.48051500000000003</v>
      </c>
      <c r="T96" s="105">
        <v>1.11744</v>
      </c>
      <c r="U96" s="105">
        <v>1.59796</v>
      </c>
      <c r="V96" s="105">
        <v>0.440774</v>
      </c>
      <c r="W96" s="105">
        <v>0.61165499999999995</v>
      </c>
      <c r="X96" s="105">
        <v>1634.34</v>
      </c>
      <c r="Y96" s="106">
        <v>9.7950099999999992E-6</v>
      </c>
      <c r="Z96" s="105">
        <v>1.2972399999999999</v>
      </c>
      <c r="AA96" s="104">
        <v>0.942519</v>
      </c>
    </row>
    <row r="97" spans="1:27" x14ac:dyDescent="0.25">
      <c r="A97" s="25">
        <v>400</v>
      </c>
      <c r="B97" s="26">
        <v>448.1</v>
      </c>
      <c r="C97" s="27">
        <v>428.2</v>
      </c>
      <c r="D97" s="28">
        <v>776.6</v>
      </c>
      <c r="E97" s="28">
        <v>1204.7</v>
      </c>
      <c r="F97" s="22">
        <v>1.9400000000000001E-2</v>
      </c>
      <c r="G97" s="29">
        <v>1.1200000000000001</v>
      </c>
      <c r="L97" s="115">
        <v>93</v>
      </c>
      <c r="M97" s="108">
        <v>333.21199999999999</v>
      </c>
      <c r="N97" s="108">
        <v>303.92899999999997</v>
      </c>
      <c r="O97" s="108">
        <v>884.68499999999995</v>
      </c>
      <c r="P97" s="108">
        <v>1188.6099999999999</v>
      </c>
      <c r="Q97" s="108">
        <v>0.24201700000000001</v>
      </c>
      <c r="R97" s="108">
        <v>4.1319400000000002</v>
      </c>
      <c r="S97" s="108">
        <v>0.48141299999999998</v>
      </c>
      <c r="T97" s="108">
        <v>1.11578</v>
      </c>
      <c r="U97" s="108">
        <v>1.5972</v>
      </c>
      <c r="V97" s="108">
        <v>0.44132500000000002</v>
      </c>
      <c r="W97" s="108">
        <v>0.61264399999999997</v>
      </c>
      <c r="X97" s="108">
        <v>1634.66</v>
      </c>
      <c r="Y97" s="109">
        <v>9.8038200000000006E-6</v>
      </c>
      <c r="Z97" s="108">
        <v>1.2971200000000001</v>
      </c>
      <c r="AA97" s="107">
        <v>0.94216299999999997</v>
      </c>
    </row>
    <row r="98" spans="1:27" ht="13.8" thickBot="1" x14ac:dyDescent="0.3">
      <c r="A98" s="38">
        <v>450</v>
      </c>
      <c r="B98" s="33">
        <v>459.5</v>
      </c>
      <c r="C98" s="34">
        <v>441</v>
      </c>
      <c r="D98" s="35">
        <v>763.8</v>
      </c>
      <c r="E98" s="35">
        <v>1204.8</v>
      </c>
      <c r="F98" s="36">
        <v>1.9609999999999999E-2</v>
      </c>
      <c r="G98" s="42">
        <v>0.99919999999999998</v>
      </c>
      <c r="L98" s="114">
        <v>94</v>
      </c>
      <c r="M98" s="105">
        <v>333.892</v>
      </c>
      <c r="N98" s="105">
        <v>304.63799999999998</v>
      </c>
      <c r="O98" s="105">
        <v>884.14099999999996</v>
      </c>
      <c r="P98" s="105">
        <v>1188.78</v>
      </c>
      <c r="Q98" s="105">
        <v>0.244147</v>
      </c>
      <c r="R98" s="105">
        <v>4.0958899999999998</v>
      </c>
      <c r="S98" s="105">
        <v>0.48230299999999998</v>
      </c>
      <c r="T98" s="105">
        <v>1.1141399999999999</v>
      </c>
      <c r="U98" s="105">
        <v>1.5964499999999999</v>
      </c>
      <c r="V98" s="105">
        <v>0.44187300000000002</v>
      </c>
      <c r="W98" s="105">
        <v>0.61362899999999998</v>
      </c>
      <c r="X98" s="105">
        <v>1634.97</v>
      </c>
      <c r="Y98" s="106">
        <v>9.8125600000000005E-6</v>
      </c>
      <c r="Z98" s="105">
        <v>1.2969999999999999</v>
      </c>
      <c r="AA98" s="104">
        <v>0.94180900000000001</v>
      </c>
    </row>
    <row r="99" spans="1:27" x14ac:dyDescent="0.25">
      <c r="A99" s="25">
        <v>500</v>
      </c>
      <c r="B99" s="26">
        <v>470</v>
      </c>
      <c r="C99" s="27">
        <v>453</v>
      </c>
      <c r="D99" s="28">
        <v>751.6</v>
      </c>
      <c r="E99" s="28">
        <v>1204.5999999999999</v>
      </c>
      <c r="F99" s="22">
        <v>1.9800000000000002E-2</v>
      </c>
      <c r="G99" s="43">
        <v>0.90100000000000002</v>
      </c>
      <c r="L99" s="115">
        <v>95</v>
      </c>
      <c r="M99" s="108">
        <v>334.56700000000001</v>
      </c>
      <c r="N99" s="108">
        <v>305.34300000000002</v>
      </c>
      <c r="O99" s="108">
        <v>883.6</v>
      </c>
      <c r="P99" s="108">
        <v>1188.94</v>
      </c>
      <c r="Q99" s="108">
        <v>0.24627599999999999</v>
      </c>
      <c r="R99" s="108">
        <v>4.0604800000000001</v>
      </c>
      <c r="S99" s="108">
        <v>0.483186</v>
      </c>
      <c r="T99" s="108">
        <v>1.1125100000000001</v>
      </c>
      <c r="U99" s="108">
        <v>1.5956999999999999</v>
      </c>
      <c r="V99" s="108">
        <v>0.44241799999999998</v>
      </c>
      <c r="W99" s="108">
        <v>0.61461100000000002</v>
      </c>
      <c r="X99" s="108">
        <v>1635.27</v>
      </c>
      <c r="Y99" s="109">
        <v>9.8212300000000005E-6</v>
      </c>
      <c r="Z99" s="108">
        <v>1.29688</v>
      </c>
      <c r="AA99" s="107">
        <v>0.94145599999999996</v>
      </c>
    </row>
    <row r="100" spans="1:27" ht="13.8" thickBot="1" x14ac:dyDescent="0.3">
      <c r="A100" s="38">
        <v>550</v>
      </c>
      <c r="B100" s="33">
        <v>479.7</v>
      </c>
      <c r="C100" s="34">
        <v>464.1</v>
      </c>
      <c r="D100" s="35">
        <v>739.9</v>
      </c>
      <c r="E100" s="35">
        <v>1204.0999999999999</v>
      </c>
      <c r="F100" s="36">
        <v>0.02</v>
      </c>
      <c r="G100" s="42">
        <v>0.81950000000000001</v>
      </c>
      <c r="L100" s="114">
        <v>96</v>
      </c>
      <c r="M100" s="105">
        <v>335.23700000000002</v>
      </c>
      <c r="N100" s="105">
        <v>306.04199999999997</v>
      </c>
      <c r="O100" s="105">
        <v>883.06200000000001</v>
      </c>
      <c r="P100" s="105">
        <v>1189.0999999999999</v>
      </c>
      <c r="Q100" s="105">
        <v>0.24840499999999999</v>
      </c>
      <c r="R100" s="105">
        <v>4.02569</v>
      </c>
      <c r="S100" s="105">
        <v>0.48406300000000002</v>
      </c>
      <c r="T100" s="105">
        <v>1.1109</v>
      </c>
      <c r="U100" s="105">
        <v>1.5949599999999999</v>
      </c>
      <c r="V100" s="105">
        <v>0.44296099999999999</v>
      </c>
      <c r="W100" s="105">
        <v>0.61558999999999997</v>
      </c>
      <c r="X100" s="105">
        <v>1635.57</v>
      </c>
      <c r="Y100" s="106">
        <v>9.8298500000000004E-6</v>
      </c>
      <c r="Z100" s="105">
        <v>1.29677</v>
      </c>
      <c r="AA100" s="104">
        <v>0.94110400000000005</v>
      </c>
    </row>
    <row r="101" spans="1:27" x14ac:dyDescent="0.25">
      <c r="A101" s="25">
        <v>600</v>
      </c>
      <c r="B101" s="26">
        <v>488.8</v>
      </c>
      <c r="C101" s="27">
        <v>474.7</v>
      </c>
      <c r="D101" s="28">
        <v>728.7</v>
      </c>
      <c r="E101" s="28">
        <v>1203.4000000000001</v>
      </c>
      <c r="F101" s="22">
        <v>2.019E-2</v>
      </c>
      <c r="G101" s="43">
        <v>0.75090000000000001</v>
      </c>
      <c r="L101" s="115">
        <v>97</v>
      </c>
      <c r="M101" s="108">
        <v>335.90199999999999</v>
      </c>
      <c r="N101" s="108">
        <v>306.73700000000002</v>
      </c>
      <c r="O101" s="108">
        <v>882.52700000000004</v>
      </c>
      <c r="P101" s="108">
        <v>1189.26</v>
      </c>
      <c r="Q101" s="108">
        <v>0.25053300000000001</v>
      </c>
      <c r="R101" s="108">
        <v>3.9914999999999998</v>
      </c>
      <c r="S101" s="108">
        <v>0.48493199999999997</v>
      </c>
      <c r="T101" s="108">
        <v>1.1093</v>
      </c>
      <c r="U101" s="108">
        <v>1.59423</v>
      </c>
      <c r="V101" s="108">
        <v>0.44350200000000001</v>
      </c>
      <c r="W101" s="108">
        <v>0.61656699999999998</v>
      </c>
      <c r="X101" s="108">
        <v>1635.86</v>
      </c>
      <c r="Y101" s="109">
        <v>9.8384000000000005E-6</v>
      </c>
      <c r="Z101" s="108">
        <v>1.2966500000000001</v>
      </c>
      <c r="AA101" s="107">
        <v>0.94075299999999995</v>
      </c>
    </row>
    <row r="102" spans="1:27" ht="13.8" thickBot="1" x14ac:dyDescent="0.3">
      <c r="A102" s="38">
        <v>650</v>
      </c>
      <c r="B102" s="33">
        <v>497.3</v>
      </c>
      <c r="C102" s="34">
        <v>484.8</v>
      </c>
      <c r="D102" s="35">
        <v>717.8</v>
      </c>
      <c r="E102" s="35">
        <v>1202.5999999999999</v>
      </c>
      <c r="F102" s="36">
        <v>2.0379999999999999E-2</v>
      </c>
      <c r="G102" s="42">
        <v>0.69220000000000004</v>
      </c>
      <c r="L102" s="114">
        <v>98</v>
      </c>
      <c r="M102" s="105">
        <v>336.56200000000001</v>
      </c>
      <c r="N102" s="105">
        <v>307.42700000000002</v>
      </c>
      <c r="O102" s="105">
        <v>881.995</v>
      </c>
      <c r="P102" s="105">
        <v>1189.42</v>
      </c>
      <c r="Q102" s="105">
        <v>0.25266</v>
      </c>
      <c r="R102" s="105">
        <v>3.9578899999999999</v>
      </c>
      <c r="S102" s="105">
        <v>0.48579499999999998</v>
      </c>
      <c r="T102" s="105">
        <v>1.10771</v>
      </c>
      <c r="U102" s="105">
        <v>1.59351</v>
      </c>
      <c r="V102" s="105">
        <v>0.44403999999999999</v>
      </c>
      <c r="W102" s="105">
        <v>0.61753999999999998</v>
      </c>
      <c r="X102" s="105">
        <v>1636.15</v>
      </c>
      <c r="Y102" s="106">
        <v>9.8468899999999998E-6</v>
      </c>
      <c r="Z102" s="105">
        <v>1.29654</v>
      </c>
      <c r="AA102" s="104">
        <v>0.94040299999999999</v>
      </c>
    </row>
    <row r="103" spans="1:27" ht="13.8" thickBot="1" x14ac:dyDescent="0.3">
      <c r="A103" s="25">
        <v>700</v>
      </c>
      <c r="B103" s="26">
        <v>505.4</v>
      </c>
      <c r="C103" s="27">
        <v>494.4</v>
      </c>
      <c r="D103" s="28">
        <v>707.1</v>
      </c>
      <c r="E103" s="28">
        <v>1201.5</v>
      </c>
      <c r="F103" s="22">
        <v>2.0559999999999998E-2</v>
      </c>
      <c r="G103" s="43">
        <v>0.64149999999999996</v>
      </c>
      <c r="L103" s="116">
        <v>99</v>
      </c>
      <c r="M103" s="117">
        <v>337.21800000000002</v>
      </c>
      <c r="N103" s="117">
        <v>308.113</v>
      </c>
      <c r="O103" s="117">
        <v>881.46500000000003</v>
      </c>
      <c r="P103" s="117">
        <v>1189.58</v>
      </c>
      <c r="Q103" s="117">
        <v>0.25478600000000001</v>
      </c>
      <c r="R103" s="117">
        <v>3.9248500000000002</v>
      </c>
      <c r="S103" s="117">
        <v>0.48665199999999997</v>
      </c>
      <c r="T103" s="117">
        <v>1.1061300000000001</v>
      </c>
      <c r="U103" s="117">
        <v>1.5927899999999999</v>
      </c>
      <c r="V103" s="117">
        <v>0.44457600000000003</v>
      </c>
      <c r="W103" s="117">
        <v>0.61851</v>
      </c>
      <c r="X103" s="117">
        <v>1636.44</v>
      </c>
      <c r="Y103" s="118">
        <v>9.85532E-6</v>
      </c>
      <c r="Z103" s="117">
        <v>1.2964199999999999</v>
      </c>
      <c r="AA103" s="119">
        <v>0.94005399999999995</v>
      </c>
    </row>
    <row r="104" spans="1:27" ht="13.8" thickBot="1" x14ac:dyDescent="0.3">
      <c r="A104" s="38">
        <v>750</v>
      </c>
      <c r="B104" s="33">
        <v>513</v>
      </c>
      <c r="C104" s="34">
        <v>503.5</v>
      </c>
      <c r="D104" s="35">
        <v>696.7</v>
      </c>
      <c r="E104" s="35">
        <v>1200.3</v>
      </c>
      <c r="F104" s="36">
        <v>2.0740000000000001E-2</v>
      </c>
      <c r="G104" s="42">
        <v>0.59709999999999996</v>
      </c>
      <c r="L104" s="116">
        <v>100</v>
      </c>
      <c r="M104" s="117">
        <v>337.86935533642031</v>
      </c>
      <c r="N104" s="117">
        <v>308.79399927379836</v>
      </c>
      <c r="O104" s="117">
        <v>880.93850740587186</v>
      </c>
      <c r="P104" s="117">
        <v>1189.7345066796699</v>
      </c>
      <c r="Q104" s="117">
        <v>0.25691206230613217</v>
      </c>
      <c r="R104" s="117">
        <v>3.892370188970991</v>
      </c>
      <c r="S104" s="117">
        <v>0.48750208213830742</v>
      </c>
      <c r="T104" s="117">
        <v>1.1045664677750708</v>
      </c>
      <c r="U104" s="117">
        <v>1.5920765499133784</v>
      </c>
      <c r="V104" s="117">
        <v>0.44510948314174181</v>
      </c>
      <c r="W104" s="117">
        <v>0.61947736136846299</v>
      </c>
      <c r="X104" s="117">
        <v>1636.7233471065383</v>
      </c>
      <c r="Y104" s="118">
        <v>9.8636054863955835E-6</v>
      </c>
      <c r="Z104" s="117">
        <v>1.296289432149651</v>
      </c>
    </row>
    <row r="105" spans="1:27" ht="13.8" thickBot="1" x14ac:dyDescent="0.3">
      <c r="A105" s="38">
        <v>800</v>
      </c>
      <c r="B105" s="33">
        <v>520.29999999999995</v>
      </c>
      <c r="C105" s="34">
        <v>512.4</v>
      </c>
      <c r="D105" s="35">
        <v>686.6</v>
      </c>
      <c r="E105" s="35">
        <v>1199</v>
      </c>
      <c r="F105" s="36">
        <v>2.0920000000000001E-2</v>
      </c>
      <c r="G105" s="42">
        <v>0.55800000000000005</v>
      </c>
      <c r="L105" s="116">
        <v>101</v>
      </c>
      <c r="M105" s="117">
        <v>338.51622889025913</v>
      </c>
      <c r="N105" s="117">
        <v>309.47051293600055</v>
      </c>
      <c r="O105" s="117">
        <v>880.41479869193154</v>
      </c>
      <c r="P105" s="117">
        <v>1189.8873116279319</v>
      </c>
      <c r="Q105" s="117">
        <v>0.25903754824868486</v>
      </c>
      <c r="R105" s="117">
        <v>3.8604321237885824</v>
      </c>
      <c r="S105" s="117">
        <v>0.48834584894606825</v>
      </c>
      <c r="T105" s="117">
        <v>1.1030151684653753</v>
      </c>
      <c r="U105" s="117">
        <v>1.5913690174114437</v>
      </c>
      <c r="V105" s="117">
        <v>0.44564063343793209</v>
      </c>
      <c r="W105" s="117">
        <v>0.62044185929582274</v>
      </c>
      <c r="X105" s="117">
        <v>1637.0028412474003</v>
      </c>
      <c r="Y105" s="118">
        <v>9.8718332816869268E-6</v>
      </c>
      <c r="Z105" s="117">
        <v>1.2961595785091484</v>
      </c>
    </row>
    <row r="106" spans="1:27" ht="13.8" thickBot="1" x14ac:dyDescent="0.3">
      <c r="A106" s="38">
        <v>900</v>
      </c>
      <c r="B106" s="33">
        <v>533.9</v>
      </c>
      <c r="C106" s="34">
        <v>529.1</v>
      </c>
      <c r="D106" s="35">
        <v>666.8</v>
      </c>
      <c r="E106" s="35">
        <v>1196</v>
      </c>
      <c r="F106" s="36">
        <v>2.128E-2</v>
      </c>
      <c r="G106" s="42">
        <v>0.49220000000000003</v>
      </c>
      <c r="L106" s="116">
        <v>102</v>
      </c>
      <c r="M106" s="117">
        <v>339.15869073420725</v>
      </c>
      <c r="N106" s="117">
        <v>310.1426110607498</v>
      </c>
      <c r="O106" s="117">
        <v>879.89383161258002</v>
      </c>
      <c r="P106" s="117">
        <v>1190.0384426733297</v>
      </c>
      <c r="Q106" s="117">
        <v>0.26116246925466807</v>
      </c>
      <c r="R106" s="117">
        <v>3.8290221984088326</v>
      </c>
      <c r="S106" s="117">
        <v>0.48918340311844005</v>
      </c>
      <c r="T106" s="117">
        <v>1.1014758967372449</v>
      </c>
      <c r="U106" s="117">
        <v>1.590667299855685</v>
      </c>
      <c r="V106" s="117">
        <v>0.44616947479485403</v>
      </c>
      <c r="W106" s="117">
        <v>0.62140352581815028</v>
      </c>
      <c r="X106" s="117">
        <v>1637.2785494836551</v>
      </c>
      <c r="Y106" s="118">
        <v>9.8800043057718597E-6</v>
      </c>
      <c r="Z106" s="117">
        <v>1.2960304305205224</v>
      </c>
    </row>
    <row r="107" spans="1:27" ht="13.8" thickBot="1" x14ac:dyDescent="0.3">
      <c r="A107" s="25">
        <v>1000</v>
      </c>
      <c r="B107" s="26">
        <v>546.29999999999995</v>
      </c>
      <c r="C107" s="27">
        <v>544.79999999999995</v>
      </c>
      <c r="D107" s="28">
        <v>647.6</v>
      </c>
      <c r="E107" s="28">
        <v>1192.4000000000001</v>
      </c>
      <c r="F107" s="22">
        <v>2.164E-2</v>
      </c>
      <c r="G107" s="43">
        <v>0.439</v>
      </c>
      <c r="L107" s="116">
        <v>103</v>
      </c>
      <c r="M107" s="117">
        <v>339.79680925045557</v>
      </c>
      <c r="N107" s="117">
        <v>310.81036203329023</v>
      </c>
      <c r="O107" s="117">
        <v>879.37556492397221</v>
      </c>
      <c r="P107" s="117">
        <v>1190.1879269572623</v>
      </c>
      <c r="Q107" s="117">
        <v>0.26328683654660223</v>
      </c>
      <c r="R107" s="117">
        <v>3.7981272613379042</v>
      </c>
      <c r="S107" s="117">
        <v>0.49001484481285329</v>
      </c>
      <c r="T107" s="117">
        <v>1.0999484524382444</v>
      </c>
      <c r="U107" s="117">
        <v>1.5899712972510978</v>
      </c>
      <c r="V107" s="117">
        <v>0.44669603072634073</v>
      </c>
      <c r="W107" s="117">
        <v>0.62236239243717406</v>
      </c>
      <c r="X107" s="117">
        <v>1637.5505371593063</v>
      </c>
      <c r="Y107" s="118">
        <v>9.8881194562915781E-6</v>
      </c>
      <c r="Z107" s="117">
        <v>1.2959019797841358</v>
      </c>
    </row>
    <row r="108" spans="1:27" ht="13.8" thickBot="1" x14ac:dyDescent="0.3">
      <c r="A108" s="25">
        <v>1250</v>
      </c>
      <c r="B108" s="26">
        <v>573.9</v>
      </c>
      <c r="C108" s="27">
        <v>580.79999999999995</v>
      </c>
      <c r="D108" s="28">
        <v>601.1</v>
      </c>
      <c r="E108" s="28">
        <v>1181.9000000000001</v>
      </c>
      <c r="F108" s="22">
        <v>2.256E-2</v>
      </c>
      <c r="G108" s="43">
        <v>0.34100000000000003</v>
      </c>
      <c r="L108" s="116">
        <v>104</v>
      </c>
      <c r="M108" s="117">
        <v>340.43065118552471</v>
      </c>
      <c r="N108" s="117">
        <v>311.47383260474993</v>
      </c>
      <c r="O108" s="117">
        <v>878.85995835180665</v>
      </c>
      <c r="P108" s="117">
        <v>1190.3357909565564</v>
      </c>
      <c r="Q108" s="117">
        <v>0.26541066114790501</v>
      </c>
      <c r="R108" s="117">
        <v>3.7677345967407936</v>
      </c>
      <c r="S108" s="117">
        <v>0.49084027173274525</v>
      </c>
      <c r="T108" s="117">
        <v>1.0984326404234879</v>
      </c>
      <c r="U108" s="117">
        <v>1.5892809121562332</v>
      </c>
      <c r="V108" s="117">
        <v>0.44722032436352899</v>
      </c>
      <c r="W108" s="117">
        <v>0.62331849013389817</v>
      </c>
      <c r="X108" s="117">
        <v>1637.8188679589896</v>
      </c>
      <c r="Y108" s="118">
        <v>9.8961796093525134E-6</v>
      </c>
      <c r="Z108" s="117">
        <v>1.2957742180544767</v>
      </c>
    </row>
    <row r="109" spans="1:27" ht="13.8" thickBot="1" x14ac:dyDescent="0.3">
      <c r="A109" s="25">
        <v>1500</v>
      </c>
      <c r="B109" s="26">
        <v>597.5</v>
      </c>
      <c r="C109" s="27">
        <v>613.5</v>
      </c>
      <c r="D109" s="28">
        <v>555.70000000000005</v>
      </c>
      <c r="E109" s="28">
        <v>1169.3</v>
      </c>
      <c r="F109" s="22">
        <v>2.3519999999999999E-2</v>
      </c>
      <c r="G109" s="43">
        <v>0.27400000000000002</v>
      </c>
      <c r="L109" s="116">
        <v>105</v>
      </c>
      <c r="M109" s="117">
        <v>341.06028170287385</v>
      </c>
      <c r="N109" s="117">
        <v>312.13308794464928</v>
      </c>
      <c r="O109" s="117">
        <v>878.34697256046911</v>
      </c>
      <c r="P109" s="117">
        <v>1190.4820605051184</v>
      </c>
      <c r="Q109" s="117">
        <v>0.26753395388810997</v>
      </c>
      <c r="R109" s="117">
        <v>3.7378319064863756</v>
      </c>
      <c r="S109" s="117">
        <v>0.49165977920791104</v>
      </c>
      <c r="T109" s="117">
        <v>1.0969282703891248</v>
      </c>
      <c r="U109" s="117">
        <v>1.5885960495970357</v>
      </c>
      <c r="V109" s="117">
        <v>0.44774237846427978</v>
      </c>
      <c r="W109" s="117">
        <v>0.6242718493817504</v>
      </c>
      <c r="X109" s="117">
        <v>1638.0836039632741</v>
      </c>
      <c r="Y109" s="118">
        <v>9.9041856202189401E-6</v>
      </c>
      <c r="Z109" s="117">
        <v>1.2956471372361813</v>
      </c>
    </row>
    <row r="110" spans="1:27" ht="13.8" thickBot="1" x14ac:dyDescent="0.3">
      <c r="A110" s="38">
        <v>1750</v>
      </c>
      <c r="B110" s="33">
        <v>618.20000000000005</v>
      </c>
      <c r="C110" s="34">
        <v>644.29999999999995</v>
      </c>
      <c r="D110" s="35">
        <v>510.3</v>
      </c>
      <c r="E110" s="35">
        <v>1154.5999999999999</v>
      </c>
      <c r="F110" s="36">
        <v>2.4559999999999998E-2</v>
      </c>
      <c r="G110" s="42">
        <v>0.2248</v>
      </c>
      <c r="J110" s="124" t="s">
        <v>174</v>
      </c>
      <c r="L110" s="116">
        <v>106</v>
      </c>
      <c r="M110" s="117">
        <v>341.68576443338725</v>
      </c>
      <c r="N110" s="117">
        <v>312.78819169131509</v>
      </c>
      <c r="O110" s="117">
        <v>877.83656912338733</v>
      </c>
      <c r="P110" s="117">
        <v>1190.6267608147023</v>
      </c>
      <c r="Q110" s="117">
        <v>0.26965672540789082</v>
      </c>
      <c r="R110" s="117">
        <v>3.7084072930754437</v>
      </c>
      <c r="S110" s="117">
        <v>0.49247346027149058</v>
      </c>
      <c r="T110" s="117">
        <v>1.0954351567127911</v>
      </c>
      <c r="U110" s="117">
        <v>1.587916616984282</v>
      </c>
      <c r="V110" s="117">
        <v>0.44826221542226657</v>
      </c>
      <c r="W110" s="117">
        <v>0.62522250015925618</v>
      </c>
      <c r="X110" s="117">
        <v>1638.3448057016849</v>
      </c>
      <c r="Y110" s="118">
        <v>9.9121383239777612E-6</v>
      </c>
      <c r="Z110" s="117">
        <v>1.2955207293801121</v>
      </c>
    </row>
    <row r="111" spans="1:27" ht="13.8" thickBot="1" x14ac:dyDescent="0.3">
      <c r="A111" s="25">
        <v>2000</v>
      </c>
      <c r="B111" s="26">
        <v>636.79999999999995</v>
      </c>
      <c r="C111" s="27">
        <v>673.8</v>
      </c>
      <c r="D111" s="28">
        <v>463.3</v>
      </c>
      <c r="E111" s="28">
        <v>1137.2</v>
      </c>
      <c r="F111" s="22">
        <v>2.572E-2</v>
      </c>
      <c r="G111" s="43">
        <v>0.18640000000000001</v>
      </c>
      <c r="L111" s="116">
        <v>107</v>
      </c>
      <c r="M111" s="117">
        <v>342.30716152384986</v>
      </c>
      <c r="N111" s="117">
        <v>313.43920600029679</v>
      </c>
      <c r="O111" s="117">
        <v>877.32871049455218</v>
      </c>
      <c r="P111" s="117">
        <v>1190.7699164948488</v>
      </c>
      <c r="Q111" s="117">
        <v>0.27177898616393148</v>
      </c>
      <c r="R111" s="117">
        <v>3.6794492434009674</v>
      </c>
      <c r="S111" s="117">
        <v>0.49328140573391388</v>
      </c>
      <c r="T111" s="117">
        <v>1.0939531183005291</v>
      </c>
      <c r="U111" s="117">
        <v>1.5872425240344432</v>
      </c>
      <c r="V111" s="117">
        <v>0.44877985727575326</v>
      </c>
      <c r="W111" s="117">
        <v>0.6261704719622776</v>
      </c>
      <c r="X111" s="117">
        <v>1638.6025322035664</v>
      </c>
      <c r="Y111" s="118">
        <v>9.9200385361767554E-6</v>
      </c>
      <c r="Z111" s="117">
        <v>1.2953949866796568</v>
      </c>
    </row>
    <row r="112" spans="1:27" ht="13.8" thickBot="1" x14ac:dyDescent="0.3">
      <c r="A112" s="25">
        <v>2250</v>
      </c>
      <c r="B112" s="26">
        <v>653.6</v>
      </c>
      <c r="C112" s="27">
        <v>703.1</v>
      </c>
      <c r="D112" s="28">
        <v>413.3</v>
      </c>
      <c r="E112" s="28">
        <v>1116.4000000000001</v>
      </c>
      <c r="F112" s="22">
        <v>2.707E-2</v>
      </c>
      <c r="G112" s="43">
        <v>0.15540000000000001</v>
      </c>
      <c r="L112" s="116">
        <v>108</v>
      </c>
      <c r="M112" s="117">
        <v>342.92453368349987</v>
      </c>
      <c r="N112" s="117">
        <v>314.08619159085225</v>
      </c>
      <c r="O112" s="117">
        <v>876.82335998117367</v>
      </c>
      <c r="P112" s="117">
        <v>1190.9115515720257</v>
      </c>
      <c r="Q112" s="117">
        <v>0.27390074643362139</v>
      </c>
      <c r="R112" s="117">
        <v>3.6509466132939163</v>
      </c>
      <c r="S112" s="117">
        <v>0.49408370425382847</v>
      </c>
      <c r="T112" s="117">
        <v>1.0924819784399744</v>
      </c>
      <c r="U112" s="117">
        <v>1.5865736826938028</v>
      </c>
      <c r="V112" s="117">
        <v>0.44929532571607761</v>
      </c>
      <c r="W112" s="117">
        <v>0.62711579381583082</v>
      </c>
      <c r="X112" s="117">
        <v>1638.8568410468747</v>
      </c>
      <c r="Y112" s="118">
        <v>9.9278870534376075E-6</v>
      </c>
      <c r="Z112" s="117">
        <v>1.2952699014670854</v>
      </c>
    </row>
    <row r="113" spans="1:26" ht="13.8" thickBot="1" x14ac:dyDescent="0.3">
      <c r="A113" s="25">
        <v>2500</v>
      </c>
      <c r="B113" s="26">
        <v>669</v>
      </c>
      <c r="C113" s="27">
        <v>733.6</v>
      </c>
      <c r="D113" s="28">
        <v>358.1</v>
      </c>
      <c r="E113" s="28">
        <v>1091.7</v>
      </c>
      <c r="F113" s="22">
        <v>2.8709999999999999E-2</v>
      </c>
      <c r="G113" s="43">
        <v>0.1293</v>
      </c>
      <c r="L113" s="116">
        <v>109</v>
      </c>
      <c r="M113" s="117">
        <v>343.53794022875582</v>
      </c>
      <c r="N113" s="117">
        <v>314.72920779060115</v>
      </c>
      <c r="O113" s="117">
        <v>876.32048171740416</v>
      </c>
      <c r="P113" s="117">
        <v>1191.0516895080052</v>
      </c>
      <c r="Q113" s="117">
        <v>0.27602201631960066</v>
      </c>
      <c r="R113" s="117">
        <v>3.6228886128103626</v>
      </c>
      <c r="S113" s="117">
        <v>0.49488044240624157</v>
      </c>
      <c r="T113" s="117">
        <v>1.0910215646594212</v>
      </c>
      <c r="U113" s="117">
        <v>1.5859100070656629</v>
      </c>
      <c r="V113" s="117">
        <v>0.44980864209584454</v>
      </c>
      <c r="W113" s="117">
        <v>0.62805849428549609</v>
      </c>
      <c r="X113" s="117">
        <v>1639.1077884050162</v>
      </c>
      <c r="Y113" s="118">
        <v>9.9356846540448691E-6</v>
      </c>
      <c r="Z113" s="117">
        <v>1.2951454662100688</v>
      </c>
    </row>
    <row r="114" spans="1:26" ht="13.8" thickBot="1" x14ac:dyDescent="0.3">
      <c r="A114" s="38">
        <v>2750</v>
      </c>
      <c r="B114" s="33">
        <v>683</v>
      </c>
      <c r="C114" s="34">
        <v>766</v>
      </c>
      <c r="D114" s="35">
        <v>294.7</v>
      </c>
      <c r="E114" s="35">
        <v>1060.7</v>
      </c>
      <c r="F114" s="36">
        <v>3.0970000000000001E-2</v>
      </c>
      <c r="G114" s="42">
        <v>0.1062</v>
      </c>
      <c r="L114" s="116">
        <v>110</v>
      </c>
      <c r="M114" s="117">
        <v>344.14743912619986</v>
      </c>
      <c r="N114" s="117">
        <v>315.36831257845296</v>
      </c>
      <c r="O114" s="117">
        <v>875.82004063907596</v>
      </c>
      <c r="P114" s="117">
        <v>1191.1903532175288</v>
      </c>
      <c r="Q114" s="117">
        <v>0.27814280575415201</v>
      </c>
      <c r="R114" s="117">
        <v>3.5952647922187611</v>
      </c>
      <c r="S114" s="117">
        <v>0.49567170474793265</v>
      </c>
      <c r="T114" s="117">
        <v>1.08957170859257</v>
      </c>
      <c r="U114" s="117">
        <v>1.5852514133405027</v>
      </c>
      <c r="V114" s="117">
        <v>0.45031982743685306</v>
      </c>
      <c r="W114" s="117">
        <v>0.62899860148844899</v>
      </c>
      <c r="X114" s="117">
        <v>1639.3554290918153</v>
      </c>
      <c r="Y114" s="118">
        <v>9.9434320985120116E-6</v>
      </c>
      <c r="Z114" s="117">
        <v>1.2950216735082956</v>
      </c>
    </row>
    <row r="115" spans="1:26" ht="13.8" thickBot="1" x14ac:dyDescent="0.3">
      <c r="A115" s="25">
        <v>3000</v>
      </c>
      <c r="B115" s="26">
        <v>696.1</v>
      </c>
      <c r="C115" s="27">
        <v>805.1</v>
      </c>
      <c r="D115" s="28">
        <v>211.2</v>
      </c>
      <c r="E115" s="28">
        <v>1016.2</v>
      </c>
      <c r="F115" s="22">
        <v>3.465E-2</v>
      </c>
      <c r="G115" s="43">
        <v>8.3500000000000005E-2</v>
      </c>
      <c r="L115" s="116">
        <v>111</v>
      </c>
      <c r="M115" s="117">
        <v>344.75308703390118</v>
      </c>
      <c r="N115" s="117">
        <v>316.00356262587991</v>
      </c>
      <c r="O115" s="117">
        <v>875.32200245939782</v>
      </c>
      <c r="P115" s="117">
        <v>1191.3275650852777</v>
      </c>
      <c r="Q115" s="117">
        <v>0.28026312450345264</v>
      </c>
      <c r="R115" s="117">
        <v>3.5680650286486912</v>
      </c>
      <c r="S115" s="117">
        <v>0.49645757388035439</v>
      </c>
      <c r="T115" s="117">
        <v>1.0881322458485769</v>
      </c>
      <c r="U115" s="117">
        <v>1.5845978197289314</v>
      </c>
      <c r="V115" s="117">
        <v>0.45082890243775753</v>
      </c>
      <c r="W115" s="117">
        <v>0.62993614310411605</v>
      </c>
      <c r="X115" s="117">
        <v>1639.599816604707</v>
      </c>
      <c r="Y115" s="118">
        <v>9.9511301301256456E-6</v>
      </c>
      <c r="Z115" s="117">
        <v>1.2948985160902233</v>
      </c>
    </row>
    <row r="116" spans="1:26" ht="13.8" thickBot="1" x14ac:dyDescent="0.3">
      <c r="A116" s="38">
        <v>3193.5</v>
      </c>
      <c r="B116" s="33">
        <v>705.5</v>
      </c>
      <c r="C116" s="34">
        <v>906</v>
      </c>
      <c r="D116" s="35">
        <v>0</v>
      </c>
      <c r="E116" s="35">
        <v>906</v>
      </c>
      <c r="F116" s="36">
        <v>5.0779999999999999E-2</v>
      </c>
      <c r="G116" s="42">
        <v>5.0799999999999998E-2</v>
      </c>
      <c r="L116" s="116">
        <v>112</v>
      </c>
      <c r="M116" s="117">
        <v>345.3549393411551</v>
      </c>
      <c r="N116" s="117">
        <v>316.63501333658832</v>
      </c>
      <c r="O116" s="117">
        <v>874.82633364560058</v>
      </c>
      <c r="P116" s="117">
        <v>1191.4633469821888</v>
      </c>
      <c r="Q116" s="117">
        <v>0.28238298217168412</v>
      </c>
      <c r="R116" s="117">
        <v>3.5412795133649482</v>
      </c>
      <c r="S116" s="117">
        <v>0.49723813051001581</v>
      </c>
      <c r="T116" s="117">
        <v>1.0867030158873021</v>
      </c>
      <c r="U116" s="117">
        <v>1.5839491463973179</v>
      </c>
      <c r="V116" s="117">
        <v>0.45133588748148457</v>
      </c>
      <c r="W116" s="117">
        <v>0.63087114638448583</v>
      </c>
      <c r="X116" s="117">
        <v>1639.8410031662252</v>
      </c>
      <c r="Y116" s="118">
        <v>9.9587794754688544E-6</v>
      </c>
      <c r="Z116" s="117">
        <v>1.2947759868099078</v>
      </c>
    </row>
    <row r="117" spans="1:26" ht="13.8" thickBot="1" x14ac:dyDescent="0.3">
      <c r="L117" s="116">
        <v>113</v>
      </c>
      <c r="M117" s="117">
        <v>345.95305020671071</v>
      </c>
      <c r="N117" s="117">
        <v>317.26271888471024</v>
      </c>
      <c r="O117" s="117">
        <v>874.33300139643381</v>
      </c>
      <c r="P117" s="117">
        <v>1191.5977202811439</v>
      </c>
      <c r="Q117" s="117">
        <v>0.28450238820501317</v>
      </c>
      <c r="R117" s="117">
        <v>3.5148987396329363</v>
      </c>
      <c r="S117" s="117">
        <v>0.49801345350663434</v>
      </c>
      <c r="T117" s="117">
        <v>1.0852838618993199</v>
      </c>
      <c r="U117" s="117">
        <v>1.5833053154059542</v>
      </c>
      <c r="V117" s="117">
        <v>0.45184080264240684</v>
      </c>
      <c r="W117" s="117">
        <v>0.63180363816407437</v>
      </c>
      <c r="X117" s="117">
        <v>1640.0790397638859</v>
      </c>
      <c r="Y117" s="118">
        <v>9.966380844924713E-6</v>
      </c>
      <c r="Z117" s="117">
        <v>1.2946540786439662</v>
      </c>
    </row>
    <row r="118" spans="1:26" ht="13.8" thickBot="1" x14ac:dyDescent="0.3">
      <c r="L118" s="116">
        <v>114</v>
      </c>
      <c r="M118" s="117">
        <v>346.54747259555614</v>
      </c>
      <c r="N118" s="117">
        <v>317.88673225152655</v>
      </c>
      <c r="O118" s="117">
        <v>873.84197362053783</v>
      </c>
      <c r="P118" s="117">
        <v>1191.7307058720642</v>
      </c>
      <c r="Q118" s="117">
        <v>0.28662135189544152</v>
      </c>
      <c r="R118" s="117">
        <v>3.488913491143586</v>
      </c>
      <c r="S118" s="117">
        <v>0.49878361995896786</v>
      </c>
      <c r="T118" s="117">
        <v>1.0838746306906841</v>
      </c>
      <c r="U118" s="117">
        <v>1.5826662506496523</v>
      </c>
      <c r="V118" s="117">
        <v>0.4523436676932911</v>
      </c>
      <c r="W118" s="117">
        <v>0.6327336448695724</v>
      </c>
      <c r="X118" s="117">
        <v>1640.3139761885207</v>
      </c>
      <c r="Y118" s="118">
        <v>9.9739349331607473E-6</v>
      </c>
      <c r="Z118" s="117">
        <v>1.2945327846886081</v>
      </c>
    </row>
    <row r="119" spans="1:26" ht="13.8" thickBot="1" x14ac:dyDescent="0.3">
      <c r="L119" s="116">
        <v>115</v>
      </c>
      <c r="M119" s="117">
        <v>347.13825831432678</v>
      </c>
      <c r="N119" s="117">
        <v>318.50710526083361</v>
      </c>
      <c r="O119" s="117">
        <v>873.35321891560022</v>
      </c>
      <c r="P119" s="117">
        <v>1191.8623241764337</v>
      </c>
      <c r="Q119" s="117">
        <v>0.28873988238453691</v>
      </c>
      <c r="R119" s="117">
        <v>3.463314830967795</v>
      </c>
      <c r="S119" s="117">
        <v>0.49954870522859529</v>
      </c>
      <c r="T119" s="117">
        <v>1.0824751725720452</v>
      </c>
      <c r="U119" s="117">
        <v>1.5820318778006406</v>
      </c>
      <c r="V119" s="117">
        <v>0.45284450211202582</v>
      </c>
      <c r="W119" s="117">
        <v>0.63366119252918229</v>
      </c>
      <c r="X119" s="117">
        <v>1640.545861071143</v>
      </c>
      <c r="Y119" s="118">
        <v>9.9814424195953249E-6</v>
      </c>
      <c r="Z119" s="117">
        <v>1.2944120981567873</v>
      </c>
    </row>
    <row r="120" spans="1:26" ht="13.8" thickBot="1" x14ac:dyDescent="0.3">
      <c r="L120" s="116">
        <v>116</v>
      </c>
      <c r="M120" s="117">
        <v>347.72545804539885</v>
      </c>
      <c r="N120" s="117">
        <v>319.12388861298609</v>
      </c>
      <c r="O120" s="117">
        <v>872.8667065482914</v>
      </c>
      <c r="P120" s="117">
        <v>1191.9925951612772</v>
      </c>
      <c r="Q120" s="117">
        <v>0.29085798866704743</v>
      </c>
      <c r="R120" s="117">
        <v>3.4380940910123279</v>
      </c>
      <c r="S120" s="117">
        <v>0.50030878300164217</v>
      </c>
      <c r="T120" s="117">
        <v>1.0810853412520272</v>
      </c>
      <c r="U120" s="117">
        <v>1.5814021242536695</v>
      </c>
      <c r="V120" s="117">
        <v>0.45334332508813924</v>
      </c>
      <c r="W120" s="117">
        <v>0.63458630678165628</v>
      </c>
      <c r="X120" s="117">
        <v>1640.7747419184102</v>
      </c>
      <c r="Y120" s="118">
        <v>9.9889039688467324E-6</v>
      </c>
      <c r="Z120" s="117">
        <v>1.2942920123754396</v>
      </c>
    </row>
    <row r="121" spans="1:26" ht="12.75" customHeight="1" thickBot="1" x14ac:dyDescent="0.3">
      <c r="L121" s="116">
        <v>117</v>
      </c>
      <c r="M121" s="117">
        <v>348.30912137972433</v>
      </c>
      <c r="N121" s="117">
        <v>319.73713191770781</v>
      </c>
      <c r="O121" s="117">
        <v>872.38240643491099</v>
      </c>
      <c r="P121" s="117">
        <v>1192.1215383526187</v>
      </c>
      <c r="Q121" s="117">
        <v>0.29297567959439785</v>
      </c>
      <c r="R121" s="117">
        <v>3.4132428619508381</v>
      </c>
      <c r="S121" s="117">
        <v>0.50106392533856736</v>
      </c>
      <c r="T121" s="117">
        <v>1.0797049937346499</v>
      </c>
      <c r="U121" s="117">
        <v>1.5807769190732173</v>
      </c>
      <c r="V121" s="117">
        <v>0.45384015552911433</v>
      </c>
      <c r="W121" s="117">
        <v>0.63550901288504991</v>
      </c>
      <c r="X121" s="117">
        <v>1641.0006651467463</v>
      </c>
      <c r="Y121" s="118">
        <v>9.9963202311656599E-6</v>
      </c>
      <c r="Z121" s="117">
        <v>1.2941725207827917</v>
      </c>
    </row>
    <row r="122" spans="1:26" ht="13.8" thickBot="1" x14ac:dyDescent="0.3">
      <c r="L122" s="116">
        <v>118</v>
      </c>
      <c r="M122" s="117">
        <v>348.88929684846585</v>
      </c>
      <c r="N122" s="117">
        <v>320.34688372565421</v>
      </c>
      <c r="O122" s="117">
        <v>871.90028912279229</v>
      </c>
      <c r="P122" s="117">
        <v>1192.2491728484463</v>
      </c>
      <c r="Q122" s="117">
        <v>0.29509296387808154</v>
      </c>
      <c r="R122" s="117">
        <v>3.3887529836050807</v>
      </c>
      <c r="S122" s="117">
        <v>0.50181420272213972</v>
      </c>
      <c r="T122" s="117">
        <v>1.0783339902205633</v>
      </c>
      <c r="U122" s="117">
        <v>1.580156192942703</v>
      </c>
      <c r="V122" s="117">
        <v>0.45433501206651239</v>
      </c>
      <c r="W122" s="117">
        <v>0.6364293357252051</v>
      </c>
      <c r="X122" s="117">
        <v>1641.2236761151839</v>
      </c>
      <c r="Y122" s="118">
        <v>1.0003691842851956E-5</v>
      </c>
      <c r="Z122" s="117">
        <v>1.2940536169257686</v>
      </c>
    </row>
    <row r="123" spans="1:26" ht="13.8" thickBot="1" x14ac:dyDescent="0.3">
      <c r="L123" s="116">
        <v>119</v>
      </c>
      <c r="M123" s="117">
        <v>349.46603195348325</v>
      </c>
      <c r="N123" s="117">
        <v>320.95319155889354</v>
      </c>
      <c r="O123" s="117">
        <v>871.42032577230452</v>
      </c>
      <c r="P123" s="117">
        <v>1192.3755173311979</v>
      </c>
      <c r="Q123" s="117">
        <v>0.29720985009294854</v>
      </c>
      <c r="R123" s="117">
        <v>3.3646165357529991</v>
      </c>
      <c r="S123" s="117">
        <v>0.50255968410359642</v>
      </c>
      <c r="T123" s="117">
        <v>1.076972194012016</v>
      </c>
      <c r="U123" s="117">
        <v>1.5795398781156125</v>
      </c>
      <c r="V123" s="117">
        <v>0.45482791306191012</v>
      </c>
      <c r="W123" s="117">
        <v>0.63734729982396765</v>
      </c>
      <c r="X123" s="117">
        <v>1641.4438191569852</v>
      </c>
      <c r="Y123" s="118">
        <v>1.0011019426656184E-5</v>
      </c>
      <c r="Z123" s="117">
        <v>1.2939352944574856</v>
      </c>
    </row>
    <row r="124" spans="1:26" ht="13.8" thickBot="1" x14ac:dyDescent="0.3">
      <c r="L124" s="116">
        <v>120</v>
      </c>
      <c r="M124" s="117">
        <v>350.03937319672008</v>
      </c>
      <c r="N124" s="117">
        <v>321.55610194023268</v>
      </c>
      <c r="O124" s="117">
        <v>870.94248813956312</v>
      </c>
      <c r="P124" s="117">
        <v>1192.5005900797958</v>
      </c>
      <c r="Q124" s="117">
        <v>0.29932634668038965</v>
      </c>
      <c r="R124" s="117">
        <v>3.340825829341763</v>
      </c>
      <c r="S124" s="117">
        <v>0.50330043694716231</v>
      </c>
      <c r="T124" s="117">
        <v>1.0756194714212948</v>
      </c>
      <c r="U124" s="117">
        <v>1.5789279083684573</v>
      </c>
      <c r="V124" s="117">
        <v>0.4553188766126563</v>
      </c>
      <c r="W124" s="117">
        <v>0.63826292934715512</v>
      </c>
      <c r="X124" s="117">
        <v>1641.6611376100914</v>
      </c>
      <c r="Y124" s="118">
        <v>1.0018303592166753E-5</v>
      </c>
      <c r="Z124" s="117">
        <v>1.2938175471347995</v>
      </c>
    </row>
    <row r="125" spans="1:26" ht="13.8" thickBot="1" x14ac:dyDescent="0.3">
      <c r="L125" s="116">
        <v>121</v>
      </c>
      <c r="M125" s="117">
        <v>350.60936610854014</v>
      </c>
      <c r="N125" s="117">
        <v>322.15566042152489</v>
      </c>
      <c r="O125" s="117">
        <v>870.46674855972003</v>
      </c>
      <c r="P125" s="117">
        <v>1192.6244089812446</v>
      </c>
      <c r="Q125" s="117">
        <v>0.30144246195142649</v>
      </c>
      <c r="R125" s="117">
        <v>3.317373398084992</v>
      </c>
      <c r="S125" s="117">
        <v>0.50403652727292392</v>
      </c>
      <c r="T125" s="117">
        <v>1.0742756916825527</v>
      </c>
      <c r="U125" s="117">
        <v>1.5783202189554766</v>
      </c>
      <c r="V125" s="117">
        <v>0.45580792055746083</v>
      </c>
      <c r="W125" s="117">
        <v>0.63917624811228158</v>
      </c>
      <c r="X125" s="117">
        <v>1641.8756738464583</v>
      </c>
      <c r="Y125" s="118">
        <v>1.0025544936183219E-5</v>
      </c>
      <c r="Z125" s="117">
        <v>1.2937003688159485</v>
      </c>
    </row>
    <row r="126" spans="1:26" ht="13.8" thickBot="1" x14ac:dyDescent="0.3">
      <c r="L126" s="116">
        <v>122</v>
      </c>
      <c r="M126" s="117">
        <v>351.17605527505754</v>
      </c>
      <c r="N126" s="117">
        <v>322.75191161097354</v>
      </c>
      <c r="O126" s="117">
        <v>869.99307993084381</v>
      </c>
      <c r="P126" s="117">
        <v>1192.7469915418171</v>
      </c>
      <c r="Q126" s="117">
        <v>0.30355820408970896</v>
      </c>
      <c r="R126" s="117">
        <v>3.2942519904247001</v>
      </c>
      <c r="S126" s="117">
        <v>0.50476801969817098</v>
      </c>
      <c r="T126" s="117">
        <v>1.0729407268668423</v>
      </c>
      <c r="U126" s="117">
        <v>1.5777167465650135</v>
      </c>
      <c r="V126" s="117">
        <v>0.45629506248181656</v>
      </c>
      <c r="W126" s="117">
        <v>0.6400872795960536</v>
      </c>
      <c r="X126" s="117">
        <v>1642.0874693003218</v>
      </c>
      <c r="Y126" s="118">
        <v>1.0032744043076323E-5</v>
      </c>
      <c r="Z126" s="117">
        <v>1.293583753458265</v>
      </c>
    </row>
    <row r="127" spans="1:26" ht="13.8" thickBot="1" x14ac:dyDescent="0.3">
      <c r="L127" s="116">
        <v>123</v>
      </c>
      <c r="M127" s="117">
        <v>351.73948436450308</v>
      </c>
      <c r="N127" s="117">
        <v>323.34489919945531</v>
      </c>
      <c r="O127" s="117">
        <v>869.52145569838206</v>
      </c>
      <c r="P127" s="117">
        <v>1192.8683548978372</v>
      </c>
      <c r="Q127" s="117">
        <v>0.30567358115442128</v>
      </c>
      <c r="R127" s="117">
        <v>3.2714545618396209</v>
      </c>
      <c r="S127" s="117">
        <v>0.50549497747726768</v>
      </c>
      <c r="T127" s="117">
        <v>1.0716144518002195</v>
      </c>
      <c r="U127" s="117">
        <v>1.5771174292774874</v>
      </c>
      <c r="V127" s="117">
        <v>0.456780319723261</v>
      </c>
      <c r="W127" s="117">
        <v>0.64099604694163492</v>
      </c>
      <c r="X127" s="117">
        <v>1642.2965644954409</v>
      </c>
      <c r="Y127" s="118">
        <v>1.0039901485135344E-5</v>
      </c>
      <c r="Z127" s="117">
        <v>1.2934676951159476</v>
      </c>
    </row>
    <row r="128" spans="1:26" ht="13.8" thickBot="1" x14ac:dyDescent="0.3">
      <c r="L128" s="116">
        <v>124</v>
      </c>
      <c r="M128" s="117">
        <v>352.29969615266839</v>
      </c>
      <c r="N128" s="117">
        <v>323.93466598594517</v>
      </c>
      <c r="O128" s="117">
        <v>869.05184984014352</v>
      </c>
      <c r="P128" s="117">
        <v>1192.9885158260886</v>
      </c>
      <c r="Q128" s="117">
        <v>0.3077886010831013</v>
      </c>
      <c r="R128" s="117">
        <v>3.2489742674825757</v>
      </c>
      <c r="S128" s="117">
        <v>0.50621746254010658</v>
      </c>
      <c r="T128" s="117">
        <v>1.0702967439847906</v>
      </c>
      <c r="U128" s="117">
        <v>1.5765222065248974</v>
      </c>
      <c r="V128" s="117">
        <v>0.45726370937649186</v>
      </c>
      <c r="W128" s="117">
        <v>0.64190257296570841</v>
      </c>
      <c r="X128" s="117">
        <v>1642.5029990713624</v>
      </c>
      <c r="Y128" s="118">
        <v>1.0047017822903317E-5</v>
      </c>
      <c r="Z128" s="117">
        <v>1.2933521879378957</v>
      </c>
    </row>
    <row r="129" spans="12:26" ht="13.8" thickBot="1" x14ac:dyDescent="0.3">
      <c r="L129" s="116">
        <v>125</v>
      </c>
      <c r="M129" s="117">
        <v>352.85673254746638</v>
      </c>
      <c r="N129" s="117">
        <v>324.52125390203622</v>
      </c>
      <c r="O129" s="117">
        <v>868.58423685181685</v>
      </c>
      <c r="P129" s="117">
        <v>1193.107490753853</v>
      </c>
      <c r="Q129" s="117">
        <v>0.30990327169438114</v>
      </c>
      <c r="R129" s="117">
        <v>3.226804455130508</v>
      </c>
      <c r="S129" s="117">
        <v>0.50693553552918003</v>
      </c>
      <c r="T129" s="117">
        <v>1.068987483522597</v>
      </c>
      <c r="U129" s="117">
        <v>1.5759310190517772</v>
      </c>
      <c r="V129" s="117">
        <v>0.45774524829832858</v>
      </c>
      <c r="W129" s="117">
        <v>0.64280688016532017</v>
      </c>
      <c r="X129" s="117">
        <v>1642.7068118087518</v>
      </c>
      <c r="Y129" s="118">
        <v>1.0054093605500601E-5</v>
      </c>
      <c r="Z129" s="117">
        <v>1.2932372261656362</v>
      </c>
    </row>
    <row r="130" spans="12:26" ht="13.8" thickBot="1" x14ac:dyDescent="0.3">
      <c r="L130" s="116">
        <v>126</v>
      </c>
      <c r="M130" s="117">
        <v>353.41063461264389</v>
      </c>
      <c r="N130" s="117">
        <v>325.10470403562721</v>
      </c>
      <c r="O130" s="117">
        <v>868.11859173297262</v>
      </c>
      <c r="P130" s="117">
        <v>1193.2252957685996</v>
      </c>
      <c r="Q130" s="117">
        <v>0.31201760069064044</v>
      </c>
      <c r="R130" s="117">
        <v>3.204938658431892</v>
      </c>
      <c r="S130" s="117">
        <v>0.50764925583541465</v>
      </c>
      <c r="T130" s="117">
        <v>1.0676865530421438</v>
      </c>
      <c r="U130" s="117">
        <v>1.5753438088775584</v>
      </c>
      <c r="V130" s="117">
        <v>0.45822495311253764</v>
      </c>
      <c r="W130" s="117">
        <v>0.64370899072453247</v>
      </c>
      <c r="X130" s="117">
        <v>1642.9080406538233</v>
      </c>
      <c r="Y130" s="118">
        <v>1.0061129370937302E-5</v>
      </c>
      <c r="Z130" s="117">
        <v>1.2931228041312663</v>
      </c>
    </row>
    <row r="131" spans="12:26" ht="13.8" thickBot="1" x14ac:dyDescent="0.3">
      <c r="L131" s="116">
        <v>127</v>
      </c>
      <c r="M131" s="117">
        <v>353.96144259068268</v>
      </c>
      <c r="N131" s="117">
        <v>325.68505665380621</v>
      </c>
      <c r="O131" s="117">
        <v>867.6548899735385</v>
      </c>
      <c r="P131" s="117">
        <v>1193.3419466273444</v>
      </c>
      <c r="Q131" s="117">
        <v>0.31413159566058857</v>
      </c>
      <c r="R131" s="117">
        <v>3.1833705904368208</v>
      </c>
      <c r="S131" s="117">
        <v>0.50835868163269238</v>
      </c>
      <c r="T131" s="117">
        <v>1.0663938376275799</v>
      </c>
      <c r="U131" s="117">
        <v>1.5747605192602727</v>
      </c>
      <c r="V131" s="117">
        <v>0.45870284021452107</v>
      </c>
      <c r="W131" s="117">
        <v>0.64460892652088175</v>
      </c>
      <c r="X131" s="117">
        <v>1643.1067227419142</v>
      </c>
      <c r="Y131" s="118">
        <v>1.0068125646414987E-5</v>
      </c>
      <c r="Z131" s="117">
        <v>1.2930089162554934</v>
      </c>
    </row>
    <row r="132" spans="12:26" ht="13.8" thickBot="1" x14ac:dyDescent="0.3">
      <c r="L132" s="116">
        <v>128</v>
      </c>
      <c r="M132" s="117">
        <v>354.50919592492244</v>
      </c>
      <c r="N132" s="117">
        <v>326.26235122493779</v>
      </c>
      <c r="O132" s="117">
        <v>867.19310754074456</v>
      </c>
      <c r="P132" s="117">
        <v>1193.4574587656823</v>
      </c>
      <c r="Q132" s="117">
        <v>0.31624526408177128</v>
      </c>
      <c r="R132" s="117">
        <v>3.1620941373961249</v>
      </c>
      <c r="S132" s="117">
        <v>0.50906386991125174</v>
      </c>
      <c r="T132" s="117">
        <v>1.0651092247502751</v>
      </c>
      <c r="U132" s="117">
        <v>1.5741810946615269</v>
      </c>
      <c r="V132" s="117">
        <v>0.45917892577587305</v>
      </c>
      <c r="W132" s="117">
        <v>0.64550670913165542</v>
      </c>
      <c r="X132" s="117">
        <v>1643.3028944202338</v>
      </c>
      <c r="Y132" s="118">
        <v>1.007508294861818E-5</v>
      </c>
      <c r="Z132" s="117">
        <v>1.2928955570457208</v>
      </c>
    </row>
    <row r="133" spans="12:26" ht="13.8" thickBot="1" x14ac:dyDescent="0.3">
      <c r="L133" s="116">
        <v>129</v>
      </c>
      <c r="M133" s="117">
        <v>355.05393328093544</v>
      </c>
      <c r="N133" s="117">
        <v>326.83662644000958</v>
      </c>
      <c r="O133" s="117">
        <v>866.73322086650501</v>
      </c>
      <c r="P133" s="117">
        <v>1193.5718473065144</v>
      </c>
      <c r="Q133" s="117">
        <v>0.31835861332300214</v>
      </c>
      <c r="R133" s="117">
        <v>3.1411033528165455</v>
      </c>
      <c r="S133" s="117">
        <v>0.50976487650986968</v>
      </c>
      <c r="T133" s="117">
        <v>1.0638326042028472</v>
      </c>
      <c r="U133" s="117">
        <v>1.5736054807127167</v>
      </c>
      <c r="V133" s="117">
        <v>0.45965322574881101</v>
      </c>
      <c r="W133" s="117">
        <v>0.64640235983998928</v>
      </c>
      <c r="X133" s="117">
        <v>1643.4965912698258</v>
      </c>
      <c r="Y133" s="118">
        <v>1.008200178399596E-5</v>
      </c>
      <c r="Z133" s="117">
        <v>1.2927827210941762</v>
      </c>
    </row>
    <row r="134" spans="12:26" ht="13.8" thickBot="1" x14ac:dyDescent="0.3">
      <c r="L134" s="116">
        <v>130</v>
      </c>
      <c r="M134" s="117">
        <v>355.59569256718544</v>
      </c>
      <c r="N134" s="117">
        <v>327.40792023328686</v>
      </c>
      <c r="O134" s="117">
        <v>866.27520683519435</v>
      </c>
      <c r="P134" s="117">
        <v>1193.6851270684811</v>
      </c>
      <c r="Q134" s="117">
        <v>0.32047165064672822</v>
      </c>
      <c r="R134" s="117">
        <v>3.1203924517596375</v>
      </c>
      <c r="S134" s="117">
        <v>0.51046175614702438</v>
      </c>
      <c r="T134" s="117">
        <v>1.0625638680353895</v>
      </c>
      <c r="U134" s="117">
        <v>1.5730336241824139</v>
      </c>
      <c r="V134" s="117">
        <v>0.46012575587048599</v>
      </c>
      <c r="W134" s="117">
        <v>0.64729589964079426</v>
      </c>
      <c r="X134" s="117">
        <v>1643.6878481267725</v>
      </c>
      <c r="Y134" s="118">
        <v>1.0088882649034175E-5</v>
      </c>
      <c r="Z134" s="117">
        <v>1.2926704030761067</v>
      </c>
    </row>
    <row r="135" spans="12:26" ht="13.8" thickBot="1" x14ac:dyDescent="0.3">
      <c r="L135" s="116">
        <v>131</v>
      </c>
      <c r="M135" s="117">
        <v>356.13451095499823</v>
      </c>
      <c r="N135" s="117">
        <v>327.97626980224209</v>
      </c>
      <c r="O135" s="117">
        <v>865.81904277186641</v>
      </c>
      <c r="P135" s="117">
        <v>1193.7973125741084</v>
      </c>
      <c r="Q135" s="117">
        <v>0.3225843832113271</v>
      </c>
      <c r="R135" s="117">
        <v>3.0999558053728489</v>
      </c>
      <c r="S135" s="117">
        <v>0.51115456245095636</v>
      </c>
      <c r="T135" s="117">
        <v>1.0613029104939211</v>
      </c>
      <c r="U135" s="117">
        <v>1.5724654729448775</v>
      </c>
      <c r="V135" s="117">
        <v>0.46059653166717374</v>
      </c>
      <c r="W135" s="117">
        <v>0.64818734924651933</v>
      </c>
      <c r="X135" s="117">
        <v>1643.876699102675</v>
      </c>
      <c r="Y135" s="118">
        <v>1.0095726030518573E-5</v>
      </c>
      <c r="Z135" s="117">
        <v>1.2925585977480205</v>
      </c>
    </row>
    <row r="136" spans="12:26" ht="13.8" thickBot="1" x14ac:dyDescent="0.3">
      <c r="L136" s="116">
        <v>132</v>
      </c>
      <c r="M136" s="117">
        <v>356.67042489787258</v>
      </c>
      <c r="N136" s="117">
        <v>328.54171162685242</v>
      </c>
      <c r="O136" s="117">
        <v>865.3647064308318</v>
      </c>
      <c r="P136" s="117">
        <v>1193.908418057684</v>
      </c>
      <c r="Q136" s="117">
        <v>0.32469681807334089</v>
      </c>
      <c r="R136" s="117">
        <v>3.0797879356417663</v>
      </c>
      <c r="S136" s="117">
        <v>0.51184334798873299</v>
      </c>
      <c r="T136" s="117">
        <v>1.0600496279609206</v>
      </c>
      <c r="U136" s="117">
        <v>1.5719009759496538</v>
      </c>
      <c r="V136" s="117">
        <v>0.46106556845835539</v>
      </c>
      <c r="W136" s="117">
        <v>0.64907672909275582</v>
      </c>
      <c r="X136" s="117">
        <v>1644.0631776044359</v>
      </c>
      <c r="Y136" s="118">
        <v>1.0102532405789225E-5</v>
      </c>
      <c r="Z136" s="117">
        <v>1.2924472999459775</v>
      </c>
    </row>
    <row r="137" spans="12:26" ht="13.8" thickBot="1" x14ac:dyDescent="0.3">
      <c r="L137" s="116">
        <v>133</v>
      </c>
      <c r="M137" s="117">
        <v>357.20347015015545</v>
      </c>
      <c r="N137" s="117">
        <v>329.10428148824946</v>
      </c>
      <c r="O137" s="117">
        <v>864.91217598462322</v>
      </c>
      <c r="P137" s="117">
        <v>1194.0184574728726</v>
      </c>
      <c r="Q137" s="117">
        <v>0.32680896218964522</v>
      </c>
      <c r="R137" s="117">
        <v>3.0598835103531954</v>
      </c>
      <c r="S137" s="117">
        <v>0.51252816429435955</v>
      </c>
      <c r="T137" s="117">
        <v>1.0588039188978471</v>
      </c>
      <c r="U137" s="117">
        <v>1.5713400831922066</v>
      </c>
      <c r="V137" s="117">
        <v>0.46153288136068915</v>
      </c>
      <c r="W137" s="117">
        <v>0.6499640593436905</v>
      </c>
      <c r="X137" s="117">
        <v>1644.2473163533743</v>
      </c>
      <c r="Y137" s="118">
        <v>1.0109302242986607E-5</v>
      </c>
      <c r="Z137" s="117">
        <v>1.2923365045839199</v>
      </c>
    </row>
    <row r="138" spans="12:26" ht="13.8" thickBot="1" x14ac:dyDescent="0.3">
      <c r="L138" s="116">
        <v>134</v>
      </c>
      <c r="M138" s="117">
        <v>357.73368178510975</v>
      </c>
      <c r="N138" s="117">
        <v>329.66401448678499</v>
      </c>
      <c r="O138" s="117">
        <v>864.46143001329551</v>
      </c>
      <c r="P138" s="117">
        <v>1194.1274445000804</v>
      </c>
      <c r="Q138" s="117">
        <v>0.328920822419563</v>
      </c>
      <c r="R138" s="117">
        <v>3.0402373382591614</v>
      </c>
      <c r="S138" s="117">
        <v>0.51320906189593862</v>
      </c>
      <c r="T138" s="117">
        <v>1.0575656837896119</v>
      </c>
      <c r="U138" s="117">
        <v>1.5707827456855508</v>
      </c>
      <c r="V138" s="117">
        <v>0.46199848529187248</v>
      </c>
      <c r="W138" s="117">
        <v>0.65084935989740578</v>
      </c>
      <c r="X138" s="117">
        <v>1644.4291474037041</v>
      </c>
      <c r="Y138" s="118">
        <v>1.011603600128967E-5</v>
      </c>
      <c r="Z138" s="117">
        <v>1.2922262066520718</v>
      </c>
    </row>
    <row r="139" spans="12:26" ht="13.8" thickBot="1" x14ac:dyDescent="0.3">
      <c r="L139" s="116">
        <v>135</v>
      </c>
      <c r="M139" s="117">
        <v>358.26109421239511</v>
      </c>
      <c r="N139" s="117">
        <v>330.22094505946291</v>
      </c>
      <c r="O139" s="117">
        <v>864.01244749411512</v>
      </c>
      <c r="P139" s="117">
        <v>1194.2353925535779</v>
      </c>
      <c r="Q139" s="117">
        <v>0.3310324055269126</v>
      </c>
      <c r="R139" s="117">
        <v>3.0208443644326453</v>
      </c>
      <c r="S139" s="117">
        <v>0.51388609034196109</v>
      </c>
      <c r="T139" s="117">
        <v>1.0563348250908717</v>
      </c>
      <c r="U139" s="117">
        <v>1.5702289154328328</v>
      </c>
      <c r="V139" s="117">
        <v>0.46246239497440755</v>
      </c>
      <c r="W139" s="117">
        <v>0.65173265039104222</v>
      </c>
      <c r="X139" s="117">
        <v>1644.6087021603903</v>
      </c>
      <c r="Y139" s="118">
        <v>1.0122734131146161E-5</v>
      </c>
      <c r="Z139" s="117">
        <v>1.2921164012153468</v>
      </c>
    </row>
    <row r="140" spans="12:26" ht="13.8" thickBot="1" x14ac:dyDescent="0.3">
      <c r="L140" s="116">
        <v>136</v>
      </c>
      <c r="M140" s="117">
        <v>358.78574119498688</v>
      </c>
      <c r="N140" s="117">
        <v>330.7751069968736</v>
      </c>
      <c r="O140" s="117">
        <v>863.56520779151697</v>
      </c>
      <c r="P140" s="117">
        <v>1194.3423147883905</v>
      </c>
      <c r="Q140" s="117">
        <v>0.33314371818200811</v>
      </c>
      <c r="R140" s="117">
        <v>3.0016996658060862</v>
      </c>
      <c r="S140" s="117">
        <v>0.51455929822671975</v>
      </c>
      <c r="T140" s="117">
        <v>1.0551112471741124</v>
      </c>
      <c r="U140" s="117">
        <v>1.5696785454008324</v>
      </c>
      <c r="V140" s="117">
        <v>0.46292462493926834</v>
      </c>
      <c r="W140" s="117">
        <v>0.65261395020582458</v>
      </c>
      <c r="X140" s="117">
        <v>1644.7860113964189</v>
      </c>
      <c r="Y140" s="118">
        <v>1.0129397074495552E-5</v>
      </c>
      <c r="Z140" s="117">
        <v>1.2920070834118325</v>
      </c>
    </row>
    <row r="141" spans="12:26" ht="13.8" thickBot="1" x14ac:dyDescent="0.3">
      <c r="L141" s="116">
        <v>137</v>
      </c>
      <c r="M141" s="117">
        <v>359.30765586555475</v>
      </c>
      <c r="N141" s="117">
        <v>331.32653345952644</v>
      </c>
      <c r="O141" s="117">
        <v>863.11969064744301</v>
      </c>
      <c r="P141" s="117">
        <v>1194.4482241069693</v>
      </c>
      <c r="Q141" s="117">
        <v>0.3352547669636004</v>
      </c>
      <c r="R141" s="117">
        <v>2.9827984468844195</v>
      </c>
      <c r="S141" s="117">
        <v>0.51522873321489415</v>
      </c>
      <c r="T141" s="117">
        <v>1.0538948562794503</v>
      </c>
      <c r="U141" s="117">
        <v>1.5691315894943445</v>
      </c>
      <c r="V141" s="117">
        <v>0.46338518952946972</v>
      </c>
      <c r="W141" s="117">
        <v>0.65349327847195104</v>
      </c>
      <c r="X141" s="117">
        <v>1644.961105269497</v>
      </c>
      <c r="Y141" s="118">
        <v>1.013602526498487E-5</v>
      </c>
      <c r="Z141" s="117">
        <v>1.2918982484512995</v>
      </c>
    </row>
    <row r="142" spans="12:26" ht="13.8" thickBot="1" x14ac:dyDescent="0.3">
      <c r="L142" s="116">
        <v>138</v>
      </c>
      <c r="M142" s="117">
        <v>359.82687074231899</v>
      </c>
      <c r="N142" s="117">
        <v>331.87525699371645</v>
      </c>
      <c r="O142" s="117">
        <v>862.67587617192783</v>
      </c>
      <c r="P142" s="117">
        <v>1194.5531331656439</v>
      </c>
      <c r="Q142" s="117">
        <v>0.33736555836076398</v>
      </c>
      <c r="R142" s="117">
        <v>2.9641360356246929</v>
      </c>
      <c r="S142" s="117">
        <v>0.51589444206537993</v>
      </c>
      <c r="T142" s="117">
        <v>1.0526855604660257</v>
      </c>
      <c r="U142" s="117">
        <v>1.5685880025314054</v>
      </c>
      <c r="V142" s="117">
        <v>0.463844102903546</v>
      </c>
      <c r="W142" s="117">
        <v>0.65437065407335337</v>
      </c>
      <c r="X142" s="117">
        <v>1645.1340133382103</v>
      </c>
      <c r="Y142" s="118">
        <v>1.0142619128177615E-5</v>
      </c>
      <c r="Z142" s="117">
        <v>1.2917898916137398</v>
      </c>
    </row>
    <row r="143" spans="12:26" ht="13.8" thickBot="1" x14ac:dyDescent="0.3">
      <c r="L143" s="116">
        <v>139</v>
      </c>
      <c r="M143" s="117">
        <v>360.34341774440935</v>
      </c>
      <c r="N143" s="117">
        <v>332.42130954684239</v>
      </c>
      <c r="O143" s="117">
        <v>862.23374483403268</v>
      </c>
      <c r="P143" s="117">
        <v>1194.6570543808748</v>
      </c>
      <c r="Q143" s="117">
        <v>0.33947609877474133</v>
      </c>
      <c r="R143" s="117">
        <v>2.9457078794746581</v>
      </c>
      <c r="S143" s="117">
        <v>0.51655647065432619</v>
      </c>
      <c r="T143" s="117">
        <v>1.0514832695650036</v>
      </c>
      <c r="U143" s="117">
        <v>1.5680477402193296</v>
      </c>
      <c r="V143" s="117">
        <v>0.46430137903894547</v>
      </c>
      <c r="W143" s="117">
        <v>0.65524609565234304</v>
      </c>
      <c r="X143" s="117">
        <v>1645.304764577651</v>
      </c>
      <c r="Y143" s="118">
        <v>1.0149179081756137E-5</v>
      </c>
      <c r="Z143" s="117">
        <v>1.2916820082479785</v>
      </c>
    </row>
    <row r="144" spans="12:26" ht="13.8" thickBot="1" x14ac:dyDescent="0.3">
      <c r="L144" s="116">
        <v>140</v>
      </c>
      <c r="M144" s="117">
        <v>360.85732820674014</v>
      </c>
      <c r="N144" s="117">
        <v>332.96472248228991</v>
      </c>
      <c r="O144" s="117">
        <v>861.79327745301339</v>
      </c>
      <c r="P144" s="117">
        <v>1194.7599999353033</v>
      </c>
      <c r="Q144" s="117">
        <v>0.34158639452072831</v>
      </c>
      <c r="R144" s="117">
        <v>2.9275095415633756</v>
      </c>
      <c r="S144" s="117">
        <v>0.51721486399742411</v>
      </c>
      <c r="T144" s="117">
        <v>1.0502878951341095</v>
      </c>
      <c r="U144" s="117">
        <v>1.5675107591315338</v>
      </c>
      <c r="V144" s="117">
        <v>0.464757031735332</v>
      </c>
      <c r="W144" s="117">
        <v>0.65611962161412418</v>
      </c>
      <c r="X144" s="117">
        <v>1645.4733873945472</v>
      </c>
      <c r="Y144" s="118">
        <v>1.0155705535717648E-5</v>
      </c>
      <c r="Z144" s="117">
        <v>1.2915745937702781</v>
      </c>
    </row>
    <row r="145" spans="12:26" ht="13.8" thickBot="1" x14ac:dyDescent="0.3">
      <c r="L145" s="116">
        <v>141</v>
      </c>
      <c r="M145" s="117">
        <v>361.36863289442311</v>
      </c>
      <c r="N145" s="117">
        <v>333.50552659381248</v>
      </c>
      <c r="O145" s="117">
        <v>861.35445518979964</v>
      </c>
      <c r="P145" s="117">
        <v>1194.861981783612</v>
      </c>
      <c r="Q145" s="117">
        <v>0.34369645182961961</v>
      </c>
      <c r="R145" s="117">
        <v>2.9095366970369061</v>
      </c>
      <c r="S145" s="117">
        <v>0.51786966627153674</v>
      </c>
      <c r="T145" s="117">
        <v>1.0490993504135617</v>
      </c>
      <c r="U145" s="117">
        <v>1.5669770166850987</v>
      </c>
      <c r="V145" s="117">
        <v>0.46521107461780981</v>
      </c>
      <c r="W145" s="117">
        <v>0.65699125013120085</v>
      </c>
      <c r="X145" s="117">
        <v>1645.6399096419036</v>
      </c>
      <c r="Y145" s="118">
        <v>1.0162198892564123E-5</v>
      </c>
      <c r="Z145" s="117">
        <v>1.2914676436630164</v>
      </c>
    </row>
    <row r="146" spans="12:26" ht="13.8" thickBot="1" x14ac:dyDescent="0.3">
      <c r="L146" s="116">
        <v>142</v>
      </c>
      <c r="M146" s="117">
        <v>361.87736201673403</v>
      </c>
      <c r="N146" s="117">
        <v>334.04375211949679</v>
      </c>
      <c r="O146" s="117">
        <v>860.91725953870707</v>
      </c>
      <c r="P146" s="117">
        <v>1194.9630116582036</v>
      </c>
      <c r="Q146" s="117">
        <v>0.3458062768497035</v>
      </c>
      <c r="R146" s="117">
        <v>2.8917851295327783</v>
      </c>
      <c r="S146" s="117">
        <v>0.51852092083562451</v>
      </c>
      <c r="T146" s="117">
        <v>1.0479175502834415</v>
      </c>
      <c r="U146" s="117">
        <v>1.566446471119066</v>
      </c>
      <c r="V146" s="117">
        <v>0.46566352114006621</v>
      </c>
      <c r="W146" s="117">
        <v>0.65786099914766893</v>
      </c>
      <c r="X146" s="117">
        <v>1645.804358633178</v>
      </c>
      <c r="Y146" s="118">
        <v>1.0168659547486355E-5</v>
      </c>
      <c r="Z146" s="117">
        <v>1.2913611534733735</v>
      </c>
    </row>
    <row r="147" spans="12:26" ht="13.8" thickBot="1" x14ac:dyDescent="0.3">
      <c r="L147" s="116">
        <v>143</v>
      </c>
      <c r="M147" s="117">
        <v>362.38354524065011</v>
      </c>
      <c r="N147" s="117">
        <v>334.57942875527596</v>
      </c>
      <c r="O147" s="117">
        <v>860.48167231942864</v>
      </c>
      <c r="P147" s="117">
        <v>1195.0631010747045</v>
      </c>
      <c r="Q147" s="117">
        <v>0.34791587564831555</v>
      </c>
      <c r="R147" s="117">
        <v>2.8742507277870617</v>
      </c>
      <c r="S147" s="117">
        <v>0.51916867025100299</v>
      </c>
      <c r="T147" s="117">
        <v>1.0467424112224153</v>
      </c>
      <c r="U147" s="117">
        <v>1.5659190814734185</v>
      </c>
      <c r="V147" s="117">
        <v>0.46611438458743637</v>
      </c>
      <c r="W147" s="117">
        <v>0.65872888638339944</v>
      </c>
      <c r="X147" s="117">
        <v>1645.9667611560085</v>
      </c>
      <c r="Y147" s="118">
        <v>1.0175087888542295E-5</v>
      </c>
      <c r="Z147" s="117">
        <v>1.2912551188120662</v>
      </c>
    </row>
    <row r="148" spans="12:26" ht="13.8" thickBot="1" x14ac:dyDescent="0.3">
      <c r="L148" s="116">
        <v>144</v>
      </c>
      <c r="M148" s="117">
        <v>362.88721170397332</v>
      </c>
      <c r="N148" s="117">
        <v>335.11258566805924</v>
      </c>
      <c r="O148" s="117">
        <v>860.04767566923351</v>
      </c>
      <c r="P148" s="117">
        <v>1195.1622613372924</v>
      </c>
      <c r="Q148" s="117">
        <v>0.35002525421344766</v>
      </c>
      <c r="R148" s="117">
        <v>2.8569294823682934</v>
      </c>
      <c r="S148" s="117">
        <v>0.51981295630102409</v>
      </c>
      <c r="T148" s="117">
        <v>1.0455738512677102</v>
      </c>
      <c r="U148" s="117">
        <v>1.5653948075687341</v>
      </c>
      <c r="V148" s="117">
        <v>0.4665636780798923</v>
      </c>
      <c r="W148" s="117">
        <v>0.65959492933811703</v>
      </c>
      <c r="X148" s="117">
        <v>1646.1271434855084</v>
      </c>
      <c r="Y148" s="118">
        <v>1.0181484296830017E-5</v>
      </c>
      <c r="Z148" s="117">
        <v>1.291149535352111</v>
      </c>
    </row>
    <row r="149" spans="12:26" ht="13.8" thickBot="1" x14ac:dyDescent="0.3">
      <c r="L149" s="116">
        <v>145</v>
      </c>
      <c r="M149" s="117">
        <v>363.38839002805611</v>
      </c>
      <c r="N149" s="117">
        <v>335.64325150841995</v>
      </c>
      <c r="O149" s="117">
        <v>859.61525203544841</v>
      </c>
      <c r="P149" s="117">
        <v>1195.2605035438683</v>
      </c>
      <c r="Q149" s="117">
        <v>0.35213441845531629</v>
      </c>
      <c r="R149" s="117">
        <v>2.8398174825327271</v>
      </c>
      <c r="S149" s="117">
        <v>0.52045382001008456</v>
      </c>
      <c r="T149" s="117">
        <v>1.0444117899763896</v>
      </c>
      <c r="U149" s="117">
        <v>1.5648736099864744</v>
      </c>
      <c r="V149" s="117">
        <v>0.46701141457496365</v>
      </c>
      <c r="W149" s="117">
        <v>0.66045914529538075</v>
      </c>
      <c r="X149" s="117">
        <v>1646.2855313971468</v>
      </c>
      <c r="Y149" s="118">
        <v>1.0187849146655374E-5</v>
      </c>
      <c r="Z149" s="117">
        <v>1.2910443988276195</v>
      </c>
    </row>
    <row r="150" spans="12:26" ht="13.8" thickBot="1" x14ac:dyDescent="0.3">
      <c r="L150" s="116">
        <v>146</v>
      </c>
      <c r="M150" s="117">
        <v>363.8871083301425</v>
      </c>
      <c r="N150" s="117">
        <v>336.17145442294907</v>
      </c>
      <c r="O150" s="117">
        <v>859.18438416811557</v>
      </c>
      <c r="P150" s="117">
        <v>1195.3578385910644</v>
      </c>
      <c r="Q150" s="117">
        <v>0.35424337420789065</v>
      </c>
      <c r="R150" s="117">
        <v>2.8229109131956811</v>
      </c>
      <c r="S150" s="117">
        <v>0.52109130166210482</v>
      </c>
      <c r="T150" s="117">
        <v>1.043256148387794</v>
      </c>
      <c r="U150" s="117">
        <v>1.5643554500498988</v>
      </c>
      <c r="V150" s="117">
        <v>0.46745760687058424</v>
      </c>
      <c r="W150" s="117">
        <v>0.66132155132646453</v>
      </c>
      <c r="X150" s="117">
        <v>1646.4419501792288</v>
      </c>
      <c r="Y150" s="118">
        <v>1.0194182805694601E-5</v>
      </c>
      <c r="Z150" s="117">
        <v>1.2909397050326246</v>
      </c>
    </row>
    <row r="151" spans="12:26" ht="13.8" thickBot="1" x14ac:dyDescent="0.3">
      <c r="L151" s="116">
        <v>147</v>
      </c>
      <c r="M151" s="117">
        <v>364.38339423533904</v>
      </c>
      <c r="N151" s="117">
        <v>336.69722206620003</v>
      </c>
      <c r="O151" s="117">
        <v>858.7550551129076</v>
      </c>
      <c r="P151" s="117">
        <v>1195.4542771791075</v>
      </c>
      <c r="Q151" s="117">
        <v>0.3563521272303794</v>
      </c>
      <c r="R151" s="117">
        <v>2.8062060520140233</v>
      </c>
      <c r="S151" s="117">
        <v>0.52172544081843508</v>
      </c>
      <c r="T151" s="117">
        <v>1.0421068489871357</v>
      </c>
      <c r="U151" s="117">
        <v>1.5638402898055708</v>
      </c>
      <c r="V151" s="117">
        <v>0.46790226760786957</v>
      </c>
      <c r="W151" s="117">
        <v>0.66218216429413823</v>
      </c>
      <c r="X151" s="117">
        <v>1646.5964246449882</v>
      </c>
      <c r="Y151" s="118">
        <v>1.0200485635152084E-5</v>
      </c>
      <c r="Z151" s="117">
        <v>1.2908354498199262</v>
      </c>
    </row>
    <row r="152" spans="12:26" ht="13.8" thickBot="1" x14ac:dyDescent="0.3">
      <c r="L152" s="116">
        <v>148</v>
      </c>
      <c r="M152" s="117">
        <v>364.87727488822986</v>
      </c>
      <c r="N152" s="117">
        <v>337.22058161230086</v>
      </c>
      <c r="O152" s="117">
        <v>858.32724820422482</v>
      </c>
      <c r="P152" s="117">
        <v>1195.5498298165255</v>
      </c>
      <c r="Q152" s="117">
        <v>0.3584606832086828</v>
      </c>
      <c r="R152" s="117">
        <v>2.7896992665750129</v>
      </c>
      <c r="S152" s="117">
        <v>0.52235627633518655</v>
      </c>
      <c r="T152" s="117">
        <v>1.0409638156702465</v>
      </c>
      <c r="U152" s="117">
        <v>1.5633280920054333</v>
      </c>
      <c r="V152" s="117">
        <v>0.46834540927383256</v>
      </c>
      <c r="W152" s="117">
        <v>0.66304100085636586</v>
      </c>
      <c r="X152" s="117">
        <v>1646.7489791443134</v>
      </c>
      <c r="Y152" s="118">
        <v>1.0206757989913373E-5</v>
      </c>
      <c r="Z152" s="117">
        <v>1.2907316290999824</v>
      </c>
    </row>
    <row r="153" spans="12:26" ht="13.8" thickBot="1" x14ac:dyDescent="0.3">
      <c r="L153" s="116">
        <v>149</v>
      </c>
      <c r="M153" s="117">
        <v>365.36877696414757</v>
      </c>
      <c r="N153" s="117">
        <v>337.74155976621495</v>
      </c>
      <c r="O153" s="117">
        <v>857.900947058508</v>
      </c>
      <c r="P153" s="117">
        <v>1195.6445068247228</v>
      </c>
      <c r="Q153" s="117">
        <v>0.36056904775680931</v>
      </c>
      <c r="R153" s="117">
        <v>2.7733870116870145</v>
      </c>
      <c r="S153" s="117">
        <v>0.52298384638010065</v>
      </c>
      <c r="T153" s="117">
        <v>1.0398269737093375</v>
      </c>
      <c r="U153" s="117">
        <v>1.5628188200894384</v>
      </c>
      <c r="V153" s="117">
        <v>0.46878704420403339</v>
      </c>
      <c r="W153" s="117">
        <v>0.66389807746990925</v>
      </c>
      <c r="X153" s="117">
        <v>1646.8996375751094</v>
      </c>
      <c r="Y153" s="118">
        <v>1.0213000218693702E-5</v>
      </c>
      <c r="Z153" s="117">
        <v>1.290628238839822</v>
      </c>
    </row>
    <row r="154" spans="12:26" ht="13.8" thickBot="1" x14ac:dyDescent="0.3">
      <c r="L154" s="116">
        <v>150</v>
      </c>
      <c r="M154" s="117">
        <v>365.85792668011158</v>
      </c>
      <c r="N154" s="117">
        <v>338.26018277466545</v>
      </c>
      <c r="O154" s="117">
        <v>857.47613556775264</v>
      </c>
      <c r="P154" s="117">
        <v>1195.7383183424179</v>
      </c>
      <c r="Q154" s="117">
        <v>0.36267722641825023</v>
      </c>
      <c r="R154" s="117">
        <v>2.7572658267678496</v>
      </c>
      <c r="S154" s="117">
        <v>0.52360818844886947</v>
      </c>
      <c r="T154" s="117">
        <v>1.0386962497198409</v>
      </c>
      <c r="U154" s="117">
        <v>1.5623124381687106</v>
      </c>
      <c r="V154" s="117">
        <v>0.4692271845851661</v>
      </c>
      <c r="W154" s="117">
        <v>0.66475341039384528</v>
      </c>
      <c r="X154" s="117">
        <v>1647.0484233943232</v>
      </c>
      <c r="Y154" s="118">
        <v>1.0219212664182119E-5</v>
      </c>
      <c r="Z154" s="117">
        <v>1.2905252750619716</v>
      </c>
    </row>
    <row r="155" spans="12:26" ht="13.8" thickBot="1" x14ac:dyDescent="0.3">
      <c r="L155" s="116">
        <v>151</v>
      </c>
      <c r="M155" s="117">
        <v>366.34474980544746</v>
      </c>
      <c r="N155" s="117">
        <v>338.77647643675397</v>
      </c>
      <c r="O155" s="117">
        <v>857.05279789318706</v>
      </c>
      <c r="P155" s="117">
        <v>1195.8312743299409</v>
      </c>
      <c r="Q155" s="117">
        <v>0.36478522466732738</v>
      </c>
      <c r="R155" s="117">
        <v>2.7413323333265978</v>
      </c>
      <c r="S155" s="117">
        <v>0.52422933938097582</v>
      </c>
      <c r="T155" s="117">
        <v>1.0375715716282394</v>
      </c>
      <c r="U155" s="117">
        <v>1.5618089110092153</v>
      </c>
      <c r="V155" s="117">
        <v>0.46966584245758664</v>
      </c>
      <c r="W155" s="117">
        <v>0.66560701569300185</v>
      </c>
      <c r="X155" s="117">
        <v>1647.1953596286289</v>
      </c>
      <c r="Y155" s="118">
        <v>1.0225395663181414E-5</v>
      </c>
      <c r="Z155" s="117">
        <v>1.2904227338434264</v>
      </c>
    </row>
    <row r="156" spans="12:26" ht="13.8" thickBot="1" x14ac:dyDescent="0.3">
      <c r="L156" s="116">
        <v>152</v>
      </c>
      <c r="M156" s="117">
        <v>366.82927167209755</v>
      </c>
      <c r="N156" s="117">
        <v>339.29046611424951</v>
      </c>
      <c r="O156" s="117">
        <v>856.63091845917165</v>
      </c>
      <c r="P156" s="117">
        <v>1195.9233845734209</v>
      </c>
      <c r="Q156" s="117">
        <v>0.36689304791050459</v>
      </c>
      <c r="R156" s="117">
        <v>2.7255832325350342</v>
      </c>
      <c r="S156" s="117">
        <v>0.52484733537510553</v>
      </c>
      <c r="T156" s="117">
        <v>1.0364528686408256</v>
      </c>
      <c r="U156" s="117">
        <v>1.5613082040159314</v>
      </c>
      <c r="V156" s="117">
        <v>0.47010302971778345</v>
      </c>
      <c r="W156" s="117">
        <v>0.66645890924131357</v>
      </c>
      <c r="X156" s="117">
        <v>1647.3404688847977</v>
      </c>
      <c r="Y156" s="118">
        <v>1.0231549546743946E-5</v>
      </c>
      <c r="Z156" s="117">
        <v>1.2903206113146402</v>
      </c>
    </row>
    <row r="157" spans="12:26" ht="13.8" thickBot="1" x14ac:dyDescent="0.3">
      <c r="L157" s="116">
        <v>153</v>
      </c>
      <c r="M157" s="117">
        <v>367.31151718463241</v>
      </c>
      <c r="N157" s="117">
        <v>339.80217674160804</v>
      </c>
      <c r="O157" s="117">
        <v>856.21048194722528</v>
      </c>
      <c r="P157" s="117">
        <v>1196.0146586888332</v>
      </c>
      <c r="Q157" s="117">
        <v>0.36900070148766367</v>
      </c>
      <c r="R157" s="117">
        <v>2.7100153028850076</v>
      </c>
      <c r="S157" s="117">
        <v>0.52546221200404664</v>
      </c>
      <c r="T157" s="117">
        <v>1.0353400712134371</v>
      </c>
      <c r="U157" s="117">
        <v>1.5608102832174839</v>
      </c>
      <c r="V157" s="117">
        <v>0.47053875812078949</v>
      </c>
      <c r="W157" s="117">
        <v>0.66730910672509325</v>
      </c>
      <c r="X157" s="117">
        <v>1647.4837733597576</v>
      </c>
      <c r="Y157" s="118">
        <v>1.0237674640303587E-5</v>
      </c>
      <c r="Z157" s="117">
        <v>1.2902189036585274</v>
      </c>
    </row>
    <row r="158" spans="12:26" ht="13.8" thickBot="1" x14ac:dyDescent="0.3">
      <c r="L158" s="116">
        <v>154</v>
      </c>
      <c r="M158" s="117">
        <v>367.79151082997618</v>
      </c>
      <c r="N158" s="117">
        <v>340.31163283567457</v>
      </c>
      <c r="O158" s="117">
        <v>855.79147329026841</v>
      </c>
      <c r="P158" s="117">
        <v>1196.1051061259429</v>
      </c>
      <c r="Q158" s="117">
        <v>0.37110819067335665</v>
      </c>
      <c r="R158" s="117">
        <v>2.6946253979281369</v>
      </c>
      <c r="S158" s="117">
        <v>0.52607400422920159</v>
      </c>
      <c r="T158" s="117">
        <v>1.0342331110220495</v>
      </c>
      <c r="U158" s="117">
        <v>1.5603151152512513</v>
      </c>
      <c r="V158" s="117">
        <v>0.4709730392825402</v>
      </c>
      <c r="W158" s="117">
        <v>0.66815762364623588</v>
      </c>
      <c r="X158" s="117">
        <v>1647.6252948503536</v>
      </c>
      <c r="Y158" s="118">
        <v>1.024377126380383E-5</v>
      </c>
      <c r="Z158" s="117">
        <v>1.2901176071095133</v>
      </c>
    </row>
    <row r="159" spans="12:26" ht="13.8" thickBot="1" x14ac:dyDescent="0.3">
      <c r="L159" s="116">
        <v>155</v>
      </c>
      <c r="M159" s="117">
        <v>368.26927668685317</v>
      </c>
      <c r="N159" s="117">
        <v>340.81885850513595</v>
      </c>
      <c r="O159" s="117">
        <v>855.37387766699294</v>
      </c>
      <c r="P159" s="117">
        <v>1196.1947361721288</v>
      </c>
      <c r="Q159" s="117">
        <v>0.37321552067802</v>
      </c>
      <c r="R159" s="117">
        <v>2.6794104440945827</v>
      </c>
      <c r="S159" s="117">
        <v>0.52668274641468327</v>
      </c>
      <c r="T159" s="117">
        <v>1.033131920934222</v>
      </c>
      <c r="U159" s="117">
        <v>1.5598226673489053</v>
      </c>
      <c r="V159" s="117">
        <v>0.47140588468217998</v>
      </c>
      <c r="W159" s="117">
        <v>0.66900447532534202</v>
      </c>
      <c r="X159" s="117">
        <v>1647.7650547628241</v>
      </c>
      <c r="Y159" s="118">
        <v>1.0249839731822278E-5</v>
      </c>
      <c r="Z159" s="117">
        <v>1.2900167179525852</v>
      </c>
    </row>
    <row r="160" spans="12:26" ht="13.8" thickBot="1" x14ac:dyDescent="0.3">
      <c r="L160" s="116">
        <v>156</v>
      </c>
      <c r="M160" s="117">
        <v>368.74483843496677</v>
      </c>
      <c r="N160" s="117">
        <v>341.32387745967685</v>
      </c>
      <c r="O160" s="117">
        <v>854.95768049641822</v>
      </c>
      <c r="P160" s="117">
        <v>1196.2835579560949</v>
      </c>
      <c r="Q160" s="117">
        <v>0.37532269664916468</v>
      </c>
      <c r="R160" s="117">
        <v>2.6643674385875848</v>
      </c>
      <c r="S160" s="117">
        <v>0.52728847234094856</v>
      </c>
      <c r="T160" s="117">
        <v>1.0320364349814282</v>
      </c>
      <c r="U160" s="117">
        <v>1.5593329073223769</v>
      </c>
      <c r="V160" s="117">
        <v>0.4718373056643147</v>
      </c>
      <c r="W160" s="117">
        <v>0.66984967690477293</v>
      </c>
      <c r="X160" s="117">
        <v>1647.9030741219954</v>
      </c>
      <c r="Y160" s="118">
        <v>1.0255880353691567E-5</v>
      </c>
      <c r="Z160" s="117">
        <v>1.2899162325223785</v>
      </c>
    </row>
    <row r="161" spans="12:26" ht="13.8" thickBot="1" x14ac:dyDescent="0.3">
      <c r="L161" s="116">
        <v>157</v>
      </c>
      <c r="M161" s="117">
        <v>369.21821936391831</v>
      </c>
      <c r="N161" s="117">
        <v>341.82671301891128</v>
      </c>
      <c r="O161" s="117">
        <v>854.54286743257205</v>
      </c>
      <c r="P161" s="117">
        <v>1196.3715804514834</v>
      </c>
      <c r="Q161" s="117">
        <v>0.37742972367253191</v>
      </c>
      <c r="R161" s="117">
        <v>2.6494934473507863</v>
      </c>
      <c r="S161" s="117">
        <v>0.52789121521811033</v>
      </c>
      <c r="T161" s="117">
        <v>1.0309465883321312</v>
      </c>
      <c r="U161" s="117">
        <v>1.5588458035502415</v>
      </c>
      <c r="V161" s="117">
        <v>0.47226731344121481</v>
      </c>
      <c r="W161" s="117">
        <v>0.67069324335163449</v>
      </c>
      <c r="X161" s="117">
        <v>1648.0393735802118</v>
      </c>
      <c r="Y161" s="118">
        <v>1.0261893433616882E-5</v>
      </c>
      <c r="Z161" s="117">
        <v>1.2898161472022664</v>
      </c>
    </row>
    <row r="162" spans="12:26" ht="13.8" thickBot="1" x14ac:dyDescent="0.3">
      <c r="L162" s="116">
        <v>158</v>
      </c>
      <c r="M162" s="117">
        <v>369.68944238187817</v>
      </c>
      <c r="N162" s="117">
        <v>342.32738812103076</v>
      </c>
      <c r="O162" s="117">
        <v>854.12942435934679</v>
      </c>
      <c r="P162" s="117">
        <v>1196.4588124803774</v>
      </c>
      <c r="Q162" s="117">
        <v>0.3795366067732317</v>
      </c>
      <c r="R162" s="117">
        <v>2.6347856031053052</v>
      </c>
      <c r="S162" s="117">
        <v>0.52849100769883339</v>
      </c>
      <c r="T162" s="117">
        <v>1.0298623172656576</v>
      </c>
      <c r="U162" s="117">
        <v>1.558361324964491</v>
      </c>
      <c r="V162" s="117">
        <v>0.47269591909497077</v>
      </c>
      <c r="W162" s="117">
        <v>0.67153518946069546</v>
      </c>
      <c r="X162" s="117">
        <v>1648.173973426007</v>
      </c>
      <c r="Y162" s="118">
        <v>1.0267879270790183E-5</v>
      </c>
      <c r="Z162" s="117">
        <v>1.2897164584235117</v>
      </c>
    </row>
    <row r="163" spans="12:26" ht="13.8" thickBot="1" x14ac:dyDescent="0.3">
      <c r="L163" s="116">
        <v>159</v>
      </c>
      <c r="M163" s="117">
        <v>370.15853002401127</v>
      </c>
      <c r="N163" s="117">
        <v>342.82592533122977</v>
      </c>
      <c r="O163" s="117">
        <v>853.71733738548267</v>
      </c>
      <c r="P163" s="117">
        <v>1196.5452627167124</v>
      </c>
      <c r="Q163" s="117">
        <v>0.38164335091683937</v>
      </c>
      <c r="R163" s="117">
        <v>2.6202411034539512</v>
      </c>
      <c r="S163" s="117">
        <v>0.52908788189086753</v>
      </c>
      <c r="T163" s="117">
        <v>1.0287835591468337</v>
      </c>
      <c r="U163" s="117">
        <v>1.5578794410377013</v>
      </c>
      <c r="V163" s="117">
        <v>0.47312313357959951</v>
      </c>
      <c r="W163" s="117">
        <v>0.67237552985723759</v>
      </c>
      <c r="X163" s="117">
        <v>1648.3068935925221</v>
      </c>
      <c r="Y163" s="118">
        <v>1.0273838159501249E-5</v>
      </c>
      <c r="Z163" s="117">
        <v>1.2896171626643773</v>
      </c>
    </row>
    <row r="164" spans="12:26" ht="13.8" thickBot="1" x14ac:dyDescent="0.3">
      <c r="L164" s="116">
        <v>160</v>
      </c>
      <c r="M164" s="117">
        <v>370.62550446067252</v>
      </c>
      <c r="N164" s="117">
        <v>343.32234684989663</v>
      </c>
      <c r="O164" s="117">
        <v>853.3065928396868</v>
      </c>
      <c r="P164" s="117">
        <v>1196.6309396895831</v>
      </c>
      <c r="Q164" s="117">
        <v>0.38374996101048164</v>
      </c>
      <c r="R164" s="117">
        <v>2.6058572090497103</v>
      </c>
      <c r="S164" s="117">
        <v>0.52968186936923067</v>
      </c>
      <c r="T164" s="117">
        <v>1.0277102524013253</v>
      </c>
      <c r="U164" s="117">
        <v>1.5574001217705558</v>
      </c>
      <c r="V164" s="117">
        <v>0.4735489677231064</v>
      </c>
      <c r="W164" s="117">
        <v>0.67321427899984476</v>
      </c>
      <c r="X164" s="117">
        <v>1648.4381536656908</v>
      </c>
      <c r="Y164" s="118">
        <v>1.0279770389245594E-5</v>
      </c>
      <c r="Z164" s="117">
        <v>1.2895182564493217</v>
      </c>
    </row>
    <row r="165" spans="12:26" ht="13.8" thickBot="1" x14ac:dyDescent="0.3">
      <c r="L165" s="116">
        <v>161</v>
      </c>
      <c r="M165" s="117">
        <v>371.090387505374</v>
      </c>
      <c r="N165" s="117">
        <v>343.81667452057434</v>
      </c>
      <c r="O165" s="117">
        <v>852.89717726589333</v>
      </c>
      <c r="P165" s="117">
        <v>1196.7158517864675</v>
      </c>
      <c r="Q165" s="117">
        <v>0.38585644190388629</v>
      </c>
      <c r="R165" s="117">
        <v>2.5916312418261409</v>
      </c>
      <c r="S165" s="117">
        <v>0.53027300118806386</v>
      </c>
      <c r="T165" s="117">
        <v>1.0266423364916735</v>
      </c>
      <c r="U165" s="117">
        <v>1.5569233376797376</v>
      </c>
      <c r="V165" s="117">
        <v>0.47397343222950322</v>
      </c>
      <c r="W165" s="117">
        <v>0.6740514511831317</v>
      </c>
      <c r="X165" s="117">
        <v>1648.5677728921805</v>
      </c>
      <c r="Y165" s="118">
        <v>1.0285676244829491E-5</v>
      </c>
      <c r="Z165" s="117">
        <v>1.2894197363481628</v>
      </c>
    </row>
    <row r="166" spans="12:26" ht="13.8" thickBot="1" x14ac:dyDescent="0.3">
      <c r="L166" s="116">
        <v>162</v>
      </c>
      <c r="M166" s="117">
        <v>371.55320062253367</v>
      </c>
      <c r="N166" s="117">
        <v>344.30892983769871</v>
      </c>
      <c r="O166" s="117">
        <v>852.4890774186556</v>
      </c>
      <c r="P166" s="117">
        <v>1196.8000072563541</v>
      </c>
      <c r="Q166" s="117">
        <v>0.38796279839040915</v>
      </c>
      <c r="R166" s="117">
        <v>2.5775605832871689</v>
      </c>
      <c r="S166" s="117">
        <v>0.53086130789214314</v>
      </c>
      <c r="T166" s="117">
        <v>1.0255797518940197</v>
      </c>
      <c r="U166" s="117">
        <v>1.5564490597861629</v>
      </c>
      <c r="V166" s="117">
        <v>0.47439653768077816</v>
      </c>
      <c r="W166" s="117">
        <v>0.67488706054040459</v>
      </c>
      <c r="X166" s="117">
        <v>1648.6957701871193</v>
      </c>
      <c r="Y166" s="118">
        <v>1.0291556006472019E-5</v>
      </c>
      <c r="Z166" s="117">
        <v>1.2893215989752795</v>
      </c>
    </row>
    <row r="167" spans="12:26" ht="13.8" thickBot="1" x14ac:dyDescent="0.3">
      <c r="L167" s="116">
        <v>163</v>
      </c>
      <c r="M167" s="117">
        <v>372.01396493501522</v>
      </c>
      <c r="N167" s="117">
        <v>344.79913395414366</v>
      </c>
      <c r="O167" s="117">
        <v>852.08228025864514</v>
      </c>
      <c r="P167" s="117">
        <v>1196.8834142127887</v>
      </c>
      <c r="Q167" s="117">
        <v>0.39006903520804531</v>
      </c>
      <c r="R167" s="117">
        <v>2.5636426728539168</v>
      </c>
      <c r="S167" s="117">
        <v>0.53144681952807526</v>
      </c>
      <c r="T167" s="117">
        <v>1.0245224400754713</v>
      </c>
      <c r="U167" s="117">
        <v>1.5559772596035466</v>
      </c>
      <c r="V167" s="117">
        <v>0.47481829453883112</v>
      </c>
      <c r="W167" s="117">
        <v>0.67572112104627624</v>
      </c>
      <c r="X167" s="117">
        <v>1648.8221641415996</v>
      </c>
      <c r="Y167" s="118">
        <v>1.0297409949904398E-5</v>
      </c>
      <c r="Z167" s="117">
        <v>1.2892238409888526</v>
      </c>
    </row>
    <row r="168" spans="12:26" ht="13.8" thickBot="1" x14ac:dyDescent="0.3">
      <c r="L168" s="116">
        <v>164</v>
      </c>
      <c r="M168" s="117">
        <v>372.47270123146012</v>
      </c>
      <c r="N168" s="117">
        <v>345.28730768853711</v>
      </c>
      <c r="O168" s="117">
        <v>851.67677294829411</v>
      </c>
      <c r="P168" s="117">
        <v>1196.9660806368311</v>
      </c>
      <c r="Q168" s="117">
        <v>0.3921751570404044</v>
      </c>
      <c r="R168" s="117">
        <v>2.549875006266499</v>
      </c>
      <c r="S168" s="117">
        <v>0.53202956565518034</v>
      </c>
      <c r="T168" s="117">
        <v>1.0234703434721104</v>
      </c>
      <c r="U168" s="117">
        <v>1.5555079091272905</v>
      </c>
      <c r="V168" s="117">
        <v>0.4752387131473616</v>
      </c>
      <c r="W168" s="117">
        <v>0.67655364651921279</v>
      </c>
      <c r="X168" s="117">
        <v>1648.9469730299716</v>
      </c>
      <c r="Y168" s="118">
        <v>1.0303238346466595E-5</v>
      </c>
      <c r="Z168" s="117">
        <v>1.2891264590900784</v>
      </c>
    </row>
    <row r="169" spans="12:26" ht="13.8" thickBot="1" x14ac:dyDescent="0.3">
      <c r="L169" s="116">
        <v>165</v>
      </c>
      <c r="M169" s="117">
        <v>372.92942997342425</v>
      </c>
      <c r="N169" s="117">
        <v>345.77347153239947</v>
      </c>
      <c r="O169" s="117">
        <v>851.27254284753985</v>
      </c>
      <c r="P169" s="117">
        <v>1197.0480143799391</v>
      </c>
      <c r="Q169" s="117">
        <v>0.39428116851767175</v>
      </c>
      <c r="R169" s="117">
        <v>2.5362551340385191</v>
      </c>
      <c r="S169" s="117">
        <v>0.53260957535610221</v>
      </c>
      <c r="T169" s="117">
        <v>1.0224234054675838</v>
      </c>
      <c r="U169" s="117">
        <v>1.555040980823686</v>
      </c>
      <c r="V169" s="117">
        <v>0.47565780373371869</v>
      </c>
      <c r="W169" s="117">
        <v>0.67738465062403064</v>
      </c>
      <c r="X169" s="117">
        <v>1649.0702148169373</v>
      </c>
      <c r="Y169" s="118">
        <v>1.030904146320133E-5</v>
      </c>
      <c r="Z169" s="117">
        <v>1.2890294500224329</v>
      </c>
    </row>
    <row r="170" spans="12:26" ht="13.8" thickBot="1" x14ac:dyDescent="0.3">
      <c r="L170" s="116">
        <v>166</v>
      </c>
      <c r="M170" s="117">
        <v>373.38417130232313</v>
      </c>
      <c r="N170" s="117">
        <v>346.25764565708278</v>
      </c>
      <c r="O170" s="117">
        <v>850.86957750968338</v>
      </c>
      <c r="P170" s="117">
        <v>1197.129223166766</v>
      </c>
      <c r="Q170" s="117">
        <v>0.39638707421754787</v>
      </c>
      <c r="R170" s="117">
        <v>2.5227806599623035</v>
      </c>
      <c r="S170" s="117">
        <v>0.53318687724708602</v>
      </c>
      <c r="T170" s="117">
        <v>1.0213815703723257</v>
      </c>
      <c r="U170" s="117">
        <v>1.5545764476194119</v>
      </c>
      <c r="V170" s="117">
        <v>0.47607557641071452</v>
      </c>
      <c r="W170" s="117">
        <v>0.67821414687434278</v>
      </c>
      <c r="X170" s="117">
        <v>1649.1919071644445</v>
      </c>
      <c r="Y170" s="118">
        <v>1.0314819562945568E-5</v>
      </c>
      <c r="Z170" s="117">
        <v>1.2889328105709512</v>
      </c>
    </row>
    <row r="171" spans="12:26" ht="13.8" thickBot="1" x14ac:dyDescent="0.3">
      <c r="L171" s="116">
        <v>167</v>
      </c>
      <c r="M171" s="117">
        <v>373.83694504619086</v>
      </c>
      <c r="N171" s="117">
        <v>346.73984992052357</v>
      </c>
      <c r="O171" s="117">
        <v>850.46786467736808</v>
      </c>
      <c r="P171" s="117">
        <v>1197.2097145978914</v>
      </c>
      <c r="Q171" s="117">
        <v>0.39849287866616162</v>
      </c>
      <c r="R171" s="117">
        <v>2.5094492396629633</v>
      </c>
      <c r="S171" s="117">
        <v>0.53376149948803064</v>
      </c>
      <c r="T171" s="117">
        <v>1.0203447834032988</v>
      </c>
      <c r="U171" s="117">
        <v>1.5541142828913295</v>
      </c>
      <c r="V171" s="117">
        <v>0.47649204117839683</v>
      </c>
      <c r="W171" s="117">
        <v>0.67904214863494639</v>
      </c>
      <c r="X171" s="117">
        <v>1649.3120674383933</v>
      </c>
      <c r="Y171" s="118">
        <v>1.0320572904419542E-5</v>
      </c>
      <c r="Z171" s="117">
        <v>1.288836537561505</v>
      </c>
    </row>
    <row r="172" spans="12:26" ht="13.8" thickBot="1" x14ac:dyDescent="0.3">
      <c r="L172" s="116">
        <v>168</v>
      </c>
      <c r="M172" s="117">
        <v>374.28777072626048</v>
      </c>
      <c r="N172" s="117">
        <v>347.22010387382431</v>
      </c>
      <c r="O172" s="117">
        <v>850.06739227864523</v>
      </c>
      <c r="P172" s="117">
        <v>1197.2894961524694</v>
      </c>
      <c r="Q172" s="117">
        <v>0.40059858633896539</v>
      </c>
      <c r="R172" s="117">
        <v>2.4962585791993925</v>
      </c>
      <c r="S172" s="117">
        <v>0.53433346979222729</v>
      </c>
      <c r="T172" s="117">
        <v>1.0193129906643261</v>
      </c>
      <c r="U172" s="117">
        <v>1.5536544604565536</v>
      </c>
      <c r="V172" s="117">
        <v>0.47690720792578567</v>
      </c>
      <c r="W172" s="117">
        <v>0.67986866912416377</v>
      </c>
      <c r="X172" s="117">
        <v>1649.4307127151567</v>
      </c>
      <c r="Y172" s="118">
        <v>1.0326301742313482E-5</v>
      </c>
      <c r="Z172" s="117">
        <v>1.2887406278601068</v>
      </c>
    </row>
    <row r="173" spans="12:26" ht="13.8" thickBot="1" x14ac:dyDescent="0.3">
      <c r="L173" s="116">
        <v>169</v>
      </c>
      <c r="M173" s="117">
        <v>374.73666756337116</v>
      </c>
      <c r="N173" s="117">
        <v>347.69842676765325</v>
      </c>
      <c r="O173" s="117">
        <v>849.66814842316137</v>
      </c>
      <c r="P173" s="117">
        <v>1197.3685751908145</v>
      </c>
      <c r="Q173" s="117">
        <v>0.40270420166161108</v>
      </c>
      <c r="R173" s="117">
        <v>2.4832064337104343</v>
      </c>
      <c r="S173" s="117">
        <v>0.53490281543585505</v>
      </c>
      <c r="T173" s="117">
        <v>1.0182861391269435</v>
      </c>
      <c r="U173" s="117">
        <v>1.5531969545627988</v>
      </c>
      <c r="V173" s="117">
        <v>0.47732108643257543</v>
      </c>
      <c r="W173" s="117">
        <v>0.68069372141613349</v>
      </c>
      <c r="X173" s="117">
        <v>1649.5478597879269</v>
      </c>
      <c r="Y173" s="118">
        <v>1.0332006327371961E-5</v>
      </c>
      <c r="Z173" s="117">
        <v>1.2886450783722323</v>
      </c>
    </row>
    <row r="174" spans="12:26" ht="13.8" thickBot="1" x14ac:dyDescent="0.3">
      <c r="L174" s="116">
        <v>170</v>
      </c>
      <c r="M174" s="117">
        <v>375.18365448420712</v>
      </c>
      <c r="N174" s="117">
        <v>348.17483755847172</v>
      </c>
      <c r="O174" s="117">
        <v>849.27012139844055</v>
      </c>
      <c r="P174" s="117">
        <v>1197.4469589569121</v>
      </c>
      <c r="Q174" s="117">
        <v>0.40480972901080636</v>
      </c>
      <c r="R174" s="117">
        <v>2.470290606104526</v>
      </c>
      <c r="S174" s="117">
        <v>0.53546956326723083</v>
      </c>
      <c r="T174" s="117">
        <v>1.0172641766117558</v>
      </c>
      <c r="U174" s="117">
        <v>1.5527417398789867</v>
      </c>
      <c r="V174" s="117">
        <v>0.47773368637080188</v>
      </c>
      <c r="W174" s="117">
        <v>0.68151731844305585</v>
      </c>
      <c r="X174" s="117">
        <v>1649.663525172886</v>
      </c>
      <c r="Y174" s="118">
        <v>1.0337686906476108E-5</v>
      </c>
      <c r="Z174" s="117">
        <v>1.2885498860421567</v>
      </c>
    </row>
    <row r="175" spans="12:26" ht="13.8" thickBot="1" x14ac:dyDescent="0.3">
      <c r="L175" s="116">
        <v>171</v>
      </c>
      <c r="M175" s="117">
        <v>375.62875012737339</v>
      </c>
      <c r="N175" s="117">
        <v>348.64935491462296</v>
      </c>
      <c r="O175" s="117">
        <v>848.87329966624702</v>
      </c>
      <c r="P175" s="117">
        <v>1197.5246545808698</v>
      </c>
      <c r="Q175" s="117">
        <v>0.4069151727151501</v>
      </c>
      <c r="R175" s="117">
        <v>2.4575089457912194</v>
      </c>
      <c r="S175" s="117">
        <v>0.53603373971580237</v>
      </c>
      <c r="T175" s="117">
        <v>1.0162470517703091</v>
      </c>
      <c r="U175" s="117">
        <v>1.5522887914861114</v>
      </c>
      <c r="V175" s="117">
        <v>0.47814501730647346</v>
      </c>
      <c r="W175" s="117">
        <v>0.68233947299738618</v>
      </c>
      <c r="X175" s="117">
        <v>1649.7777251152124</v>
      </c>
      <c r="Y175" s="118">
        <v>1.0343343722723619E-5</v>
      </c>
      <c r="Z175" s="117">
        <v>1.2884550478522974</v>
      </c>
    </row>
    <row r="176" spans="12:26" ht="13.8" thickBot="1" x14ac:dyDescent="0.3">
      <c r="L176" s="116">
        <v>172</v>
      </c>
      <c r="M176" s="117">
        <v>376.07197284931465</v>
      </c>
      <c r="N176" s="117">
        <v>349.12199722223522</v>
      </c>
      <c r="O176" s="117">
        <v>848.47767185906207</v>
      </c>
      <c r="P176" s="117">
        <v>1197.6016690812971</v>
      </c>
      <c r="Q176" s="117">
        <v>0.40902053705594987</v>
      </c>
      <c r="R176" s="117">
        <v>2.4448593474529936</v>
      </c>
      <c r="S176" s="117">
        <v>0.53659537080090547</v>
      </c>
      <c r="T176" s="117">
        <v>1.0152347140674416</v>
      </c>
      <c r="U176" s="117">
        <v>1.5518380848683471</v>
      </c>
      <c r="V176" s="117">
        <v>0.47855508870117258</v>
      </c>
      <c r="W176" s="117">
        <v>0.68316019773398795</v>
      </c>
      <c r="X176" s="117">
        <v>1649.890475594927</v>
      </c>
      <c r="Y176" s="118">
        <v>1.0348977015506743E-5</v>
      </c>
      <c r="Z176" s="117">
        <v>1.2883605608225788</v>
      </c>
    </row>
    <row r="177" spans="12:26" ht="13.8" thickBot="1" x14ac:dyDescent="0.3">
      <c r="L177" s="116">
        <v>173</v>
      </c>
      <c r="M177" s="117">
        <v>376.51334073008047</v>
      </c>
      <c r="N177" s="117">
        <v>349.59278259099119</v>
      </c>
      <c r="O177" s="117">
        <v>848.08322677663705</v>
      </c>
      <c r="P177" s="117">
        <v>1197.678009367628</v>
      </c>
      <c r="Q177" s="117">
        <v>0.41112582626802163</v>
      </c>
      <c r="R177" s="117">
        <v>2.432339749855887</v>
      </c>
      <c r="S177" s="117">
        <v>0.53715448214031136</v>
      </c>
      <c r="T177" s="117">
        <v>1.0142271137640848</v>
      </c>
      <c r="U177" s="117">
        <v>1.551389595904396</v>
      </c>
      <c r="V177" s="117">
        <v>0.47896390991362114</v>
      </c>
      <c r="W177" s="117">
        <v>0.68397950517223882</v>
      </c>
      <c r="X177" s="117">
        <v>1650.00179233258</v>
      </c>
      <c r="Y177" s="118">
        <v>1.0354587020588202E-5</v>
      </c>
      <c r="Z177" s="117">
        <v>1.2882664220098028</v>
      </c>
    </row>
    <row r="178" spans="12:26" ht="13.8" thickBot="1" x14ac:dyDescent="0.3">
      <c r="L178" s="116">
        <v>174</v>
      </c>
      <c r="M178" s="117">
        <v>376.95287157894404</v>
      </c>
      <c r="N178" s="117">
        <v>350.06172885973092</v>
      </c>
      <c r="O178" s="117">
        <v>847.68995338265017</v>
      </c>
      <c r="P178" s="117">
        <v>1197.7536822423808</v>
      </c>
      <c r="Q178" s="117">
        <v>0.41323104454047443</v>
      </c>
      <c r="R178" s="117">
        <v>2.4199481346974991</v>
      </c>
      <c r="S178" s="117">
        <v>0.53771109895851077</v>
      </c>
      <c r="T178" s="117">
        <v>1.0132242019005551</v>
      </c>
      <c r="U178" s="117">
        <v>1.5509433008590658</v>
      </c>
      <c r="V178" s="117">
        <v>0.47937149020121983</v>
      </c>
      <c r="W178" s="117">
        <v>0.68479740769809772</v>
      </c>
      <c r="X178" s="117">
        <v>1650.1116907947905</v>
      </c>
      <c r="Y178" s="118">
        <v>1.0360173970175189E-5</v>
      </c>
      <c r="Z178" s="117">
        <v>1.2881726285070498</v>
      </c>
    </row>
    <row r="179" spans="12:26" ht="13.8" thickBot="1" x14ac:dyDescent="0.3">
      <c r="L179" s="116">
        <v>175</v>
      </c>
      <c r="M179" s="117">
        <v>377.3905829398754</v>
      </c>
      <c r="N179" s="117">
        <v>350.52885360194489</v>
      </c>
      <c r="O179" s="117">
        <v>847.29784080141769</v>
      </c>
      <c r="P179" s="117">
        <v>1197.8286944033623</v>
      </c>
      <c r="Q179" s="117">
        <v>0.41533619601747168</v>
      </c>
      <c r="R179" s="117">
        <v>2.4076825254910523</v>
      </c>
      <c r="S179" s="117">
        <v>0.53826524609483939</v>
      </c>
      <c r="T179" s="117">
        <v>1.0122259302802379</v>
      </c>
      <c r="U179" s="117">
        <v>1.5504991763750773</v>
      </c>
      <c r="V179" s="117">
        <v>0.47977783872154933</v>
      </c>
      <c r="W179" s="117">
        <v>0.68561391756611945</v>
      </c>
      <c r="X179" s="117">
        <v>1650.2201861996391</v>
      </c>
      <c r="Y179" s="118">
        <v>1.0365738092991482E-5</v>
      </c>
      <c r="Z179" s="117">
        <v>1.2880791774430647</v>
      </c>
    </row>
    <row r="180" spans="12:26" ht="13.8" thickBot="1" x14ac:dyDescent="0.3">
      <c r="L180" s="116">
        <v>176</v>
      </c>
      <c r="M180" s="117">
        <v>377.82649209687833</v>
      </c>
      <c r="N180" s="117">
        <v>350.99417413107523</v>
      </c>
      <c r="O180" s="117">
        <v>846.90687831473497</v>
      </c>
      <c r="P180" s="117">
        <v>1197.9030524458101</v>
      </c>
      <c r="Q180" s="117">
        <v>0.4174412847989859</v>
      </c>
      <c r="R180" s="117">
        <v>2.3955409864841108</v>
      </c>
      <c r="S180" s="117">
        <v>0.53881694801133717</v>
      </c>
      <c r="T180" s="117">
        <v>1.0112322514537357</v>
      </c>
      <c r="U180" s="117">
        <v>1.5500571994650731</v>
      </c>
      <c r="V180" s="117">
        <v>0.48018296453385134</v>
      </c>
      <c r="W180" s="117">
        <v>0.68642904690144702</v>
      </c>
      <c r="X180" s="117">
        <v>1650.3272935219154</v>
      </c>
      <c r="Y180" s="118">
        <v>1.0371279614347697E-5</v>
      </c>
      <c r="Z180" s="117">
        <v>1.2879860659816917</v>
      </c>
    </row>
    <row r="181" spans="12:26" ht="13.8" thickBot="1" x14ac:dyDescent="0.3">
      <c r="L181" s="116">
        <v>177</v>
      </c>
      <c r="M181" s="117">
        <v>378.26061607918899</v>
      </c>
      <c r="N181" s="117">
        <v>351.45770750575139</v>
      </c>
      <c r="O181" s="117">
        <v>846.51705535873441</v>
      </c>
      <c r="P181" s="117">
        <v>1197.9767628644856</v>
      </c>
      <c r="Q181" s="117">
        <v>0.4195463149415235</v>
      </c>
      <c r="R181" s="117">
        <v>2.3835216216108326</v>
      </c>
      <c r="S181" s="117">
        <v>0.53936622880045304</v>
      </c>
      <c r="T181" s="117">
        <v>1.0102431187034029</v>
      </c>
      <c r="U181" s="117">
        <v>1.5496173475038557</v>
      </c>
      <c r="V181" s="117">
        <v>0.48058687660047178</v>
      </c>
      <c r="W181" s="117">
        <v>0.6872428077017434</v>
      </c>
      <c r="X181" s="117">
        <v>1650.4330274982356</v>
      </c>
      <c r="Y181" s="118">
        <v>1.0376798756209789E-5</v>
      </c>
      <c r="Z181" s="117">
        <v>1.2878932913212793</v>
      </c>
    </row>
    <row r="182" spans="12:26" ht="13.8" thickBot="1" x14ac:dyDescent="0.3">
      <c r="L182" s="116">
        <v>178</v>
      </c>
      <c r="M182" s="117">
        <v>378.69297166634817</v>
      </c>
      <c r="N182" s="117">
        <v>351.91947053482568</v>
      </c>
      <c r="O182" s="117">
        <v>846.12836152088698</v>
      </c>
      <c r="P182" s="117">
        <v>1198.0498320557126</v>
      </c>
      <c r="Q182" s="117">
        <v>0.42165129045885041</v>
      </c>
      <c r="R182" s="117">
        <v>2.3716225734763836</v>
      </c>
      <c r="S182" s="117">
        <v>0.53991311219250804</v>
      </c>
      <c r="T182" s="117">
        <v>1.0092584860283036</v>
      </c>
      <c r="U182" s="117">
        <v>1.5491795982208116</v>
      </c>
      <c r="V182" s="117">
        <v>0.48098958378828283</v>
      </c>
      <c r="W182" s="117">
        <v>0.68805521183910201</v>
      </c>
      <c r="X182" s="117">
        <v>1650.5374026320173</v>
      </c>
      <c r="Y182" s="118">
        <v>1.0382295737265839E-5</v>
      </c>
      <c r="Z182" s="117">
        <v>1.2878008506941403</v>
      </c>
    </row>
    <row r="183" spans="12:26" ht="13.8" thickBot="1" x14ac:dyDescent="0.3">
      <c r="L183" s="116">
        <v>179</v>
      </c>
      <c r="M183" s="117">
        <v>379.12357539314263</v>
      </c>
      <c r="N183" s="117">
        <v>352.37947978232739</v>
      </c>
      <c r="O183" s="117">
        <v>845.74078653703361</v>
      </c>
      <c r="P183" s="117">
        <v>1198.1222663193607</v>
      </c>
      <c r="Q183" s="117">
        <v>0.42375621532268731</v>
      </c>
      <c r="R183" s="117">
        <v>2.3598420223725345</v>
      </c>
      <c r="S183" s="117">
        <v>0.54045762156303168</v>
      </c>
      <c r="T183" s="117">
        <v>1.0082783081295106</v>
      </c>
      <c r="U183" s="117">
        <v>1.5487439296925423</v>
      </c>
      <c r="V183" s="117">
        <v>0.48139109487007126</v>
      </c>
      <c r="W183" s="117">
        <v>0.68886627106190712</v>
      </c>
      <c r="X183" s="117">
        <v>1650.640433198336</v>
      </c>
      <c r="Y183" s="118">
        <v>1.0387770772991128E-5</v>
      </c>
      <c r="Z183" s="117">
        <v>1.2877087413659902</v>
      </c>
    </row>
    <row r="184" spans="12:26" ht="13.8" thickBot="1" x14ac:dyDescent="0.3">
      <c r="L184" s="116">
        <v>180</v>
      </c>
      <c r="M184" s="117">
        <v>379.55244355442591</v>
      </c>
      <c r="N184" s="117">
        <v>352.83775157228933</v>
      </c>
      <c r="O184" s="117">
        <v>845.35432028849345</v>
      </c>
      <c r="P184" s="117">
        <v>1198.1940718607825</v>
      </c>
      <c r="Q184" s="117">
        <v>0.42586109346339662</v>
      </c>
      <c r="R184" s="117">
        <v>2.3481781853232149</v>
      </c>
      <c r="S184" s="117">
        <v>0.54099977993983761</v>
      </c>
      <c r="T184" s="117">
        <v>1.0073025403958435</v>
      </c>
      <c r="U184" s="117">
        <v>1.5483103203356814</v>
      </c>
      <c r="V184" s="117">
        <v>0.48179141852590429</v>
      </c>
      <c r="W184" s="117">
        <v>0.68967599699666249</v>
      </c>
      <c r="X184" s="117">
        <v>1650.7421332486501</v>
      </c>
      <c r="Y184" s="118">
        <v>1.0393224075711613E-5</v>
      </c>
      <c r="Z184" s="117">
        <v>1.2876169606354073</v>
      </c>
    </row>
    <row r="185" spans="12:26" ht="13.8" thickBot="1" x14ac:dyDescent="0.3">
      <c r="L185" s="116">
        <v>181</v>
      </c>
      <c r="M185" s="117">
        <v>379.97959220981977</v>
      </c>
      <c r="N185" s="117">
        <v>353.29430199342448</v>
      </c>
      <c r="O185" s="117">
        <v>844.96895279927878</v>
      </c>
      <c r="P185" s="117">
        <v>1198.265254792703</v>
      </c>
      <c r="Q185" s="117">
        <v>0.42796592877065953</v>
      </c>
      <c r="R185" s="117">
        <v>2.3366293151589659</v>
      </c>
      <c r="S185" s="117">
        <v>0.54153961000999384</v>
      </c>
      <c r="T185" s="117">
        <v>1.0063311388899043</v>
      </c>
      <c r="U185" s="117">
        <v>1.5478787488998982</v>
      </c>
      <c r="V185" s="117">
        <v>0.48219056334446919</v>
      </c>
      <c r="W185" s="117">
        <v>0.6904844011497896</v>
      </c>
      <c r="X185" s="117">
        <v>1650.8425166154034</v>
      </c>
      <c r="Y185" s="118">
        <v>1.0398655854665879E-5</v>
      </c>
      <c r="Z185" s="117">
        <v>1.287525505833317</v>
      </c>
    </row>
    <row r="186" spans="12:26" ht="13.8" thickBot="1" x14ac:dyDescent="0.3">
      <c r="L186" s="116">
        <v>182</v>
      </c>
      <c r="M186" s="117">
        <v>380.40503718829899</v>
      </c>
      <c r="N186" s="117">
        <v>353.74914690372992</v>
      </c>
      <c r="O186" s="117">
        <v>844.58467423332672</v>
      </c>
      <c r="P186" s="117">
        <v>1198.3358211370564</v>
      </c>
      <c r="Q186" s="117">
        <v>0.43007072509412841</v>
      </c>
      <c r="R186" s="117">
        <v>2.3251936996193687</v>
      </c>
      <c r="S186" s="117">
        <v>0.5420771341265449</v>
      </c>
      <c r="T186" s="117">
        <v>1.0053640603345331</v>
      </c>
      <c r="U186" s="117">
        <v>1.547449194461078</v>
      </c>
      <c r="V186" s="117">
        <v>0.48258853782438293</v>
      </c>
      <c r="W186" s="117">
        <v>0.6912914949093778</v>
      </c>
      <c r="X186" s="117">
        <v>1650.9415969165179</v>
      </c>
      <c r="Y186" s="118">
        <v>1.040406631606545E-5</v>
      </c>
      <c r="Z186" s="117">
        <v>1.287434374322465</v>
      </c>
    </row>
    <row r="187" spans="12:26" ht="13.8" thickBot="1" x14ac:dyDescent="0.3">
      <c r="L187" s="116">
        <v>183</v>
      </c>
      <c r="M187" s="117">
        <v>380.82879409266462</v>
      </c>
      <c r="N187" s="117">
        <v>354.2023019349478</v>
      </c>
      <c r="O187" s="117">
        <v>844.2014748918366</v>
      </c>
      <c r="P187" s="117">
        <v>1198.4057768267844</v>
      </c>
      <c r="Q187" s="117">
        <v>0.43217548624407554</v>
      </c>
      <c r="R187" s="117">
        <v>2.3138696604823425</v>
      </c>
      <c r="S187" s="117">
        <v>0.54261237431515519</v>
      </c>
      <c r="T187" s="117">
        <v>1.0044012620995246</v>
      </c>
      <c r="U187" s="117">
        <v>1.5470216364146798</v>
      </c>
      <c r="V187" s="117">
        <v>0.48298535037548346</v>
      </c>
      <c r="W187" s="117">
        <v>0.69209728954691407</v>
      </c>
      <c r="X187" s="117">
        <v>1651.039387559767</v>
      </c>
      <c r="Y187" s="118">
        <v>1.0409455663153754E-5</v>
      </c>
      <c r="Z187" s="117">
        <v>1.2873435634969215</v>
      </c>
    </row>
    <row r="188" spans="12:26" ht="13.8" thickBot="1" x14ac:dyDescent="0.3">
      <c r="L188" s="116">
        <v>184</v>
      </c>
      <c r="M188" s="117">
        <v>381.25087830390811</v>
      </c>
      <c r="N188" s="117">
        <v>354.6537824969306</v>
      </c>
      <c r="O188" s="117">
        <v>843.81934521065409</v>
      </c>
      <c r="P188" s="117">
        <v>1198.4751277075845</v>
      </c>
      <c r="Q188" s="117">
        <v>0.43428021599202143</v>
      </c>
      <c r="R188" s="117">
        <v>2.3026555527194765</v>
      </c>
      <c r="S188" s="117">
        <v>0.54314535228050165</v>
      </c>
      <c r="T188" s="117">
        <v>1.0034427021887573</v>
      </c>
      <c r="U188" s="117">
        <v>1.5465960544692587</v>
      </c>
      <c r="V188" s="117">
        <v>0.48338100932009109</v>
      </c>
      <c r="W188" s="117">
        <v>0.69290179621897108</v>
      </c>
      <c r="X188" s="117">
        <v>1651.1359017470377</v>
      </c>
      <c r="Y188" s="118">
        <v>1.0414824096263564E-5</v>
      </c>
      <c r="Z188" s="117">
        <v>1.2872530707815784</v>
      </c>
    </row>
    <row r="189" spans="12:26" ht="13.8" thickBot="1" x14ac:dyDescent="0.3">
      <c r="L189" s="116">
        <v>185</v>
      </c>
      <c r="M189" s="117">
        <v>381.67130498546913</v>
      </c>
      <c r="N189" s="117">
        <v>355.10360378189944</v>
      </c>
      <c r="O189" s="117">
        <v>843.43827575772025</v>
      </c>
      <c r="P189" s="117">
        <v>1198.5438795396196</v>
      </c>
      <c r="Q189" s="117">
        <v>0.43638491807135382</v>
      </c>
      <c r="R189" s="117">
        <v>2.2915497636764264</v>
      </c>
      <c r="S189" s="117">
        <v>0.54367608941256962</v>
      </c>
      <c r="T189" s="117">
        <v>1.0024883392275843</v>
      </c>
      <c r="U189" s="117">
        <v>1.5461724286401541</v>
      </c>
      <c r="V189" s="117">
        <v>0.48377552289424863</v>
      </c>
      <c r="W189" s="117">
        <v>0.6937050259688643</v>
      </c>
      <c r="X189" s="117">
        <v>1651.23115247849</v>
      </c>
      <c r="Y189" s="118">
        <v>1.0420171812873038E-5</v>
      </c>
      <c r="Z189" s="117">
        <v>1.2871628936316688</v>
      </c>
    </row>
    <row r="190" spans="12:26" ht="13.8" thickBot="1" x14ac:dyDescent="0.3">
      <c r="L190" s="116">
        <v>186</v>
      </c>
      <c r="M190" s="117">
        <v>382.09008908739105</v>
      </c>
      <c r="N190" s="117">
        <v>355.55178076858459</v>
      </c>
      <c r="O190" s="117">
        <v>843.05825723059729</v>
      </c>
      <c r="P190" s="117">
        <v>1198.6120379991817</v>
      </c>
      <c r="Q190" s="117">
        <v>0.43848959617793015</v>
      </c>
      <c r="R190" s="117">
        <v>2.2805507122775603</v>
      </c>
      <c r="S190" s="117">
        <v>0.54420460679276195</v>
      </c>
      <c r="T190" s="117">
        <v>1.0015381324505706</v>
      </c>
      <c r="U190" s="117">
        <v>1.5457507392433325</v>
      </c>
      <c r="V190" s="117">
        <v>0.48416889924893886</v>
      </c>
      <c r="W190" s="117">
        <v>0.69450698972828107</v>
      </c>
      <c r="X190" s="117">
        <v>1651.3251525566095</v>
      </c>
      <c r="Y190" s="118">
        <v>1.0425499007660489E-5</v>
      </c>
      <c r="Z190" s="117">
        <v>1.287073029532283</v>
      </c>
    </row>
    <row r="191" spans="12:26" ht="13.8" thickBot="1" x14ac:dyDescent="0.3">
      <c r="L191" s="116">
        <v>187</v>
      </c>
      <c r="M191" s="117">
        <v>382.50724535037779</v>
      </c>
      <c r="N191" s="117">
        <v>355.99832822630538</v>
      </c>
      <c r="O191" s="117">
        <v>842.67928045401504</v>
      </c>
      <c r="P191" s="117">
        <v>1198.6796086803204</v>
      </c>
      <c r="Q191" s="117">
        <v>0.44059425397067542</v>
      </c>
      <c r="R191" s="117">
        <v>2.269656848253947</v>
      </c>
      <c r="S191" s="117">
        <v>0.54473092519987598</v>
      </c>
      <c r="T191" s="117">
        <v>1.0005920416895144</v>
      </c>
      <c r="U191" s="117">
        <v>1.5453309668893904</v>
      </c>
      <c r="V191" s="117">
        <v>0.4845611464512774</v>
      </c>
      <c r="W191" s="117">
        <v>0.69530769831887407</v>
      </c>
      <c r="X191" s="117">
        <v>1651.4179145901605</v>
      </c>
      <c r="Y191" s="118">
        <v>1.043080587255774E-5</v>
      </c>
      <c r="Z191" s="117">
        <v>1.2869834759979188</v>
      </c>
    </row>
    <row r="192" spans="12:26" ht="13.8" thickBot="1" x14ac:dyDescent="0.3">
      <c r="L192" s="116">
        <v>188</v>
      </c>
      <c r="M192" s="117">
        <v>382.92278830975124</v>
      </c>
      <c r="N192" s="117">
        <v>356.44326071890379</v>
      </c>
      <c r="O192" s="117">
        <v>842.30133637752101</v>
      </c>
      <c r="P192" s="117">
        <v>1198.7465970964247</v>
      </c>
      <c r="Q192" s="117">
        <v>0.44269889507215893</v>
      </c>
      <c r="R192" s="117">
        <v>2.2588666513939875</v>
      </c>
      <c r="S192" s="117">
        <v>0.54525506511592892</v>
      </c>
      <c r="T192" s="117">
        <v>0.999650027361767</v>
      </c>
      <c r="U192" s="117">
        <v>1.5449130924776959</v>
      </c>
      <c r="V192" s="117">
        <v>0.48495227248568784</v>
      </c>
      <c r="W192" s="117">
        <v>0.69610716245383086</v>
      </c>
      <c r="X192" s="117">
        <v>1651.5094509980397</v>
      </c>
      <c r="Y192" s="118">
        <v>1.0436092596802272E-5</v>
      </c>
      <c r="Z192" s="117">
        <v>1.2868942305720121</v>
      </c>
    </row>
    <row r="193" spans="12:26" ht="13.8" thickBot="1" x14ac:dyDescent="0.3">
      <c r="L193" s="116">
        <v>189</v>
      </c>
      <c r="M193" s="117">
        <v>383.3367322993173</v>
      </c>
      <c r="N193" s="117">
        <v>356.88659260861647</v>
      </c>
      <c r="O193" s="117">
        <v>841.92441607315993</v>
      </c>
      <c r="P193" s="117">
        <v>1198.8130086817764</v>
      </c>
      <c r="Q193" s="117">
        <v>0.44480352306916315</v>
      </c>
      <c r="R193" s="117">
        <v>2.2481786308158447</v>
      </c>
      <c r="S193" s="117">
        <v>0.54577704673184413</v>
      </c>
      <c r="T193" s="117">
        <v>0.99871205045884459</v>
      </c>
      <c r="U193" s="117">
        <v>1.5444970971906888</v>
      </c>
      <c r="V193" s="117">
        <v>0.48534228525504763</v>
      </c>
      <c r="W193" s="117">
        <v>0.69690539273940455</v>
      </c>
      <c r="X193" s="117">
        <v>1651.5997740130369</v>
      </c>
      <c r="Y193" s="118">
        <v>1.0441359366988106E-5</v>
      </c>
      <c r="Z193" s="117">
        <v>1.2868052908264913</v>
      </c>
    </row>
    <row r="194" spans="12:26" ht="13.8" thickBot="1" x14ac:dyDescent="0.3">
      <c r="L194" s="116">
        <v>190</v>
      </c>
      <c r="M194" s="117">
        <v>383.74909145513857</v>
      </c>
      <c r="N194" s="117">
        <v>357.32833805985035</v>
      </c>
      <c r="O194" s="117">
        <v>841.54851073320458</v>
      </c>
      <c r="P194" s="117">
        <v>1198.8788487930547</v>
      </c>
      <c r="Q194" s="117">
        <v>0.44690814151324287</v>
      </c>
      <c r="R194" s="117">
        <v>2.2375913242609453</v>
      </c>
      <c r="S194" s="117">
        <v>0.54629688995300318</v>
      </c>
      <c r="T194" s="117">
        <v>0.99777807253530382</v>
      </c>
      <c r="U194" s="117">
        <v>1.544082962488307</v>
      </c>
      <c r="V194" s="117">
        <v>0.48573119258181996</v>
      </c>
      <c r="W194" s="117">
        <v>0.69770239967642378</v>
      </c>
      <c r="X194" s="117">
        <v>1651.6888956855034</v>
      </c>
      <c r="Y194" s="118">
        <v>1.0446606367115469E-5</v>
      </c>
      <c r="Z194" s="117">
        <v>1.2867166543613411</v>
      </c>
    </row>
    <row r="195" spans="12:26" ht="13.8" thickBot="1" x14ac:dyDescent="0.3">
      <c r="L195" s="116">
        <v>191</v>
      </c>
      <c r="M195" s="117">
        <v>384.15987971921953</v>
      </c>
      <c r="N195" s="117">
        <v>357.76851104286402</v>
      </c>
      <c r="O195" s="117">
        <v>841.17361166795411</v>
      </c>
      <c r="P195" s="117">
        <v>1198.944122710818</v>
      </c>
      <c r="Q195" s="117">
        <v>0.44901275392126927</v>
      </c>
      <c r="R195" s="117">
        <v>2.2271032974078779</v>
      </c>
      <c r="S195" s="117">
        <v>0.54681461440465973</v>
      </c>
      <c r="T195" s="117">
        <v>0.99684805569789903</v>
      </c>
      <c r="U195" s="117">
        <v>1.5436706701025587</v>
      </c>
      <c r="V195" s="117">
        <v>0.48611900220916515</v>
      </c>
      <c r="W195" s="117">
        <v>0.69849819366177623</v>
      </c>
      <c r="X195" s="117">
        <v>1651.7768278869298</v>
      </c>
      <c r="Y195" s="118">
        <v>1.0451833778639305E-5</v>
      </c>
      <c r="Z195" s="117">
        <v>1.2866283188041696</v>
      </c>
    </row>
    <row r="196" spans="12:26" ht="13.8" thickBot="1" x14ac:dyDescent="0.3">
      <c r="L196" s="116">
        <v>192</v>
      </c>
      <c r="M196" s="117">
        <v>384.56911084310468</v>
      </c>
      <c r="N196" s="117">
        <v>358.2071253373627</v>
      </c>
      <c r="O196" s="117">
        <v>840.79971030357433</v>
      </c>
      <c r="P196" s="117">
        <v>1199.0088356409369</v>
      </c>
      <c r="Q196" s="117">
        <v>0.45111736377596817</v>
      </c>
      <c r="R196" s="117">
        <v>2.2167131432059493</v>
      </c>
      <c r="S196" s="117">
        <v>0.54733023943722836</v>
      </c>
      <c r="T196" s="117">
        <v>0.99592196259499177</v>
      </c>
      <c r="U196" s="117">
        <v>1.5432602020322201</v>
      </c>
      <c r="V196" s="117">
        <v>0.48650572180202539</v>
      </c>
      <c r="W196" s="117">
        <v>0.69929278498985659</v>
      </c>
      <c r="X196" s="117">
        <v>1651.8635823134366</v>
      </c>
      <c r="Y196" s="118">
        <v>1.0457041780516677E-5</v>
      </c>
      <c r="Z196" s="117">
        <v>1.2865402818097933</v>
      </c>
    </row>
    <row r="197" spans="12:26" ht="13.8" thickBot="1" x14ac:dyDescent="0.3">
      <c r="L197" s="116">
        <v>193</v>
      </c>
      <c r="M197" s="117">
        <v>384.9767983913934</v>
      </c>
      <c r="N197" s="117">
        <v>358.64419453601096</v>
      </c>
      <c r="O197" s="117">
        <v>840.42679817999533</v>
      </c>
      <c r="P197" s="117">
        <v>1199.0729927160062</v>
      </c>
      <c r="Q197" s="117">
        <v>0.45322197452644142</v>
      </c>
      <c r="R197" s="117">
        <v>2.2064194812278068</v>
      </c>
      <c r="S197" s="117">
        <v>0.54784378413145962</v>
      </c>
      <c r="T197" s="117">
        <v>0.99499975640621041</v>
      </c>
      <c r="U197" s="117">
        <v>1.5428515405376702</v>
      </c>
      <c r="V197" s="117">
        <v>0.48689135894819524</v>
      </c>
      <c r="W197" s="117">
        <v>0.70008618385399168</v>
      </c>
      <c r="X197" s="117">
        <v>1651.9491704891841</v>
      </c>
      <c r="Y197" s="118">
        <v>1.0462230549252975E-5</v>
      </c>
      <c r="Z197" s="117">
        <v>1.2864525410598167</v>
      </c>
    </row>
    <row r="198" spans="12:26" ht="13.8" thickBot="1" x14ac:dyDescent="0.3">
      <c r="L198" s="116">
        <v>194</v>
      </c>
      <c r="M198" s="117">
        <v>385.38295574517218</v>
      </c>
      <c r="N198" s="117">
        <v>359.0797320478689</v>
      </c>
      <c r="O198" s="117">
        <v>840.05486694884428</v>
      </c>
      <c r="P198" s="117">
        <v>1199.136598996713</v>
      </c>
      <c r="Q198" s="117">
        <v>0.45532658958868116</v>
      </c>
      <c r="R198" s="117">
        <v>2.1962209570404427</v>
      </c>
      <c r="S198" s="117">
        <v>0.54835526730345485</v>
      </c>
      <c r="T198" s="117">
        <v>0.99408140083238417</v>
      </c>
      <c r="U198" s="117">
        <v>1.542444668135839</v>
      </c>
      <c r="V198" s="117">
        <v>0.48727592115937413</v>
      </c>
      <c r="W198" s="117">
        <v>0.70087840034784421</v>
      </c>
      <c r="X198" s="117">
        <v>1652.0336037696961</v>
      </c>
      <c r="Y198" s="118">
        <v>1.0467400258947161E-5</v>
      </c>
      <c r="Z198" s="117">
        <v>1.2863650942622249</v>
      </c>
    </row>
    <row r="199" spans="12:26" ht="13.8" thickBot="1" x14ac:dyDescent="0.3">
      <c r="L199" s="116">
        <v>195</v>
      </c>
      <c r="M199" s="117">
        <v>385.78759610536923</v>
      </c>
      <c r="N199" s="117">
        <v>359.51375110174411</v>
      </c>
      <c r="O199" s="117">
        <v>839.68390837143681</v>
      </c>
      <c r="P199" s="117">
        <v>1199.1996594731809</v>
      </c>
      <c r="Q199" s="117">
        <v>0.45743121234607542</v>
      </c>
      <c r="R199" s="117">
        <v>2.1861162415939819</v>
      </c>
      <c r="S199" s="117">
        <v>0.54886470750962801</v>
      </c>
      <c r="T199" s="117">
        <v>0.99316686008565891</v>
      </c>
      <c r="U199" s="117">
        <v>1.5420395675952869</v>
      </c>
      <c r="V199" s="117">
        <v>0.48765941587219425</v>
      </c>
      <c r="W199" s="117">
        <v>0.70166944446678303</v>
      </c>
      <c r="X199" s="117">
        <v>1652.1168933451049</v>
      </c>
      <c r="Y199" s="118">
        <v>1.0472551081335878E-5</v>
      </c>
      <c r="Z199" s="117">
        <v>1.28627793915099</v>
      </c>
    </row>
    <row r="200" spans="12:26" ht="13.8" thickBot="1" x14ac:dyDescent="0.3">
      <c r="L200" s="116">
        <v>196</v>
      </c>
      <c r="M200" s="117">
        <v>386.19073249603144</v>
      </c>
      <c r="N200" s="117">
        <v>359.94626474946642</v>
      </c>
      <c r="O200" s="117">
        <v>839.31391431681072</v>
      </c>
      <c r="P200" s="117">
        <v>1199.262179066277</v>
      </c>
      <c r="Q200" s="117">
        <v>0.45953584614990373</v>
      </c>
      <c r="R200" s="117">
        <v>2.1761040306276769</v>
      </c>
      <c r="S200" s="117">
        <v>0.54937212305149097</v>
      </c>
      <c r="T200" s="117">
        <v>0.99225609887990329</v>
      </c>
      <c r="U200" s="117">
        <v>1.5416362219313944</v>
      </c>
      <c r="V200" s="117">
        <v>0.48804185044923715</v>
      </c>
      <c r="W200" s="117">
        <v>0.70245932610923711</v>
      </c>
      <c r="X200" s="117">
        <v>1652.1990502433223</v>
      </c>
      <c r="Y200" s="118">
        <v>1.0477683185836609E-5</v>
      </c>
      <c r="Z200" s="117">
        <v>1.2861910734856896</v>
      </c>
    </row>
    <row r="201" spans="12:26" ht="13.8" thickBot="1" x14ac:dyDescent="0.3">
      <c r="L201" s="116">
        <v>197</v>
      </c>
      <c r="M201" s="117">
        <v>386.59237776752519</v>
      </c>
      <c r="N201" s="117">
        <v>360.37728586908554</v>
      </c>
      <c r="O201" s="117">
        <v>838.94487675980724</v>
      </c>
      <c r="P201" s="117">
        <v>1199.3241626288927</v>
      </c>
      <c r="Q201" s="117">
        <v>0.46164049431981663</v>
      </c>
      <c r="R201" s="117">
        <v>2.1661830440925769</v>
      </c>
      <c r="S201" s="117">
        <v>0.54987753198034772</v>
      </c>
      <c r="T201" s="117">
        <v>0.99134908242132358</v>
      </c>
      <c r="U201" s="117">
        <v>1.5412346144016713</v>
      </c>
      <c r="V201" s="117">
        <v>0.48842323218002526</v>
      </c>
      <c r="W201" s="117">
        <v>0.70324805507801424</v>
      </c>
      <c r="X201" s="117">
        <v>1652.2800853331305</v>
      </c>
      <c r="Y201" s="118">
        <v>1.0482796739589799E-5</v>
      </c>
      <c r="Z201" s="117">
        <v>1.2861044950511065</v>
      </c>
    </row>
    <row r="202" spans="12:26" ht="13.8" thickBot="1" x14ac:dyDescent="0.3">
      <c r="L202" s="116">
        <v>198</v>
      </c>
      <c r="M202" s="117">
        <v>386.99254459966647</v>
      </c>
      <c r="N202" s="117">
        <v>360.80682716800732</v>
      </c>
      <c r="O202" s="117">
        <v>838.5767877791867</v>
      </c>
      <c r="P202" s="117">
        <v>1199.385614947194</v>
      </c>
      <c r="Q202" s="117">
        <v>0.46374516014431538</v>
      </c>
      <c r="R202" s="117">
        <v>2.1563520255902495</v>
      </c>
      <c r="S202" s="117">
        <v>0.55038095210190918</v>
      </c>
      <c r="T202" s="117">
        <v>0.99044577639926479</v>
      </c>
      <c r="U202" s="117">
        <v>1.5408347285011741</v>
      </c>
      <c r="V202" s="117">
        <v>0.48880356828200366</v>
      </c>
      <c r="W202" s="117">
        <v>0.7040356410816091</v>
      </c>
      <c r="X202" s="117">
        <v>1652.3600093272057</v>
      </c>
      <c r="Y202" s="118">
        <v>1.048789190750006E-5</v>
      </c>
      <c r="Z202" s="117">
        <v>1.2860182016568675</v>
      </c>
    </row>
    <row r="203" spans="12:26" ht="13.8" thickBot="1" x14ac:dyDescent="0.3">
      <c r="L203" s="116">
        <v>199</v>
      </c>
      <c r="M203" s="117">
        <v>387.39124550477806</v>
      </c>
      <c r="N203" s="117">
        <v>361.23490118604121</v>
      </c>
      <c r="O203" s="117">
        <v>838.20963955579816</v>
      </c>
      <c r="P203" s="117">
        <v>1199.446540741839</v>
      </c>
      <c r="Q203" s="117">
        <v>0.46584984688121461</v>
      </c>
      <c r="R203" s="117">
        <v>2.1466097418271191</v>
      </c>
      <c r="S203" s="117">
        <v>0.55088240098074959</v>
      </c>
      <c r="T203" s="117">
        <v>0.98954614697727927</v>
      </c>
      <c r="U203" s="117">
        <v>1.5404365479580289</v>
      </c>
      <c r="V203" s="117">
        <v>0.48918286590149807</v>
      </c>
      <c r="W203" s="117">
        <v>0.70482209373547777</v>
      </c>
      <c r="X203" s="117">
        <v>1652.4388327850627</v>
      </c>
      <c r="Y203" s="118">
        <v>1.0492968852276391E-5</v>
      </c>
      <c r="Z203" s="117">
        <v>1.2859321911370651</v>
      </c>
    </row>
    <row r="204" spans="12:26" ht="13.8" thickBot="1" x14ac:dyDescent="0.3">
      <c r="L204" s="116">
        <v>200</v>
      </c>
      <c r="M204" s="117">
        <v>387.78849283068013</v>
      </c>
      <c r="N204" s="117">
        <v>361.66152029840356</v>
      </c>
      <c r="O204" s="117">
        <v>837.84342437077476</v>
      </c>
      <c r="P204" s="117">
        <v>1199.5069446691782</v>
      </c>
      <c r="Q204" s="117">
        <v>0.46795455775810296</v>
      </c>
      <c r="R204" s="117">
        <v>2.1369549820838465</v>
      </c>
      <c r="S204" s="117">
        <v>0.55138189594470699</v>
      </c>
      <c r="T204" s="117">
        <v>0.98865016078436063</v>
      </c>
      <c r="U204" s="117">
        <v>1.5400400567290677</v>
      </c>
      <c r="V204" s="117">
        <v>0.48956113211465996</v>
      </c>
      <c r="W204" s="117">
        <v>0.70560742256329501</v>
      </c>
      <c r="X204" s="117">
        <v>1652.5165661159426</v>
      </c>
      <c r="Y204" s="118">
        <v>1.0498027734471561E-5</v>
      </c>
      <c r="Z204" s="117">
        <v>1.2858464613499128</v>
      </c>
    </row>
    <row r="205" spans="12:26" ht="13.8" thickBot="1" x14ac:dyDescent="0.3">
      <c r="L205" s="116">
        <v>201</v>
      </c>
      <c r="M205" s="117">
        <v>388.18429876361068</v>
      </c>
      <c r="N205" s="117">
        <v>362.08669671861634</v>
      </c>
      <c r="O205" s="117">
        <v>837.47813460379507</v>
      </c>
      <c r="P205" s="117">
        <v>1199.5668313224112</v>
      </c>
      <c r="Q205" s="117">
        <v>0.47005929597278434</v>
      </c>
      <c r="R205" s="117">
        <v>2.1273865576993476</v>
      </c>
      <c r="S205" s="117">
        <v>0.55187945408915628</v>
      </c>
      <c r="T205" s="117">
        <v>0.98775778490639943</v>
      </c>
      <c r="U205" s="117">
        <v>1.5396452389955557</v>
      </c>
      <c r="V205" s="117">
        <v>0.48993837392839318</v>
      </c>
      <c r="W205" s="117">
        <v>0.70639163699818497</v>
      </c>
      <c r="X205" s="117">
        <v>1652.5932195816188</v>
      </c>
      <c r="Y205" s="118">
        <v>1.0503068712520512E-5</v>
      </c>
      <c r="Z205" s="117">
        <v>1.2857610101773613</v>
      </c>
    </row>
    <row r="206" spans="12:26" ht="13.8" thickBot="1" x14ac:dyDescent="0.3">
      <c r="L206" s="116">
        <v>202</v>
      </c>
      <c r="M206" s="117">
        <v>388.57867533108396</v>
      </c>
      <c r="N206" s="117">
        <v>362.51044250139336</v>
      </c>
      <c r="O206" s="117">
        <v>837.11376273134169</v>
      </c>
      <c r="P206" s="117">
        <v>1199.6262052327349</v>
      </c>
      <c r="Q206" s="117">
        <v>0.4721640646937254</v>
      </c>
      <c r="R206" s="117">
        <v>2.1179033015688713</v>
      </c>
      <c r="S206" s="117">
        <v>0.55237509228120141</v>
      </c>
      <c r="T206" s="117">
        <v>0.98686898687782409</v>
      </c>
      <c r="U206" s="117">
        <v>1.5392520791590256</v>
      </c>
      <c r="V206" s="117">
        <v>0.49031459828126711</v>
      </c>
      <c r="W206" s="117">
        <v>0.70717474638393674</v>
      </c>
      <c r="X206" s="117">
        <v>1652.6688032991519</v>
      </c>
      <c r="Y206" s="118">
        <v>1.0508091942778007E-5</v>
      </c>
      <c r="Z206" s="117">
        <v>1.285675835524785</v>
      </c>
    </row>
    <row r="207" spans="12:26" ht="13.8" thickBot="1" x14ac:dyDescent="0.3">
      <c r="L207" s="116">
        <v>203</v>
      </c>
      <c r="M207" s="117">
        <v>388.97163440468302</v>
      </c>
      <c r="N207" s="117">
        <v>362.93276954540192</v>
      </c>
      <c r="O207" s="117">
        <v>836.75030132504969</v>
      </c>
      <c r="P207" s="117">
        <v>1199.6850708704515</v>
      </c>
      <c r="Q207" s="117">
        <v>0.47426886706048105</v>
      </c>
      <c r="R207" s="117">
        <v>2.1085040676558071</v>
      </c>
      <c r="S207" s="117">
        <v>0.55286882716375896</v>
      </c>
      <c r="T207" s="117">
        <v>0.98598373467344558</v>
      </c>
      <c r="U207" s="117">
        <v>1.5388605618372047</v>
      </c>
      <c r="V207" s="117">
        <v>0.49068981204441131</v>
      </c>
      <c r="W207" s="117">
        <v>0.70795675997619234</v>
      </c>
      <c r="X207" s="117">
        <v>1652.7433272435699</v>
      </c>
      <c r="Y207" s="118">
        <v>1.0513097579555358E-5</v>
      </c>
      <c r="Z207" s="117">
        <v>1.2855909353206132</v>
      </c>
    </row>
    <row r="208" spans="12:26" ht="13.8" thickBot="1" x14ac:dyDescent="0.3">
      <c r="L208" s="116">
        <v>204</v>
      </c>
      <c r="M208" s="117">
        <v>389.36318770279206</v>
      </c>
      <c r="N208" s="117">
        <v>363.3536895960188</v>
      </c>
      <c r="O208" s="117">
        <v>836.38774305004233</v>
      </c>
      <c r="P208" s="117">
        <v>1199.7434326460609</v>
      </c>
      <c r="Q208" s="117">
        <v>0.47637370618412112</v>
      </c>
      <c r="R208" s="117">
        <v>2.0991877305166979</v>
      </c>
      <c r="S208" s="117">
        <v>0.55336067515956278</v>
      </c>
      <c r="T208" s="117">
        <v>0.98510199670047349</v>
      </c>
      <c r="U208" s="117">
        <v>1.5384706718600363</v>
      </c>
      <c r="V208" s="117">
        <v>0.49106402202239752</v>
      </c>
      <c r="W208" s="117">
        <v>0.70873768694361872</v>
      </c>
      <c r="X208" s="117">
        <v>1652.8168012504948</v>
      </c>
      <c r="Y208" s="118">
        <v>1.0518085775156397E-5</v>
      </c>
      <c r="Z208" s="117">
        <v>1.2855063075160149</v>
      </c>
    </row>
    <row r="209" spans="12:26" ht="13.8" thickBot="1" x14ac:dyDescent="0.3">
      <c r="L209" s="116">
        <v>205</v>
      </c>
      <c r="M209" s="117">
        <v>389.75334679326687</v>
      </c>
      <c r="N209" s="117">
        <v>363.77321424798936</v>
      </c>
      <c r="O209" s="117">
        <v>836.02608066333607</v>
      </c>
      <c r="P209" s="117">
        <v>1199.8012949113254</v>
      </c>
      <c r="Q209" s="117">
        <v>0.47847858514764058</v>
      </c>
      <c r="R209" s="117">
        <v>2.0899531848391097</v>
      </c>
      <c r="S209" s="117">
        <v>0.55385065247506926</v>
      </c>
      <c r="T209" s="117">
        <v>0.98422374179072425</v>
      </c>
      <c r="U209" s="117">
        <v>1.5380823942657935</v>
      </c>
      <c r="V209" s="117">
        <v>0.49143723495410524</v>
      </c>
      <c r="W209" s="117">
        <v>0.7095175363690559</v>
      </c>
      <c r="X209" s="117">
        <v>1652.8892350187034</v>
      </c>
      <c r="Y209" s="118">
        <v>1.0523056679912585E-5</v>
      </c>
      <c r="Z209" s="117">
        <v>1.2854219500845487</v>
      </c>
    </row>
    <row r="210" spans="12:26" ht="13.8" thickBot="1" x14ac:dyDescent="0.3">
      <c r="L210" s="116">
        <v>206</v>
      </c>
      <c r="M210" s="117">
        <v>390.14212309604892</v>
      </c>
      <c r="N210" s="117">
        <v>364.1913549480393</v>
      </c>
      <c r="O210" s="117">
        <v>835.66530701226793</v>
      </c>
      <c r="P210" s="117">
        <v>1199.8586619603072</v>
      </c>
      <c r="Q210" s="117">
        <v>0.48058350700637303</v>
      </c>
      <c r="R210" s="117">
        <v>2.0807993449918731</v>
      </c>
      <c r="S210" s="117">
        <v>0.55433877510428609</v>
      </c>
      <c r="T210" s="117">
        <v>0.98334893919299149</v>
      </c>
      <c r="U210" s="117">
        <v>1.5376957142972778</v>
      </c>
      <c r="V210" s="117">
        <v>0.49180945751357141</v>
      </c>
      <c r="W210" s="117">
        <v>0.71029631725064768</v>
      </c>
      <c r="X210" s="117">
        <v>1652.9606381126362</v>
      </c>
      <c r="Y210" s="118">
        <v>1.0528010442217449E-5</v>
      </c>
      <c r="Z210" s="117">
        <v>1.2853378610218649</v>
      </c>
    </row>
    <row r="211" spans="12:26" ht="13.8" thickBot="1" x14ac:dyDescent="0.3">
      <c r="L211" s="116">
        <v>207</v>
      </c>
      <c r="M211" s="117">
        <v>390.52952788572082</v>
      </c>
      <c r="N211" s="117">
        <v>364.6081229974381</v>
      </c>
      <c r="O211" s="117">
        <v>835.30541503295319</v>
      </c>
      <c r="P211" s="117">
        <v>1199.915538030391</v>
      </c>
      <c r="Q211" s="117">
        <v>0.48268847478838656</v>
      </c>
      <c r="R211" s="117">
        <v>2.071725144587401</v>
      </c>
      <c r="S211" s="117">
        <v>0.55482505883250677</v>
      </c>
      <c r="T211" s="117">
        <v>0.98247755856560282</v>
      </c>
      <c r="U211" s="117">
        <v>1.5373106173981095</v>
      </c>
      <c r="V211" s="117">
        <v>0.4921806963108295</v>
      </c>
      <c r="W211" s="117">
        <v>0.71107403850295225</v>
      </c>
      <c r="X211" s="117">
        <v>1653.0310199648418</v>
      </c>
      <c r="Y211" s="118">
        <v>1.053294720856017E-5</v>
      </c>
      <c r="Z211" s="117">
        <v>1.2852540383453717</v>
      </c>
    </row>
    <row r="212" spans="12:26" ht="13.8" thickBot="1" x14ac:dyDescent="0.3">
      <c r="L212" s="116">
        <v>208</v>
      </c>
      <c r="M212" s="117">
        <v>390.91557229400627</v>
      </c>
      <c r="N212" s="117">
        <v>365.02352955449106</v>
      </c>
      <c r="O212" s="117">
        <v>834.94639774878704</v>
      </c>
      <c r="P212" s="117">
        <v>1199.9719273032779</v>
      </c>
      <c r="Q212" s="117">
        <v>0.48479349149487494</v>
      </c>
      <c r="R212" s="117">
        <v>2.0627295360556506</v>
      </c>
      <c r="S212" s="117">
        <v>0.55530951923995953</v>
      </c>
      <c r="T212" s="117">
        <v>0.98160956996913928</v>
      </c>
      <c r="U212" s="117">
        <v>1.5369270892090989</v>
      </c>
      <c r="V212" s="117">
        <v>0.49255095789273068</v>
      </c>
      <c r="W212" s="117">
        <v>0.71185070895803326</v>
      </c>
      <c r="X212" s="117">
        <v>1653.100389878372</v>
      </c>
      <c r="Y212" s="118">
        <v>1.0537867123558486E-5</v>
      </c>
      <c r="Z212" s="117">
        <v>1.2851704800939254</v>
      </c>
    </row>
    <row r="213" spans="12:26" ht="13.8" thickBot="1" x14ac:dyDescent="0.3">
      <c r="L213" s="116">
        <v>209</v>
      </c>
      <c r="M213" s="117">
        <v>391.30026731221659</v>
      </c>
      <c r="N213" s="117">
        <v>365.43758563698992</v>
      </c>
      <c r="O213" s="117">
        <v>834.58824826896716</v>
      </c>
      <c r="P213" s="117">
        <v>1200.0278339059569</v>
      </c>
      <c r="Q213" s="117">
        <v>0.48689856010054522</v>
      </c>
      <c r="R213" s="117">
        <v>2.0538114902293669</v>
      </c>
      <c r="S213" s="117">
        <v>0.55579217170539841</v>
      </c>
      <c r="T213" s="117">
        <v>0.98074494385929634</v>
      </c>
      <c r="U213" s="117">
        <v>1.5365451155646948</v>
      </c>
      <c r="V213" s="117">
        <v>0.49292024874375362</v>
      </c>
      <c r="W213" s="117">
        <v>0.71262633736653436</v>
      </c>
      <c r="X213" s="117">
        <v>1653.1687570291213</v>
      </c>
      <c r="Y213" s="118">
        <v>1.0542770329990909E-5</v>
      </c>
      <c r="Z213" s="117">
        <v>1.2850871843275296</v>
      </c>
    </row>
    <row r="214" spans="12:26" ht="13.8" thickBot="1" x14ac:dyDescent="0.3">
      <c r="L214" s="116">
        <v>210</v>
      </c>
      <c r="M214" s="117">
        <v>391.68362379364493</v>
      </c>
      <c r="N214" s="117">
        <v>365.85030212460128</v>
      </c>
      <c r="O214" s="117">
        <v>834.2309597870601</v>
      </c>
      <c r="P214" s="117">
        <v>1200.0832619116611</v>
      </c>
      <c r="Q214" s="117">
        <v>0.48900368355399382</v>
      </c>
      <c r="R214" s="117">
        <v>2.0449699959402921</v>
      </c>
      <c r="S214" s="117">
        <v>0.55627303140958984</v>
      </c>
      <c r="T214" s="117">
        <v>0.97988365107993392</v>
      </c>
      <c r="U214" s="117">
        <v>1.5361646824895241</v>
      </c>
      <c r="V214" s="117">
        <v>0.49328857528679976</v>
      </c>
      <c r="W214" s="117">
        <v>0.71340093239873148</v>
      </c>
      <c r="X214" s="117">
        <v>1653.2361304681144</v>
      </c>
      <c r="Y214" s="118">
        <v>1.0547656968828156E-5</v>
      </c>
      <c r="Z214" s="117">
        <v>1.2850041491270339</v>
      </c>
    </row>
    <row r="215" spans="12:26" ht="13.8" thickBot="1" x14ac:dyDescent="0.3">
      <c r="L215" s="116">
        <v>211</v>
      </c>
      <c r="M215" s="117">
        <v>392.06565245590758</v>
      </c>
      <c r="N215" s="117">
        <v>366.26168976121869</v>
      </c>
      <c r="O215" s="117">
        <v>833.87452557957852</v>
      </c>
      <c r="P215" s="117">
        <v>1200.1382153407972</v>
      </c>
      <c r="Q215" s="117">
        <v>0.49110886477807814</v>
      </c>
      <c r="R215" s="117">
        <v>2.0362040596259736</v>
      </c>
      <c r="S215" s="117">
        <v>0.55675211333873764</v>
      </c>
      <c r="T215" s="117">
        <v>0.97902566285625459</v>
      </c>
      <c r="U215" s="117">
        <v>1.5357857761949922</v>
      </c>
      <c r="V215" s="117">
        <v>0.49365594388397649</v>
      </c>
      <c r="W215" s="117">
        <v>0.71417450264557469</v>
      </c>
      <c r="X215" s="117">
        <v>1653.3025191237409</v>
      </c>
      <c r="Y215" s="118">
        <v>1.0552527179264018E-5</v>
      </c>
      <c r="Z215" s="117">
        <v>1.2849213725938351</v>
      </c>
    </row>
    <row r="216" spans="12:26" ht="13.8" thickBot="1" x14ac:dyDescent="0.3">
      <c r="L216" s="116">
        <v>212</v>
      </c>
      <c r="M216" s="117">
        <v>392.44636388323755</v>
      </c>
      <c r="N216" s="117">
        <v>366.67175915724306</v>
      </c>
      <c r="O216" s="117">
        <v>833.51893900461437</v>
      </c>
      <c r="P216" s="117">
        <v>1200.1926981618574</v>
      </c>
      <c r="Q216" s="117">
        <v>0.49321410667028259</v>
      </c>
      <c r="R216" s="117">
        <v>2.0275127049468598</v>
      </c>
      <c r="S216" s="117">
        <v>0.55722943228783084</v>
      </c>
      <c r="T216" s="117">
        <v>0.97817095078814575</v>
      </c>
      <c r="U216" s="117">
        <v>1.5354083830759766</v>
      </c>
      <c r="V216" s="117">
        <v>0.49402236083736711</v>
      </c>
      <c r="W216" s="117">
        <v>0.71494705661970459</v>
      </c>
      <c r="X216" s="117">
        <v>1653.3679318039426</v>
      </c>
      <c r="Y216" s="118">
        <v>1.0557381098745496E-5</v>
      </c>
      <c r="Z216" s="117">
        <v>1.2848388528495995</v>
      </c>
    </row>
    <row r="217" spans="12:26" ht="13.8" thickBot="1" x14ac:dyDescent="0.3">
      <c r="L217" s="116">
        <v>213</v>
      </c>
      <c r="M217" s="117">
        <v>392.82576852872683</v>
      </c>
      <c r="N217" s="117">
        <v>367.08052079184</v>
      </c>
      <c r="O217" s="117">
        <v>833.16419350047227</v>
      </c>
      <c r="P217" s="117">
        <v>1200.2467142923122</v>
      </c>
      <c r="Q217" s="117">
        <v>0.49531941210307101</v>
      </c>
      <c r="R217" s="117">
        <v>2.0188949724133902</v>
      </c>
      <c r="S217" s="117">
        <v>0.55770500286391012</v>
      </c>
      <c r="T217" s="117">
        <v>0.97731948684366943</v>
      </c>
      <c r="U217" s="117">
        <v>1.5350324897075796</v>
      </c>
      <c r="V217" s="117">
        <v>0.49438783238978518</v>
      </c>
      <c r="W217" s="117">
        <v>0.71571860275645349</v>
      </c>
      <c r="X217" s="117">
        <v>1653.4323771983545</v>
      </c>
      <c r="Y217" s="118">
        <v>1.0562218863002306E-5</v>
      </c>
      <c r="Z217" s="117">
        <v>1.284756588035963</v>
      </c>
    </row>
    <row r="218" spans="12:26" ht="13.8" thickBot="1" x14ac:dyDescent="0.3">
      <c r="L218" s="116">
        <v>214</v>
      </c>
      <c r="M218" s="117">
        <v>393.20387671652361</v>
      </c>
      <c r="N218" s="117">
        <v>367.48798501511487</v>
      </c>
      <c r="O218" s="117">
        <v>832.81028258436788</v>
      </c>
      <c r="P218" s="117">
        <v>1200.3002675994826</v>
      </c>
      <c r="Q218" s="117">
        <v>0.49742478392424172</v>
      </c>
      <c r="R218" s="117">
        <v>2.0103499190227274</v>
      </c>
      <c r="S218" s="117">
        <v>0.55817883948929481</v>
      </c>
      <c r="T218" s="117">
        <v>0.97647124335266344</v>
      </c>
      <c r="U218" s="117">
        <v>1.5346580828419583</v>
      </c>
      <c r="V218" s="117">
        <v>0.4947523647255227</v>
      </c>
      <c r="W218" s="117">
        <v>0.7164891494148371</v>
      </c>
      <c r="X218" s="117">
        <v>1653.4958638803917</v>
      </c>
      <c r="Y218" s="118">
        <v>1.0567040606075769E-5</v>
      </c>
      <c r="Z218" s="117">
        <v>1.2846745763142595</v>
      </c>
    </row>
    <row r="219" spans="12:26" ht="13.8" thickBot="1" x14ac:dyDescent="0.3">
      <c r="L219" s="116">
        <v>215</v>
      </c>
      <c r="M219" s="117">
        <v>393.5806986439822</v>
      </c>
      <c r="N219" s="117">
        <v>367.89416205028306</v>
      </c>
      <c r="O219" s="117">
        <v>832.45719985111248</v>
      </c>
      <c r="P219" s="117">
        <v>1200.3533619013954</v>
      </c>
      <c r="Q219" s="117">
        <v>0.49953022495727334</v>
      </c>
      <c r="R219" s="117">
        <v>2.001876617904875</v>
      </c>
      <c r="S219" s="117">
        <v>0.55865095640469353</v>
      </c>
      <c r="T219" s="117">
        <v>0.97562619300053077</v>
      </c>
      <c r="U219" s="117">
        <v>1.5342851494052243</v>
      </c>
      <c r="V219" s="117">
        <v>0.49511596397108143</v>
      </c>
      <c r="W219" s="117">
        <v>0.71725870487852206</v>
      </c>
      <c r="X219" s="117">
        <v>1653.5584003092979</v>
      </c>
      <c r="Y219" s="118">
        <v>1.0571846460347111E-5</v>
      </c>
      <c r="Z219" s="117">
        <v>1.2845928158652529</v>
      </c>
    </row>
    <row r="220" spans="12:26" ht="13.8" thickBot="1" x14ac:dyDescent="0.3">
      <c r="L220" s="116">
        <v>216</v>
      </c>
      <c r="M220" s="117">
        <v>393.9562443837674</v>
      </c>
      <c r="N220" s="117">
        <v>368.29906199576465</v>
      </c>
      <c r="O220" s="117">
        <v>832.10493897185279</v>
      </c>
      <c r="P220" s="117">
        <v>1200.4060009676173</v>
      </c>
      <c r="Q220" s="117">
        <v>0.50163573800166017</v>
      </c>
      <c r="R220" s="117">
        <v>1.9934741579779141</v>
      </c>
      <c r="S220" s="117">
        <v>0.55912136767229081</v>
      </c>
      <c r="T220" s="117">
        <v>0.97478430882211931</v>
      </c>
      <c r="U220" s="117">
        <v>1.5339136764944101</v>
      </c>
      <c r="V220" s="117">
        <v>0.49547863619589227</v>
      </c>
      <c r="W220" s="117">
        <v>0.71802727735677718</v>
      </c>
      <c r="X220" s="117">
        <v>1653.619994832148</v>
      </c>
      <c r="Y220" s="118">
        <v>1.0576636556565121E-5</v>
      </c>
      <c r="Z220" s="117">
        <v>1.2845113048888612</v>
      </c>
    </row>
    <row r="221" spans="12:26" ht="13.8" thickBot="1" x14ac:dyDescent="0.3">
      <c r="L221" s="116">
        <v>217</v>
      </c>
      <c r="M221" s="117">
        <v>394.3305238859154</v>
      </c>
      <c r="N221" s="117">
        <v>368.70269482725365</v>
      </c>
      <c r="O221" s="117">
        <v>831.75349369282128</v>
      </c>
      <c r="P221" s="117">
        <v>1200.4581885200748</v>
      </c>
      <c r="Q221" s="117">
        <v>0.50374132583324405</v>
      </c>
      <c r="R221" s="117">
        <v>1.985141643612051</v>
      </c>
      <c r="S221" s="117">
        <v>0.55959008717875003</v>
      </c>
      <c r="T221" s="117">
        <v>0.97394556419574851</v>
      </c>
      <c r="U221" s="117">
        <v>1.5335436513744987</v>
      </c>
      <c r="V221" s="117">
        <v>0.49584038741302622</v>
      </c>
      <c r="W221" s="117">
        <v>0.71879487498541605</v>
      </c>
      <c r="X221" s="117">
        <v>1653.6806556858023</v>
      </c>
      <c r="Y221" s="118">
        <v>1.058141102387327E-5</v>
      </c>
      <c r="Z221" s="117">
        <v>1.2844300416038856</v>
      </c>
    </row>
    <row r="222" spans="12:26" ht="13.8" thickBot="1" x14ac:dyDescent="0.3">
      <c r="L222" s="116">
        <v>218</v>
      </c>
      <c r="M222" s="117">
        <v>394.70354697985124</v>
      </c>
      <c r="N222" s="117">
        <v>369.10507039972362</v>
      </c>
      <c r="O222" s="117">
        <v>831.40285783413196</v>
      </c>
      <c r="P222" s="117">
        <v>1200.5099282338554</v>
      </c>
      <c r="Q222" s="117">
        <v>0.5058469912045368</v>
      </c>
      <c r="R222" s="117">
        <v>1.9768781943022464</v>
      </c>
      <c r="S222" s="117">
        <v>0.5600571286381486</v>
      </c>
      <c r="T222" s="117">
        <v>0.97310993283737657</v>
      </c>
      <c r="U222" s="117">
        <v>1.5331750614755253</v>
      </c>
      <c r="V222" s="117">
        <v>0.49620122357989088</v>
      </c>
      <c r="W222" s="117">
        <v>0.71956150582771672</v>
      </c>
      <c r="X222" s="117">
        <v>1653.7403909988232</v>
      </c>
      <c r="Y222" s="118">
        <v>1.0586169989836223E-5</v>
      </c>
      <c r="Z222" s="117">
        <v>1.2843490242477418</v>
      </c>
    </row>
    <row r="223" spans="12:26" ht="13.8" thickBot="1" x14ac:dyDescent="0.3">
      <c r="L223" s="116">
        <v>219</v>
      </c>
      <c r="M223" s="117">
        <v>395.07532337636985</v>
      </c>
      <c r="N223" s="117">
        <v>369.50619844940991</v>
      </c>
      <c r="O223" s="117">
        <v>831.05302528858147</v>
      </c>
      <c r="P223" s="117">
        <v>1200.5612237379912</v>
      </c>
      <c r="Q223" s="117">
        <v>0.50795273684507003</v>
      </c>
      <c r="R223" s="117">
        <v>1.9686829443490179</v>
      </c>
      <c r="S223" s="117">
        <v>0.5605225055948615</v>
      </c>
      <c r="T223" s="117">
        <v>0.97227738879486503</v>
      </c>
      <c r="U223" s="117">
        <v>1.5328078943897265</v>
      </c>
      <c r="V223" s="117">
        <v>0.49656115059891986</v>
      </c>
      <c r="W223" s="117">
        <v>0.72032717787533718</v>
      </c>
      <c r="X223" s="117">
        <v>1653.7992087933521</v>
      </c>
      <c r="Y223" s="118">
        <v>1.0590913580465929E-5</v>
      </c>
      <c r="Z223" s="117">
        <v>1.2842682510762817</v>
      </c>
    </row>
    <row r="224" spans="12:26" ht="13.8" thickBot="1" x14ac:dyDescent="0.3">
      <c r="L224" s="116">
        <v>220</v>
      </c>
      <c r="M224" s="117">
        <v>395.44586266956372</v>
      </c>
      <c r="N224" s="117">
        <v>369.90608859575576</v>
      </c>
      <c r="O224" s="117">
        <v>830.70399002047247</v>
      </c>
      <c r="P224" s="117">
        <v>1200.612078616228</v>
      </c>
      <c r="Q224" s="117">
        <v>0.51005856546166162</v>
      </c>
      <c r="R224" s="117">
        <v>1.9605550425476146</v>
      </c>
      <c r="S224" s="117">
        <v>0.56098623142638693</v>
      </c>
      <c r="T224" s="117">
        <v>0.97144790644238488</v>
      </c>
      <c r="U224" s="117">
        <v>1.532442137868772</v>
      </c>
      <c r="V224" s="117">
        <v>0.49692017431824365</v>
      </c>
      <c r="W224" s="117">
        <v>0.72109189904919735</v>
      </c>
      <c r="X224" s="117">
        <v>1653.8571169869401</v>
      </c>
      <c r="Y224" s="118">
        <v>1.0595641920246937E-5</v>
      </c>
      <c r="Z224" s="117">
        <v>1.2841877203634153</v>
      </c>
    </row>
    <row r="225" spans="12:26" ht="13.8" thickBot="1" x14ac:dyDescent="0.3">
      <c r="L225" s="116">
        <v>221</v>
      </c>
      <c r="M225" s="117">
        <v>395.81517433872472</v>
      </c>
      <c r="N225" s="117">
        <v>370.30475034328549</v>
      </c>
      <c r="O225" s="117">
        <v>830.35574606448961</v>
      </c>
      <c r="P225" s="117">
        <v>1200.6624964077751</v>
      </c>
      <c r="Q225" s="117">
        <v>0.51216447973876233</v>
      </c>
      <c r="R225" s="117">
        <v>1.95249365188468</v>
      </c>
      <c r="S225" s="117">
        <v>0.56144831934609463</v>
      </c>
      <c r="T225" s="117">
        <v>0.97062146047493902</v>
      </c>
      <c r="U225" s="117">
        <v>1.5320777798210337</v>
      </c>
      <c r="V225" s="117">
        <v>0.49727830053235883</v>
      </c>
      <c r="W225" s="117">
        <v>0.72185567720036703</v>
      </c>
      <c r="X225" s="117">
        <v>1653.9141233943444</v>
      </c>
      <c r="Y225" s="118">
        <v>1.0600355132161409E-5</v>
      </c>
      <c r="Z225" s="117">
        <v>1.2841074304009583</v>
      </c>
    </row>
    <row r="226" spans="12:26" ht="13.8" thickBot="1" x14ac:dyDescent="0.3">
      <c r="L226" s="116">
        <v>222</v>
      </c>
      <c r="M226" s="117">
        <v>396.18326775019887</v>
      </c>
      <c r="N226" s="117">
        <v>370.70219308348624</v>
      </c>
      <c r="O226" s="117">
        <v>830.00828752455584</v>
      </c>
      <c r="P226" s="117">
        <v>1200.7124806080419</v>
      </c>
      <c r="Q226" s="117">
        <v>0.51427048233874351</v>
      </c>
      <c r="R226" s="117">
        <v>1.9444979492427212</v>
      </c>
      <c r="S226" s="117">
        <v>0.56190878240593722</v>
      </c>
      <c r="T226" s="117">
        <v>0.96979802590299036</v>
      </c>
      <c r="U226" s="117">
        <v>1.5317148083089276</v>
      </c>
      <c r="V226" s="117">
        <v>0.49763553498278035</v>
      </c>
      <c r="W226" s="117">
        <v>0.72261852011092687</v>
      </c>
      <c r="X226" s="117">
        <v>1653.9702357292847</v>
      </c>
      <c r="Y226" s="118">
        <v>1.0605053337713528E-5</v>
      </c>
      <c r="Z226" s="117">
        <v>1.2840273794983486</v>
      </c>
    </row>
    <row r="227" spans="12:26" ht="13.8" thickBot="1" x14ac:dyDescent="0.3">
      <c r="L227" s="116">
        <v>223</v>
      </c>
      <c r="M227" s="117">
        <v>396.55015215920696</v>
      </c>
      <c r="N227" s="117">
        <v>371.09842609660842</v>
      </c>
      <c r="O227" s="117">
        <v>829.66160857275509</v>
      </c>
      <c r="P227" s="117">
        <v>1200.7620346693634</v>
      </c>
      <c r="Q227" s="117">
        <v>0.51637657590220476</v>
      </c>
      <c r="R227" s="117">
        <v>1.9365671251118557</v>
      </c>
      <c r="S227" s="117">
        <v>0.5623676334991099</v>
      </c>
      <c r="T227" s="117">
        <v>0.96897757804719398</v>
      </c>
      <c r="U227" s="117">
        <v>1.5313532115463038</v>
      </c>
      <c r="V227" s="117">
        <v>0.49799188335868633</v>
      </c>
      <c r="W227" s="117">
        <v>0.72338043549482156</v>
      </c>
      <c r="X227" s="117">
        <v>1654.0254616061643</v>
      </c>
      <c r="Y227" s="118">
        <v>1.0609736656953421E-5</v>
      </c>
      <c r="Z227" s="117">
        <v>1.283947565982432</v>
      </c>
    </row>
    <row r="228" spans="12:26" ht="13.8" thickBot="1" x14ac:dyDescent="0.3">
      <c r="L228" s="116">
        <v>224</v>
      </c>
      <c r="M228" s="117">
        <v>396.91583671162601</v>
      </c>
      <c r="N228" s="117">
        <v>371.49345855346047</v>
      </c>
      <c r="O228" s="117">
        <v>829.31570344824013</v>
      </c>
      <c r="P228" s="117">
        <v>1200.8111620017005</v>
      </c>
      <c r="Q228" s="117">
        <v>0.51848276304826124</v>
      </c>
      <c r="R228" s="117">
        <v>1.9287003833087777</v>
      </c>
      <c r="S228" s="117">
        <v>0.56282488536261188</v>
      </c>
      <c r="T228" s="117">
        <v>0.96816009253328594</v>
      </c>
      <c r="U228" s="117">
        <v>1.5309929778958979</v>
      </c>
      <c r="V228" s="117">
        <v>0.49834735129755414</v>
      </c>
      <c r="W228" s="117">
        <v>0.72414143099869832</v>
      </c>
      <c r="X228" s="117">
        <v>1654.0798085417521</v>
      </c>
      <c r="Y228" s="118">
        <v>1.061440520850058E-5</v>
      </c>
      <c r="Z228" s="117">
        <v>1.2838679881972088</v>
      </c>
    </row>
    <row r="229" spans="12:26" ht="13.8" thickBot="1" x14ac:dyDescent="0.3">
      <c r="L229" s="116">
        <v>225</v>
      </c>
      <c r="M229" s="117">
        <v>397.28033044573652</v>
      </c>
      <c r="N229" s="117">
        <v>371.88729951714799</v>
      </c>
      <c r="O229" s="117">
        <v>828.97056645618636</v>
      </c>
      <c r="P229" s="117">
        <v>1200.8598659733343</v>
      </c>
      <c r="Q229" s="117">
        <v>0.52058904637483605</v>
      </c>
      <c r="R229" s="117">
        <v>1.9208969407026406</v>
      </c>
      <c r="S229" s="117">
        <v>0.56328055057981774</v>
      </c>
      <c r="T229" s="117">
        <v>0.96734554528701</v>
      </c>
      <c r="U229" s="117">
        <v>1.5306340958668279</v>
      </c>
      <c r="V229" s="117">
        <v>0.49870194438578114</v>
      </c>
      <c r="W229" s="117">
        <v>0.72490151420272853</v>
      </c>
      <c r="X229" s="117">
        <v>1654.1332839568315</v>
      </c>
      <c r="Y229" s="118">
        <v>1.0619059109566848E-5</v>
      </c>
      <c r="Z229" s="117">
        <v>1.2837886445036164</v>
      </c>
    </row>
    <row r="230" spans="12:26" ht="13.8" thickBot="1" x14ac:dyDescent="0.3">
      <c r="L230" s="116">
        <v>226</v>
      </c>
      <c r="M230" s="117">
        <v>397.64364229393362</v>
      </c>
      <c r="N230" s="117">
        <v>372.27995794478903</v>
      </c>
      <c r="O230" s="117">
        <v>828.62619196675735</v>
      </c>
      <c r="P230" s="117">
        <v>1200.9081499115462</v>
      </c>
      <c r="Q230" s="117">
        <v>0.52269542845894179</v>
      </c>
      <c r="R230" s="117">
        <v>1.9131560269477148</v>
      </c>
      <c r="S230" s="117">
        <v>0.5637346415829585</v>
      </c>
      <c r="T230" s="117">
        <v>0.96653391252919463</v>
      </c>
      <c r="U230" s="117">
        <v>1.5302765541121532</v>
      </c>
      <c r="V230" s="117">
        <v>0.49905566815930208</v>
      </c>
      <c r="W230" s="117">
        <v>0.7256606926214213</v>
      </c>
      <c r="X230" s="117">
        <v>1654.1858951778133</v>
      </c>
      <c r="Y230" s="118">
        <v>1.0623698475978905E-5</v>
      </c>
      <c r="Z230" s="117">
        <v>1.2837095332792938</v>
      </c>
    </row>
    <row r="231" spans="12:26" ht="13.8" thickBot="1" x14ac:dyDescent="0.3">
      <c r="L231" s="116">
        <v>227</v>
      </c>
      <c r="M231" s="117">
        <v>398.00578108440408</v>
      </c>
      <c r="N231" s="117">
        <v>372.67144268919537</v>
      </c>
      <c r="O231" s="117">
        <v>828.28257441408289</v>
      </c>
      <c r="P231" s="117">
        <v>1200.9560171032781</v>
      </c>
      <c r="Q231" s="117">
        <v>0.52480191185695824</v>
      </c>
      <c r="R231" s="117">
        <v>1.9054768842226011</v>
      </c>
      <c r="S231" s="117">
        <v>0.56418717065554769</v>
      </c>
      <c r="T231" s="117">
        <v>0.9657251707709269</v>
      </c>
      <c r="U231" s="117">
        <v>1.5299203414264748</v>
      </c>
      <c r="V231" s="117">
        <v>0.49940852810419356</v>
      </c>
      <c r="W231" s="117">
        <v>0.72641897370442265</v>
      </c>
      <c r="X231" s="117">
        <v>1654.2376494383182</v>
      </c>
      <c r="Y231" s="118">
        <v>1.0628323422200316E-5</v>
      </c>
      <c r="Z231" s="117">
        <v>1.2836306529183625</v>
      </c>
    </row>
    <row r="232" spans="12:26" ht="13.8" thickBot="1" x14ac:dyDescent="0.3">
      <c r="L232" s="116">
        <v>228</v>
      </c>
      <c r="M232" s="117">
        <v>398.3667555427707</v>
      </c>
      <c r="N232" s="117">
        <v>373.06176250051078</v>
      </c>
      <c r="O232" s="117">
        <v>827.93970829527439</v>
      </c>
      <c r="P232" s="117">
        <v>1201.003470795785</v>
      </c>
      <c r="Q232" s="117">
        <v>0.52690849910491033</v>
      </c>
      <c r="R232" s="117">
        <v>1.8978587669758002</v>
      </c>
      <c r="S232" s="117">
        <v>0.56463814993478656</v>
      </c>
      <c r="T232" s="117">
        <v>0.96491929680880439</v>
      </c>
      <c r="U232" s="117">
        <v>1.5295654467435911</v>
      </c>
      <c r="V232" s="117">
        <v>0.49976052965726936</v>
      </c>
      <c r="W232" s="117">
        <v>0.72717636483729997</v>
      </c>
      <c r="X232" s="117">
        <v>1654.2885538807211</v>
      </c>
      <c r="Y232" s="118">
        <v>1.063293406135314E-5</v>
      </c>
      <c r="Z232" s="117">
        <v>1.283552001831211</v>
      </c>
    </row>
    <row r="233" spans="12:26" ht="13.8" thickBot="1" x14ac:dyDescent="0.3">
      <c r="L233" s="116">
        <v>229</v>
      </c>
      <c r="M233" s="117">
        <v>398.72657429370292</v>
      </c>
      <c r="N233" s="117">
        <v>373.45092602781676</v>
      </c>
      <c r="O233" s="117">
        <v>827.59758816945578</v>
      </c>
      <c r="P233" s="117">
        <v>1201.0505141972724</v>
      </c>
      <c r="Q233" s="117">
        <v>0.52901519271873232</v>
      </c>
      <c r="R233" s="117">
        <v>1.8903009416775058</v>
      </c>
      <c r="S233" s="117">
        <v>0.56508759141389109</v>
      </c>
      <c r="T233" s="117">
        <v>0.96411626772031012</v>
      </c>
      <c r="U233" s="117">
        <v>1.5292118591342012</v>
      </c>
      <c r="V233" s="117">
        <v>0.50011167820666647</v>
      </c>
      <c r="W233" s="117">
        <v>0.72793287334231638</v>
      </c>
      <c r="X233" s="117">
        <v>1654.3386155576677</v>
      </c>
      <c r="Y233" s="118">
        <v>1.0637530505239134E-5</v>
      </c>
      <c r="Z233" s="117">
        <v>1.2834735784442699</v>
      </c>
    </row>
    <row r="234" spans="12:26" ht="13.8" thickBot="1" x14ac:dyDescent="0.3">
      <c r="L234" s="116">
        <v>230</v>
      </c>
      <c r="M234" s="117">
        <v>399.08524586249706</v>
      </c>
      <c r="N234" s="117">
        <v>373.83894182072657</v>
      </c>
      <c r="O234" s="117">
        <v>827.256208656794</v>
      </c>
      <c r="P234" s="117">
        <v>1201.0971504775205</v>
      </c>
      <c r="Q234" s="117">
        <v>0.5311219951945394</v>
      </c>
      <c r="R234" s="117">
        <v>1.8828026865773719</v>
      </c>
      <c r="S234" s="117">
        <v>0.56553550694439858</v>
      </c>
      <c r="T234" s="117">
        <v>0.96331606085925514</v>
      </c>
      <c r="U234" s="117">
        <v>1.5288595678036538</v>
      </c>
      <c r="V234" s="117">
        <v>0.50046197909242629</v>
      </c>
      <c r="W234" s="117">
        <v>0.72868850647919725</v>
      </c>
      <c r="X234" s="117">
        <v>1654.3878414335607</v>
      </c>
      <c r="Y234" s="118">
        <v>1.0642112864360479E-5</v>
      </c>
      <c r="Z234" s="117">
        <v>1.2833953811998196</v>
      </c>
    </row>
    <row r="235" spans="12:26" ht="13.8" thickBot="1" x14ac:dyDescent="0.3">
      <c r="L235" s="116">
        <v>231</v>
      </c>
      <c r="M235" s="117">
        <v>399.44277867662316</v>
      </c>
      <c r="N235" s="117">
        <v>374.22581833092494</v>
      </c>
      <c r="O235" s="117">
        <v>826.9155644375719</v>
      </c>
      <c r="P235" s="117">
        <v>1201.1433827684966</v>
      </c>
      <c r="Q235" s="117">
        <v>0.53322890900887876</v>
      </c>
      <c r="R235" s="117">
        <v>1.8753632914681821</v>
      </c>
      <c r="S235" s="117">
        <v>0.56598190823840588</v>
      </c>
      <c r="T235" s="117">
        <v>0.9625186538513375</v>
      </c>
      <c r="U235" s="117">
        <v>1.5285085620897434</v>
      </c>
      <c r="V235" s="117">
        <v>0.50081143760705826</v>
      </c>
      <c r="W235" s="117">
        <v>0.72944327144587229</v>
      </c>
      <c r="X235" s="117">
        <v>1654.4362383860107</v>
      </c>
      <c r="Y235" s="118">
        <v>1.0646681247940146E-5</v>
      </c>
      <c r="Z235" s="117">
        <v>1.2833174085557553</v>
      </c>
    </row>
    <row r="236" spans="12:26" ht="13.8" thickBot="1" x14ac:dyDescent="0.3">
      <c r="L236" s="116">
        <v>232</v>
      </c>
      <c r="M236" s="117">
        <v>399.79918106724438</v>
      </c>
      <c r="N236" s="117">
        <v>374.61156391368763</v>
      </c>
      <c r="O236" s="117">
        <v>826.57565025126746</v>
      </c>
      <c r="P236" s="117">
        <v>1201.1892141649548</v>
      </c>
      <c r="Q236" s="117">
        <v>0.53533593661899403</v>
      </c>
      <c r="R236" s="117">
        <v>1.8679820574551407</v>
      </c>
      <c r="S236" s="117">
        <v>0.56642680687077451</v>
      </c>
      <c r="T236" s="117">
        <v>0.9617240245897748</v>
      </c>
      <c r="U236" s="117">
        <v>1.5281588314605494</v>
      </c>
      <c r="V236" s="117">
        <v>0.50116005899610527</v>
      </c>
      <c r="W236" s="117">
        <v>0.7301971753792228</v>
      </c>
      <c r="X236" s="117">
        <v>1654.4838132072628</v>
      </c>
      <c r="Y236" s="118">
        <v>1.0651235763941851E-5</v>
      </c>
      <c r="Z236" s="117">
        <v>1.2832396589854058</v>
      </c>
    </row>
    <row r="237" spans="12:26" ht="13.8" thickBot="1" x14ac:dyDescent="0.3">
      <c r="L237" s="116">
        <v>233</v>
      </c>
      <c r="M237" s="117">
        <v>400.15446127070419</v>
      </c>
      <c r="N237" s="117">
        <v>374.99618682936654</v>
      </c>
      <c r="O237" s="117">
        <v>826.23646089565955</v>
      </c>
      <c r="P237" s="117">
        <v>1201.234647725026</v>
      </c>
      <c r="Q237" s="117">
        <v>0.53744308046307154</v>
      </c>
      <c r="R237" s="117">
        <v>1.860658296730733</v>
      </c>
      <c r="S237" s="117">
        <v>0.56687021428129691</v>
      </c>
      <c r="T237" s="117">
        <v>0.96093215123102671</v>
      </c>
      <c r="U237" s="117">
        <v>1.5278103655123239</v>
      </c>
      <c r="V237" s="117">
        <v>0.50150784845869179</v>
      </c>
      <c r="W237" s="117">
        <v>0.73095022535580367</v>
      </c>
      <c r="X237" s="117">
        <v>1654.5305726055915</v>
      </c>
      <c r="Y237" s="118">
        <v>1.0655776519089605E-5</v>
      </c>
      <c r="Z237" s="117">
        <v>1.28316213097732</v>
      </c>
    </row>
    <row r="238" spans="12:26" ht="13.8" thickBot="1" x14ac:dyDescent="0.3">
      <c r="L238" s="116">
        <v>234</v>
      </c>
      <c r="M238" s="117">
        <v>400.50862742998697</v>
      </c>
      <c r="N238" s="117">
        <v>375.37969524486175</v>
      </c>
      <c r="O238" s="117">
        <v>825.89799122592967</v>
      </c>
      <c r="P238" s="117">
        <v>1201.2796864707914</v>
      </c>
      <c r="Q238" s="117">
        <v>0.53955034296049253</v>
      </c>
      <c r="R238" s="117">
        <v>1.8533913323549225</v>
      </c>
      <c r="S238" s="117">
        <v>0.56731214177680833</v>
      </c>
      <c r="T238" s="117">
        <v>0.96014301219060749</v>
      </c>
      <c r="U238" s="117">
        <v>1.5274631539674159</v>
      </c>
      <c r="V238" s="117">
        <v>0.50185481114807018</v>
      </c>
      <c r="W238" s="117">
        <v>0.73170242839256261</v>
      </c>
      <c r="X238" s="117">
        <v>1654.5765232066665</v>
      </c>
      <c r="Y238" s="118">
        <v>1.0660303618886907E-5</v>
      </c>
      <c r="Z238" s="117">
        <v>1.2830848230350782</v>
      </c>
    </row>
    <row r="239" spans="12:26" ht="13.8" thickBot="1" x14ac:dyDescent="0.3">
      <c r="L239" s="116">
        <v>235</v>
      </c>
      <c r="M239" s="117">
        <v>400.86168759614753</v>
      </c>
      <c r="N239" s="117">
        <v>375.76209723503371</v>
      </c>
      <c r="O239" s="117">
        <v>825.56023615381594</v>
      </c>
      <c r="P239" s="117">
        <v>1201.3243333888495</v>
      </c>
      <c r="Q239" s="117">
        <v>0.54165772651206967</v>
      </c>
      <c r="R239" s="117">
        <v>1.8461804980406067</v>
      </c>
      <c r="S239" s="117">
        <v>0.56775260053326049</v>
      </c>
      <c r="T239" s="117">
        <v>0.959356586138982</v>
      </c>
      <c r="U239" s="117">
        <v>1.5271171866722424</v>
      </c>
      <c r="V239" s="117">
        <v>0.50220095217215388</v>
      </c>
      <c r="W239" s="117">
        <v>0.73245379144754352</v>
      </c>
      <c r="X239" s="117">
        <v>1654.6216715548926</v>
      </c>
      <c r="Y239" s="118">
        <v>1.0664817167635535E-5</v>
      </c>
      <c r="Z239" s="117">
        <v>1.2830077336770807</v>
      </c>
    </row>
    <row r="240" spans="12:26" ht="13.8" thickBot="1" x14ac:dyDescent="0.3">
      <c r="L240" s="116">
        <v>236</v>
      </c>
      <c r="M240" s="117">
        <v>401.21364972971628</v>
      </c>
      <c r="N240" s="117">
        <v>376.14340078412528</v>
      </c>
      <c r="O240" s="117">
        <v>825.22319064674582</v>
      </c>
      <c r="P240" s="117">
        <v>1201.368591430871</v>
      </c>
      <c r="Q240" s="117">
        <v>0.54376523350029404</v>
      </c>
      <c r="R240" s="117">
        <v>1.8390251379440985</v>
      </c>
      <c r="S240" s="117">
        <v>0.56819160159776416</v>
      </c>
      <c r="T240" s="117">
        <v>0.95857285199753295</v>
      </c>
      <c r="U240" s="117">
        <v>1.5267724535952971</v>
      </c>
      <c r="V240" s="117">
        <v>0.5025462765940466</v>
      </c>
      <c r="W240" s="117">
        <v>0.73320432142058389</v>
      </c>
      <c r="X240" s="117">
        <v>1654.6660241147254</v>
      </c>
      <c r="Y240" s="118">
        <v>1.0669317268454004E-5</v>
      </c>
      <c r="Z240" s="117">
        <v>1.2829308614363799</v>
      </c>
    </row>
    <row r="241" spans="12:26" ht="13.8" thickBot="1" x14ac:dyDescent="0.3">
      <c r="L241" s="116">
        <v>237</v>
      </c>
      <c r="M241" s="117">
        <v>401.56452170207439</v>
      </c>
      <c r="N241" s="117">
        <v>376.52361378712811</v>
      </c>
      <c r="O241" s="117">
        <v>824.88684972701117</v>
      </c>
      <c r="P241" s="117">
        <v>1201.4124635141391</v>
      </c>
      <c r="Q241" s="117">
        <v>0.54587286628956311</v>
      </c>
      <c r="R241" s="117">
        <v>1.831924606460597</v>
      </c>
      <c r="S241" s="117">
        <v>0.56862915589057828</v>
      </c>
      <c r="T241" s="117">
        <v>0.95779178893462202</v>
      </c>
      <c r="U241" s="117">
        <v>1.5264289448252002</v>
      </c>
      <c r="V241" s="117">
        <v>0.50289078943256116</v>
      </c>
      <c r="W241" s="117">
        <v>0.73395402515399699</v>
      </c>
      <c r="X241" s="117">
        <v>1654.7095872719531</v>
      </c>
      <c r="Y241" s="118">
        <v>1.0673804023295649E-5</v>
      </c>
      <c r="Z241" s="117">
        <v>1.2828542048604672</v>
      </c>
    </row>
    <row r="242" spans="12:26" ht="13.8" thickBot="1" x14ac:dyDescent="0.3">
      <c r="L242" s="116">
        <v>238</v>
      </c>
      <c r="M242" s="117">
        <v>401.91431129680507</v>
      </c>
      <c r="N242" s="117">
        <v>376.90274405113342</v>
      </c>
      <c r="O242" s="117">
        <v>824.55120847095441</v>
      </c>
      <c r="P242" s="117">
        <v>1201.4559525220877</v>
      </c>
      <c r="Q242" s="117">
        <v>0.5479806272264196</v>
      </c>
      <c r="R242" s="117">
        <v>1.8248782680244076</v>
      </c>
      <c r="S242" s="117">
        <v>0.56906527420706543</v>
      </c>
      <c r="T242" s="117">
        <v>0.95701337636172112</v>
      </c>
      <c r="U242" s="117">
        <v>1.5260866505687865</v>
      </c>
      <c r="V242" s="117">
        <v>0.50323449566273237</v>
      </c>
      <c r="W242" s="117">
        <v>0.7347029094332499</v>
      </c>
      <c r="X242" s="117">
        <v>1654.7523673349592</v>
      </c>
      <c r="Y242" s="118">
        <v>1.0678277532966362E-5</v>
      </c>
      <c r="Z242" s="117">
        <v>1.2827777625111085</v>
      </c>
    </row>
    <row r="243" spans="12:26" ht="13.8" thickBot="1" x14ac:dyDescent="0.3">
      <c r="L243" s="116">
        <v>239</v>
      </c>
      <c r="M243" s="117">
        <v>402.2630262110178</v>
      </c>
      <c r="N243" s="117">
        <v>377.2807992966637</v>
      </c>
      <c r="O243" s="117">
        <v>824.21626200815388</v>
      </c>
      <c r="P243" s="117">
        <v>1201.4990613048174</v>
      </c>
      <c r="Q243" s="117">
        <v>0.55008851863977426</v>
      </c>
      <c r="R243" s="117">
        <v>1.817885496913874</v>
      </c>
      <c r="S243" s="117">
        <v>0.56949996721961837</v>
      </c>
      <c r="T243" s="117">
        <v>0.95623759392961349</v>
      </c>
      <c r="U243" s="117">
        <v>1.5257455611492321</v>
      </c>
      <c r="V243" s="117">
        <v>0.50357740021631914</v>
      </c>
      <c r="W243" s="117">
        <v>0.73545098098762041</v>
      </c>
      <c r="X243" s="117">
        <v>1654.7943705359612</v>
      </c>
      <c r="Y243" s="118">
        <v>1.0682737897142012E-5</v>
      </c>
      <c r="Z243" s="117">
        <v>1.2827015329641551</v>
      </c>
    </row>
    <row r="244" spans="12:26" ht="13.8" thickBot="1" x14ac:dyDescent="0.3">
      <c r="L244" s="116">
        <v>240</v>
      </c>
      <c r="M244" s="117">
        <v>402.61067405664676</v>
      </c>
      <c r="N244" s="117">
        <v>377.65778715896715</v>
      </c>
      <c r="O244" s="117">
        <v>823.88200552064552</v>
      </c>
      <c r="P244" s="117">
        <v>1201.5417926796124</v>
      </c>
      <c r="Q244" s="117">
        <v>0.55219654284112796</v>
      </c>
      <c r="R244" s="117">
        <v>1.8109456770608412</v>
      </c>
      <c r="S244" s="117">
        <v>0.5699332454795345</v>
      </c>
      <c r="T244" s="117">
        <v>0.95546442152468236</v>
      </c>
      <c r="U244" s="117">
        <v>1.5254056670042169</v>
      </c>
      <c r="V244" s="117">
        <v>0.50391950798230445</v>
      </c>
      <c r="W244" s="117">
        <v>0.73619824649085919</v>
      </c>
      <c r="X244" s="117">
        <v>1654.8356030322161</v>
      </c>
      <c r="Y244" s="118">
        <v>1.0687185214385486E-5</v>
      </c>
      <c r="Z244" s="117">
        <v>1.2826255148093482</v>
      </c>
    </row>
    <row r="245" spans="12:26" ht="13.8" thickBot="1" x14ac:dyDescent="0.3">
      <c r="L245" s="116">
        <v>241</v>
      </c>
      <c r="M245" s="117">
        <v>402.9572623617276</v>
      </c>
      <c r="N245" s="117">
        <v>378.03371518928913</v>
      </c>
      <c r="O245" s="117">
        <v>823.54843424215255</v>
      </c>
      <c r="P245" s="117">
        <v>1201.5841494314416</v>
      </c>
      <c r="Q245" s="117">
        <v>0.55430470212480165</v>
      </c>
      <c r="R245" s="117">
        <v>1.8040582018645017</v>
      </c>
      <c r="S245" s="117">
        <v>0.57036511941886769</v>
      </c>
      <c r="T245" s="117">
        <v>0.95469383926525619</v>
      </c>
      <c r="U245" s="117">
        <v>1.5250669586841241</v>
      </c>
      <c r="V245" s="117">
        <v>0.50426082380738291</v>
      </c>
      <c r="W245" s="117">
        <v>0.73694471256183036</v>
      </c>
      <c r="X245" s="117">
        <v>1654.876070907213</v>
      </c>
      <c r="Y245" s="118">
        <v>1.0691619582163461E-5</v>
      </c>
      <c r="Z245" s="117">
        <v>1.2825497066501763</v>
      </c>
    </row>
    <row r="246" spans="12:26" ht="13.8" thickBot="1" x14ac:dyDescent="0.3">
      <c r="L246" s="116">
        <v>242</v>
      </c>
      <c r="M246" s="117">
        <v>403.30279857164629</v>
      </c>
      <c r="N246" s="117">
        <v>378.4085908561359</v>
      </c>
      <c r="O246" s="117">
        <v>823.21554345731533</v>
      </c>
      <c r="P246" s="117">
        <v>1201.6261343134511</v>
      </c>
      <c r="Q246" s="117">
        <v>0.55641299876814254</v>
      </c>
      <c r="R246" s="117">
        <v>1.7972224740096068</v>
      </c>
      <c r="S246" s="117">
        <v>0.57079559935223068</v>
      </c>
      <c r="T246" s="117">
        <v>0.95392582749804322</v>
      </c>
      <c r="U246" s="117">
        <v>1.524729426850274</v>
      </c>
      <c r="V246" s="117">
        <v>0.50460135249644444</v>
      </c>
      <c r="W246" s="117">
        <v>0.73769038576514523</v>
      </c>
      <c r="X246" s="117">
        <v>1654.915780171835</v>
      </c>
      <c r="Y246" s="118">
        <v>1.069604109686285E-5</v>
      </c>
      <c r="Z246" s="117">
        <v>1.2824741071036703</v>
      </c>
    </row>
    <row r="247" spans="12:26" ht="13.8" thickBot="1" x14ac:dyDescent="0.3">
      <c r="L247" s="116">
        <v>243</v>
      </c>
      <c r="M247" s="117">
        <v>403.64729005036685</v>
      </c>
      <c r="N247" s="117">
        <v>378.78242154648899</v>
      </c>
      <c r="O247" s="117">
        <v>822.88332850096026</v>
      </c>
      <c r="P247" s="117">
        <v>1201.6677500474491</v>
      </c>
      <c r="Q247" s="117">
        <v>0.55852143503173834</v>
      </c>
      <c r="R247" s="117">
        <v>1.7904379052888253</v>
      </c>
      <c r="S247" s="117">
        <v>0.57122469547858112</v>
      </c>
      <c r="T247" s="117">
        <v>0.95316036679461624</v>
      </c>
      <c r="U247" s="117">
        <v>1.5243930622731974</v>
      </c>
      <c r="V247" s="117">
        <v>0.50494109881304883</v>
      </c>
      <c r="W247" s="117">
        <v>0.73843527261179143</v>
      </c>
      <c r="X247" s="117">
        <v>1654.9547367655002</v>
      </c>
      <c r="Y247" s="118">
        <v>1.0700449853806872E-5</v>
      </c>
      <c r="Z247" s="117">
        <v>1.2823987148002354</v>
      </c>
    </row>
    <row r="248" spans="12:26" ht="13.8" thickBot="1" x14ac:dyDescent="0.3">
      <c r="L248" s="116">
        <v>244</v>
      </c>
      <c r="M248" s="117">
        <v>403.99074408163739</v>
      </c>
      <c r="N248" s="117">
        <v>379.15521456701492</v>
      </c>
      <c r="O248" s="117">
        <v>822.551784757365</v>
      </c>
      <c r="P248" s="117">
        <v>1201.7089993243799</v>
      </c>
      <c r="Q248" s="117">
        <v>0.56063001315963945</v>
      </c>
      <c r="R248" s="117">
        <v>1.7837039164291366</v>
      </c>
      <c r="S248" s="117">
        <v>0.57165241788295806</v>
      </c>
      <c r="T248" s="117">
        <v>0.95239743794797194</v>
      </c>
      <c r="U248" s="117">
        <v>1.5240578558309301</v>
      </c>
      <c r="V248" s="117">
        <v>0.50528006747989607</v>
      </c>
      <c r="W248" s="117">
        <v>0.73917937955974777</v>
      </c>
      <c r="X248" s="117">
        <v>1654.9929465572841</v>
      </c>
      <c r="Y248" s="118">
        <v>1.0704845947270931E-5</v>
      </c>
      <c r="Z248" s="117">
        <v>1.2823235283835153</v>
      </c>
    </row>
    <row r="249" spans="12:26" ht="13.8" thickBot="1" x14ac:dyDescent="0.3">
      <c r="L249" s="116">
        <v>245</v>
      </c>
      <c r="M249" s="117">
        <v>404.33316787016997</v>
      </c>
      <c r="N249" s="117">
        <v>379.52697714525192</v>
      </c>
      <c r="O249" s="117">
        <v>822.22090765953567</v>
      </c>
      <c r="P249" s="117">
        <v>1201.7498848047874</v>
      </c>
      <c r="Q249" s="117">
        <v>0.56273873537955044</v>
      </c>
      <c r="R249" s="117">
        <v>1.7770199369222779</v>
      </c>
      <c r="S249" s="117">
        <v>0.57207877653819028</v>
      </c>
      <c r="T249" s="117">
        <v>0.95163702196916455</v>
      </c>
      <c r="U249" s="117">
        <v>1.5237237985073551</v>
      </c>
      <c r="V249" s="117">
        <v>0.5056182631792866</v>
      </c>
      <c r="W249" s="117">
        <v>0.73992271301459089</v>
      </c>
      <c r="X249" s="117">
        <v>1655.0304153470115</v>
      </c>
      <c r="Y249" s="118">
        <v>1.0709229470498112E-5</v>
      </c>
      <c r="Z249" s="117">
        <v>1.2822485465101852</v>
      </c>
    </row>
    <row r="250" spans="12:26" ht="13.8" thickBot="1" x14ac:dyDescent="0.3">
      <c r="L250" s="116">
        <v>246</v>
      </c>
      <c r="M250" s="117">
        <v>404.67456854280152</v>
      </c>
      <c r="N250" s="117">
        <v>379.8977164307646</v>
      </c>
      <c r="O250" s="117">
        <v>821.89069268851074</v>
      </c>
      <c r="P250" s="117">
        <v>1201.7904091192752</v>
      </c>
      <c r="Q250" s="117">
        <v>0.5648476039030389</v>
      </c>
      <c r="R250" s="117">
        <v>1.77038540485898</v>
      </c>
      <c r="S250" s="117">
        <v>0.57250378130658075</v>
      </c>
      <c r="T250" s="117">
        <v>0.95087910008398635</v>
      </c>
      <c r="U250" s="117">
        <v>1.5233908813905672</v>
      </c>
      <c r="V250" s="117">
        <v>0.50595569055357736</v>
      </c>
      <c r="W250" s="117">
        <v>0.74066527933009474</v>
      </c>
      <c r="X250" s="117">
        <v>1655.0671488663395</v>
      </c>
      <c r="Y250" s="118">
        <v>1.0713600515714419E-5</v>
      </c>
      <c r="Z250" s="117">
        <v>1.2821737678498077</v>
      </c>
    </row>
    <row r="251" spans="12:26" ht="13.8" thickBot="1" x14ac:dyDescent="0.3">
      <c r="L251" s="116">
        <v>247</v>
      </c>
      <c r="M251" s="117">
        <v>405.0149531496329</v>
      </c>
      <c r="N251" s="117">
        <v>380.26743949628519</v>
      </c>
      <c r="O251" s="117">
        <v>821.56113537266617</v>
      </c>
      <c r="P251" s="117">
        <v>1201.8305748689513</v>
      </c>
      <c r="Q251" s="117">
        <v>0.56695662092573917</v>
      </c>
      <c r="R251" s="117">
        <v>1.763799766766968</v>
      </c>
      <c r="S251" s="117">
        <v>0.57292744194154643</v>
      </c>
      <c r="T251" s="117">
        <v>0.95012365372972674</v>
      </c>
      <c r="U251" s="117">
        <v>1.5230590956712731</v>
      </c>
      <c r="V251" s="117">
        <v>0.50629235420563101</v>
      </c>
      <c r="W251" s="117">
        <v>0.74140708480882234</v>
      </c>
      <c r="X251" s="117">
        <v>1655.1031527798068</v>
      </c>
      <c r="Y251" s="118">
        <v>1.0717959174143741E-5</v>
      </c>
      <c r="Z251" s="117">
        <v>1.2820991910846768</v>
      </c>
    </row>
    <row r="252" spans="12:26" ht="13.8" thickBot="1" x14ac:dyDescent="0.3">
      <c r="L252" s="116">
        <v>248</v>
      </c>
      <c r="M252" s="117">
        <v>405.35432866514583</v>
      </c>
      <c r="N252" s="117">
        <v>380.63615333882922</v>
      </c>
      <c r="O252" s="117">
        <v>821.23223128704092</v>
      </c>
      <c r="P252" s="117">
        <v>1201.87038462587</v>
      </c>
      <c r="Q252" s="117">
        <v>0.56906578862754342</v>
      </c>
      <c r="R252" s="117">
        <v>1.7572624774526484</v>
      </c>
      <c r="S252" s="117">
        <v>0.57334976808922766</v>
      </c>
      <c r="T252" s="117">
        <v>0.94937066455199193</v>
      </c>
      <c r="U252" s="117">
        <v>1.5227284326412196</v>
      </c>
      <c r="V252" s="117">
        <v>0.50662825869925743</v>
      </c>
      <c r="W252" s="117">
        <v>0.7421481357027031</v>
      </c>
      <c r="X252" s="117">
        <v>1655.1384326858742</v>
      </c>
      <c r="Y252" s="118">
        <v>1.0722305536022509E-5</v>
      </c>
      <c r="Z252" s="117">
        <v>1.28202481490965</v>
      </c>
    </row>
    <row r="253" spans="12:26" ht="13.8" thickBot="1" x14ac:dyDescent="0.3">
      <c r="L253" s="116">
        <v>249</v>
      </c>
      <c r="M253" s="117">
        <v>405.69270198930104</v>
      </c>
      <c r="N253" s="117">
        <v>381.00386488079732</v>
      </c>
      <c r="O253" s="117">
        <v>820.90397605266571</v>
      </c>
      <c r="P253" s="117">
        <v>1201.9098409334629</v>
      </c>
      <c r="Q253" s="117">
        <v>0.57117510917280123</v>
      </c>
      <c r="R253" s="117">
        <v>1.7507729998463191</v>
      </c>
      <c r="S253" s="117">
        <v>0.57377076929009485</v>
      </c>
      <c r="T253" s="117">
        <v>0.94862011440155902</v>
      </c>
      <c r="U253" s="117">
        <v>1.522398883691654</v>
      </c>
      <c r="V253" s="117">
        <v>0.50696340855965005</v>
      </c>
      <c r="W253" s="117">
        <v>0.74288843821361028</v>
      </c>
      <c r="X253" s="117">
        <v>1655.1729941179374</v>
      </c>
      <c r="Y253" s="118">
        <v>1.0726639690614143E-5</v>
      </c>
      <c r="Z253" s="117">
        <v>1.2819506380320029</v>
      </c>
    </row>
    <row r="254" spans="12:26" ht="13.8" thickBot="1" x14ac:dyDescent="0.3">
      <c r="L254" s="116">
        <v>250</v>
      </c>
      <c r="M254" s="117">
        <v>406.03007994861463</v>
      </c>
      <c r="N254" s="117">
        <v>381.3705809710529</v>
      </c>
      <c r="O254" s="117">
        <v>820.5763653359096</v>
      </c>
      <c r="P254" s="117">
        <v>1201.9489463069622</v>
      </c>
      <c r="Q254" s="117">
        <v>0.57328458471050625</v>
      </c>
      <c r="R254" s="117">
        <v>1.7443308048508799</v>
      </c>
      <c r="S254" s="117">
        <v>0.57419045498048216</v>
      </c>
      <c r="T254" s="117">
        <v>0.94787198533132966</v>
      </c>
      <c r="U254" s="117">
        <v>1.5220704403118117</v>
      </c>
      <c r="V254" s="117">
        <v>0.50729780827381665</v>
      </c>
      <c r="W254" s="117">
        <v>0.74362799849392436</v>
      </c>
      <c r="X254" s="117">
        <v>1655.2068425453231</v>
      </c>
      <c r="Y254" s="118">
        <v>1.0730961726223173E-5</v>
      </c>
      <c r="Z254" s="117">
        <v>1.2818766591712683</v>
      </c>
    </row>
  </sheetData>
  <sheetProtection algorithmName="SHA-512" hashValue="Cb+XypkjZt0ZBQgONE1rMQrgC+bQIypKYCETZP9jeh5P1DbOwuabFdVloa+I/3X+9qlqUpCT9VdHvApCYmlNGg==" saltValue="nUolQICMdIFFiYcG7VkjA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463" t="s">
        <v>2</v>
      </c>
      <c r="B1" s="463"/>
      <c r="C1" s="463"/>
      <c r="D1" s="463"/>
      <c r="E1" s="463"/>
      <c r="F1" s="463"/>
      <c r="G1" s="463"/>
      <c r="H1" s="463"/>
      <c r="I1" s="463"/>
      <c r="J1" s="463"/>
      <c r="K1" s="463"/>
      <c r="L1" s="463"/>
      <c r="M1" s="463"/>
      <c r="N1" s="463"/>
      <c r="O1" s="463"/>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465"/>
      <c r="B65" s="465"/>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M60"/>
  <sheetViews>
    <sheetView workbookViewId="0">
      <selection activeCell="L1" sqref="L1:L1048576"/>
    </sheetView>
  </sheetViews>
  <sheetFormatPr defaultColWidth="9.109375" defaultRowHeight="14.4" x14ac:dyDescent="0.3"/>
  <cols>
    <col min="1" max="1" width="19.44140625" style="97" customWidth="1"/>
    <col min="2" max="2" width="19.109375" style="97" customWidth="1"/>
    <col min="3" max="3" width="9.109375" style="130"/>
    <col min="4" max="5" width="9.109375" style="131"/>
    <col min="6" max="6" width="9.109375" style="130"/>
    <col min="7" max="7" width="10.109375" style="130" customWidth="1"/>
    <col min="8" max="8" width="9.109375" style="128"/>
    <col min="9" max="9" width="10.109375" style="128" customWidth="1"/>
    <col min="10" max="10" width="9.109375" style="128"/>
    <col min="11" max="11" width="9.109375" style="97"/>
    <col min="12" max="12" width="12.77734375" style="130" customWidth="1"/>
    <col min="13" max="13" width="11.88671875" style="97" customWidth="1"/>
    <col min="14" max="14" width="22.5546875" style="97" customWidth="1"/>
    <col min="15" max="16384" width="9.109375" style="97"/>
  </cols>
  <sheetData>
    <row r="1" spans="1:13" s="98" customFormat="1" ht="28.5" customHeight="1" x14ac:dyDescent="0.25">
      <c r="A1" s="490" t="s">
        <v>142</v>
      </c>
      <c r="B1" s="490" t="s">
        <v>246</v>
      </c>
      <c r="C1" s="491" t="s">
        <v>141</v>
      </c>
      <c r="D1" s="492" t="s">
        <v>358</v>
      </c>
      <c r="E1" s="492" t="s">
        <v>359</v>
      </c>
      <c r="F1" s="491" t="s">
        <v>146</v>
      </c>
      <c r="G1" s="491" t="s">
        <v>244</v>
      </c>
      <c r="H1" s="493" t="s">
        <v>184</v>
      </c>
      <c r="I1" s="493" t="s">
        <v>238</v>
      </c>
      <c r="J1" s="493" t="s">
        <v>418</v>
      </c>
      <c r="K1" s="494" t="s">
        <v>509</v>
      </c>
      <c r="L1" s="495" t="s">
        <v>514</v>
      </c>
      <c r="M1" s="494" t="s">
        <v>497</v>
      </c>
    </row>
    <row r="2" spans="1:13" x14ac:dyDescent="0.3">
      <c r="A2" s="497" t="s">
        <v>140</v>
      </c>
      <c r="B2" s="498" t="s">
        <v>234</v>
      </c>
      <c r="C2" s="499">
        <v>0.5</v>
      </c>
      <c r="D2" s="500">
        <v>1</v>
      </c>
      <c r="E2" s="500">
        <v>0.86499999999999999</v>
      </c>
      <c r="F2" s="501">
        <v>35</v>
      </c>
      <c r="G2" s="498" t="s">
        <v>234</v>
      </c>
      <c r="H2" s="502">
        <v>0.187</v>
      </c>
      <c r="I2" s="502">
        <v>2.746458837584537E-2</v>
      </c>
      <c r="J2" s="503"/>
      <c r="K2" s="504" t="s">
        <v>510</v>
      </c>
      <c r="L2" s="501">
        <v>100</v>
      </c>
      <c r="M2" s="504" t="str">
        <f>IF(A2="","",A2&amp;" ("&amp;SUBSTITUTE(SUBSTITUTE(SUBSTITUTE(C2,CHAR(160),"")," ",""),CHAR(34),"")&amp;"-in) - "&amp;IF(UPPER(TRIM(Calculator!$D$28))="KV","Kv "&amp;TEXT(E2,"0.0"),"Cv "&amp;TEXT(D2,"0.0")))</f>
        <v>B2050VS-01 (0.5-in) - Cv 1.0</v>
      </c>
    </row>
    <row r="3" spans="1:13" s="98" customFormat="1" ht="15" customHeight="1" x14ac:dyDescent="0.25">
      <c r="A3" s="497" t="s">
        <v>139</v>
      </c>
      <c r="B3" s="498" t="s">
        <v>234</v>
      </c>
      <c r="C3" s="499">
        <v>0.5</v>
      </c>
      <c r="D3" s="500">
        <v>2</v>
      </c>
      <c r="E3" s="500">
        <v>1.73</v>
      </c>
      <c r="F3" s="501">
        <v>35</v>
      </c>
      <c r="G3" s="498" t="s">
        <v>234</v>
      </c>
      <c r="H3" s="502">
        <v>0.28100000000000003</v>
      </c>
      <c r="I3" s="502">
        <v>6.2015824380025925E-2</v>
      </c>
      <c r="J3" s="503"/>
      <c r="K3" s="504" t="s">
        <v>510</v>
      </c>
      <c r="L3" s="501">
        <v>100</v>
      </c>
      <c r="M3" s="498" t="str">
        <f>IF(A3="","",A3&amp;" ("&amp;SUBSTITUTE(SUBSTITUTE(SUBSTITUTE(C3,CHAR(160),"")," ",""),CHAR(34),"")&amp;"-in) - "&amp;IF(UPPER(TRIM(Calculator!$D$28))="KV","Kv "&amp;TEXT(E3,"0.0"),"Cv "&amp;TEXT(D3,"0.0")))</f>
        <v>B2050VS-02 (0.5-in) - Cv 2.0</v>
      </c>
    </row>
    <row r="4" spans="1:13" s="98" customFormat="1" ht="15" customHeight="1" x14ac:dyDescent="0.25">
      <c r="A4" s="497" t="s">
        <v>138</v>
      </c>
      <c r="B4" s="498" t="s">
        <v>234</v>
      </c>
      <c r="C4" s="499">
        <v>0.5</v>
      </c>
      <c r="D4" s="500">
        <v>4</v>
      </c>
      <c r="E4" s="500">
        <v>3.46</v>
      </c>
      <c r="F4" s="501">
        <v>35</v>
      </c>
      <c r="G4" s="498" t="s">
        <v>234</v>
      </c>
      <c r="H4" s="502">
        <v>0.375</v>
      </c>
      <c r="I4" s="502">
        <v>0.11044661672776616</v>
      </c>
      <c r="J4" s="503"/>
      <c r="K4" s="504" t="s">
        <v>510</v>
      </c>
      <c r="L4" s="501">
        <v>100</v>
      </c>
      <c r="M4" s="498" t="str">
        <f>IF(A4="","",A4&amp;" ("&amp;SUBSTITUTE(SUBSTITUTE(SUBSTITUTE(C4,CHAR(160),"")," ",""),CHAR(34),"")&amp;"-in) - "&amp;IF(UPPER(TRIM(Calculator!$D$28))="KV","Kv "&amp;TEXT(E4,"0.0"),"Cv "&amp;TEXT(D4,"0.0")))</f>
        <v>B2050VS-04 (0.5-in) - Cv 4.0</v>
      </c>
    </row>
    <row r="5" spans="1:13" s="98" customFormat="1" ht="15" customHeight="1" x14ac:dyDescent="0.25">
      <c r="A5" s="497" t="s">
        <v>137</v>
      </c>
      <c r="B5" s="498" t="s">
        <v>234</v>
      </c>
      <c r="C5" s="499">
        <v>0.5</v>
      </c>
      <c r="D5" s="500">
        <v>15</v>
      </c>
      <c r="E5" s="500">
        <v>12.975</v>
      </c>
      <c r="F5" s="501">
        <v>35</v>
      </c>
      <c r="G5" s="498" t="s">
        <v>234</v>
      </c>
      <c r="H5" s="502">
        <v>0.5</v>
      </c>
      <c r="I5" s="502">
        <v>0.19634954084936207</v>
      </c>
      <c r="J5" s="503"/>
      <c r="K5" s="504" t="s">
        <v>510</v>
      </c>
      <c r="L5" s="501">
        <v>100</v>
      </c>
      <c r="M5" s="498" t="str">
        <f>IF(A5="","",A5&amp;" ("&amp;SUBSTITUTE(SUBSTITUTE(SUBSTITUTE(C5,CHAR(160),"")," ",""),CHAR(34),"")&amp;"-in) - "&amp;IF(UPPER(TRIM(Calculator!$D$28))="KV","Kv "&amp;TEXT(E5,"0.0"),"Cv "&amp;TEXT(D5,"0.0")))</f>
        <v>B2050VS-15 (0.5-in) - Cv 15.0</v>
      </c>
    </row>
    <row r="6" spans="1:13" s="98" customFormat="1" ht="15" customHeight="1" x14ac:dyDescent="0.25">
      <c r="A6" s="497" t="s">
        <v>226</v>
      </c>
      <c r="B6" s="498" t="s">
        <v>234</v>
      </c>
      <c r="C6" s="499">
        <v>0.75</v>
      </c>
      <c r="D6" s="500">
        <v>30</v>
      </c>
      <c r="E6" s="500">
        <v>25.95</v>
      </c>
      <c r="F6" s="501">
        <v>35</v>
      </c>
      <c r="G6" s="498" t="s">
        <v>234</v>
      </c>
      <c r="H6" s="502">
        <v>0.68</v>
      </c>
      <c r="I6" s="502">
        <v>0.36316811075498018</v>
      </c>
      <c r="J6" s="503"/>
      <c r="K6" s="504" t="s">
        <v>510</v>
      </c>
      <c r="L6" s="501">
        <v>100</v>
      </c>
      <c r="M6" s="498" t="str">
        <f>IF(A6="","",A6&amp;" ("&amp;SUBSTITUTE(SUBSTITUTE(SUBSTITUTE(C6,CHAR(160),"")," ",""),CHAR(34),"")&amp;"-in) - "&amp;IF(UPPER(TRIM(Calculator!$D$28))="KV","Kv "&amp;TEXT(E6,"0.0"),"Cv "&amp;TEXT(D6,"0.0")))</f>
        <v>B219VS  (0.75-in) - Cv 30.0</v>
      </c>
    </row>
    <row r="7" spans="1:13" s="98" customFormat="1" ht="15" customHeight="1" x14ac:dyDescent="0.25">
      <c r="A7" s="497" t="s">
        <v>227</v>
      </c>
      <c r="B7" s="498" t="s">
        <v>234</v>
      </c>
      <c r="C7" s="499">
        <v>0.75</v>
      </c>
      <c r="D7" s="500">
        <v>51</v>
      </c>
      <c r="E7" s="500">
        <v>44.115000000000002</v>
      </c>
      <c r="F7" s="501">
        <v>35</v>
      </c>
      <c r="G7" s="498" t="s">
        <v>234</v>
      </c>
      <c r="H7" s="502">
        <v>0.86</v>
      </c>
      <c r="I7" s="502">
        <v>0.58088048164875272</v>
      </c>
      <c r="J7" s="503"/>
      <c r="K7" s="504" t="s">
        <v>510</v>
      </c>
      <c r="L7" s="501">
        <v>100</v>
      </c>
      <c r="M7" s="498" t="str">
        <f>IF(A7="","",A7&amp;" ("&amp;SUBSTITUTE(SUBSTITUTE(SUBSTITUTE(C7,CHAR(160),"")," ",""),CHAR(34),"")&amp;"-in) - "&amp;IF(UPPER(TRIM(Calculator!$D$28))="KV","Kv "&amp;TEXT(E7,"0.0"),"Cv "&amp;TEXT(D7,"0.0")))</f>
        <v>B220VS  (0.75-in) - Cv 51.0</v>
      </c>
    </row>
    <row r="8" spans="1:13" s="98" customFormat="1" ht="15" customHeight="1" x14ac:dyDescent="0.25">
      <c r="A8" s="497" t="s">
        <v>228</v>
      </c>
      <c r="B8" s="498" t="s">
        <v>234</v>
      </c>
      <c r="C8" s="499">
        <v>1</v>
      </c>
      <c r="D8" s="500">
        <v>43</v>
      </c>
      <c r="E8" s="500">
        <v>37.195</v>
      </c>
      <c r="F8" s="501">
        <v>35</v>
      </c>
      <c r="G8" s="498" t="s">
        <v>234</v>
      </c>
      <c r="H8" s="502">
        <v>0.87</v>
      </c>
      <c r="I8" s="502">
        <v>0.59446786987552858</v>
      </c>
      <c r="J8" s="503"/>
      <c r="K8" s="504" t="s">
        <v>510</v>
      </c>
      <c r="L8" s="501">
        <v>100</v>
      </c>
      <c r="M8" s="498" t="str">
        <f>IF(A8="","",A8&amp;" ("&amp;SUBSTITUTE(SUBSTITUTE(SUBSTITUTE(C8,CHAR(160),"")," ",""),CHAR(34),"")&amp;"-in) - "&amp;IF(UPPER(TRIM(Calculator!$D$28))="KV","Kv "&amp;TEXT(E8,"0.0"),"Cv "&amp;TEXT(D8,"0.0")))</f>
        <v>B224VS  (1-in) - Cv 43.0</v>
      </c>
    </row>
    <row r="9" spans="1:13" s="98" customFormat="1" ht="15" customHeight="1" x14ac:dyDescent="0.25">
      <c r="A9" s="497" t="s">
        <v>229</v>
      </c>
      <c r="B9" s="498" t="s">
        <v>234</v>
      </c>
      <c r="C9" s="499">
        <v>1</v>
      </c>
      <c r="D9" s="500">
        <v>68</v>
      </c>
      <c r="E9" s="500">
        <v>58.82</v>
      </c>
      <c r="F9" s="501">
        <v>35</v>
      </c>
      <c r="G9" s="498" t="s">
        <v>234</v>
      </c>
      <c r="H9" s="502">
        <v>1</v>
      </c>
      <c r="I9" s="502">
        <v>0.78539816339744828</v>
      </c>
      <c r="J9" s="503"/>
      <c r="K9" s="504" t="s">
        <v>510</v>
      </c>
      <c r="L9" s="501">
        <v>100</v>
      </c>
      <c r="M9" s="498" t="str">
        <f>IF(A9="","",A9&amp;" ("&amp;SUBSTITUTE(SUBSTITUTE(SUBSTITUTE(C9,CHAR(160),"")," ",""),CHAR(34),"")&amp;"-in) - "&amp;IF(UPPER(TRIM(Calculator!$D$28))="KV","Kv "&amp;TEXT(E9,"0.0"),"Cv "&amp;TEXT(D9,"0.0")))</f>
        <v>B225VS  (1-in) - Cv 68.0</v>
      </c>
    </row>
    <row r="10" spans="1:13" s="98" customFormat="1" ht="15" customHeight="1" x14ac:dyDescent="0.25">
      <c r="A10" s="497" t="s">
        <v>230</v>
      </c>
      <c r="B10" s="498" t="s">
        <v>234</v>
      </c>
      <c r="C10" s="499">
        <v>1.25</v>
      </c>
      <c r="D10" s="500">
        <v>48</v>
      </c>
      <c r="E10" s="500">
        <v>41.519999999999996</v>
      </c>
      <c r="F10" s="501">
        <v>35</v>
      </c>
      <c r="G10" s="498" t="s">
        <v>234</v>
      </c>
      <c r="H10" s="502">
        <v>1</v>
      </c>
      <c r="I10" s="502">
        <v>0.78539816339744828</v>
      </c>
      <c r="J10" s="503"/>
      <c r="K10" s="504" t="s">
        <v>510</v>
      </c>
      <c r="L10" s="501">
        <v>100</v>
      </c>
      <c r="M10" s="498" t="str">
        <f>IF(A10="","",A10&amp;" ("&amp;SUBSTITUTE(SUBSTITUTE(SUBSTITUTE(C10,CHAR(160),"")," ",""),CHAR(34),"")&amp;"-in) - "&amp;IF(UPPER(TRIM(Calculator!$D$28))="KV","Kv "&amp;TEXT(E10,"0.0"),"Cv "&amp;TEXT(D10,"0.0")))</f>
        <v>B232VS  (1.25-in) - Cv 48.0</v>
      </c>
    </row>
    <row r="11" spans="1:13" s="98" customFormat="1" ht="15" customHeight="1" x14ac:dyDescent="0.25">
      <c r="A11" s="497" t="s">
        <v>231</v>
      </c>
      <c r="B11" s="498" t="s">
        <v>234</v>
      </c>
      <c r="C11" s="499">
        <v>1.5</v>
      </c>
      <c r="D11" s="500">
        <v>84</v>
      </c>
      <c r="E11" s="500">
        <v>72.66</v>
      </c>
      <c r="F11" s="501">
        <v>35</v>
      </c>
      <c r="G11" s="498" t="s">
        <v>234</v>
      </c>
      <c r="H11" s="502">
        <v>1.25</v>
      </c>
      <c r="I11" s="502">
        <v>1.227184630308513</v>
      </c>
      <c r="J11" s="503"/>
      <c r="K11" s="504" t="s">
        <v>510</v>
      </c>
      <c r="L11" s="501">
        <v>100</v>
      </c>
      <c r="M11" s="498" t="str">
        <f>IF(A11="","",A11&amp;" ("&amp;SUBSTITUTE(SUBSTITUTE(SUBSTITUTE(C11,CHAR(160),"")," ",""),CHAR(34),"")&amp;"-in) - "&amp;IF(UPPER(TRIM(Calculator!$D$28))="KV","Kv "&amp;TEXT(E11,"0.0"),"Cv "&amp;TEXT(D11,"0.0")))</f>
        <v>B239VS  (1.5-in) - Cv 84.0</v>
      </c>
    </row>
    <row r="12" spans="1:13" s="98" customFormat="1" ht="15" customHeight="1" x14ac:dyDescent="0.25">
      <c r="A12" s="497" t="s">
        <v>232</v>
      </c>
      <c r="B12" s="498" t="s">
        <v>234</v>
      </c>
      <c r="C12" s="499">
        <v>1.5</v>
      </c>
      <c r="D12" s="500">
        <v>177</v>
      </c>
      <c r="E12" s="500">
        <v>153.10499999999999</v>
      </c>
      <c r="F12" s="501">
        <v>35</v>
      </c>
      <c r="G12" s="498" t="s">
        <v>234</v>
      </c>
      <c r="H12" s="502">
        <v>1.5</v>
      </c>
      <c r="I12" s="502">
        <v>1.7671458676442586</v>
      </c>
      <c r="J12" s="503"/>
      <c r="K12" s="504" t="s">
        <v>510</v>
      </c>
      <c r="L12" s="501">
        <v>100</v>
      </c>
      <c r="M12" s="498" t="str">
        <f>IF(A12="","",A12&amp;" ("&amp;SUBSTITUTE(SUBSTITUTE(SUBSTITUTE(C12,CHAR(160),"")," ",""),CHAR(34),"")&amp;"-in) - "&amp;IF(UPPER(TRIM(Calculator!$D$28))="KV","Kv "&amp;TEXT(E12,"0.0"),"Cv "&amp;TEXT(D12,"0.0")))</f>
        <v>B240VS  (1.5-in) - Cv 177.0</v>
      </c>
    </row>
    <row r="13" spans="1:13" s="98" customFormat="1" ht="15" customHeight="1" x14ac:dyDescent="0.25">
      <c r="A13" s="497" t="s">
        <v>233</v>
      </c>
      <c r="B13" s="498" t="s">
        <v>234</v>
      </c>
      <c r="C13" s="499">
        <v>2</v>
      </c>
      <c r="D13" s="500">
        <v>108</v>
      </c>
      <c r="E13" s="500">
        <v>93.42</v>
      </c>
      <c r="F13" s="501">
        <v>35</v>
      </c>
      <c r="G13" s="498" t="s">
        <v>234</v>
      </c>
      <c r="H13" s="502">
        <v>1.5</v>
      </c>
      <c r="I13" s="502">
        <v>1.7671458676442586</v>
      </c>
      <c r="J13" s="503"/>
      <c r="K13" s="504" t="s">
        <v>510</v>
      </c>
      <c r="L13" s="501">
        <v>100</v>
      </c>
      <c r="M13" s="498" t="str">
        <f>IF(A13="","",A13&amp;" ("&amp;SUBSTITUTE(SUBSTITUTE(SUBSTITUTE(C13,CHAR(160),"")," ",""),CHAR(34),"")&amp;"-in) - "&amp;IF(UPPER(TRIM(Calculator!$D$28))="KV","Kv "&amp;TEXT(E13,"0.0"),"Cv "&amp;TEXT(D13,"0.0")))</f>
        <v>B249VS  (2-in) - Cv 108.0</v>
      </c>
    </row>
    <row r="14" spans="1:13" s="98" customFormat="1" ht="15" customHeight="1" x14ac:dyDescent="0.25">
      <c r="A14" s="497" t="s">
        <v>136</v>
      </c>
      <c r="B14" s="498" t="s">
        <v>235</v>
      </c>
      <c r="C14" s="499">
        <v>0.5</v>
      </c>
      <c r="D14" s="500">
        <v>15</v>
      </c>
      <c r="E14" s="500">
        <v>12.975</v>
      </c>
      <c r="F14" s="501">
        <v>50</v>
      </c>
      <c r="G14" s="498" t="s">
        <v>235</v>
      </c>
      <c r="H14" s="502">
        <v>0.5</v>
      </c>
      <c r="I14" s="502">
        <v>0.19634954084936207</v>
      </c>
      <c r="J14" s="503"/>
      <c r="K14" s="504" t="s">
        <v>510</v>
      </c>
      <c r="L14" s="501">
        <v>100</v>
      </c>
      <c r="M14" s="498" t="str">
        <f>IF(A14="","",A14&amp;" ("&amp;SUBSTITUTE(SUBSTITUTE(SUBSTITUTE(C14,CHAR(160),"")," ",""),CHAR(34),"")&amp;"-in) - "&amp;IF(UPPER(TRIM(Calculator!$D$28))="KV","Kv "&amp;TEXT(E14,"0.0"),"Cv "&amp;TEXT(D14,"0.0")))</f>
        <v>B2050VSS-15 (0.5-in) - Cv 15.0</v>
      </c>
    </row>
    <row r="15" spans="1:13" s="98" customFormat="1" ht="15" customHeight="1" x14ac:dyDescent="0.25">
      <c r="A15" s="497" t="s">
        <v>106</v>
      </c>
      <c r="B15" s="498" t="s">
        <v>235</v>
      </c>
      <c r="C15" s="499">
        <v>0.75</v>
      </c>
      <c r="D15" s="500">
        <v>30</v>
      </c>
      <c r="E15" s="500">
        <v>25.95</v>
      </c>
      <c r="F15" s="501">
        <v>50</v>
      </c>
      <c r="G15" s="498" t="s">
        <v>235</v>
      </c>
      <c r="H15" s="502">
        <v>0.68</v>
      </c>
      <c r="I15" s="502">
        <v>0.36316811075498018</v>
      </c>
      <c r="J15" s="503"/>
      <c r="K15" s="504" t="s">
        <v>510</v>
      </c>
      <c r="L15" s="501">
        <v>100</v>
      </c>
      <c r="M15" s="498" t="str">
        <f>IF(A15="","",A15&amp;" ("&amp;SUBSTITUTE(SUBSTITUTE(SUBSTITUTE(C15,CHAR(160),"")," ",""),CHAR(34),"")&amp;"-in) - "&amp;IF(UPPER(TRIM(Calculator!$D$28))="KV","Kv "&amp;TEXT(E15,"0.0"),"Cv "&amp;TEXT(D15,"0.0")))</f>
        <v>B219VSS (0.75-in) - Cv 30.0</v>
      </c>
    </row>
    <row r="16" spans="1:13" s="98" customFormat="1" ht="15" customHeight="1" x14ac:dyDescent="0.25">
      <c r="A16" s="497" t="s">
        <v>120</v>
      </c>
      <c r="B16" s="498" t="s">
        <v>235</v>
      </c>
      <c r="C16" s="499">
        <v>1</v>
      </c>
      <c r="D16" s="500">
        <v>43</v>
      </c>
      <c r="E16" s="500">
        <v>37.195</v>
      </c>
      <c r="F16" s="501">
        <v>50</v>
      </c>
      <c r="G16" s="498" t="s">
        <v>235</v>
      </c>
      <c r="H16" s="502">
        <v>0.87</v>
      </c>
      <c r="I16" s="502">
        <v>0.59446786987552858</v>
      </c>
      <c r="J16" s="503"/>
      <c r="K16" s="504" t="s">
        <v>510</v>
      </c>
      <c r="L16" s="501">
        <v>100</v>
      </c>
      <c r="M16" s="498" t="str">
        <f>IF(A16="","",A16&amp;" ("&amp;SUBSTITUTE(SUBSTITUTE(SUBSTITUTE(C16,CHAR(160),"")," ",""),CHAR(34),"")&amp;"-in) - "&amp;IF(UPPER(TRIM(Calculator!$D$28))="KV","Kv "&amp;TEXT(E16,"0.0"),"Cv "&amp;TEXT(D16,"0.0")))</f>
        <v>B224VSS (1-in) - Cv 43.0</v>
      </c>
    </row>
    <row r="17" spans="1:13" s="98" customFormat="1" ht="15" customHeight="1" x14ac:dyDescent="0.25">
      <c r="A17" s="497" t="s">
        <v>109</v>
      </c>
      <c r="B17" s="498" t="s">
        <v>235</v>
      </c>
      <c r="C17" s="499">
        <v>2</v>
      </c>
      <c r="D17" s="500">
        <v>108</v>
      </c>
      <c r="E17" s="500">
        <v>93.42</v>
      </c>
      <c r="F17" s="501">
        <v>50</v>
      </c>
      <c r="G17" s="498" t="s">
        <v>235</v>
      </c>
      <c r="H17" s="502">
        <v>1.5</v>
      </c>
      <c r="I17" s="502">
        <v>1.7671458676442586</v>
      </c>
      <c r="J17" s="503"/>
      <c r="K17" s="504" t="s">
        <v>510</v>
      </c>
      <c r="L17" s="501">
        <v>100</v>
      </c>
      <c r="M17" s="498" t="str">
        <f>IF(A17="","",A17&amp;" ("&amp;SUBSTITUTE(SUBSTITUTE(SUBSTITUTE(C17,CHAR(160),"")," ",""),CHAR(34),"")&amp;"-in) - "&amp;IF(UPPER(TRIM(Calculator!$D$28))="KV","Kv "&amp;TEXT(E17,"0.0"),"Cv "&amp;TEXT(D17,"0.0")))</f>
        <v>B249VSS (2-in) - Cv 108.0</v>
      </c>
    </row>
    <row r="18" spans="1:13" s="98" customFormat="1" ht="15" customHeight="1" x14ac:dyDescent="0.25">
      <c r="A18" s="497" t="s">
        <v>135</v>
      </c>
      <c r="B18" s="498" t="s">
        <v>99</v>
      </c>
      <c r="C18" s="499">
        <v>0.5</v>
      </c>
      <c r="D18" s="500">
        <v>0.28999999999999998</v>
      </c>
      <c r="E18" s="500">
        <v>0.25084999999999996</v>
      </c>
      <c r="F18" s="501">
        <v>15</v>
      </c>
      <c r="G18" s="498" t="s">
        <v>99</v>
      </c>
      <c r="H18" s="502">
        <v>0.42322834645669294</v>
      </c>
      <c r="I18" s="502">
        <v>0.14068227301385336</v>
      </c>
      <c r="J18" s="502">
        <v>8.3000000000000001E-3</v>
      </c>
      <c r="K18" s="504" t="s">
        <v>510</v>
      </c>
      <c r="L18" s="501">
        <v>100</v>
      </c>
      <c r="M18" s="498" t="str">
        <f>IF(A18="","",A18&amp;" ("&amp;SUBSTITUTE(SUBSTITUTE(SUBSTITUTE(C18,CHAR(160),"")," ",""),CHAR(34),"")&amp;"-in) - "&amp;IF(UPPER(TRIM(Calculator!$D$28))="KV","Kv "&amp;TEXT(E18,"0.0"),"Cv "&amp;TEXT(D18,"0.0")))</f>
        <v>B215HT029 (0.5-in) - Cv 0.3</v>
      </c>
    </row>
    <row r="19" spans="1:13" s="98" customFormat="1" ht="15" customHeight="1" x14ac:dyDescent="0.25">
      <c r="A19" s="497" t="s">
        <v>134</v>
      </c>
      <c r="B19" s="498" t="s">
        <v>99</v>
      </c>
      <c r="C19" s="499">
        <v>0.5</v>
      </c>
      <c r="D19" s="500">
        <v>0.46</v>
      </c>
      <c r="E19" s="500">
        <v>0.39790000000000003</v>
      </c>
      <c r="F19" s="501">
        <v>15</v>
      </c>
      <c r="G19" s="498" t="s">
        <v>99</v>
      </c>
      <c r="H19" s="502">
        <v>0.42322834645669294</v>
      </c>
      <c r="I19" s="502">
        <v>0.14068227301385336</v>
      </c>
      <c r="J19" s="502">
        <v>1.2200000000000001E-2</v>
      </c>
      <c r="K19" s="504" t="s">
        <v>510</v>
      </c>
      <c r="L19" s="501">
        <v>100</v>
      </c>
      <c r="M19" s="498" t="str">
        <f>IF(A19="","",A19&amp;" ("&amp;SUBSTITUTE(SUBSTITUTE(SUBSTITUTE(C19,CHAR(160),"")," ",""),CHAR(34),"")&amp;"-in) - "&amp;IF(UPPER(TRIM(Calculator!$D$28))="KV","Kv "&amp;TEXT(E19,"0.0"),"Cv "&amp;TEXT(D19,"0.0")))</f>
        <v>B215HT046 (0.5-in) - Cv 0.5</v>
      </c>
    </row>
    <row r="20" spans="1:13" s="98" customFormat="1" ht="15" customHeight="1" x14ac:dyDescent="0.25">
      <c r="A20" s="497" t="s">
        <v>133</v>
      </c>
      <c r="B20" s="498" t="s">
        <v>99</v>
      </c>
      <c r="C20" s="499">
        <v>0.5</v>
      </c>
      <c r="D20" s="500">
        <v>0.73</v>
      </c>
      <c r="E20" s="500">
        <v>0.63144999999999996</v>
      </c>
      <c r="F20" s="501">
        <v>15</v>
      </c>
      <c r="G20" s="498" t="s">
        <v>99</v>
      </c>
      <c r="H20" s="502">
        <v>0.42322834645669294</v>
      </c>
      <c r="I20" s="502">
        <v>0.14068227301385336</v>
      </c>
      <c r="J20" s="502">
        <v>1.47E-2</v>
      </c>
      <c r="K20" s="504" t="s">
        <v>510</v>
      </c>
      <c r="L20" s="501">
        <v>100</v>
      </c>
      <c r="M20" s="498" t="str">
        <f>IF(A20="","",A20&amp;" ("&amp;SUBSTITUTE(SUBSTITUTE(SUBSTITUTE(C20,CHAR(160),"")," ",""),CHAR(34),"")&amp;"-in) - "&amp;IF(UPPER(TRIM(Calculator!$D$28))="KV","Kv "&amp;TEXT(E20,"0.0"),"Cv "&amp;TEXT(D20,"0.0")))</f>
        <v>B215HT073 (0.5-in) - Cv 0.7</v>
      </c>
    </row>
    <row r="21" spans="1:13" s="98" customFormat="1" ht="15" customHeight="1" x14ac:dyDescent="0.25">
      <c r="A21" s="497" t="s">
        <v>132</v>
      </c>
      <c r="B21" s="498" t="s">
        <v>99</v>
      </c>
      <c r="C21" s="499">
        <v>0.5</v>
      </c>
      <c r="D21" s="500">
        <v>1.1599999999999999</v>
      </c>
      <c r="E21" s="500">
        <v>1.0033999999999998</v>
      </c>
      <c r="F21" s="501">
        <v>15</v>
      </c>
      <c r="G21" s="498" t="s">
        <v>99</v>
      </c>
      <c r="H21" s="502">
        <v>0.42322834645669294</v>
      </c>
      <c r="I21" s="502">
        <v>0.14068227301385336</v>
      </c>
      <c r="J21" s="502">
        <v>2.6599999999999999E-2</v>
      </c>
      <c r="K21" s="504" t="s">
        <v>510</v>
      </c>
      <c r="L21" s="501">
        <v>100</v>
      </c>
      <c r="M21" s="498" t="str">
        <f>IF(A21="","",A21&amp;" ("&amp;SUBSTITUTE(SUBSTITUTE(SUBSTITUTE(C21,CHAR(160),"")," ",""),CHAR(34),"")&amp;"-in) - "&amp;IF(UPPER(TRIM(Calculator!$D$28))="KV","Kv "&amp;TEXT(E21,"0.0"),"Cv "&amp;TEXT(D21,"0.0")))</f>
        <v>B215HT116 (0.5-in) - Cv 1.2</v>
      </c>
    </row>
    <row r="22" spans="1:13" s="98" customFormat="1" ht="15" customHeight="1" x14ac:dyDescent="0.25">
      <c r="A22" s="497" t="s">
        <v>131</v>
      </c>
      <c r="B22" s="498" t="s">
        <v>99</v>
      </c>
      <c r="C22" s="499">
        <v>0.5</v>
      </c>
      <c r="D22" s="500">
        <v>1.86</v>
      </c>
      <c r="E22" s="500">
        <v>1.6089</v>
      </c>
      <c r="F22" s="501">
        <v>15</v>
      </c>
      <c r="G22" s="498" t="s">
        <v>99</v>
      </c>
      <c r="H22" s="502">
        <v>0.42322834645669294</v>
      </c>
      <c r="I22" s="502">
        <v>0.14068227301385336</v>
      </c>
      <c r="J22" s="502">
        <v>4.3299999999999998E-2</v>
      </c>
      <c r="K22" s="504" t="s">
        <v>510</v>
      </c>
      <c r="L22" s="501">
        <v>100</v>
      </c>
      <c r="M22" s="498" t="str">
        <f>IF(A22="","",A22&amp;" ("&amp;SUBSTITUTE(SUBSTITUTE(SUBSTITUTE(C22,CHAR(160),"")," ",""),CHAR(34),"")&amp;"-in) - "&amp;IF(UPPER(TRIM(Calculator!$D$28))="KV","Kv "&amp;TEXT(E22,"0.0"),"Cv "&amp;TEXT(D22,"0.0")))</f>
        <v>B215HT186 (0.5-in) - Cv 1.9</v>
      </c>
    </row>
    <row r="23" spans="1:13" s="98" customFormat="1" ht="15" customHeight="1" x14ac:dyDescent="0.25">
      <c r="A23" s="497" t="s">
        <v>130</v>
      </c>
      <c r="B23" s="498" t="s">
        <v>99</v>
      </c>
      <c r="C23" s="499">
        <v>0.5</v>
      </c>
      <c r="D23" s="500">
        <v>2.9</v>
      </c>
      <c r="E23" s="500">
        <v>2.5084999999999997</v>
      </c>
      <c r="F23" s="501">
        <v>15</v>
      </c>
      <c r="G23" s="498" t="s">
        <v>99</v>
      </c>
      <c r="H23" s="502">
        <v>0.42322834645669294</v>
      </c>
      <c r="I23" s="502">
        <v>0.14068227301385336</v>
      </c>
      <c r="J23" s="502">
        <v>5.4800000000000001E-2</v>
      </c>
      <c r="K23" s="504" t="s">
        <v>510</v>
      </c>
      <c r="L23" s="501">
        <v>100</v>
      </c>
      <c r="M23" s="498" t="str">
        <f>IF(A23="","",A23&amp;" ("&amp;SUBSTITUTE(SUBSTITUTE(SUBSTITUTE(C23,CHAR(160),"")," ",""),CHAR(34),"")&amp;"-in) - "&amp;IF(UPPER(TRIM(Calculator!$D$28))="KV","Kv "&amp;TEXT(E23,"0.0"),"Cv "&amp;TEXT(D23,"0.0")))</f>
        <v>B215HT290 (0.5-in) - Cv 2.9</v>
      </c>
    </row>
    <row r="24" spans="1:13" s="98" customFormat="1" ht="15" customHeight="1" x14ac:dyDescent="0.25">
      <c r="A24" s="497" t="s">
        <v>129</v>
      </c>
      <c r="B24" s="498" t="s">
        <v>99</v>
      </c>
      <c r="C24" s="499">
        <v>0.5</v>
      </c>
      <c r="D24" s="500">
        <v>4.55</v>
      </c>
      <c r="E24" s="500">
        <v>3.9357499999999996</v>
      </c>
      <c r="F24" s="501">
        <v>15</v>
      </c>
      <c r="G24" s="498" t="s">
        <v>99</v>
      </c>
      <c r="H24" s="502">
        <v>0.42322834645669294</v>
      </c>
      <c r="I24" s="502">
        <v>0.14068227301385336</v>
      </c>
      <c r="J24" s="502">
        <v>9.3200000000000005E-2</v>
      </c>
      <c r="K24" s="504" t="s">
        <v>510</v>
      </c>
      <c r="L24" s="501">
        <v>100</v>
      </c>
      <c r="M24" s="498" t="str">
        <f>IF(A24="","",A24&amp;" ("&amp;SUBSTITUTE(SUBSTITUTE(SUBSTITUTE(C24,CHAR(160),"")," ",""),CHAR(34),"")&amp;"-in) - "&amp;IF(UPPER(TRIM(Calculator!$D$28))="KV","Kv "&amp;TEXT(E24,"0.0"),"Cv "&amp;TEXT(D24,"0.0")))</f>
        <v>B215HT455 (0.5-in) - Cv 4.6</v>
      </c>
    </row>
    <row r="25" spans="1:13" s="98" customFormat="1" ht="15" customHeight="1" x14ac:dyDescent="0.25">
      <c r="A25" s="497" t="s">
        <v>104</v>
      </c>
      <c r="B25" s="498" t="s">
        <v>99</v>
      </c>
      <c r="C25" s="499">
        <v>0.75</v>
      </c>
      <c r="D25" s="500">
        <v>1.86</v>
      </c>
      <c r="E25" s="500">
        <v>1.6089</v>
      </c>
      <c r="F25" s="501">
        <v>15</v>
      </c>
      <c r="G25" s="498" t="s">
        <v>99</v>
      </c>
      <c r="H25" s="502">
        <v>0.59055118110236227</v>
      </c>
      <c r="I25" s="502">
        <v>0.27390815730117474</v>
      </c>
      <c r="J25" s="502">
        <v>4.2599999999999999E-2</v>
      </c>
      <c r="K25" s="504" t="s">
        <v>510</v>
      </c>
      <c r="L25" s="501">
        <v>100</v>
      </c>
      <c r="M25" s="498" t="str">
        <f>IF(A25="","",A25&amp;" ("&amp;SUBSTITUTE(SUBSTITUTE(SUBSTITUTE(C25,CHAR(160),"")," ",""),CHAR(34),"")&amp;"-in) - "&amp;IF(UPPER(TRIM(Calculator!$D$28))="KV","Kv "&amp;TEXT(E25,"0.0"),"Cv "&amp;TEXT(D25,"0.0")))</f>
        <v>B220HT186 (0.75-in) - Cv 1.9</v>
      </c>
    </row>
    <row r="26" spans="1:13" s="98" customFormat="1" ht="15" customHeight="1" x14ac:dyDescent="0.25">
      <c r="A26" s="497" t="s">
        <v>103</v>
      </c>
      <c r="B26" s="498" t="s">
        <v>99</v>
      </c>
      <c r="C26" s="499">
        <v>0.75</v>
      </c>
      <c r="D26" s="500">
        <v>2.9</v>
      </c>
      <c r="E26" s="500">
        <v>2.5084999999999997</v>
      </c>
      <c r="F26" s="501">
        <v>15</v>
      </c>
      <c r="G26" s="498" t="s">
        <v>99</v>
      </c>
      <c r="H26" s="502">
        <v>0.59055118110236227</v>
      </c>
      <c r="I26" s="502">
        <v>0.27390815730117474</v>
      </c>
      <c r="J26" s="502">
        <v>6.9000000000000006E-2</v>
      </c>
      <c r="K26" s="504" t="s">
        <v>510</v>
      </c>
      <c r="L26" s="501">
        <v>100</v>
      </c>
      <c r="M26" s="498" t="str">
        <f>IF(A26="","",A26&amp;" ("&amp;SUBSTITUTE(SUBSTITUTE(SUBSTITUTE(C26,CHAR(160),"")," ",""),CHAR(34),"")&amp;"-in) - "&amp;IF(UPPER(TRIM(Calculator!$D$28))="KV","Kv "&amp;TEXT(E26,"0.0"),"Cv "&amp;TEXT(D26,"0.0")))</f>
        <v>B220HT290 (0.75-in) - Cv 2.9</v>
      </c>
    </row>
    <row r="27" spans="1:13" s="98" customFormat="1" ht="15" customHeight="1" x14ac:dyDescent="0.25">
      <c r="A27" s="497" t="s">
        <v>102</v>
      </c>
      <c r="B27" s="498" t="s">
        <v>99</v>
      </c>
      <c r="C27" s="499">
        <v>0.75</v>
      </c>
      <c r="D27" s="500">
        <v>4.6399999999999997</v>
      </c>
      <c r="E27" s="500">
        <v>4.0135999999999994</v>
      </c>
      <c r="F27" s="501">
        <v>15</v>
      </c>
      <c r="G27" s="498" t="s">
        <v>99</v>
      </c>
      <c r="H27" s="502">
        <v>0.59055118110236227</v>
      </c>
      <c r="I27" s="502">
        <v>0.27390815730117474</v>
      </c>
      <c r="J27" s="502">
        <v>0.1082</v>
      </c>
      <c r="K27" s="504" t="s">
        <v>510</v>
      </c>
      <c r="L27" s="501">
        <v>100</v>
      </c>
      <c r="M27" s="498" t="str">
        <f>IF(A27="","",A27&amp;" ("&amp;SUBSTITUTE(SUBSTITUTE(SUBSTITUTE(C27,CHAR(160),"")," ",""),CHAR(34),"")&amp;"-in) - "&amp;IF(UPPER(TRIM(Calculator!$D$28))="KV","Kv "&amp;TEXT(E27,"0.0"),"Cv "&amp;TEXT(D27,"0.0")))</f>
        <v>B220HT464 (0.75-in) - Cv 4.6</v>
      </c>
    </row>
    <row r="28" spans="1:13" s="98" customFormat="1" ht="15" customHeight="1" x14ac:dyDescent="0.25">
      <c r="A28" s="497" t="s">
        <v>101</v>
      </c>
      <c r="B28" s="498" t="s">
        <v>99</v>
      </c>
      <c r="C28" s="499">
        <v>0.75</v>
      </c>
      <c r="D28" s="500">
        <v>7.31</v>
      </c>
      <c r="E28" s="500">
        <v>6.3231499999999992</v>
      </c>
      <c r="F28" s="501">
        <v>15</v>
      </c>
      <c r="G28" s="498" t="s">
        <v>99</v>
      </c>
      <c r="H28" s="502">
        <v>0.59055118110236227</v>
      </c>
      <c r="I28" s="502">
        <v>0.27390815730117474</v>
      </c>
      <c r="J28" s="502">
        <v>0.14760000000000001</v>
      </c>
      <c r="K28" s="504" t="s">
        <v>510</v>
      </c>
      <c r="L28" s="501">
        <v>100</v>
      </c>
      <c r="M28" s="498" t="str">
        <f>IF(A28="","",A28&amp;" ("&amp;SUBSTITUTE(SUBSTITUTE(SUBSTITUTE(C28,CHAR(160),"")," ",""),CHAR(34),"")&amp;"-in) - "&amp;IF(UPPER(TRIM(Calculator!$D$28))="KV","Kv "&amp;TEXT(E28,"0.0"),"Cv "&amp;TEXT(D28,"0.0")))</f>
        <v>B220HT731 (0.75-in) - Cv 7.3</v>
      </c>
    </row>
    <row r="29" spans="1:13" s="98" customFormat="1" ht="15" customHeight="1" x14ac:dyDescent="0.25">
      <c r="A29" s="497" t="s">
        <v>100</v>
      </c>
      <c r="B29" s="498" t="s">
        <v>99</v>
      </c>
      <c r="C29" s="499">
        <v>0.75</v>
      </c>
      <c r="D29" s="500">
        <v>9.2799999999999994</v>
      </c>
      <c r="E29" s="500">
        <v>8.0271999999999988</v>
      </c>
      <c r="F29" s="501">
        <v>15</v>
      </c>
      <c r="G29" s="498" t="s">
        <v>99</v>
      </c>
      <c r="H29" s="502">
        <v>0.59055118110236227</v>
      </c>
      <c r="I29" s="502">
        <v>0.27390815730117474</v>
      </c>
      <c r="J29" s="502">
        <v>0.15620000000000001</v>
      </c>
      <c r="K29" s="504" t="s">
        <v>510</v>
      </c>
      <c r="L29" s="501">
        <v>100</v>
      </c>
      <c r="M29" s="498" t="str">
        <f>IF(A29="","",A29&amp;" ("&amp;SUBSTITUTE(SUBSTITUTE(SUBSTITUTE(C29,CHAR(160),"")," ",""),CHAR(34),"")&amp;"-in) - "&amp;IF(UPPER(TRIM(Calculator!$D$28))="KV","Kv "&amp;TEXT(E29,"0.0"),"Cv "&amp;TEXT(D29,"0.0")))</f>
        <v>B220HT928 (0.75-in) - Cv 9.3</v>
      </c>
    </row>
    <row r="30" spans="1:13" s="98" customFormat="1" ht="15" customHeight="1" x14ac:dyDescent="0.25">
      <c r="A30" s="497" t="s">
        <v>105</v>
      </c>
      <c r="B30" s="498" t="s">
        <v>99</v>
      </c>
      <c r="C30" s="499">
        <v>0.75</v>
      </c>
      <c r="D30" s="500">
        <v>13.2</v>
      </c>
      <c r="E30" s="500">
        <v>11.417999999999999</v>
      </c>
      <c r="F30" s="501">
        <v>15</v>
      </c>
      <c r="G30" s="498" t="s">
        <v>99</v>
      </c>
      <c r="H30" s="502">
        <v>0.59055118110236227</v>
      </c>
      <c r="I30" s="502">
        <v>0.27390815730117474</v>
      </c>
      <c r="J30" s="502">
        <v>0.25600000000000001</v>
      </c>
      <c r="K30" s="504" t="s">
        <v>510</v>
      </c>
      <c r="L30" s="501">
        <v>100</v>
      </c>
      <c r="M30" s="498" t="str">
        <f>IF(A30="","",A30&amp;" ("&amp;SUBSTITUTE(SUBSTITUTE(SUBSTITUTE(C30,CHAR(160),"")," ",""),CHAR(34),"")&amp;"-in) - "&amp;IF(UPPER(TRIM(Calculator!$D$28))="KV","Kv "&amp;TEXT(E30,"0.0"),"Cv "&amp;TEXT(D30,"0.0")))</f>
        <v>B220HT1320 (0.75-in) - Cv 13.2</v>
      </c>
    </row>
    <row r="31" spans="1:13" s="98" customFormat="1" ht="15" customHeight="1" x14ac:dyDescent="0.25">
      <c r="A31" s="497" t="s">
        <v>116</v>
      </c>
      <c r="B31" s="498" t="s">
        <v>99</v>
      </c>
      <c r="C31" s="499">
        <v>1</v>
      </c>
      <c r="D31" s="500">
        <v>4.6399999999999997</v>
      </c>
      <c r="E31" s="500">
        <v>4.0135999999999994</v>
      </c>
      <c r="F31" s="501">
        <v>15</v>
      </c>
      <c r="G31" s="498" t="s">
        <v>99</v>
      </c>
      <c r="H31" s="502">
        <v>0.78740157480314965</v>
      </c>
      <c r="I31" s="502">
        <v>0.48694783520208834</v>
      </c>
      <c r="J31" s="502">
        <v>0.1037</v>
      </c>
      <c r="K31" s="504" t="s">
        <v>510</v>
      </c>
      <c r="L31" s="501">
        <v>100</v>
      </c>
      <c r="M31" s="498" t="str">
        <f>IF(A31="","",A31&amp;" ("&amp;SUBSTITUTE(SUBSTITUTE(SUBSTITUTE(C31,CHAR(160),"")," ",""),CHAR(34),"")&amp;"-in) - "&amp;IF(UPPER(TRIM(Calculator!$D$28))="KV","Kv "&amp;TEXT(E31,"0.0"),"Cv "&amp;TEXT(D31,"0.0")))</f>
        <v>B225HT464 (1-in) - Cv 4.6</v>
      </c>
    </row>
    <row r="32" spans="1:13" s="98" customFormat="1" ht="15" customHeight="1" x14ac:dyDescent="0.25">
      <c r="A32" s="497" t="s">
        <v>115</v>
      </c>
      <c r="B32" s="498" t="s">
        <v>99</v>
      </c>
      <c r="C32" s="499">
        <v>1</v>
      </c>
      <c r="D32" s="500">
        <v>7.31</v>
      </c>
      <c r="E32" s="500">
        <v>6.3231499999999992</v>
      </c>
      <c r="F32" s="501">
        <v>15</v>
      </c>
      <c r="G32" s="498" t="s">
        <v>99</v>
      </c>
      <c r="H32" s="502">
        <v>0.78740157480314965</v>
      </c>
      <c r="I32" s="502">
        <v>0.48694783520208834</v>
      </c>
      <c r="J32" s="502">
        <v>0.15310000000000001</v>
      </c>
      <c r="K32" s="504" t="s">
        <v>510</v>
      </c>
      <c r="L32" s="501">
        <v>100</v>
      </c>
      <c r="M32" s="498" t="str">
        <f>IF(A32="","",A32&amp;" ("&amp;SUBSTITUTE(SUBSTITUTE(SUBSTITUTE(C32,CHAR(160),"")," ",""),CHAR(34),"")&amp;"-in) - "&amp;IF(UPPER(TRIM(Calculator!$D$28))="KV","Kv "&amp;TEXT(E32,"0.0"),"Cv "&amp;TEXT(D32,"0.0")))</f>
        <v>B225HT731 (1-in) - Cv 7.3</v>
      </c>
    </row>
    <row r="33" spans="1:13" s="98" customFormat="1" ht="15" customHeight="1" x14ac:dyDescent="0.25">
      <c r="A33" s="497" t="s">
        <v>119</v>
      </c>
      <c r="B33" s="498" t="s">
        <v>99</v>
      </c>
      <c r="C33" s="499">
        <v>1</v>
      </c>
      <c r="D33" s="500">
        <v>11.6</v>
      </c>
      <c r="E33" s="500">
        <v>10.033999999999999</v>
      </c>
      <c r="F33" s="501">
        <v>15</v>
      </c>
      <c r="G33" s="498" t="s">
        <v>99</v>
      </c>
      <c r="H33" s="502">
        <v>0.78740157480314965</v>
      </c>
      <c r="I33" s="502">
        <v>0.48694783520208834</v>
      </c>
      <c r="J33" s="502">
        <v>0.26400000000000001</v>
      </c>
      <c r="K33" s="504" t="s">
        <v>510</v>
      </c>
      <c r="L33" s="501">
        <v>100</v>
      </c>
      <c r="M33" s="498" t="str">
        <f>IF(A33="","",A33&amp;" ("&amp;SUBSTITUTE(SUBSTITUTE(SUBSTITUTE(C33,CHAR(160),"")," ",""),CHAR(34),"")&amp;"-in) - "&amp;IF(UPPER(TRIM(Calculator!$D$28))="KV","Kv "&amp;TEXT(E33,"0.0"),"Cv "&amp;TEXT(D33,"0.0")))</f>
        <v>B225HT1160 (1-in) - Cv 11.6</v>
      </c>
    </row>
    <row r="34" spans="1:13" s="98" customFormat="1" ht="15" customHeight="1" x14ac:dyDescent="0.25">
      <c r="A34" s="497" t="s">
        <v>118</v>
      </c>
      <c r="B34" s="498" t="s">
        <v>99</v>
      </c>
      <c r="C34" s="499">
        <v>1</v>
      </c>
      <c r="D34" s="500">
        <v>18.559999999999999</v>
      </c>
      <c r="E34" s="500">
        <v>16.002500000000001</v>
      </c>
      <c r="F34" s="501">
        <v>15</v>
      </c>
      <c r="G34" s="498" t="s">
        <v>99</v>
      </c>
      <c r="H34" s="502">
        <v>0.78740157480314965</v>
      </c>
      <c r="I34" s="502">
        <v>0.48694783520208834</v>
      </c>
      <c r="J34" s="502">
        <v>0.3805</v>
      </c>
      <c r="K34" s="504" t="s">
        <v>510</v>
      </c>
      <c r="L34" s="501">
        <v>100</v>
      </c>
      <c r="M34" s="498" t="str">
        <f>IF(A34="","",A34&amp;" ("&amp;SUBSTITUTE(SUBSTITUTE(SUBSTITUTE(C34,CHAR(160),"")," ",""),CHAR(34),"")&amp;"-in) - "&amp;IF(UPPER(TRIM(Calculator!$D$28))="KV","Kv "&amp;TEXT(E34,"0.0"),"Cv "&amp;TEXT(D34,"0.0")))</f>
        <v>B225HT1856 (1-in) - Cv 18.6</v>
      </c>
    </row>
    <row r="35" spans="1:13" s="98" customFormat="1" ht="15" customHeight="1" x14ac:dyDescent="0.25">
      <c r="A35" s="497" t="s">
        <v>117</v>
      </c>
      <c r="B35" s="498" t="s">
        <v>99</v>
      </c>
      <c r="C35" s="499">
        <v>1</v>
      </c>
      <c r="D35" s="500">
        <v>28</v>
      </c>
      <c r="E35" s="500">
        <v>24.22</v>
      </c>
      <c r="F35" s="501">
        <v>15</v>
      </c>
      <c r="G35" s="498" t="s">
        <v>99</v>
      </c>
      <c r="H35" s="502">
        <v>0.78740157480314965</v>
      </c>
      <c r="I35" s="502">
        <v>0.48694783520208834</v>
      </c>
      <c r="J35" s="502">
        <v>0.4395</v>
      </c>
      <c r="K35" s="504" t="s">
        <v>510</v>
      </c>
      <c r="L35" s="501">
        <v>100</v>
      </c>
      <c r="M35" s="498" t="str">
        <f>IF(A35="","",A35&amp;" ("&amp;SUBSTITUTE(SUBSTITUTE(SUBSTITUTE(C35,CHAR(160),"")," ",""),CHAR(34),"")&amp;"-in) - "&amp;IF(UPPER(TRIM(Calculator!$D$28))="KV","Kv "&amp;TEXT(E35,"0.0"),"Cv "&amp;TEXT(D35,"0.0")))</f>
        <v>B225HT2800 (1-in) - Cv 28.0</v>
      </c>
    </row>
    <row r="36" spans="1:13" s="98" customFormat="1" ht="15" customHeight="1" x14ac:dyDescent="0.25">
      <c r="A36" s="497" t="s">
        <v>121</v>
      </c>
      <c r="B36" s="498" t="s">
        <v>236</v>
      </c>
      <c r="C36" s="499">
        <v>1</v>
      </c>
      <c r="D36" s="500">
        <v>24</v>
      </c>
      <c r="E36" s="500">
        <v>20.759999999999998</v>
      </c>
      <c r="F36" s="501">
        <v>150</v>
      </c>
      <c r="G36" s="498" t="s">
        <v>236</v>
      </c>
      <c r="H36" s="503">
        <v>0.93048529833625571</v>
      </c>
      <c r="I36" s="502">
        <v>0.68</v>
      </c>
      <c r="J36" s="503"/>
      <c r="K36" s="504" t="s">
        <v>510</v>
      </c>
      <c r="L36" s="501">
        <v>100</v>
      </c>
      <c r="M36" s="498" t="str">
        <f>IF(A36="","",A36&amp;" ("&amp;SUBSTITUTE(SUBSTITUTE(SUBSTITUTE(C36,CHAR(160),"")," ",""),CHAR(34),"")&amp;"-in) - "&amp;IF(UPPER(TRIM(Calculator!$D$28))="KV","Kv "&amp;TEXT(E36,"0.0"),"Cv "&amp;TEXT(D36,"0.0")))</f>
        <v>B2100VB-024 (1-in) - Cv 24.0</v>
      </c>
    </row>
    <row r="37" spans="1:13" s="98" customFormat="1" ht="15" customHeight="1" x14ac:dyDescent="0.25">
      <c r="A37" s="505" t="s">
        <v>124</v>
      </c>
      <c r="B37" s="498" t="s">
        <v>236</v>
      </c>
      <c r="C37" s="501">
        <v>1.5</v>
      </c>
      <c r="D37" s="500">
        <v>55</v>
      </c>
      <c r="E37" s="500">
        <v>47.575000000000003</v>
      </c>
      <c r="F37" s="501">
        <v>150</v>
      </c>
      <c r="G37" s="498" t="s">
        <v>236</v>
      </c>
      <c r="H37" s="503">
        <v>1.5594510349620345</v>
      </c>
      <c r="I37" s="502">
        <v>1.91</v>
      </c>
      <c r="J37" s="503"/>
      <c r="K37" s="504" t="s">
        <v>510</v>
      </c>
      <c r="L37" s="501">
        <v>100</v>
      </c>
      <c r="M37" s="498" t="str">
        <f>IF(A37="","",A37&amp;" ("&amp;SUBSTITUTE(SUBSTITUTE(SUBSTITUTE(C37,CHAR(160),"")," ",""),CHAR(34),"")&amp;"-in) - "&amp;IF(UPPER(TRIM(Calculator!$D$28))="KV","Kv "&amp;TEXT(E37,"0.0"),"Cv "&amp;TEXT(D37,"0.0")))</f>
        <v>B2150VB-055 (1.5-in) - Cv 55.0</v>
      </c>
    </row>
    <row r="38" spans="1:13" s="98" customFormat="1" ht="15" customHeight="1" x14ac:dyDescent="0.25">
      <c r="A38" s="505" t="s">
        <v>110</v>
      </c>
      <c r="B38" s="498" t="s">
        <v>236</v>
      </c>
      <c r="C38" s="501">
        <v>2</v>
      </c>
      <c r="D38" s="500">
        <v>77</v>
      </c>
      <c r="E38" s="500">
        <v>66.605000000000004</v>
      </c>
      <c r="F38" s="501">
        <v>150</v>
      </c>
      <c r="G38" s="498" t="s">
        <v>236</v>
      </c>
      <c r="H38" s="503">
        <v>1.9544100476116797</v>
      </c>
      <c r="I38" s="502">
        <v>3</v>
      </c>
      <c r="J38" s="503"/>
      <c r="K38" s="504" t="s">
        <v>510</v>
      </c>
      <c r="L38" s="501">
        <v>100</v>
      </c>
      <c r="M38" s="498" t="str">
        <f>IF(A38="","",A38&amp;" ("&amp;SUBSTITUTE(SUBSTITUTE(SUBSTITUTE(C38,CHAR(160),"")," ",""),CHAR(34),"")&amp;"-in) - "&amp;IF(UPPER(TRIM(Calculator!$D$28))="KV","Kv "&amp;TEXT(E38,"0.0"),"Cv "&amp;TEXT(D38,"0.0")))</f>
        <v>B2200VB-077 (2-in) - Cv 77.0</v>
      </c>
    </row>
    <row r="39" spans="1:13" s="98" customFormat="1" ht="15" customHeight="1" x14ac:dyDescent="0.25">
      <c r="A39" s="505" t="s">
        <v>107</v>
      </c>
      <c r="B39" s="498" t="s">
        <v>236</v>
      </c>
      <c r="C39" s="501">
        <v>3</v>
      </c>
      <c r="D39" s="500">
        <v>207</v>
      </c>
      <c r="E39" s="500">
        <v>179.05500000000001</v>
      </c>
      <c r="F39" s="501">
        <v>150</v>
      </c>
      <c r="G39" s="498" t="s">
        <v>236</v>
      </c>
      <c r="H39" s="503">
        <v>2.5928179257714299</v>
      </c>
      <c r="I39" s="502">
        <v>5.28</v>
      </c>
      <c r="J39" s="503"/>
      <c r="K39" s="504" t="s">
        <v>510</v>
      </c>
      <c r="L39" s="501">
        <v>100</v>
      </c>
      <c r="M39" s="498" t="str">
        <f>IF(A39="","",A39&amp;" ("&amp;SUBSTITUTE(SUBSTITUTE(SUBSTITUTE(C39,CHAR(160),"")," ",""),CHAR(34),"")&amp;"-in) - "&amp;IF(UPPER(TRIM(Calculator!$D$28))="KV","Kv "&amp;TEXT(E39,"0.0"),"Cv "&amp;TEXT(D39,"0.0")))</f>
        <v>B6300VB-207 (3-in) - Cv 207.0</v>
      </c>
    </row>
    <row r="40" spans="1:13" s="98" customFormat="1" ht="15" customHeight="1" x14ac:dyDescent="0.25">
      <c r="A40" s="505" t="s">
        <v>96</v>
      </c>
      <c r="B40" s="498" t="s">
        <v>236</v>
      </c>
      <c r="C40" s="501">
        <v>4</v>
      </c>
      <c r="D40" s="500">
        <v>350</v>
      </c>
      <c r="E40" s="500">
        <v>302.75</v>
      </c>
      <c r="F40" s="501">
        <v>150</v>
      </c>
      <c r="G40" s="498" t="s">
        <v>236</v>
      </c>
      <c r="H40" s="503">
        <v>3.0270000000000001</v>
      </c>
      <c r="I40" s="502">
        <v>7.19</v>
      </c>
      <c r="J40" s="503"/>
      <c r="K40" s="504" t="s">
        <v>510</v>
      </c>
      <c r="L40" s="501">
        <v>100</v>
      </c>
      <c r="M40" s="498" t="str">
        <f>IF(A40="","",A40&amp;" ("&amp;SUBSTITUTE(SUBSTITUTE(SUBSTITUTE(C40,CHAR(160),"")," ",""),CHAR(34),"")&amp;"-in) - "&amp;IF(UPPER(TRIM(Calculator!$D$28))="KV","Kv "&amp;TEXT(E40,"0.0"),"Cv "&amp;TEXT(D40,"0.0")))</f>
        <v>B6400VB-350 (4-in) - Cv 350.0</v>
      </c>
    </row>
    <row r="41" spans="1:13" s="98" customFormat="1" ht="15" customHeight="1" x14ac:dyDescent="0.25">
      <c r="A41" s="505" t="s">
        <v>95</v>
      </c>
      <c r="B41" s="498" t="s">
        <v>236</v>
      </c>
      <c r="C41" s="501">
        <v>6</v>
      </c>
      <c r="D41" s="500">
        <v>507</v>
      </c>
      <c r="E41" s="500">
        <v>438.55500000000001</v>
      </c>
      <c r="F41" s="501">
        <v>150</v>
      </c>
      <c r="G41" s="498" t="s">
        <v>236</v>
      </c>
      <c r="H41" s="503">
        <v>4.451023176313412</v>
      </c>
      <c r="I41" s="502">
        <v>15.56</v>
      </c>
      <c r="J41" s="503"/>
      <c r="K41" s="504" t="s">
        <v>510</v>
      </c>
      <c r="L41" s="501">
        <v>100</v>
      </c>
      <c r="M41" s="498" t="str">
        <f>IF(A41="","",A41&amp;" ("&amp;SUBSTITUTE(SUBSTITUTE(SUBSTITUTE(C41,CHAR(160),"")," ",""),CHAR(34),"")&amp;"-in) - "&amp;IF(UPPER(TRIM(Calculator!$D$28))="KV","Kv "&amp;TEXT(E41,"0.0"),"Cv "&amp;TEXT(D41,"0.0")))</f>
        <v>B6600VB-507 (6-in) - Cv 507.0</v>
      </c>
    </row>
    <row r="42" spans="1:13" s="98" customFormat="1" ht="15" customHeight="1" x14ac:dyDescent="0.25">
      <c r="A42" s="505" t="s">
        <v>94</v>
      </c>
      <c r="B42" s="498" t="s">
        <v>236</v>
      </c>
      <c r="C42" s="501">
        <v>8</v>
      </c>
      <c r="D42" s="500">
        <v>865</v>
      </c>
      <c r="E42" s="500">
        <v>748.22500000000002</v>
      </c>
      <c r="F42" s="501">
        <v>150</v>
      </c>
      <c r="G42" s="498" t="s">
        <v>236</v>
      </c>
      <c r="H42" s="503">
        <v>5.6418958354775626</v>
      </c>
      <c r="I42" s="502">
        <v>25</v>
      </c>
      <c r="J42" s="503"/>
      <c r="K42" s="504" t="s">
        <v>510</v>
      </c>
      <c r="L42" s="501">
        <v>100</v>
      </c>
      <c r="M42" s="498" t="str">
        <f>IF(A42="","",A42&amp;" ("&amp;SUBSTITUTE(SUBSTITUTE(SUBSTITUTE(C42,CHAR(160),"")," ",""),CHAR(34),"")&amp;"-in) - "&amp;IF(UPPER(TRIM(Calculator!$D$28))="KV","Kv "&amp;TEXT(E42,"0.0"),"Cv "&amp;TEXT(D42,"0.0")))</f>
        <v>B6800VB-865 (8-in) - Cv 865.0</v>
      </c>
    </row>
    <row r="43" spans="1:13" s="98" customFormat="1" ht="15" customHeight="1" x14ac:dyDescent="0.25">
      <c r="A43" s="505" t="s">
        <v>112</v>
      </c>
      <c r="B43" s="498" t="s">
        <v>236</v>
      </c>
      <c r="C43" s="501">
        <v>10</v>
      </c>
      <c r="D43" s="500">
        <v>1550</v>
      </c>
      <c r="E43" s="500">
        <v>1340.75</v>
      </c>
      <c r="F43" s="501">
        <v>150</v>
      </c>
      <c r="G43" s="498" t="s">
        <v>236</v>
      </c>
      <c r="H43" s="503">
        <v>7.5373701306279877</v>
      </c>
      <c r="I43" s="502">
        <v>44.62</v>
      </c>
      <c r="J43" s="503"/>
      <c r="K43" s="504" t="s">
        <v>510</v>
      </c>
      <c r="L43" s="501">
        <v>100</v>
      </c>
      <c r="M43" s="498" t="str">
        <f>IF(A43="","",A43&amp;" ("&amp;SUBSTITUTE(SUBSTITUTE(SUBSTITUTE(C43,CHAR(160),"")," ",""),CHAR(34),"")&amp;"-in) - "&amp;IF(UPPER(TRIM(Calculator!$D$28))="KV","Kv "&amp;TEXT(E43,"0.0"),"Cv "&amp;TEXT(D43,"0.0")))</f>
        <v>B61000VB-1550 (10-in) - Cv 1550.0</v>
      </c>
    </row>
    <row r="44" spans="1:13" s="98" customFormat="1" ht="15" customHeight="1" x14ac:dyDescent="0.25">
      <c r="A44" s="505" t="s">
        <v>111</v>
      </c>
      <c r="B44" s="498" t="s">
        <v>236</v>
      </c>
      <c r="C44" s="501">
        <v>12</v>
      </c>
      <c r="D44" s="500">
        <v>1905</v>
      </c>
      <c r="E44" s="500">
        <v>1647.825</v>
      </c>
      <c r="F44" s="501">
        <v>150</v>
      </c>
      <c r="G44" s="498" t="s">
        <v>236</v>
      </c>
      <c r="H44" s="503">
        <v>9.0657383931290862</v>
      </c>
      <c r="I44" s="502">
        <v>64.55</v>
      </c>
      <c r="J44" s="503"/>
      <c r="K44" s="504" t="s">
        <v>510</v>
      </c>
      <c r="L44" s="501">
        <v>100</v>
      </c>
      <c r="M44" s="498" t="str">
        <f>IF(A44="","",A44&amp;" ("&amp;SUBSTITUTE(SUBSTITUTE(SUBSTITUTE(C44,CHAR(160),"")," ",""),CHAR(34),"")&amp;"-in) - "&amp;IF(UPPER(TRIM(Calculator!$D$28))="KV","Kv "&amp;TEXT(E44,"0.0"),"Cv "&amp;TEXT(D44,"0.0")))</f>
        <v>B61200VB-1905 (12-in) - Cv 1905.0</v>
      </c>
    </row>
    <row r="45" spans="1:13" s="98" customFormat="1" ht="15" customHeight="1" x14ac:dyDescent="0.25">
      <c r="A45" s="498" t="s">
        <v>128</v>
      </c>
      <c r="B45" s="498" t="s">
        <v>237</v>
      </c>
      <c r="C45" s="501">
        <v>0.5</v>
      </c>
      <c r="D45" s="500">
        <v>0.4</v>
      </c>
      <c r="E45" s="500">
        <v>0.34600000000000003</v>
      </c>
      <c r="F45" s="501">
        <v>100</v>
      </c>
      <c r="G45" s="498" t="s">
        <v>237</v>
      </c>
      <c r="H45" s="360">
        <v>0.375</v>
      </c>
      <c r="I45" s="496"/>
      <c r="J45" s="496">
        <v>0.33139999999999997</v>
      </c>
      <c r="K45" s="504" t="s">
        <v>510</v>
      </c>
      <c r="L45" s="501">
        <v>50</v>
      </c>
      <c r="M45" s="498" t="str">
        <f>IF(A45="","",A45&amp;" ("&amp;SUBSTITUTE(SUBSTITUTE(SUBSTITUTE(C45,CHAR(160),"")," ",""),CHAR(34),"")&amp;"-in) - "&amp;IF(UPPER(TRIM(Calculator!$D$28))="KV","Kv "&amp;TEXT(E45,"0.0"),"Cv "&amp;TEXT(D45,"0.0")))</f>
        <v>G215S-C (0.5-in) - Cv 0.4</v>
      </c>
    </row>
    <row r="46" spans="1:13" s="98" customFormat="1" ht="15" customHeight="1" x14ac:dyDescent="0.25">
      <c r="A46" s="498" t="s">
        <v>127</v>
      </c>
      <c r="B46" s="498" t="s">
        <v>237</v>
      </c>
      <c r="C46" s="501">
        <v>0.5</v>
      </c>
      <c r="D46" s="500">
        <v>1.3</v>
      </c>
      <c r="E46" s="500">
        <v>1.1245000000000001</v>
      </c>
      <c r="F46" s="501">
        <v>100</v>
      </c>
      <c r="G46" s="498" t="s">
        <v>237</v>
      </c>
      <c r="H46" s="360">
        <v>0.375</v>
      </c>
      <c r="I46" s="496"/>
      <c r="J46" s="496">
        <v>0.33139999999999997</v>
      </c>
      <c r="K46" s="504" t="s">
        <v>510</v>
      </c>
      <c r="L46" s="501">
        <v>50</v>
      </c>
      <c r="M46" s="498" t="str">
        <f>IF(A46="","",A46&amp;" ("&amp;SUBSTITUTE(SUBSTITUTE(SUBSTITUTE(C46,CHAR(160),"")," ",""),CHAR(34),"")&amp;"-in) - "&amp;IF(UPPER(TRIM(Calculator!$D$28))="KV","Kv "&amp;TEXT(E46,"0.0"),"Cv "&amp;TEXT(D46,"0.0")))</f>
        <v>G215S-F (0.5-in) - Cv 1.3</v>
      </c>
    </row>
    <row r="47" spans="1:13" s="98" customFormat="1" ht="15" customHeight="1" x14ac:dyDescent="0.25">
      <c r="A47" s="498" t="s">
        <v>126</v>
      </c>
      <c r="B47" s="498" t="s">
        <v>237</v>
      </c>
      <c r="C47" s="501">
        <v>0.5</v>
      </c>
      <c r="D47" s="500">
        <v>2.2000000000000002</v>
      </c>
      <c r="E47" s="500">
        <v>1.903</v>
      </c>
      <c r="F47" s="501">
        <v>100</v>
      </c>
      <c r="G47" s="498" t="s">
        <v>237</v>
      </c>
      <c r="H47" s="360">
        <v>0.375</v>
      </c>
      <c r="I47" s="496"/>
      <c r="J47" s="496">
        <v>0.33139999999999997</v>
      </c>
      <c r="K47" s="504" t="s">
        <v>510</v>
      </c>
      <c r="L47" s="501">
        <v>50</v>
      </c>
      <c r="M47" s="498" t="str">
        <f>IF(A47="","",A47&amp;" ("&amp;SUBSTITUTE(SUBSTITUTE(SUBSTITUTE(C47,CHAR(160),"")," ",""),CHAR(34),"")&amp;"-in) - "&amp;IF(UPPER(TRIM(Calculator!$D$28))="KV","Kv "&amp;TEXT(E47,"0.0"),"Cv "&amp;TEXT(D47,"0.0")))</f>
        <v>G215S-G (0.5-in) - Cv 2.2</v>
      </c>
    </row>
    <row r="48" spans="1:13" s="98" customFormat="1" ht="15" customHeight="1" x14ac:dyDescent="0.25">
      <c r="A48" s="498" t="s">
        <v>125</v>
      </c>
      <c r="B48" s="498" t="s">
        <v>237</v>
      </c>
      <c r="C48" s="501">
        <v>0.5</v>
      </c>
      <c r="D48" s="500">
        <v>4.4000000000000004</v>
      </c>
      <c r="E48" s="500">
        <v>3.806</v>
      </c>
      <c r="F48" s="501">
        <v>100</v>
      </c>
      <c r="G48" s="498" t="s">
        <v>237</v>
      </c>
      <c r="H48" s="360">
        <v>0.375</v>
      </c>
      <c r="I48" s="496"/>
      <c r="J48" s="496">
        <v>0.33139999999999997</v>
      </c>
      <c r="K48" s="504" t="s">
        <v>510</v>
      </c>
      <c r="L48" s="501">
        <v>50</v>
      </c>
      <c r="M48" s="498" t="str">
        <f>IF(A48="","",A48&amp;" ("&amp;SUBSTITUTE(SUBSTITUTE(SUBSTITUTE(C48,CHAR(160),"")," ",""),CHAR(34),"")&amp;"-in) - "&amp;IF(UPPER(TRIM(Calculator!$D$28))="KV","Kv "&amp;TEXT(E48,"0.0"),"Cv "&amp;TEXT(D48,"0.0")))</f>
        <v>G215S-J (0.5-in) - Cv 4.4</v>
      </c>
    </row>
    <row r="49" spans="1:13" s="98" customFormat="1" ht="15" customHeight="1" x14ac:dyDescent="0.25">
      <c r="A49" s="498" t="s">
        <v>98</v>
      </c>
      <c r="B49" s="498" t="s">
        <v>237</v>
      </c>
      <c r="C49" s="501">
        <v>0.75</v>
      </c>
      <c r="D49" s="500">
        <v>5.5</v>
      </c>
      <c r="E49" s="500">
        <v>4.7575000000000003</v>
      </c>
      <c r="F49" s="501">
        <v>100</v>
      </c>
      <c r="G49" s="498" t="s">
        <v>237</v>
      </c>
      <c r="H49" s="360">
        <v>0.5625</v>
      </c>
      <c r="I49" s="496"/>
      <c r="J49" s="496">
        <v>0.33139999999999997</v>
      </c>
      <c r="K49" s="504" t="s">
        <v>510</v>
      </c>
      <c r="L49" s="501">
        <v>50</v>
      </c>
      <c r="M49" s="498" t="str">
        <f>IF(A49="","",A49&amp;" ("&amp;SUBSTITUTE(SUBSTITUTE(SUBSTITUTE(C49,CHAR(160),"")," ",""),CHAR(34),"")&amp;"-in) - "&amp;IF(UPPER(TRIM(Calculator!$D$28))="KV","Kv "&amp;TEXT(E49,"0.0"),"Cv "&amp;TEXT(D49,"0.0")))</f>
        <v>G220S-J (0.75-in) - Cv 5.5</v>
      </c>
    </row>
    <row r="50" spans="1:13" s="98" customFormat="1" ht="15" customHeight="1" x14ac:dyDescent="0.25">
      <c r="A50" s="498" t="s">
        <v>97</v>
      </c>
      <c r="B50" s="498" t="s">
        <v>237</v>
      </c>
      <c r="C50" s="501">
        <v>0.75</v>
      </c>
      <c r="D50" s="500">
        <v>7.5</v>
      </c>
      <c r="E50" s="500">
        <v>6.4874999999999998</v>
      </c>
      <c r="F50" s="501">
        <v>100</v>
      </c>
      <c r="G50" s="498" t="s">
        <v>237</v>
      </c>
      <c r="H50" s="360">
        <v>0.5625</v>
      </c>
      <c r="I50" s="496"/>
      <c r="J50" s="496">
        <v>0.33139999999999997</v>
      </c>
      <c r="K50" s="504" t="s">
        <v>510</v>
      </c>
      <c r="L50" s="501">
        <v>50</v>
      </c>
      <c r="M50" s="498" t="str">
        <f>IF(A50="","",A50&amp;" ("&amp;SUBSTITUTE(SUBSTITUTE(SUBSTITUTE(C50,CHAR(160),"")," ",""),CHAR(34),"")&amp;"-in) - "&amp;IF(UPPER(TRIM(Calculator!$D$28))="KV","Kv "&amp;TEXT(E50,"0.0"),"Cv "&amp;TEXT(D50,"0.0")))</f>
        <v>G220S-K (0.75-in) - Cv 7.5</v>
      </c>
    </row>
    <row r="51" spans="1:13" s="98" customFormat="1" ht="15" customHeight="1" x14ac:dyDescent="0.25">
      <c r="A51" s="498" t="s">
        <v>114</v>
      </c>
      <c r="B51" s="498" t="s">
        <v>237</v>
      </c>
      <c r="C51" s="501">
        <v>1</v>
      </c>
      <c r="D51" s="500">
        <v>10</v>
      </c>
      <c r="E51" s="500">
        <v>8.65</v>
      </c>
      <c r="F51" s="501">
        <v>100</v>
      </c>
      <c r="G51" s="498" t="s">
        <v>237</v>
      </c>
      <c r="H51" s="360">
        <v>0.75</v>
      </c>
      <c r="I51" s="496"/>
      <c r="J51" s="496">
        <v>0.88749999999999996</v>
      </c>
      <c r="K51" s="504" t="s">
        <v>510</v>
      </c>
      <c r="L51" s="501">
        <v>50</v>
      </c>
      <c r="M51" s="498" t="str">
        <f>IF(A51="","",A51&amp;" ("&amp;SUBSTITUTE(SUBSTITUTE(SUBSTITUTE(C51,CHAR(160),"")," ",""),CHAR(34),"")&amp;"-in) - "&amp;IF(UPPER(TRIM(Calculator!$D$28))="KV","Kv "&amp;TEXT(E51,"0.0"),"Cv "&amp;TEXT(D51,"0.0")))</f>
        <v>G225S-K (1-in) - Cv 10.0</v>
      </c>
    </row>
    <row r="52" spans="1:13" s="98" customFormat="1" ht="15" customHeight="1" x14ac:dyDescent="0.25">
      <c r="A52" s="498" t="s">
        <v>113</v>
      </c>
      <c r="B52" s="498" t="s">
        <v>237</v>
      </c>
      <c r="C52" s="501">
        <v>1</v>
      </c>
      <c r="D52" s="500">
        <v>14</v>
      </c>
      <c r="E52" s="500">
        <v>12.11</v>
      </c>
      <c r="F52" s="501">
        <v>100</v>
      </c>
      <c r="G52" s="498" t="s">
        <v>237</v>
      </c>
      <c r="H52" s="360">
        <v>0.75</v>
      </c>
      <c r="I52" s="496"/>
      <c r="J52" s="496">
        <v>0.88749999999999996</v>
      </c>
      <c r="K52" s="504" t="s">
        <v>510</v>
      </c>
      <c r="L52" s="501">
        <v>50</v>
      </c>
      <c r="M52" s="498" t="str">
        <f>IF(A52="","",A52&amp;" ("&amp;SUBSTITUTE(SUBSTITUTE(SUBSTITUTE(C52,CHAR(160),"")," ",""),CHAR(34),"")&amp;"-in) - "&amp;IF(UPPER(TRIM(Calculator!$D$28))="KV","Kv "&amp;TEXT(E52,"0.0"),"Cv "&amp;TEXT(D52,"0.0")))</f>
        <v>G225S-L (1-in) - Cv 14.0</v>
      </c>
    </row>
    <row r="53" spans="1:13" s="98" customFormat="1" ht="15" customHeight="1" x14ac:dyDescent="0.25">
      <c r="A53" s="498" t="s">
        <v>122</v>
      </c>
      <c r="B53" s="498" t="s">
        <v>237</v>
      </c>
      <c r="C53" s="501">
        <v>1.25</v>
      </c>
      <c r="D53" s="500">
        <v>20</v>
      </c>
      <c r="E53" s="500">
        <v>17.3</v>
      </c>
      <c r="F53" s="501">
        <v>100</v>
      </c>
      <c r="G53" s="498" t="s">
        <v>237</v>
      </c>
      <c r="H53" s="360">
        <v>0.9375</v>
      </c>
      <c r="I53" s="496"/>
      <c r="J53" s="496">
        <v>1.1698999999999999</v>
      </c>
      <c r="K53" s="504" t="s">
        <v>510</v>
      </c>
      <c r="L53" s="501">
        <v>50</v>
      </c>
      <c r="M53" s="498" t="str">
        <f>IF(A53="","",A53&amp;" ("&amp;SUBSTITUTE(SUBSTITUTE(SUBSTITUTE(C53,CHAR(160),"")," ",""),CHAR(34),"")&amp;"-in) - "&amp;IF(UPPER(TRIM(Calculator!$D$28))="KV","Kv "&amp;TEXT(E53,"0.0"),"Cv "&amp;TEXT(D53,"0.0")))</f>
        <v>G232S-M (1.25-in) - Cv 20.0</v>
      </c>
    </row>
    <row r="54" spans="1:13" s="98" customFormat="1" ht="15" customHeight="1" x14ac:dyDescent="0.25">
      <c r="A54" s="498" t="s">
        <v>123</v>
      </c>
      <c r="B54" s="498" t="s">
        <v>237</v>
      </c>
      <c r="C54" s="501">
        <v>1.5</v>
      </c>
      <c r="D54" s="500">
        <v>28</v>
      </c>
      <c r="E54" s="500">
        <v>24.22</v>
      </c>
      <c r="F54" s="501">
        <v>100</v>
      </c>
      <c r="G54" s="498" t="s">
        <v>237</v>
      </c>
      <c r="H54" s="360">
        <v>1.125</v>
      </c>
      <c r="I54" s="496"/>
      <c r="J54" s="496">
        <v>2.0464000000000002</v>
      </c>
      <c r="K54" s="504" t="s">
        <v>510</v>
      </c>
      <c r="L54" s="501">
        <v>50</v>
      </c>
      <c r="M54" s="498" t="str">
        <f>IF(A54="","",A54&amp;" ("&amp;SUBSTITUTE(SUBSTITUTE(SUBSTITUTE(C54,CHAR(160),"")," ",""),CHAR(34),"")&amp;"-in) - "&amp;IF(UPPER(TRIM(Calculator!$D$28))="KV","Kv "&amp;TEXT(E54,"0.0"),"Cv "&amp;TEXT(D54,"0.0")))</f>
        <v>G240S-N (1.5-in) - Cv 28.0</v>
      </c>
    </row>
    <row r="55" spans="1:13" s="98" customFormat="1" ht="15" customHeight="1" x14ac:dyDescent="0.25">
      <c r="A55" s="498" t="s">
        <v>108</v>
      </c>
      <c r="B55" s="498" t="s">
        <v>237</v>
      </c>
      <c r="C55" s="501">
        <v>2</v>
      </c>
      <c r="D55" s="500">
        <v>40</v>
      </c>
      <c r="E55" s="500">
        <v>34.6</v>
      </c>
      <c r="F55" s="501">
        <v>100</v>
      </c>
      <c r="G55" s="498" t="s">
        <v>237</v>
      </c>
      <c r="H55" s="360">
        <v>1.5</v>
      </c>
      <c r="I55" s="496"/>
      <c r="J55" s="496">
        <v>3.1663999999999999</v>
      </c>
      <c r="K55" s="504" t="s">
        <v>510</v>
      </c>
      <c r="L55" s="501">
        <v>50</v>
      </c>
      <c r="M55" s="498" t="str">
        <f>IF(A55="","",A55&amp;" ("&amp;SUBSTITUTE(SUBSTITUTE(SUBSTITUTE(C55,CHAR(160),"")," ",""),CHAR(34),"")&amp;"-in) - "&amp;IF(UPPER(TRIM(Calculator!$D$28))="KV","Kv "&amp;TEXT(E55,"0.0"),"Cv "&amp;TEXT(D55,"0.0")))</f>
        <v>G250S-N (2-in) - Cv 40.0</v>
      </c>
    </row>
    <row r="56" spans="1:13" s="98" customFormat="1" ht="15" customHeight="1" x14ac:dyDescent="0.25">
      <c r="A56" s="498" t="s">
        <v>247</v>
      </c>
      <c r="B56" s="498" t="s">
        <v>237</v>
      </c>
      <c r="C56" s="501">
        <v>2.5</v>
      </c>
      <c r="D56" s="500">
        <v>65</v>
      </c>
      <c r="E56" s="500">
        <v>56.225000000000001</v>
      </c>
      <c r="F56" s="501">
        <v>35</v>
      </c>
      <c r="G56" s="498" t="s">
        <v>237</v>
      </c>
      <c r="H56" s="360">
        <v>1.875</v>
      </c>
      <c r="I56" s="496"/>
      <c r="J56" s="496">
        <v>4.9086999999999996</v>
      </c>
      <c r="K56" s="504" t="s">
        <v>510</v>
      </c>
      <c r="L56" s="501">
        <v>50</v>
      </c>
      <c r="M56" s="498" t="str">
        <f>IF(A56="","",A56&amp;" ("&amp;SUBSTITUTE(SUBSTITUTE(SUBSTITUTE(C56,CHAR(160),"")," ",""),CHAR(34),"")&amp;"-in) - "&amp;IF(UPPER(TRIM(Calculator!$D$28))="KV","Kv "&amp;TEXT(E56,"0.0"),"Cv "&amp;TEXT(D56,"0.0")))</f>
        <v>G665 (2.5-in) - Cv 65.0</v>
      </c>
    </row>
    <row r="57" spans="1:13" s="98" customFormat="1" ht="15" customHeight="1" x14ac:dyDescent="0.25">
      <c r="A57" s="498" t="s">
        <v>248</v>
      </c>
      <c r="B57" s="498" t="s">
        <v>237</v>
      </c>
      <c r="C57" s="501">
        <v>3</v>
      </c>
      <c r="D57" s="500">
        <v>90</v>
      </c>
      <c r="E57" s="500">
        <v>77.849999999999994</v>
      </c>
      <c r="F57" s="501">
        <v>35</v>
      </c>
      <c r="G57" s="498" t="s">
        <v>237</v>
      </c>
      <c r="H57" s="360">
        <v>2.25</v>
      </c>
      <c r="I57" s="496"/>
      <c r="J57" s="496">
        <v>7.0686</v>
      </c>
      <c r="K57" s="504" t="s">
        <v>510</v>
      </c>
      <c r="L57" s="501">
        <v>50</v>
      </c>
      <c r="M57" s="498" t="str">
        <f>IF(A57="","",A57&amp;" ("&amp;SUBSTITUTE(SUBSTITUTE(SUBSTITUTE(C57,CHAR(160),"")," ",""),CHAR(34),"")&amp;"-in) - "&amp;IF(UPPER(TRIM(Calculator!$D$28))="KV","Kv "&amp;TEXT(E57,"0.0"),"Cv "&amp;TEXT(D57,"0.0")))</f>
        <v>G680 (3-in) - Cv 90.0</v>
      </c>
    </row>
    <row r="58" spans="1:13" s="98" customFormat="1" ht="15" customHeight="1" x14ac:dyDescent="0.25">
      <c r="A58" s="498" t="s">
        <v>249</v>
      </c>
      <c r="B58" s="498" t="s">
        <v>237</v>
      </c>
      <c r="C58" s="501">
        <v>4</v>
      </c>
      <c r="D58" s="500">
        <v>170</v>
      </c>
      <c r="E58" s="500">
        <v>147.05000000000001</v>
      </c>
      <c r="F58" s="501">
        <v>35</v>
      </c>
      <c r="G58" s="498" t="s">
        <v>237</v>
      </c>
      <c r="H58" s="360">
        <v>3</v>
      </c>
      <c r="I58" s="496"/>
      <c r="J58" s="496">
        <v>12.5664</v>
      </c>
      <c r="K58" s="504" t="s">
        <v>510</v>
      </c>
      <c r="L58" s="501">
        <v>50</v>
      </c>
      <c r="M58" s="498" t="str">
        <f>IF(A58="","",A58&amp;" ("&amp;SUBSTITUTE(SUBSTITUTE(SUBSTITUTE(C58,CHAR(160),"")," ",""),CHAR(34),"")&amp;"-in) - "&amp;IF(UPPER(TRIM(Calculator!$D$28))="KV","Kv "&amp;TEXT(E58,"0.0"),"Cv "&amp;TEXT(D58,"0.0")))</f>
        <v>G6100 (4-in) - Cv 170.0</v>
      </c>
    </row>
    <row r="59" spans="1:13" s="98" customFormat="1" ht="15" customHeight="1" x14ac:dyDescent="0.25">
      <c r="A59" s="498" t="s">
        <v>250</v>
      </c>
      <c r="B59" s="498" t="s">
        <v>237</v>
      </c>
      <c r="C59" s="501">
        <v>5</v>
      </c>
      <c r="D59" s="500">
        <v>263</v>
      </c>
      <c r="E59" s="500">
        <v>227.495</v>
      </c>
      <c r="F59" s="501">
        <v>35</v>
      </c>
      <c r="G59" s="498" t="s">
        <v>237</v>
      </c>
      <c r="H59" s="360">
        <v>3.75</v>
      </c>
      <c r="I59" s="496"/>
      <c r="J59" s="496">
        <v>19.635000000000002</v>
      </c>
      <c r="K59" s="504" t="s">
        <v>510</v>
      </c>
      <c r="L59" s="501">
        <v>50</v>
      </c>
      <c r="M59" s="498" t="str">
        <f>IF(A59="","",A59&amp;" ("&amp;SUBSTITUTE(SUBSTITUTE(SUBSTITUTE(C59,CHAR(160),"")," ",""),CHAR(34),"")&amp;"-in) - "&amp;IF(UPPER(TRIM(Calculator!$D$28))="KV","Kv "&amp;TEXT(E59,"0.0"),"Cv "&amp;TEXT(D59,"0.0")))</f>
        <v>G6125 (5-in) - Cv 263.0</v>
      </c>
    </row>
    <row r="60" spans="1:13" s="98" customFormat="1" ht="15" customHeight="1" x14ac:dyDescent="0.25">
      <c r="A60" s="498" t="s">
        <v>251</v>
      </c>
      <c r="B60" s="498" t="s">
        <v>237</v>
      </c>
      <c r="C60" s="501">
        <v>6</v>
      </c>
      <c r="D60" s="500">
        <v>344</v>
      </c>
      <c r="E60" s="500">
        <v>297.56</v>
      </c>
      <c r="F60" s="501">
        <v>35</v>
      </c>
      <c r="G60" s="498" t="s">
        <v>237</v>
      </c>
      <c r="H60" s="360">
        <v>4.5</v>
      </c>
      <c r="I60" s="496"/>
      <c r="J60" s="496">
        <v>28.2743</v>
      </c>
      <c r="K60" s="504" t="s">
        <v>510</v>
      </c>
      <c r="L60" s="501">
        <v>50</v>
      </c>
      <c r="M60" s="498" t="str">
        <f>IF(A60="","",A60&amp;" ("&amp;SUBSTITUTE(SUBSTITUTE(SUBSTITUTE(C60,CHAR(160),"")," ",""),CHAR(34),"")&amp;"-in) - "&amp;IF(UPPER(TRIM(Calculator!$D$28))="KV","Kv "&amp;TEXT(E60,"0.0"),"Cv "&amp;TEXT(D60,"0.0")))</f>
        <v>G6150 (6-in) - Cv 344.0</v>
      </c>
    </row>
  </sheetData>
  <sheetProtection algorithmName="SHA-512" hashValue="4iZo8LmIHp8XFVrW3Z24Ty+tr5rsAPQBrBTLjQDZKG3bqGX0LPW2CENjs03Hx6DnqsYdMEgmUAmU0SrEK/EDKw==" saltValue="t06/AMPUHv2Lo83yCqheLg=="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21" x14ac:dyDescent="0.4">
      <c r="A1" s="506" t="s">
        <v>385</v>
      </c>
    </row>
    <row r="2" spans="1:19" x14ac:dyDescent="0.25">
      <c r="B2" t="s">
        <v>386</v>
      </c>
      <c r="C2" s="375" t="s">
        <v>237</v>
      </c>
      <c r="I2" t="s">
        <v>409</v>
      </c>
      <c r="J2" s="508">
        <v>2</v>
      </c>
    </row>
    <row r="3" spans="1:19" x14ac:dyDescent="0.25">
      <c r="B3" t="s">
        <v>406</v>
      </c>
      <c r="C3" s="508" t="s">
        <v>407</v>
      </c>
      <c r="I3" t="s">
        <v>410</v>
      </c>
      <c r="J3" s="508">
        <v>2</v>
      </c>
    </row>
    <row r="4" spans="1:19" x14ac:dyDescent="0.25">
      <c r="B4" t="s">
        <v>404</v>
      </c>
      <c r="C4" t="s">
        <v>479</v>
      </c>
      <c r="D4" s="64" t="s">
        <v>474</v>
      </c>
      <c r="E4" t="s">
        <v>408</v>
      </c>
      <c r="F4" s="64" t="s">
        <v>405</v>
      </c>
      <c r="G4" s="509"/>
    </row>
    <row r="5" spans="1:19" x14ac:dyDescent="0.25">
      <c r="B5" s="507" t="s">
        <v>411</v>
      </c>
      <c r="C5" s="507" t="s">
        <v>412</v>
      </c>
      <c r="D5" s="475" t="s">
        <v>413</v>
      </c>
      <c r="E5" s="507" t="s">
        <v>387</v>
      </c>
      <c r="F5" s="475" t="s">
        <v>388</v>
      </c>
      <c r="G5" s="475" t="s">
        <v>389</v>
      </c>
      <c r="H5" s="475" t="s">
        <v>390</v>
      </c>
    </row>
    <row r="6" spans="1:19" x14ac:dyDescent="0.25">
      <c r="B6" t="s">
        <v>482</v>
      </c>
      <c r="C6" t="s">
        <v>475</v>
      </c>
      <c r="D6" s="64" t="s">
        <v>483</v>
      </c>
      <c r="E6">
        <v>5.7610000000000001</v>
      </c>
      <c r="F6" s="64" t="s">
        <v>407</v>
      </c>
      <c r="G6" s="64">
        <v>1</v>
      </c>
      <c r="H6" s="64">
        <v>1621.9</v>
      </c>
    </row>
    <row r="9" spans="1:19" x14ac:dyDescent="0.25">
      <c r="B9" s="127" t="s">
        <v>391</v>
      </c>
    </row>
    <row r="10" spans="1:19" x14ac:dyDescent="0.25">
      <c r="B10" s="507" t="s">
        <v>392</v>
      </c>
      <c r="C10" s="507" t="s">
        <v>87</v>
      </c>
      <c r="D10" s="475" t="s">
        <v>393</v>
      </c>
      <c r="E10" s="507" t="s">
        <v>394</v>
      </c>
      <c r="F10" s="475" t="s">
        <v>395</v>
      </c>
      <c r="G10" s="475" t="s">
        <v>396</v>
      </c>
      <c r="H10" s="475" t="s">
        <v>397</v>
      </c>
      <c r="I10" s="507" t="s">
        <v>398</v>
      </c>
      <c r="J10" s="507" t="s">
        <v>399</v>
      </c>
    </row>
    <row r="11" spans="1:19" x14ac:dyDescent="0.25">
      <c r="B11" t="s">
        <v>484</v>
      </c>
      <c r="C11">
        <v>24</v>
      </c>
      <c r="D11" s="64">
        <v>0.68</v>
      </c>
      <c r="E11" t="s">
        <v>480</v>
      </c>
      <c r="F11" s="64">
        <v>845</v>
      </c>
      <c r="G11" s="64">
        <v>257.5</v>
      </c>
      <c r="H11" s="64">
        <v>0.52100000000000002</v>
      </c>
      <c r="I11" t="s">
        <v>476</v>
      </c>
      <c r="J11" s="343" t="s">
        <v>416</v>
      </c>
    </row>
    <row r="12" spans="1:19" ht="105.6" x14ac:dyDescent="0.25">
      <c r="A12" s="127" t="s">
        <v>414</v>
      </c>
      <c r="B12" s="355" t="s">
        <v>485</v>
      </c>
      <c r="L12" t="s">
        <v>477</v>
      </c>
      <c r="M12" t="s">
        <v>124</v>
      </c>
      <c r="N12">
        <v>1.5</v>
      </c>
      <c r="O12">
        <v>55</v>
      </c>
      <c r="P12">
        <v>91.7</v>
      </c>
      <c r="Q12">
        <v>0.185</v>
      </c>
      <c r="R12" t="s">
        <v>403</v>
      </c>
      <c r="S12" t="s">
        <v>478</v>
      </c>
    </row>
    <row r="13" spans="1:19" x14ac:dyDescent="0.25">
      <c r="A13" s="127" t="s">
        <v>400</v>
      </c>
    </row>
    <row r="14" spans="1:19" x14ac:dyDescent="0.25">
      <c r="A14" s="507" t="s">
        <v>401</v>
      </c>
      <c r="B14" s="507" t="s">
        <v>402</v>
      </c>
      <c r="C14" s="507" t="s">
        <v>87</v>
      </c>
      <c r="D14" s="475" t="s">
        <v>393</v>
      </c>
      <c r="E14" s="507" t="s">
        <v>394</v>
      </c>
      <c r="F14" s="475" t="s">
        <v>395</v>
      </c>
      <c r="G14" s="475" t="s">
        <v>396</v>
      </c>
      <c r="H14" s="475" t="s">
        <v>397</v>
      </c>
      <c r="I14" s="507" t="s">
        <v>399</v>
      </c>
      <c r="J14" s="507" t="s">
        <v>415</v>
      </c>
    </row>
    <row r="15" spans="1:19" x14ac:dyDescent="0.25">
      <c r="A15" t="s">
        <v>121</v>
      </c>
      <c r="B15" s="344">
        <v>1</v>
      </c>
      <c r="C15">
        <v>24</v>
      </c>
      <c r="D15" s="64">
        <v>0.68</v>
      </c>
      <c r="E15" t="s">
        <v>480</v>
      </c>
      <c r="F15" s="64">
        <v>845</v>
      </c>
      <c r="G15" s="64">
        <v>257.5</v>
      </c>
      <c r="H15" s="64">
        <v>0.52100000000000002</v>
      </c>
      <c r="I15" s="343" t="s">
        <v>416</v>
      </c>
      <c r="J15" t="s">
        <v>417</v>
      </c>
    </row>
    <row r="16" spans="1:19" x14ac:dyDescent="0.25">
      <c r="A16" t="s">
        <v>124</v>
      </c>
      <c r="B16" s="344">
        <v>1.5</v>
      </c>
      <c r="C16">
        <v>55</v>
      </c>
      <c r="D16" s="64">
        <v>1.91</v>
      </c>
      <c r="E16" t="s">
        <v>480</v>
      </c>
      <c r="F16" s="64">
        <v>300.8</v>
      </c>
      <c r="G16" s="64">
        <v>91.7</v>
      </c>
      <c r="H16" s="64">
        <v>0.185</v>
      </c>
      <c r="I16" s="342" t="s">
        <v>403</v>
      </c>
      <c r="J16" t="s">
        <v>417</v>
      </c>
    </row>
    <row r="17" spans="1:10" x14ac:dyDescent="0.25">
      <c r="A17" t="s">
        <v>110</v>
      </c>
      <c r="B17" s="344">
        <v>2</v>
      </c>
      <c r="C17">
        <v>77</v>
      </c>
      <c r="D17" s="64">
        <v>3</v>
      </c>
      <c r="E17" t="s">
        <v>480</v>
      </c>
      <c r="F17" s="64">
        <v>191.5</v>
      </c>
      <c r="G17" s="64">
        <v>58.4</v>
      </c>
      <c r="H17" s="64">
        <v>0.11799999999999999</v>
      </c>
      <c r="I17" s="342" t="s">
        <v>403</v>
      </c>
      <c r="J17" t="s">
        <v>417</v>
      </c>
    </row>
    <row r="18" spans="1:10" x14ac:dyDescent="0.25">
      <c r="A18" t="s">
        <v>107</v>
      </c>
      <c r="B18" s="344">
        <v>3</v>
      </c>
      <c r="C18">
        <v>207</v>
      </c>
      <c r="D18" s="64">
        <v>5.28</v>
      </c>
      <c r="E18" t="s">
        <v>480</v>
      </c>
      <c r="F18" s="64">
        <v>108.8</v>
      </c>
      <c r="G18" s="64">
        <v>33.200000000000003</v>
      </c>
      <c r="H18" s="64">
        <v>6.7000000000000004E-2</v>
      </c>
      <c r="I18" s="342" t="s">
        <v>403</v>
      </c>
      <c r="J18" s="343" t="s">
        <v>481</v>
      </c>
    </row>
    <row r="19" spans="1:10" x14ac:dyDescent="0.25">
      <c r="A19" t="s">
        <v>96</v>
      </c>
      <c r="B19" s="344">
        <v>4</v>
      </c>
      <c r="C19">
        <v>350</v>
      </c>
      <c r="D19" s="64">
        <v>7.19</v>
      </c>
      <c r="E19" t="s">
        <v>480</v>
      </c>
      <c r="F19" s="64">
        <v>79.900000000000006</v>
      </c>
      <c r="G19" s="64">
        <v>24.4</v>
      </c>
      <c r="H19" s="64">
        <v>4.9000000000000002E-2</v>
      </c>
      <c r="I19" s="342" t="s">
        <v>403</v>
      </c>
      <c r="J19" s="343" t="s">
        <v>481</v>
      </c>
    </row>
    <row r="20" spans="1:10" x14ac:dyDescent="0.25">
      <c r="A20" t="s">
        <v>95</v>
      </c>
      <c r="B20" s="344">
        <v>6</v>
      </c>
      <c r="C20">
        <v>507</v>
      </c>
      <c r="D20" s="64">
        <v>15.56</v>
      </c>
      <c r="E20" t="s">
        <v>480</v>
      </c>
      <c r="F20" s="64">
        <v>36.9</v>
      </c>
      <c r="G20" s="64">
        <v>11.3</v>
      </c>
      <c r="H20" s="64">
        <v>2.3E-2</v>
      </c>
      <c r="I20" s="342" t="s">
        <v>403</v>
      </c>
      <c r="J20" s="343" t="s">
        <v>481</v>
      </c>
    </row>
    <row r="21" spans="1:10" x14ac:dyDescent="0.25">
      <c r="A21" t="s">
        <v>94</v>
      </c>
      <c r="B21" s="344">
        <v>8</v>
      </c>
      <c r="C21">
        <v>865</v>
      </c>
      <c r="D21" s="64">
        <v>25</v>
      </c>
      <c r="E21" t="s">
        <v>480</v>
      </c>
      <c r="F21" s="64">
        <v>23</v>
      </c>
      <c r="G21" s="64">
        <v>7</v>
      </c>
      <c r="H21" s="64">
        <v>1.4E-2</v>
      </c>
      <c r="I21" s="342" t="s">
        <v>403</v>
      </c>
      <c r="J21" s="343" t="s">
        <v>481</v>
      </c>
    </row>
    <row r="22" spans="1:10" x14ac:dyDescent="0.25">
      <c r="A22" t="s">
        <v>112</v>
      </c>
      <c r="B22" s="344">
        <v>10</v>
      </c>
      <c r="C22">
        <v>1550</v>
      </c>
      <c r="D22" s="64">
        <v>44.62</v>
      </c>
      <c r="E22" t="s">
        <v>480</v>
      </c>
      <c r="F22" s="64">
        <v>12.9</v>
      </c>
      <c r="G22" s="64">
        <v>3.9</v>
      </c>
      <c r="H22" s="64">
        <v>8.0000000000000002E-3</v>
      </c>
      <c r="I22" s="342" t="s">
        <v>403</v>
      </c>
      <c r="J22" s="343" t="s">
        <v>481</v>
      </c>
    </row>
    <row r="23" spans="1:10" x14ac:dyDescent="0.25">
      <c r="A23" t="s">
        <v>111</v>
      </c>
      <c r="B23" s="344">
        <v>12</v>
      </c>
      <c r="C23">
        <v>1905</v>
      </c>
      <c r="D23" s="64">
        <v>64.55</v>
      </c>
      <c r="E23" t="s">
        <v>480</v>
      </c>
      <c r="F23" s="64">
        <v>8.9</v>
      </c>
      <c r="G23" s="64">
        <v>2.7</v>
      </c>
      <c r="H23" s="64">
        <v>5.0000000000000001E-3</v>
      </c>
      <c r="I23" s="342" t="s">
        <v>403</v>
      </c>
      <c r="J23" s="343" t="s">
        <v>481</v>
      </c>
    </row>
    <row r="24" spans="1:10" x14ac:dyDescent="0.25">
      <c r="B24" s="344"/>
    </row>
    <row r="25" spans="1:10" x14ac:dyDescent="0.25">
      <c r="B25" s="344"/>
    </row>
    <row r="26" spans="1:10" x14ac:dyDescent="0.25">
      <c r="B26" s="344"/>
    </row>
    <row r="27" spans="1:10" x14ac:dyDescent="0.25">
      <c r="B27" s="344"/>
    </row>
    <row r="28" spans="1:10" x14ac:dyDescent="0.25">
      <c r="B28" s="344"/>
    </row>
    <row r="29" spans="1:10" x14ac:dyDescent="0.25">
      <c r="B29" s="344"/>
    </row>
    <row r="30" spans="1:10" x14ac:dyDescent="0.25">
      <c r="B30" s="344"/>
    </row>
    <row r="203" spans="1:1" x14ac:dyDescent="0.25">
      <c r="A203" t="s">
        <v>486</v>
      </c>
    </row>
  </sheetData>
  <sheetProtection algorithmName="SHA-512" hashValue="blLOWl3FmVmNc52O95dHhcuDulMlLBolTTZwnyPbOzpKT6hSHNpcodUpKnpWo+6Ol2xuyy7ULs2sN3Xo4D9yGg==" saltValue="H7X2no3KzSscv5KLd044pg==" spinCount="100000" sheet="1" objects="1" scenarios="1" sort="0" autoFilter="0"/>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1CD52-622C-49D6-8C28-B7FC24732D8A}">
  <sheetPr codeName="Sheet10"/>
  <dimension ref="A1:H253"/>
  <sheetViews>
    <sheetView workbookViewId="0">
      <selection activeCell="D9" sqref="D9"/>
    </sheetView>
  </sheetViews>
  <sheetFormatPr defaultRowHeight="13.2" x14ac:dyDescent="0.25"/>
  <cols>
    <col min="1" max="1" width="9.109375" bestFit="1" customWidth="1"/>
    <col min="2" max="2" width="4.33203125" bestFit="1" customWidth="1"/>
    <col min="3" max="3" width="45.109375" bestFit="1" customWidth="1"/>
    <col min="4" max="4" width="76.6640625" bestFit="1" customWidth="1"/>
    <col min="5" max="5" width="81.6640625" bestFit="1" customWidth="1"/>
    <col min="6" max="6" width="63.77734375" bestFit="1" customWidth="1"/>
    <col min="7" max="7" width="13.109375" bestFit="1" customWidth="1"/>
  </cols>
  <sheetData>
    <row r="1" spans="1:7" x14ac:dyDescent="0.25">
      <c r="B1" s="82"/>
      <c r="C1" s="82" t="s">
        <v>536</v>
      </c>
      <c r="D1" s="82" t="s">
        <v>537</v>
      </c>
      <c r="E1" s="82" t="s">
        <v>538</v>
      </c>
      <c r="F1" s="82" t="s">
        <v>539</v>
      </c>
    </row>
    <row r="2" spans="1:7" x14ac:dyDescent="0.25">
      <c r="A2" s="82" t="s">
        <v>544</v>
      </c>
      <c r="B2" s="82" t="s">
        <v>535</v>
      </c>
      <c r="C2" s="82" t="s">
        <v>536</v>
      </c>
      <c r="D2" s="82" t="s">
        <v>540</v>
      </c>
      <c r="E2" s="82" t="s">
        <v>541</v>
      </c>
      <c r="F2" s="82" t="s">
        <v>543</v>
      </c>
      <c r="G2" t="s">
        <v>761</v>
      </c>
    </row>
    <row r="3" spans="1:7" x14ac:dyDescent="0.25">
      <c r="A3" s="82" t="s">
        <v>545</v>
      </c>
      <c r="B3" s="82" t="s">
        <v>546</v>
      </c>
      <c r="C3" s="82" t="s">
        <v>370</v>
      </c>
      <c r="D3" t="s">
        <v>547</v>
      </c>
      <c r="E3" t="s">
        <v>548</v>
      </c>
      <c r="F3" s="82" t="s">
        <v>549</v>
      </c>
      <c r="G3" t="str">
        <f t="shared" ref="G3:G34" si="0">A3&amp;"|"&amp;B3</f>
        <v>Calculator|E2</v>
      </c>
    </row>
    <row r="4" spans="1:7" x14ac:dyDescent="0.25">
      <c r="A4" t="s">
        <v>545</v>
      </c>
      <c r="B4" t="s">
        <v>550</v>
      </c>
      <c r="C4" t="s">
        <v>371</v>
      </c>
      <c r="D4" t="s">
        <v>551</v>
      </c>
      <c r="E4" t="s">
        <v>552</v>
      </c>
      <c r="F4" t="s">
        <v>553</v>
      </c>
      <c r="G4" t="str">
        <f t="shared" si="0"/>
        <v>Calculator|B4</v>
      </c>
    </row>
    <row r="5" spans="1:7" x14ac:dyDescent="0.25">
      <c r="A5" t="s">
        <v>545</v>
      </c>
      <c r="B5" t="s">
        <v>542</v>
      </c>
      <c r="C5" t="s">
        <v>554</v>
      </c>
      <c r="D5" t="s">
        <v>555</v>
      </c>
      <c r="E5" t="s">
        <v>556</v>
      </c>
      <c r="F5" t="s">
        <v>554</v>
      </c>
      <c r="G5" t="str">
        <f t="shared" si="0"/>
        <v>Calculator|B6</v>
      </c>
    </row>
    <row r="6" spans="1:7" x14ac:dyDescent="0.25">
      <c r="A6" t="s">
        <v>545</v>
      </c>
      <c r="B6" t="s">
        <v>557</v>
      </c>
      <c r="C6" t="s">
        <v>558</v>
      </c>
      <c r="D6" t="s">
        <v>559</v>
      </c>
      <c r="E6" t="s">
        <v>560</v>
      </c>
      <c r="F6" t="s">
        <v>561</v>
      </c>
      <c r="G6" t="str">
        <f t="shared" si="0"/>
        <v>Calculator|B8</v>
      </c>
    </row>
    <row r="7" spans="1:7" x14ac:dyDescent="0.25">
      <c r="A7" t="s">
        <v>545</v>
      </c>
      <c r="B7" t="s">
        <v>562</v>
      </c>
      <c r="C7" t="s">
        <v>372</v>
      </c>
      <c r="D7" t="s">
        <v>563</v>
      </c>
      <c r="E7" t="s">
        <v>564</v>
      </c>
      <c r="F7" t="s">
        <v>565</v>
      </c>
      <c r="G7" t="str">
        <f t="shared" si="0"/>
        <v>Calculator|B10</v>
      </c>
    </row>
    <row r="8" spans="1:7" x14ac:dyDescent="0.25">
      <c r="A8" t="s">
        <v>545</v>
      </c>
      <c r="B8" t="s">
        <v>566</v>
      </c>
      <c r="C8" t="s">
        <v>567</v>
      </c>
      <c r="D8" t="s">
        <v>568</v>
      </c>
      <c r="E8" t="s">
        <v>569</v>
      </c>
      <c r="F8" t="s">
        <v>570</v>
      </c>
      <c r="G8" t="str">
        <f t="shared" si="0"/>
        <v>Calculator|B12</v>
      </c>
    </row>
    <row r="9" spans="1:7" x14ac:dyDescent="0.25">
      <c r="A9" t="s">
        <v>545</v>
      </c>
      <c r="B9" t="s">
        <v>571</v>
      </c>
      <c r="C9" t="s">
        <v>572</v>
      </c>
      <c r="D9" t="s">
        <v>573</v>
      </c>
      <c r="E9" t="s">
        <v>574</v>
      </c>
      <c r="F9" t="s">
        <v>575</v>
      </c>
      <c r="G9" t="str">
        <f t="shared" si="0"/>
        <v>Calculator|B13</v>
      </c>
    </row>
    <row r="10" spans="1:7" x14ac:dyDescent="0.25">
      <c r="A10" t="s">
        <v>545</v>
      </c>
      <c r="B10" t="s">
        <v>576</v>
      </c>
      <c r="C10" t="s">
        <v>577</v>
      </c>
      <c r="D10" t="s">
        <v>578</v>
      </c>
      <c r="E10" t="s">
        <v>579</v>
      </c>
      <c r="F10" t="s">
        <v>580</v>
      </c>
      <c r="G10" t="str">
        <f t="shared" si="0"/>
        <v>Calculator|B14</v>
      </c>
    </row>
    <row r="11" spans="1:7" x14ac:dyDescent="0.25">
      <c r="A11" t="s">
        <v>545</v>
      </c>
      <c r="B11" t="s">
        <v>581</v>
      </c>
      <c r="C11" t="s">
        <v>582</v>
      </c>
      <c r="D11" t="s">
        <v>583</v>
      </c>
      <c r="E11" t="s">
        <v>584</v>
      </c>
      <c r="F11" t="s">
        <v>585</v>
      </c>
      <c r="G11" t="str">
        <f t="shared" si="0"/>
        <v>Calculator|B15</v>
      </c>
    </row>
    <row r="12" spans="1:7" x14ac:dyDescent="0.25">
      <c r="A12" t="s">
        <v>545</v>
      </c>
      <c r="B12" t="s">
        <v>586</v>
      </c>
      <c r="C12" t="s">
        <v>373</v>
      </c>
      <c r="D12" t="s">
        <v>587</v>
      </c>
      <c r="E12" t="s">
        <v>588</v>
      </c>
      <c r="F12" t="s">
        <v>589</v>
      </c>
      <c r="G12" t="str">
        <f t="shared" si="0"/>
        <v>Calculator|B21</v>
      </c>
    </row>
    <row r="13" spans="1:7" x14ac:dyDescent="0.25">
      <c r="A13" t="s">
        <v>545</v>
      </c>
      <c r="B13" t="s">
        <v>590</v>
      </c>
      <c r="C13" t="s">
        <v>526</v>
      </c>
      <c r="D13" t="s">
        <v>591</v>
      </c>
      <c r="E13" t="s">
        <v>592</v>
      </c>
      <c r="F13" t="s">
        <v>593</v>
      </c>
      <c r="G13" t="str">
        <f t="shared" si="0"/>
        <v>Calculator|J22</v>
      </c>
    </row>
    <row r="14" spans="1:7" x14ac:dyDescent="0.25">
      <c r="A14" t="s">
        <v>545</v>
      </c>
      <c r="B14" t="s">
        <v>594</v>
      </c>
      <c r="C14" t="s">
        <v>595</v>
      </c>
      <c r="D14" t="s">
        <v>596</v>
      </c>
      <c r="E14" t="s">
        <v>597</v>
      </c>
      <c r="F14" t="s">
        <v>598</v>
      </c>
      <c r="G14" t="str">
        <f t="shared" si="0"/>
        <v>Calculator|B23</v>
      </c>
    </row>
    <row r="15" spans="1:7" x14ac:dyDescent="0.25">
      <c r="A15" t="s">
        <v>545</v>
      </c>
      <c r="B15" t="s">
        <v>599</v>
      </c>
      <c r="C15" t="s">
        <v>383</v>
      </c>
      <c r="D15" t="s">
        <v>600</v>
      </c>
      <c r="E15" t="s">
        <v>601</v>
      </c>
      <c r="F15" t="s">
        <v>602</v>
      </c>
      <c r="G15" t="str">
        <f t="shared" si="0"/>
        <v>Calculator|G23</v>
      </c>
    </row>
    <row r="16" spans="1:7" x14ac:dyDescent="0.25">
      <c r="A16" t="s">
        <v>545</v>
      </c>
      <c r="B16" t="s">
        <v>603</v>
      </c>
      <c r="C16" t="s">
        <v>363</v>
      </c>
      <c r="D16" t="s">
        <v>604</v>
      </c>
      <c r="E16" t="s">
        <v>605</v>
      </c>
      <c r="F16" t="s">
        <v>606</v>
      </c>
      <c r="G16" t="str">
        <f t="shared" si="0"/>
        <v>Calculator|G24</v>
      </c>
    </row>
    <row r="17" spans="1:7" x14ac:dyDescent="0.25">
      <c r="A17" t="s">
        <v>545</v>
      </c>
      <c r="B17" t="s">
        <v>607</v>
      </c>
      <c r="C17" t="s">
        <v>608</v>
      </c>
      <c r="D17" t="s">
        <v>609</v>
      </c>
      <c r="E17" t="s">
        <v>610</v>
      </c>
      <c r="F17" t="s">
        <v>611</v>
      </c>
      <c r="G17" t="str">
        <f t="shared" si="0"/>
        <v>Calculator|B25</v>
      </c>
    </row>
    <row r="18" spans="1:7" x14ac:dyDescent="0.25">
      <c r="A18" t="s">
        <v>545</v>
      </c>
      <c r="B18" t="s">
        <v>612</v>
      </c>
      <c r="C18" t="s">
        <v>368</v>
      </c>
      <c r="D18" t="s">
        <v>613</v>
      </c>
      <c r="E18" t="s">
        <v>614</v>
      </c>
      <c r="F18" t="s">
        <v>615</v>
      </c>
      <c r="G18" t="str">
        <f t="shared" si="0"/>
        <v>Calculator|G25</v>
      </c>
    </row>
    <row r="19" spans="1:7" x14ac:dyDescent="0.25">
      <c r="A19" t="s">
        <v>545</v>
      </c>
      <c r="B19" t="s">
        <v>616</v>
      </c>
      <c r="C19" t="s">
        <v>617</v>
      </c>
      <c r="D19" t="s">
        <v>618</v>
      </c>
      <c r="E19" t="s">
        <v>619</v>
      </c>
      <c r="F19" t="s">
        <v>620</v>
      </c>
      <c r="G19" t="str">
        <f t="shared" si="0"/>
        <v>Calculator|B26</v>
      </c>
    </row>
    <row r="20" spans="1:7" x14ac:dyDescent="0.25">
      <c r="A20" t="s">
        <v>545</v>
      </c>
      <c r="B20" t="s">
        <v>621</v>
      </c>
      <c r="C20" t="s">
        <v>364</v>
      </c>
      <c r="D20" t="s">
        <v>622</v>
      </c>
      <c r="E20" t="s">
        <v>623</v>
      </c>
      <c r="F20" t="s">
        <v>624</v>
      </c>
      <c r="G20" t="str">
        <f t="shared" si="0"/>
        <v>Calculator|G26</v>
      </c>
    </row>
    <row r="21" spans="1:7" x14ac:dyDescent="0.25">
      <c r="A21" t="s">
        <v>545</v>
      </c>
      <c r="B21" t="s">
        <v>625</v>
      </c>
      <c r="C21" t="s">
        <v>626</v>
      </c>
      <c r="D21" t="s">
        <v>627</v>
      </c>
      <c r="E21" t="s">
        <v>628</v>
      </c>
      <c r="F21" t="s">
        <v>629</v>
      </c>
      <c r="G21" t="str">
        <f t="shared" si="0"/>
        <v>Calculator|B27</v>
      </c>
    </row>
    <row r="22" spans="1:7" x14ac:dyDescent="0.25">
      <c r="A22" t="s">
        <v>545</v>
      </c>
      <c r="B22" t="s">
        <v>630</v>
      </c>
      <c r="C22" t="s">
        <v>365</v>
      </c>
      <c r="D22" t="s">
        <v>631</v>
      </c>
      <c r="E22" t="s">
        <v>632</v>
      </c>
      <c r="F22" t="s">
        <v>633</v>
      </c>
      <c r="G22" t="str">
        <f t="shared" si="0"/>
        <v>Calculator|G27</v>
      </c>
    </row>
    <row r="23" spans="1:7" x14ac:dyDescent="0.25">
      <c r="A23" t="s">
        <v>545</v>
      </c>
      <c r="B23" t="s">
        <v>634</v>
      </c>
      <c r="C23" t="s">
        <v>367</v>
      </c>
      <c r="D23" t="s">
        <v>635</v>
      </c>
      <c r="E23" t="s">
        <v>636</v>
      </c>
      <c r="F23" t="s">
        <v>637</v>
      </c>
      <c r="G23" t="str">
        <f t="shared" si="0"/>
        <v>Calculator|B28</v>
      </c>
    </row>
    <row r="24" spans="1:7" x14ac:dyDescent="0.25">
      <c r="A24" t="s">
        <v>545</v>
      </c>
      <c r="B24" t="s">
        <v>638</v>
      </c>
      <c r="C24" t="s">
        <v>382</v>
      </c>
      <c r="D24" t="s">
        <v>639</v>
      </c>
      <c r="E24" t="s">
        <v>640</v>
      </c>
      <c r="F24" t="s">
        <v>641</v>
      </c>
      <c r="G24" t="str">
        <f t="shared" si="0"/>
        <v>Calculator|G28</v>
      </c>
    </row>
    <row r="25" spans="1:7" x14ac:dyDescent="0.25">
      <c r="A25" t="s">
        <v>545</v>
      </c>
      <c r="B25" t="s">
        <v>642</v>
      </c>
      <c r="C25" t="s">
        <v>366</v>
      </c>
      <c r="D25" t="s">
        <v>643</v>
      </c>
      <c r="E25" t="s">
        <v>644</v>
      </c>
      <c r="F25" t="s">
        <v>645</v>
      </c>
      <c r="G25" t="str">
        <f t="shared" si="0"/>
        <v>Calculator|G29</v>
      </c>
    </row>
    <row r="26" spans="1:7" x14ac:dyDescent="0.25">
      <c r="A26" t="s">
        <v>545</v>
      </c>
      <c r="B26" t="s">
        <v>646</v>
      </c>
      <c r="C26" t="s">
        <v>380</v>
      </c>
      <c r="D26" t="s">
        <v>647</v>
      </c>
      <c r="E26" t="s">
        <v>648</v>
      </c>
      <c r="F26" t="s">
        <v>649</v>
      </c>
      <c r="G26" t="str">
        <f t="shared" si="0"/>
        <v>Calculator|G30</v>
      </c>
    </row>
    <row r="27" spans="1:7" x14ac:dyDescent="0.25">
      <c r="A27" t="s">
        <v>545</v>
      </c>
      <c r="B27" t="s">
        <v>650</v>
      </c>
      <c r="C27" t="s">
        <v>384</v>
      </c>
      <c r="D27" t="s">
        <v>651</v>
      </c>
      <c r="E27" t="s">
        <v>652</v>
      </c>
      <c r="F27" t="s">
        <v>653</v>
      </c>
      <c r="G27" t="str">
        <f t="shared" si="0"/>
        <v>Calculator|G31</v>
      </c>
    </row>
    <row r="28" spans="1:7" x14ac:dyDescent="0.25">
      <c r="A28" t="s">
        <v>545</v>
      </c>
      <c r="B28" t="s">
        <v>654</v>
      </c>
      <c r="C28" t="s">
        <v>655</v>
      </c>
      <c r="D28" t="s">
        <v>656</v>
      </c>
      <c r="E28" t="s">
        <v>657</v>
      </c>
      <c r="F28" t="s">
        <v>658</v>
      </c>
      <c r="G28" t="str">
        <f t="shared" si="0"/>
        <v>Calculator|B37</v>
      </c>
    </row>
    <row r="29" spans="1:7" x14ac:dyDescent="0.25">
      <c r="A29" t="s">
        <v>545</v>
      </c>
      <c r="B29" t="s">
        <v>659</v>
      </c>
      <c r="C29" t="s">
        <v>504</v>
      </c>
      <c r="D29" t="s">
        <v>660</v>
      </c>
      <c r="E29" t="s">
        <v>661</v>
      </c>
      <c r="F29" t="s">
        <v>662</v>
      </c>
      <c r="G29" t="str">
        <f t="shared" si="0"/>
        <v>Calculator|G37</v>
      </c>
    </row>
    <row r="30" spans="1:7" x14ac:dyDescent="0.25">
      <c r="A30" t="s">
        <v>545</v>
      </c>
      <c r="B30" t="s">
        <v>663</v>
      </c>
      <c r="C30" t="s">
        <v>505</v>
      </c>
      <c r="D30" t="s">
        <v>664</v>
      </c>
      <c r="E30" t="s">
        <v>665</v>
      </c>
      <c r="F30" t="s">
        <v>666</v>
      </c>
      <c r="G30" t="str">
        <f t="shared" si="0"/>
        <v>Calculator|B38</v>
      </c>
    </row>
    <row r="31" spans="1:7" x14ac:dyDescent="0.25">
      <c r="A31" t="s">
        <v>545</v>
      </c>
      <c r="B31" t="s">
        <v>667</v>
      </c>
      <c r="C31" t="s">
        <v>506</v>
      </c>
      <c r="D31" t="s">
        <v>668</v>
      </c>
      <c r="E31" t="s">
        <v>669</v>
      </c>
      <c r="F31" t="s">
        <v>670</v>
      </c>
      <c r="G31" t="str">
        <f t="shared" si="0"/>
        <v>Calculator|B39</v>
      </c>
    </row>
    <row r="32" spans="1:7" x14ac:dyDescent="0.25">
      <c r="A32" t="s">
        <v>545</v>
      </c>
      <c r="B32" t="s">
        <v>671</v>
      </c>
      <c r="C32" t="s">
        <v>431</v>
      </c>
      <c r="D32" t="s">
        <v>672</v>
      </c>
      <c r="E32" t="s">
        <v>672</v>
      </c>
      <c r="F32" t="s">
        <v>673</v>
      </c>
      <c r="G32" t="str">
        <f t="shared" si="0"/>
        <v>Calculator|G39</v>
      </c>
    </row>
    <row r="33" spans="1:7" x14ac:dyDescent="0.25">
      <c r="A33" t="s">
        <v>545</v>
      </c>
      <c r="B33" t="s">
        <v>674</v>
      </c>
      <c r="C33" t="s">
        <v>502</v>
      </c>
      <c r="D33" t="s">
        <v>675</v>
      </c>
      <c r="E33" t="s">
        <v>676</v>
      </c>
      <c r="F33" t="s">
        <v>677</v>
      </c>
      <c r="G33" t="str">
        <f t="shared" si="0"/>
        <v>Calculator|B40</v>
      </c>
    </row>
    <row r="34" spans="1:7" x14ac:dyDescent="0.25">
      <c r="A34" t="s">
        <v>545</v>
      </c>
      <c r="B34" t="s">
        <v>678</v>
      </c>
      <c r="C34" t="s">
        <v>432</v>
      </c>
      <c r="D34" t="s">
        <v>679</v>
      </c>
      <c r="E34" t="s">
        <v>679</v>
      </c>
      <c r="F34" t="s">
        <v>680</v>
      </c>
      <c r="G34" t="str">
        <f t="shared" si="0"/>
        <v>Calculator|G40</v>
      </c>
    </row>
    <row r="35" spans="1:7" x14ac:dyDescent="0.25">
      <c r="A35" t="s">
        <v>545</v>
      </c>
      <c r="B35" t="s">
        <v>681</v>
      </c>
      <c r="C35" t="s">
        <v>503</v>
      </c>
      <c r="D35" t="s">
        <v>682</v>
      </c>
      <c r="E35" t="s">
        <v>683</v>
      </c>
      <c r="F35" t="s">
        <v>684</v>
      </c>
      <c r="G35" t="str">
        <f t="shared" ref="G35:G63" si="1">A35&amp;"|"&amp;B35</f>
        <v>Calculator|B41</v>
      </c>
    </row>
    <row r="36" spans="1:7" x14ac:dyDescent="0.25">
      <c r="A36" t="s">
        <v>545</v>
      </c>
      <c r="B36" t="s">
        <v>685</v>
      </c>
      <c r="C36" t="s">
        <v>433</v>
      </c>
      <c r="D36" t="s">
        <v>686</v>
      </c>
      <c r="E36" t="s">
        <v>687</v>
      </c>
      <c r="F36" t="s">
        <v>688</v>
      </c>
      <c r="G36" t="str">
        <f t="shared" si="1"/>
        <v>Calculator|G41</v>
      </c>
    </row>
    <row r="37" spans="1:7" x14ac:dyDescent="0.25">
      <c r="A37" t="s">
        <v>545</v>
      </c>
      <c r="B37" t="s">
        <v>689</v>
      </c>
      <c r="C37" t="s">
        <v>498</v>
      </c>
      <c r="D37" t="s">
        <v>690</v>
      </c>
      <c r="E37" t="s">
        <v>691</v>
      </c>
      <c r="F37" t="s">
        <v>692</v>
      </c>
      <c r="G37" t="str">
        <f t="shared" si="1"/>
        <v>Calculator|B42</v>
      </c>
    </row>
    <row r="38" spans="1:7" x14ac:dyDescent="0.25">
      <c r="A38" t="s">
        <v>545</v>
      </c>
      <c r="B38" t="s">
        <v>693</v>
      </c>
      <c r="C38" t="s">
        <v>435</v>
      </c>
      <c r="D38" t="s">
        <v>694</v>
      </c>
      <c r="E38" t="s">
        <v>695</v>
      </c>
      <c r="F38" t="s">
        <v>696</v>
      </c>
      <c r="G38" t="str">
        <f t="shared" si="1"/>
        <v>Calculator|G42</v>
      </c>
    </row>
    <row r="39" spans="1:7" x14ac:dyDescent="0.25">
      <c r="A39" t="s">
        <v>545</v>
      </c>
      <c r="B39" t="s">
        <v>697</v>
      </c>
      <c r="C39" t="s">
        <v>499</v>
      </c>
      <c r="D39" t="s">
        <v>698</v>
      </c>
      <c r="E39" t="s">
        <v>699</v>
      </c>
      <c r="F39" t="s">
        <v>700</v>
      </c>
      <c r="G39" t="str">
        <f t="shared" si="1"/>
        <v>Calculator|B43</v>
      </c>
    </row>
    <row r="40" spans="1:7" x14ac:dyDescent="0.25">
      <c r="A40" t="s">
        <v>545</v>
      </c>
      <c r="B40" t="s">
        <v>701</v>
      </c>
      <c r="C40" t="s">
        <v>223</v>
      </c>
      <c r="D40" t="s">
        <v>702</v>
      </c>
      <c r="E40" t="s">
        <v>703</v>
      </c>
      <c r="F40" t="s">
        <v>704</v>
      </c>
      <c r="G40" t="str">
        <f t="shared" si="1"/>
        <v>Calculator|G43</v>
      </c>
    </row>
    <row r="41" spans="1:7" x14ac:dyDescent="0.25">
      <c r="A41" t="s">
        <v>545</v>
      </c>
      <c r="B41" t="s">
        <v>705</v>
      </c>
      <c r="C41" t="s">
        <v>435</v>
      </c>
      <c r="D41" t="s">
        <v>694</v>
      </c>
      <c r="E41" t="s">
        <v>695</v>
      </c>
      <c r="F41" t="s">
        <v>696</v>
      </c>
      <c r="G41" t="str">
        <f t="shared" si="1"/>
        <v>Calculator|B44</v>
      </c>
    </row>
    <row r="42" spans="1:7" x14ac:dyDescent="0.25">
      <c r="A42" t="s">
        <v>545</v>
      </c>
      <c r="B42" t="s">
        <v>706</v>
      </c>
      <c r="C42" t="s">
        <v>500</v>
      </c>
      <c r="D42" t="s">
        <v>707</v>
      </c>
      <c r="E42" t="s">
        <v>708</v>
      </c>
      <c r="F42" t="s">
        <v>709</v>
      </c>
      <c r="G42" t="str">
        <f t="shared" si="1"/>
        <v>Calculator|B45</v>
      </c>
    </row>
    <row r="43" spans="1:7" x14ac:dyDescent="0.25">
      <c r="A43" t="s">
        <v>545</v>
      </c>
      <c r="B43" t="s">
        <v>710</v>
      </c>
      <c r="C43" t="s">
        <v>437</v>
      </c>
      <c r="D43" t="s">
        <v>711</v>
      </c>
      <c r="E43" t="s">
        <v>711</v>
      </c>
      <c r="F43" t="s">
        <v>712</v>
      </c>
      <c r="G43" t="str">
        <f t="shared" si="1"/>
        <v>Calculator|G45</v>
      </c>
    </row>
    <row r="44" spans="1:7" x14ac:dyDescent="0.25">
      <c r="A44" t="s">
        <v>545</v>
      </c>
      <c r="B44" t="s">
        <v>713</v>
      </c>
      <c r="C44" t="s">
        <v>501</v>
      </c>
      <c r="D44" t="s">
        <v>714</v>
      </c>
      <c r="E44" t="s">
        <v>715</v>
      </c>
      <c r="F44" t="s">
        <v>716</v>
      </c>
      <c r="G44" t="str">
        <f t="shared" si="1"/>
        <v>Calculator|B46</v>
      </c>
    </row>
    <row r="45" spans="1:7" x14ac:dyDescent="0.25">
      <c r="A45" t="s">
        <v>545</v>
      </c>
      <c r="B45" t="s">
        <v>717</v>
      </c>
      <c r="C45" t="s">
        <v>527</v>
      </c>
      <c r="D45" t="s">
        <v>718</v>
      </c>
      <c r="E45" t="s">
        <v>719</v>
      </c>
      <c r="F45" t="s">
        <v>720</v>
      </c>
      <c r="G45" t="str">
        <f t="shared" si="1"/>
        <v>Calculator|B47</v>
      </c>
    </row>
    <row r="46" spans="1:7" x14ac:dyDescent="0.25">
      <c r="A46" t="s">
        <v>545</v>
      </c>
      <c r="B46" t="s">
        <v>721</v>
      </c>
      <c r="C46" t="s">
        <v>374</v>
      </c>
      <c r="D46" t="s">
        <v>722</v>
      </c>
      <c r="E46" t="s">
        <v>723</v>
      </c>
      <c r="F46" t="s">
        <v>724</v>
      </c>
      <c r="G46" t="str">
        <f t="shared" si="1"/>
        <v>Calculator|B50</v>
      </c>
    </row>
    <row r="47" spans="1:7" x14ac:dyDescent="0.25">
      <c r="A47" t="s">
        <v>545</v>
      </c>
      <c r="B47" t="s">
        <v>725</v>
      </c>
      <c r="C47" t="s">
        <v>375</v>
      </c>
      <c r="D47" t="s">
        <v>726</v>
      </c>
      <c r="E47" t="s">
        <v>727</v>
      </c>
      <c r="F47" t="s">
        <v>728</v>
      </c>
      <c r="G47" t="str">
        <f t="shared" si="1"/>
        <v>Calculator|G53</v>
      </c>
    </row>
    <row r="48" spans="1:7" x14ac:dyDescent="0.25">
      <c r="A48" t="s">
        <v>545</v>
      </c>
      <c r="B48" t="s">
        <v>729</v>
      </c>
      <c r="C48" t="s">
        <v>376</v>
      </c>
      <c r="D48" t="s">
        <v>730</v>
      </c>
      <c r="E48" t="s">
        <v>731</v>
      </c>
      <c r="F48" t="s">
        <v>732</v>
      </c>
      <c r="G48" t="str">
        <f t="shared" si="1"/>
        <v>Calculator|G54</v>
      </c>
    </row>
    <row r="49" spans="1:7" x14ac:dyDescent="0.25">
      <c r="A49" t="s">
        <v>545</v>
      </c>
      <c r="B49" t="s">
        <v>733</v>
      </c>
      <c r="C49" t="s">
        <v>377</v>
      </c>
      <c r="D49" t="s">
        <v>734</v>
      </c>
      <c r="E49" t="s">
        <v>735</v>
      </c>
      <c r="F49" t="s">
        <v>736</v>
      </c>
      <c r="G49" t="str">
        <f t="shared" si="1"/>
        <v>Calculator|G55</v>
      </c>
    </row>
    <row r="50" spans="1:7" x14ac:dyDescent="0.25">
      <c r="A50" t="s">
        <v>545</v>
      </c>
      <c r="B50" t="s">
        <v>737</v>
      </c>
      <c r="C50" t="s">
        <v>378</v>
      </c>
      <c r="D50" t="s">
        <v>738</v>
      </c>
      <c r="E50" t="s">
        <v>739</v>
      </c>
      <c r="F50" t="s">
        <v>740</v>
      </c>
      <c r="G50" t="str">
        <f t="shared" si="1"/>
        <v>Calculator|G56</v>
      </c>
    </row>
    <row r="51" spans="1:7" x14ac:dyDescent="0.25">
      <c r="A51" t="s">
        <v>545</v>
      </c>
      <c r="B51" t="s">
        <v>741</v>
      </c>
      <c r="C51" t="s">
        <v>533</v>
      </c>
      <c r="D51" t="s">
        <v>742</v>
      </c>
      <c r="E51" t="s">
        <v>743</v>
      </c>
      <c r="F51" t="s">
        <v>744</v>
      </c>
      <c r="G51" t="str">
        <f t="shared" si="1"/>
        <v>Calculator|G57</v>
      </c>
    </row>
    <row r="52" spans="1:7" x14ac:dyDescent="0.25">
      <c r="A52" t="s">
        <v>545</v>
      </c>
      <c r="B52" t="s">
        <v>745</v>
      </c>
      <c r="C52" t="s">
        <v>87</v>
      </c>
      <c r="D52" t="s">
        <v>87</v>
      </c>
      <c r="E52" t="s">
        <v>87</v>
      </c>
      <c r="F52" t="s">
        <v>87</v>
      </c>
      <c r="G52" t="str">
        <f t="shared" si="1"/>
        <v>Calculator|I23</v>
      </c>
    </row>
    <row r="53" spans="1:7" x14ac:dyDescent="0.25">
      <c r="A53" t="s">
        <v>545</v>
      </c>
      <c r="B53" t="s">
        <v>746</v>
      </c>
      <c r="C53" t="s">
        <v>360</v>
      </c>
      <c r="D53" t="s">
        <v>360</v>
      </c>
      <c r="E53" t="s">
        <v>360</v>
      </c>
      <c r="F53" t="s">
        <v>360</v>
      </c>
      <c r="G53" t="str">
        <f t="shared" si="1"/>
        <v>Calculator|I24</v>
      </c>
    </row>
    <row r="54" spans="1:7" x14ac:dyDescent="0.25">
      <c r="A54" t="s">
        <v>545</v>
      </c>
      <c r="B54" t="s">
        <v>747</v>
      </c>
      <c r="C54" t="s">
        <v>362</v>
      </c>
      <c r="D54" t="s">
        <v>362</v>
      </c>
      <c r="E54" t="s">
        <v>362</v>
      </c>
      <c r="F54" t="s">
        <v>362</v>
      </c>
      <c r="G54" t="str">
        <f t="shared" si="1"/>
        <v>Calculator|I25</v>
      </c>
    </row>
    <row r="55" spans="1:7" x14ac:dyDescent="0.25">
      <c r="A55" t="s">
        <v>545</v>
      </c>
      <c r="B55" t="s">
        <v>748</v>
      </c>
      <c r="C55" t="s">
        <v>361</v>
      </c>
      <c r="D55" t="s">
        <v>361</v>
      </c>
      <c r="E55" t="s">
        <v>361</v>
      </c>
      <c r="F55" t="s">
        <v>361</v>
      </c>
      <c r="G55" t="str">
        <f t="shared" si="1"/>
        <v>Calculator|I27</v>
      </c>
    </row>
    <row r="56" spans="1:7" x14ac:dyDescent="0.25">
      <c r="A56" t="s">
        <v>545</v>
      </c>
      <c r="B56" t="s">
        <v>749</v>
      </c>
      <c r="C56" t="s">
        <v>361</v>
      </c>
      <c r="D56" t="s">
        <v>361</v>
      </c>
      <c r="E56" t="s">
        <v>361</v>
      </c>
      <c r="F56" t="s">
        <v>361</v>
      </c>
      <c r="G56" t="str">
        <f t="shared" si="1"/>
        <v>Calculator|I28</v>
      </c>
    </row>
    <row r="57" spans="1:7" x14ac:dyDescent="0.25">
      <c r="A57" t="s">
        <v>545</v>
      </c>
      <c r="B57" t="s">
        <v>750</v>
      </c>
      <c r="C57" t="s">
        <v>369</v>
      </c>
      <c r="D57" t="s">
        <v>369</v>
      </c>
      <c r="E57" t="s">
        <v>369</v>
      </c>
      <c r="F57" t="s">
        <v>369</v>
      </c>
      <c r="G57" t="str">
        <f t="shared" si="1"/>
        <v>Calculator|I29</v>
      </c>
    </row>
    <row r="58" spans="1:7" x14ac:dyDescent="0.25">
      <c r="A58" t="s">
        <v>545</v>
      </c>
      <c r="B58" t="s">
        <v>751</v>
      </c>
      <c r="C58" t="s">
        <v>87</v>
      </c>
      <c r="D58" t="s">
        <v>87</v>
      </c>
      <c r="E58" t="s">
        <v>87</v>
      </c>
      <c r="F58" t="s">
        <v>87</v>
      </c>
      <c r="G58" t="str">
        <f t="shared" si="1"/>
        <v>Calculator|I30</v>
      </c>
    </row>
    <row r="59" spans="1:7" x14ac:dyDescent="0.25">
      <c r="A59" t="s">
        <v>545</v>
      </c>
      <c r="B59" t="s">
        <v>752</v>
      </c>
      <c r="C59" t="s">
        <v>87</v>
      </c>
      <c r="D59" t="s">
        <v>87</v>
      </c>
      <c r="E59" t="s">
        <v>87</v>
      </c>
      <c r="F59" t="s">
        <v>87</v>
      </c>
      <c r="G59" t="str">
        <f t="shared" si="1"/>
        <v>Calculator|I31</v>
      </c>
    </row>
    <row r="60" spans="1:7" x14ac:dyDescent="0.25">
      <c r="A60" t="s">
        <v>545</v>
      </c>
      <c r="B60" t="s">
        <v>753</v>
      </c>
      <c r="C60" t="s">
        <v>362</v>
      </c>
      <c r="D60" t="s">
        <v>362</v>
      </c>
      <c r="E60" t="s">
        <v>362</v>
      </c>
      <c r="F60" t="s">
        <v>362</v>
      </c>
      <c r="G60" t="str">
        <f t="shared" si="1"/>
        <v>Calculator|I32</v>
      </c>
    </row>
    <row r="61" spans="1:7" x14ac:dyDescent="0.25">
      <c r="A61" t="s">
        <v>545</v>
      </c>
      <c r="B61" t="s">
        <v>754</v>
      </c>
      <c r="C61" t="s">
        <v>434</v>
      </c>
      <c r="D61" t="s">
        <v>434</v>
      </c>
      <c r="E61" t="s">
        <v>434</v>
      </c>
      <c r="F61" t="s">
        <v>434</v>
      </c>
      <c r="G61" t="str">
        <f t="shared" si="1"/>
        <v>Calculator|I41</v>
      </c>
    </row>
    <row r="62" spans="1:7" x14ac:dyDescent="0.25">
      <c r="A62" t="s">
        <v>545</v>
      </c>
      <c r="B62" t="s">
        <v>755</v>
      </c>
      <c r="C62" t="s">
        <v>434</v>
      </c>
      <c r="D62" t="s">
        <v>434</v>
      </c>
      <c r="E62" t="s">
        <v>434</v>
      </c>
      <c r="F62" t="s">
        <v>434</v>
      </c>
      <c r="G62" t="str">
        <f t="shared" si="1"/>
        <v>Calculator|I42</v>
      </c>
    </row>
    <row r="63" spans="1:7" x14ac:dyDescent="0.25">
      <c r="A63" t="s">
        <v>545</v>
      </c>
      <c r="B63" t="s">
        <v>756</v>
      </c>
      <c r="C63" t="s">
        <v>434</v>
      </c>
      <c r="D63" t="s">
        <v>434</v>
      </c>
      <c r="E63" t="s">
        <v>434</v>
      </c>
      <c r="F63" t="s">
        <v>434</v>
      </c>
      <c r="G63" t="str">
        <f t="shared" si="1"/>
        <v>Calculator|I43</v>
      </c>
    </row>
    <row r="64" spans="1:7" x14ac:dyDescent="0.25">
      <c r="A64" t="s">
        <v>545</v>
      </c>
      <c r="B64" t="s">
        <v>603</v>
      </c>
      <c r="C64" t="s">
        <v>363</v>
      </c>
      <c r="D64" t="s">
        <v>604</v>
      </c>
      <c r="E64" t="s">
        <v>605</v>
      </c>
      <c r="F64" t="s">
        <v>606</v>
      </c>
      <c r="G64" t="str">
        <f t="shared" ref="G64:G70" si="2">A64&amp;"|"&amp;B64</f>
        <v>Calculator|G24</v>
      </c>
    </row>
    <row r="65" spans="1:8" x14ac:dyDescent="0.25">
      <c r="A65" t="s">
        <v>545</v>
      </c>
      <c r="B65" t="s">
        <v>612</v>
      </c>
      <c r="C65" t="s">
        <v>368</v>
      </c>
      <c r="D65" t="s">
        <v>613</v>
      </c>
      <c r="E65" t="s">
        <v>614</v>
      </c>
      <c r="F65" t="s">
        <v>615</v>
      </c>
      <c r="G65" t="str">
        <f t="shared" si="2"/>
        <v>Calculator|G25</v>
      </c>
    </row>
    <row r="66" spans="1:8" x14ac:dyDescent="0.25">
      <c r="A66" t="s">
        <v>545</v>
      </c>
      <c r="B66" t="s">
        <v>621</v>
      </c>
      <c r="C66" t="s">
        <v>364</v>
      </c>
      <c r="D66" t="s">
        <v>622</v>
      </c>
      <c r="E66" t="s">
        <v>623</v>
      </c>
      <c r="F66" t="s">
        <v>624</v>
      </c>
      <c r="G66" t="str">
        <f t="shared" si="2"/>
        <v>Calculator|G26</v>
      </c>
    </row>
    <row r="67" spans="1:8" x14ac:dyDescent="0.25">
      <c r="A67" t="s">
        <v>545</v>
      </c>
      <c r="B67" t="s">
        <v>630</v>
      </c>
      <c r="C67" t="s">
        <v>365</v>
      </c>
      <c r="D67" t="s">
        <v>631</v>
      </c>
      <c r="E67" t="s">
        <v>632</v>
      </c>
      <c r="F67" t="s">
        <v>633</v>
      </c>
      <c r="G67" t="str">
        <f t="shared" si="2"/>
        <v>Calculator|G27</v>
      </c>
    </row>
    <row r="68" spans="1:8" x14ac:dyDescent="0.25">
      <c r="A68" t="s">
        <v>545</v>
      </c>
      <c r="B68" t="s">
        <v>638</v>
      </c>
      <c r="C68" t="s">
        <v>382</v>
      </c>
      <c r="D68" t="s">
        <v>639</v>
      </c>
      <c r="E68" t="s">
        <v>640</v>
      </c>
      <c r="F68" t="s">
        <v>641</v>
      </c>
      <c r="G68" t="str">
        <f t="shared" si="2"/>
        <v>Calculator|G28</v>
      </c>
    </row>
    <row r="69" spans="1:8" x14ac:dyDescent="0.25">
      <c r="A69" t="s">
        <v>545</v>
      </c>
      <c r="B69" t="s">
        <v>642</v>
      </c>
      <c r="C69" t="s">
        <v>366</v>
      </c>
      <c r="D69" t="s">
        <v>643</v>
      </c>
      <c r="E69" t="s">
        <v>644</v>
      </c>
      <c r="F69" t="s">
        <v>645</v>
      </c>
      <c r="G69" t="str">
        <f t="shared" si="2"/>
        <v>Calculator|G29</v>
      </c>
    </row>
    <row r="70" spans="1:8" x14ac:dyDescent="0.25">
      <c r="A70" t="s">
        <v>545</v>
      </c>
      <c r="B70" t="s">
        <v>747</v>
      </c>
      <c r="C70" t="s">
        <v>362</v>
      </c>
      <c r="D70" t="s">
        <v>362</v>
      </c>
      <c r="E70" t="s">
        <v>362</v>
      </c>
      <c r="F70" t="s">
        <v>362</v>
      </c>
      <c r="G70" t="str">
        <f t="shared" si="2"/>
        <v>Calculator|I25</v>
      </c>
    </row>
    <row r="71" spans="1:8" x14ac:dyDescent="0.25">
      <c r="A71" t="s">
        <v>763</v>
      </c>
      <c r="B71" t="s">
        <v>764</v>
      </c>
      <c r="C71" t="s">
        <v>83</v>
      </c>
      <c r="D71" t="s">
        <v>765</v>
      </c>
      <c r="E71" t="s">
        <v>766</v>
      </c>
      <c r="F71" t="s">
        <v>767</v>
      </c>
      <c r="G71" t="str">
        <f t="shared" ref="G71:G79" si="3">A71&amp;"|"&amp;B71</f>
        <v>ConfigList|App_Coil</v>
      </c>
      <c r="H71" t="s">
        <v>768</v>
      </c>
    </row>
    <row r="72" spans="1:8" x14ac:dyDescent="0.25">
      <c r="A72" t="s">
        <v>763</v>
      </c>
      <c r="B72" t="s">
        <v>769</v>
      </c>
      <c r="C72" t="s">
        <v>81</v>
      </c>
      <c r="D72" t="s">
        <v>770</v>
      </c>
      <c r="E72" t="s">
        <v>770</v>
      </c>
      <c r="F72" t="s">
        <v>771</v>
      </c>
      <c r="G72" t="str">
        <f t="shared" si="3"/>
        <v>ConfigList|App_FinTube</v>
      </c>
      <c r="H72" t="s">
        <v>768</v>
      </c>
    </row>
    <row r="73" spans="1:8" x14ac:dyDescent="0.25">
      <c r="A73" t="s">
        <v>763</v>
      </c>
      <c r="B73" t="s">
        <v>772</v>
      </c>
      <c r="C73" t="s">
        <v>80</v>
      </c>
      <c r="D73" t="s">
        <v>773</v>
      </c>
      <c r="E73" t="s">
        <v>774</v>
      </c>
      <c r="F73" t="s">
        <v>775</v>
      </c>
      <c r="G73" t="str">
        <f t="shared" si="3"/>
        <v>ConfigList|App_HeatExchanger</v>
      </c>
      <c r="H73" t="s">
        <v>768</v>
      </c>
    </row>
    <row r="74" spans="1:8" x14ac:dyDescent="0.25">
      <c r="A74" t="s">
        <v>763</v>
      </c>
      <c r="B74" t="s">
        <v>776</v>
      </c>
      <c r="C74" t="s">
        <v>82</v>
      </c>
      <c r="D74" t="s">
        <v>777</v>
      </c>
      <c r="E74" t="s">
        <v>777</v>
      </c>
      <c r="F74" t="s">
        <v>778</v>
      </c>
      <c r="G74" t="str">
        <f t="shared" si="3"/>
        <v>ConfigList|App_Radiator</v>
      </c>
      <c r="H74" t="s">
        <v>768</v>
      </c>
    </row>
    <row r="75" spans="1:8" x14ac:dyDescent="0.25">
      <c r="A75" t="s">
        <v>763</v>
      </c>
      <c r="B75" t="s">
        <v>779</v>
      </c>
      <c r="C75" t="s">
        <v>19</v>
      </c>
      <c r="D75" t="s">
        <v>780</v>
      </c>
      <c r="E75" t="s">
        <v>781</v>
      </c>
      <c r="F75" t="s">
        <v>782</v>
      </c>
      <c r="G75" t="str">
        <f t="shared" si="3"/>
        <v>ConfigList|Ctrl_OnOff</v>
      </c>
      <c r="H75" t="s">
        <v>783</v>
      </c>
    </row>
    <row r="76" spans="1:8" x14ac:dyDescent="0.25">
      <c r="A76" t="s">
        <v>763</v>
      </c>
      <c r="B76" t="s">
        <v>784</v>
      </c>
      <c r="C76" t="s">
        <v>17</v>
      </c>
      <c r="D76" t="s">
        <v>785</v>
      </c>
      <c r="E76" t="s">
        <v>785</v>
      </c>
      <c r="F76" t="s">
        <v>786</v>
      </c>
      <c r="G76" t="str">
        <f t="shared" si="3"/>
        <v>ConfigList|Ctrl_Modulating</v>
      </c>
      <c r="H76" t="s">
        <v>783</v>
      </c>
    </row>
    <row r="77" spans="1:8" x14ac:dyDescent="0.25">
      <c r="A77" t="s">
        <v>763</v>
      </c>
      <c r="B77" t="s">
        <v>787</v>
      </c>
      <c r="C77" t="s">
        <v>407</v>
      </c>
      <c r="D77" t="s">
        <v>788</v>
      </c>
      <c r="E77" t="s">
        <v>788</v>
      </c>
      <c r="F77" t="s">
        <v>789</v>
      </c>
      <c r="G77" t="str">
        <f t="shared" si="3"/>
        <v>ConfigList|SteamType_DrySaturated</v>
      </c>
      <c r="H77" t="s">
        <v>245</v>
      </c>
    </row>
    <row r="78" spans="1:8" x14ac:dyDescent="0.25">
      <c r="A78" t="s">
        <v>763</v>
      </c>
      <c r="B78" t="s">
        <v>790</v>
      </c>
      <c r="C78" t="s">
        <v>791</v>
      </c>
      <c r="D78" t="s">
        <v>792</v>
      </c>
      <c r="E78" t="s">
        <v>793</v>
      </c>
      <c r="F78" t="s">
        <v>794</v>
      </c>
      <c r="G78" t="str">
        <f t="shared" si="3"/>
        <v>ConfigList|SteamType_WetSaturated</v>
      </c>
      <c r="H78" t="s">
        <v>245</v>
      </c>
    </row>
    <row r="79" spans="1:8" x14ac:dyDescent="0.25">
      <c r="A79" t="s">
        <v>763</v>
      </c>
      <c r="B79" t="s">
        <v>795</v>
      </c>
      <c r="C79" t="s">
        <v>241</v>
      </c>
      <c r="D79" t="s">
        <v>796</v>
      </c>
      <c r="E79" t="s">
        <v>797</v>
      </c>
      <c r="F79" t="s">
        <v>798</v>
      </c>
      <c r="G79" t="str">
        <f t="shared" si="3"/>
        <v>ConfigList|SteamType_Superheated</v>
      </c>
      <c r="H79" t="s">
        <v>245</v>
      </c>
    </row>
    <row r="80" spans="1:8" x14ac:dyDescent="0.25">
      <c r="A80" t="s">
        <v>799</v>
      </c>
      <c r="B80" t="s">
        <v>800</v>
      </c>
      <c r="C80" t="s">
        <v>383</v>
      </c>
      <c r="D80" t="s">
        <v>600</v>
      </c>
      <c r="E80" t="s">
        <v>601</v>
      </c>
      <c r="F80" t="s">
        <v>801</v>
      </c>
      <c r="G80" t="str">
        <f t="shared" ref="G80:G96" si="4">A80&amp;"|"&amp;B80</f>
        <v>DynamicLabel|CoeffLabel_G23_Cv</v>
      </c>
    </row>
    <row r="81" spans="1:7" x14ac:dyDescent="0.25">
      <c r="A81" t="s">
        <v>799</v>
      </c>
      <c r="B81" t="s">
        <v>802</v>
      </c>
      <c r="C81" t="s">
        <v>803</v>
      </c>
      <c r="D81" t="s">
        <v>804</v>
      </c>
      <c r="E81" t="s">
        <v>805</v>
      </c>
      <c r="F81" t="s">
        <v>806</v>
      </c>
      <c r="G81" t="str">
        <f t="shared" si="4"/>
        <v>DynamicLabel|CoeffLabel_G23_Kv</v>
      </c>
    </row>
    <row r="82" spans="1:7" x14ac:dyDescent="0.25">
      <c r="A82" t="s">
        <v>799</v>
      </c>
      <c r="B82" t="s">
        <v>807</v>
      </c>
      <c r="C82" t="s">
        <v>380</v>
      </c>
      <c r="D82" t="s">
        <v>647</v>
      </c>
      <c r="E82" t="s">
        <v>647</v>
      </c>
      <c r="F82" t="s">
        <v>649</v>
      </c>
      <c r="G82" t="str">
        <f t="shared" si="4"/>
        <v>DynamicLabel|CoeffLabel_G30_Cv</v>
      </c>
    </row>
    <row r="83" spans="1:7" x14ac:dyDescent="0.25">
      <c r="A83" t="s">
        <v>799</v>
      </c>
      <c r="B83" t="s">
        <v>808</v>
      </c>
      <c r="C83" t="s">
        <v>809</v>
      </c>
      <c r="D83" t="s">
        <v>810</v>
      </c>
      <c r="E83" t="s">
        <v>810</v>
      </c>
      <c r="F83" t="s">
        <v>811</v>
      </c>
      <c r="G83" t="str">
        <f t="shared" si="4"/>
        <v>DynamicLabel|CoeffLabel_G30_Kv</v>
      </c>
    </row>
    <row r="84" spans="1:7" x14ac:dyDescent="0.25">
      <c r="A84" t="s">
        <v>799</v>
      </c>
      <c r="B84" t="s">
        <v>812</v>
      </c>
      <c r="C84" t="s">
        <v>384</v>
      </c>
      <c r="D84" t="s">
        <v>651</v>
      </c>
      <c r="E84" t="s">
        <v>652</v>
      </c>
      <c r="F84" t="s">
        <v>653</v>
      </c>
      <c r="G84" t="str">
        <f t="shared" si="4"/>
        <v>DynamicLabel|CoeffLabel_G31_Cv</v>
      </c>
    </row>
    <row r="85" spans="1:7" x14ac:dyDescent="0.25">
      <c r="A85" t="s">
        <v>799</v>
      </c>
      <c r="B85" t="s">
        <v>813</v>
      </c>
      <c r="C85" t="s">
        <v>814</v>
      </c>
      <c r="D85" t="s">
        <v>815</v>
      </c>
      <c r="E85" t="s">
        <v>816</v>
      </c>
      <c r="F85" t="s">
        <v>817</v>
      </c>
      <c r="G85" t="str">
        <f t="shared" si="4"/>
        <v>DynamicLabel|CoeffLabel_G31_Kv</v>
      </c>
    </row>
    <row r="86" spans="1:7" x14ac:dyDescent="0.25">
      <c r="A86" t="s">
        <v>799</v>
      </c>
      <c r="B86" t="s">
        <v>818</v>
      </c>
      <c r="C86" t="s">
        <v>367</v>
      </c>
      <c r="D86" t="s">
        <v>635</v>
      </c>
      <c r="E86" t="s">
        <v>819</v>
      </c>
      <c r="F86" t="s">
        <v>820</v>
      </c>
      <c r="G86" t="str">
        <f t="shared" si="4"/>
        <v>DynamicLabel|CoeffLabel_B28_Cv</v>
      </c>
    </row>
    <row r="87" spans="1:7" x14ac:dyDescent="0.25">
      <c r="A87" t="s">
        <v>799</v>
      </c>
      <c r="B87" t="s">
        <v>821</v>
      </c>
      <c r="C87" t="s">
        <v>822</v>
      </c>
      <c r="D87" t="s">
        <v>823</v>
      </c>
      <c r="E87" t="s">
        <v>824</v>
      </c>
      <c r="F87" t="s">
        <v>825</v>
      </c>
      <c r="G87" t="str">
        <f t="shared" si="4"/>
        <v>DynamicLabel|CoeffLabel_B28_Kv</v>
      </c>
    </row>
    <row r="88" spans="1:7" x14ac:dyDescent="0.25">
      <c r="A88" t="s">
        <v>799</v>
      </c>
      <c r="B88" t="s">
        <v>826</v>
      </c>
      <c r="C88" t="s">
        <v>506</v>
      </c>
      <c r="D88" t="s">
        <v>668</v>
      </c>
      <c r="E88" t="s">
        <v>669</v>
      </c>
      <c r="F88" t="s">
        <v>670</v>
      </c>
      <c r="G88" t="str">
        <f t="shared" si="4"/>
        <v>DynamicLabel|CoeffLabel_B39_Cv</v>
      </c>
    </row>
    <row r="89" spans="1:7" x14ac:dyDescent="0.25">
      <c r="A89" t="s">
        <v>799</v>
      </c>
      <c r="B89" t="s">
        <v>827</v>
      </c>
      <c r="C89" t="s">
        <v>828</v>
      </c>
      <c r="D89" t="s">
        <v>829</v>
      </c>
      <c r="E89" t="s">
        <v>830</v>
      </c>
      <c r="F89" t="s">
        <v>831</v>
      </c>
      <c r="G89" t="str">
        <f t="shared" si="4"/>
        <v>DynamicLabel|CoeffLabel_B39_Kv</v>
      </c>
    </row>
    <row r="90" spans="1:7" x14ac:dyDescent="0.25">
      <c r="A90" t="s">
        <v>799</v>
      </c>
      <c r="B90" t="s">
        <v>832</v>
      </c>
      <c r="C90" t="s">
        <v>833</v>
      </c>
      <c r="D90" t="s">
        <v>834</v>
      </c>
      <c r="E90" t="s">
        <v>835</v>
      </c>
      <c r="F90" t="s">
        <v>836</v>
      </c>
      <c r="G90" t="str">
        <f t="shared" si="4"/>
        <v>DynamicLabel|PressureLabel_B24_PSIG</v>
      </c>
    </row>
    <row r="91" spans="1:7" x14ac:dyDescent="0.25">
      <c r="A91" t="s">
        <v>799</v>
      </c>
      <c r="B91" t="s">
        <v>837</v>
      </c>
      <c r="C91" t="s">
        <v>838</v>
      </c>
      <c r="D91" t="s">
        <v>839</v>
      </c>
      <c r="E91" t="s">
        <v>840</v>
      </c>
      <c r="F91" t="s">
        <v>841</v>
      </c>
      <c r="G91" t="str">
        <f t="shared" si="4"/>
        <v>DynamicLabel|PressureLabel_B24_BAR</v>
      </c>
    </row>
    <row r="92" spans="1:7" x14ac:dyDescent="0.25">
      <c r="A92" t="s">
        <v>799</v>
      </c>
      <c r="B92" t="s">
        <v>842</v>
      </c>
      <c r="C92" t="s">
        <v>843</v>
      </c>
      <c r="D92" t="s">
        <v>844</v>
      </c>
      <c r="E92" t="s">
        <v>845</v>
      </c>
      <c r="F92" t="s">
        <v>846</v>
      </c>
      <c r="G92" t="str">
        <f t="shared" si="4"/>
        <v>DynamicLabel|PressureLabel_B25_PSIG</v>
      </c>
    </row>
    <row r="93" spans="1:7" x14ac:dyDescent="0.25">
      <c r="A93" t="s">
        <v>799</v>
      </c>
      <c r="B93" t="s">
        <v>847</v>
      </c>
      <c r="C93" t="s">
        <v>848</v>
      </c>
      <c r="D93" t="s">
        <v>849</v>
      </c>
      <c r="E93" t="s">
        <v>850</v>
      </c>
      <c r="F93" t="s">
        <v>851</v>
      </c>
      <c r="G93" t="str">
        <f t="shared" si="4"/>
        <v>DynamicLabel|PressureLabel_B25_BAR</v>
      </c>
    </row>
    <row r="94" spans="1:7" x14ac:dyDescent="0.25">
      <c r="A94" t="s">
        <v>545</v>
      </c>
      <c r="B94" t="s">
        <v>616</v>
      </c>
      <c r="C94" t="s">
        <v>617</v>
      </c>
      <c r="D94" t="s">
        <v>618</v>
      </c>
      <c r="E94" t="s">
        <v>619</v>
      </c>
      <c r="F94" t="s">
        <v>620</v>
      </c>
      <c r="G94" t="str">
        <f t="shared" si="4"/>
        <v>Calculator|B26</v>
      </c>
    </row>
    <row r="95" spans="1:7" x14ac:dyDescent="0.25">
      <c r="A95" t="s">
        <v>545</v>
      </c>
      <c r="B95" t="s">
        <v>625</v>
      </c>
      <c r="C95" t="s">
        <v>626</v>
      </c>
      <c r="D95" t="s">
        <v>627</v>
      </c>
      <c r="E95" t="s">
        <v>628</v>
      </c>
      <c r="F95" t="s">
        <v>629</v>
      </c>
      <c r="G95" t="str">
        <f t="shared" si="4"/>
        <v>Calculator|B27</v>
      </c>
    </row>
    <row r="96" spans="1:7" x14ac:dyDescent="0.25">
      <c r="A96" t="s">
        <v>545</v>
      </c>
      <c r="B96" t="s">
        <v>852</v>
      </c>
      <c r="C96" t="s">
        <v>853</v>
      </c>
      <c r="D96" t="s">
        <v>854</v>
      </c>
      <c r="E96" t="s">
        <v>855</v>
      </c>
      <c r="F96" t="s">
        <v>856</v>
      </c>
      <c r="G96" t="str">
        <f t="shared" si="4"/>
        <v>Calculator|G32</v>
      </c>
    </row>
    <row r="97" spans="1:7" x14ac:dyDescent="0.25">
      <c r="A97" t="s">
        <v>545</v>
      </c>
      <c r="B97" t="s">
        <v>857</v>
      </c>
      <c r="C97" t="s">
        <v>762</v>
      </c>
      <c r="D97" t="s">
        <v>858</v>
      </c>
      <c r="E97" t="s">
        <v>858</v>
      </c>
      <c r="F97" t="s">
        <v>859</v>
      </c>
      <c r="G97" t="str">
        <f t="shared" ref="G97:G112" si="5">A97&amp;"|"&amp;B97</f>
        <v>Calculator|G59</v>
      </c>
    </row>
    <row r="98" spans="1:7" x14ac:dyDescent="0.25">
      <c r="A98" t="s">
        <v>799</v>
      </c>
      <c r="B98" t="s">
        <v>866</v>
      </c>
      <c r="C98" t="s">
        <v>867</v>
      </c>
      <c r="D98" t="s">
        <v>868</v>
      </c>
      <c r="E98" t="s">
        <v>868</v>
      </c>
      <c r="F98" t="s">
        <v>869</v>
      </c>
      <c r="G98" t="str">
        <f t="shared" si="5"/>
        <v>DynamicLabel|Shape_ResetButton</v>
      </c>
    </row>
    <row r="99" spans="1:7" x14ac:dyDescent="0.25">
      <c r="A99" t="s">
        <v>799</v>
      </c>
      <c r="B99" t="s">
        <v>870</v>
      </c>
      <c r="C99" t="s">
        <v>871</v>
      </c>
      <c r="D99" t="s">
        <v>872</v>
      </c>
      <c r="E99" t="s">
        <v>872</v>
      </c>
      <c r="F99" t="s">
        <v>873</v>
      </c>
      <c r="G99" t="str">
        <f t="shared" si="5"/>
        <v>DynamicLabel|Shape_btnCalculate</v>
      </c>
    </row>
    <row r="100" spans="1:7" x14ac:dyDescent="0.25">
      <c r="A100" t="s">
        <v>799</v>
      </c>
      <c r="B100" t="s">
        <v>874</v>
      </c>
      <c r="C100" t="s">
        <v>875</v>
      </c>
      <c r="D100" t="s">
        <v>876</v>
      </c>
      <c r="E100" t="s">
        <v>877</v>
      </c>
      <c r="F100" t="s">
        <v>878</v>
      </c>
      <c r="G100" t="str">
        <f t="shared" si="5"/>
        <v>DynamicLabel|Shape_btnCloseTool</v>
      </c>
    </row>
    <row r="101" spans="1:7" x14ac:dyDescent="0.25">
      <c r="A101" t="s">
        <v>799</v>
      </c>
      <c r="B101" t="s">
        <v>879</v>
      </c>
      <c r="C101" t="s">
        <v>880</v>
      </c>
      <c r="D101" t="s">
        <v>881</v>
      </c>
      <c r="E101" t="s">
        <v>882</v>
      </c>
      <c r="F101" t="s">
        <v>883</v>
      </c>
      <c r="G101" t="str">
        <f t="shared" si="5"/>
        <v>DynamicLabel|Shape_btnAddToSummary</v>
      </c>
    </row>
    <row r="102" spans="1:7" x14ac:dyDescent="0.25">
      <c r="A102" t="s">
        <v>799</v>
      </c>
      <c r="B102" t="s">
        <v>884</v>
      </c>
      <c r="C102" t="s">
        <v>885</v>
      </c>
      <c r="D102" t="s">
        <v>886</v>
      </c>
      <c r="E102" t="s">
        <v>887</v>
      </c>
      <c r="F102" t="s">
        <v>888</v>
      </c>
      <c r="G102" t="str">
        <f t="shared" si="5"/>
        <v>DynamicLabel|Shape_btnDisplayCvs</v>
      </c>
    </row>
    <row r="103" spans="1:7" x14ac:dyDescent="0.25">
      <c r="A103" t="s">
        <v>799</v>
      </c>
      <c r="B103" t="s">
        <v>889</v>
      </c>
      <c r="C103" t="s">
        <v>890</v>
      </c>
      <c r="D103" t="s">
        <v>891</v>
      </c>
      <c r="E103" t="s">
        <v>892</v>
      </c>
      <c r="F103" t="s">
        <v>893</v>
      </c>
      <c r="G103" t="str">
        <f t="shared" si="5"/>
        <v>DynamicLabel|Shape_h_ShowHide</v>
      </c>
    </row>
    <row r="104" spans="1:7" x14ac:dyDescent="0.25">
      <c r="A104" t="s">
        <v>799</v>
      </c>
      <c r="B104" t="s">
        <v>894</v>
      </c>
      <c r="C104" t="s">
        <v>895</v>
      </c>
      <c r="D104" t="s">
        <v>896</v>
      </c>
      <c r="E104" t="s">
        <v>897</v>
      </c>
      <c r="F104" t="s">
        <v>898</v>
      </c>
      <c r="G104" t="str">
        <f t="shared" si="5"/>
        <v>DynamicLabel|Shape_btnCalcVelocityCalc</v>
      </c>
    </row>
    <row r="105" spans="1:7" x14ac:dyDescent="0.25">
      <c r="A105" t="s">
        <v>799</v>
      </c>
      <c r="B105" t="s">
        <v>899</v>
      </c>
      <c r="C105" t="s">
        <v>900</v>
      </c>
      <c r="D105" t="s">
        <v>901</v>
      </c>
      <c r="E105" t="s">
        <v>902</v>
      </c>
      <c r="F105" t="s">
        <v>903</v>
      </c>
      <c r="G105" t="str">
        <f t="shared" si="5"/>
        <v>DynamicLabel|Shape_h_Step_1</v>
      </c>
    </row>
    <row r="106" spans="1:7" x14ac:dyDescent="0.25">
      <c r="A106" t="s">
        <v>799</v>
      </c>
      <c r="B106" t="s">
        <v>904</v>
      </c>
      <c r="C106" t="s">
        <v>905</v>
      </c>
      <c r="D106" t="s">
        <v>906</v>
      </c>
      <c r="E106" t="s">
        <v>907</v>
      </c>
      <c r="F106" t="s">
        <v>908</v>
      </c>
      <c r="G106" t="str">
        <f t="shared" si="5"/>
        <v>DynamicLabel|Shape_h_Step_2</v>
      </c>
    </row>
    <row r="107" spans="1:7" x14ac:dyDescent="0.25">
      <c r="A107" t="s">
        <v>799</v>
      </c>
      <c r="B107" t="s">
        <v>909</v>
      </c>
      <c r="C107" t="s">
        <v>910</v>
      </c>
      <c r="D107" t="s">
        <v>911</v>
      </c>
      <c r="E107" t="s">
        <v>912</v>
      </c>
      <c r="F107" t="s">
        <v>913</v>
      </c>
      <c r="G107" t="str">
        <f t="shared" si="5"/>
        <v>DynamicLabel|Shape_h_Step_3</v>
      </c>
    </row>
    <row r="108" spans="1:7" x14ac:dyDescent="0.25">
      <c r="A108" t="s">
        <v>799</v>
      </c>
      <c r="B108" t="s">
        <v>914</v>
      </c>
      <c r="C108" t="s">
        <v>915</v>
      </c>
      <c r="D108" t="s">
        <v>916</v>
      </c>
      <c r="E108" t="s">
        <v>917</v>
      </c>
      <c r="F108" t="s">
        <v>918</v>
      </c>
      <c r="G108" t="str">
        <f t="shared" si="5"/>
        <v>DynamicLabel|Shape_h_Step_4</v>
      </c>
    </row>
    <row r="109" spans="1:7" x14ac:dyDescent="0.25">
      <c r="A109" t="s">
        <v>799</v>
      </c>
      <c r="B109" t="s">
        <v>919</v>
      </c>
      <c r="C109" t="s">
        <v>920</v>
      </c>
      <c r="D109" t="s">
        <v>921</v>
      </c>
      <c r="E109" t="s">
        <v>922</v>
      </c>
      <c r="F109" t="s">
        <v>923</v>
      </c>
      <c r="G109" t="str">
        <f t="shared" si="5"/>
        <v>DynamicLabel|Shape_h_Step_5</v>
      </c>
    </row>
    <row r="110" spans="1:7" x14ac:dyDescent="0.25">
      <c r="A110" t="s">
        <v>799</v>
      </c>
      <c r="B110" t="s">
        <v>924</v>
      </c>
      <c r="C110" t="s">
        <v>925</v>
      </c>
      <c r="D110" t="s">
        <v>926</v>
      </c>
      <c r="E110" t="s">
        <v>927</v>
      </c>
      <c r="F110" t="s">
        <v>928</v>
      </c>
      <c r="G110" t="str">
        <f t="shared" si="5"/>
        <v>DynamicLabel|Shape_h_Step_6</v>
      </c>
    </row>
    <row r="111" spans="1:7" x14ac:dyDescent="0.25">
      <c r="A111" t="s">
        <v>799</v>
      </c>
      <c r="B111" t="s">
        <v>929</v>
      </c>
      <c r="C111" t="s">
        <v>930</v>
      </c>
      <c r="D111" t="s">
        <v>931</v>
      </c>
      <c r="E111" t="s">
        <v>932</v>
      </c>
      <c r="F111" t="s">
        <v>933</v>
      </c>
      <c r="G111" t="str">
        <f t="shared" si="5"/>
        <v>DynamicLabel|Shape_h_Step_7</v>
      </c>
    </row>
    <row r="112" spans="1:7" ht="52.8" x14ac:dyDescent="0.25">
      <c r="A112" t="s">
        <v>799</v>
      </c>
      <c r="B112" t="s">
        <v>934</v>
      </c>
      <c r="C112" s="369" t="s">
        <v>935</v>
      </c>
      <c r="D112" s="369" t="s">
        <v>936</v>
      </c>
      <c r="E112" s="369" t="s">
        <v>937</v>
      </c>
      <c r="F112" s="369" t="s">
        <v>938</v>
      </c>
      <c r="G112" t="str">
        <f t="shared" si="5"/>
        <v>DynamicLabel|Shape_eMailSupport</v>
      </c>
    </row>
    <row r="113" spans="1:7" ht="105.6" x14ac:dyDescent="0.25">
      <c r="A113" t="s">
        <v>799</v>
      </c>
      <c r="B113" t="s">
        <v>939</v>
      </c>
      <c r="C113" s="369" t="s">
        <v>940</v>
      </c>
      <c r="D113" s="369" t="s">
        <v>941</v>
      </c>
      <c r="E113" s="369" t="s">
        <v>942</v>
      </c>
      <c r="F113" s="369" t="s">
        <v>943</v>
      </c>
      <c r="G113" t="str">
        <f t="shared" ref="G113:G121" si="6">A113&amp;"|"&amp;B113</f>
        <v>DynamicLabel|Shape_AP_MSG</v>
      </c>
    </row>
    <row r="114" spans="1:7" ht="250.8" x14ac:dyDescent="0.25">
      <c r="A114" t="s">
        <v>799</v>
      </c>
      <c r="B114" t="s">
        <v>944</v>
      </c>
      <c r="C114" s="369" t="s">
        <v>1771</v>
      </c>
      <c r="D114" s="369" t="s">
        <v>945</v>
      </c>
      <c r="E114" s="369" t="s">
        <v>946</v>
      </c>
      <c r="F114" s="369" t="s">
        <v>947</v>
      </c>
      <c r="G114" t="str">
        <f t="shared" si="6"/>
        <v>DynamicLabel|Shape_PO_MSG</v>
      </c>
    </row>
    <row r="115" spans="1:7" ht="396" x14ac:dyDescent="0.25">
      <c r="A115" t="s">
        <v>799</v>
      </c>
      <c r="B115" t="s">
        <v>948</v>
      </c>
      <c r="C115" s="369" t="s">
        <v>949</v>
      </c>
      <c r="D115" s="369" t="s">
        <v>950</v>
      </c>
      <c r="E115" s="369" t="s">
        <v>951</v>
      </c>
      <c r="F115" s="369" t="s">
        <v>952</v>
      </c>
      <c r="G115" t="str">
        <f t="shared" si="6"/>
        <v>DynamicLabel|Shape_PI_MSG</v>
      </c>
    </row>
    <row r="116" spans="1:7" ht="66" x14ac:dyDescent="0.25">
      <c r="A116" t="s">
        <v>799</v>
      </c>
      <c r="B116" t="s">
        <v>953</v>
      </c>
      <c r="C116" s="369" t="s">
        <v>954</v>
      </c>
      <c r="D116" s="369" t="s">
        <v>955</v>
      </c>
      <c r="E116" s="369" t="s">
        <v>956</v>
      </c>
      <c r="F116" s="369" t="s">
        <v>957</v>
      </c>
      <c r="G116" t="str">
        <f t="shared" si="6"/>
        <v>DynamicLabel|Shape_Q_MSG</v>
      </c>
    </row>
    <row r="117" spans="1:7" ht="330" x14ac:dyDescent="0.25">
      <c r="A117" t="s">
        <v>799</v>
      </c>
      <c r="B117" t="s">
        <v>958</v>
      </c>
      <c r="C117" s="369" t="s">
        <v>959</v>
      </c>
      <c r="D117" s="369" t="s">
        <v>960</v>
      </c>
      <c r="E117" s="369" t="s">
        <v>961</v>
      </c>
      <c r="F117" s="369" t="s">
        <v>962</v>
      </c>
      <c r="G117" t="str">
        <f t="shared" si="6"/>
        <v>DynamicLabel|Shape_CvC_MSG</v>
      </c>
    </row>
    <row r="118" spans="1:7" ht="198" x14ac:dyDescent="0.25">
      <c r="A118" t="s">
        <v>799</v>
      </c>
      <c r="B118" t="s">
        <v>963</v>
      </c>
      <c r="C118" s="369" t="s">
        <v>964</v>
      </c>
      <c r="D118" s="369" t="s">
        <v>965</v>
      </c>
      <c r="E118" s="369" t="s">
        <v>966</v>
      </c>
      <c r="F118" s="369" t="s">
        <v>967</v>
      </c>
      <c r="G118" t="str">
        <f t="shared" si="6"/>
        <v>DynamicLabel|Shape_CB_h_CTRL_OnOff</v>
      </c>
    </row>
    <row r="119" spans="1:7" ht="66" x14ac:dyDescent="0.25">
      <c r="A119" t="s">
        <v>799</v>
      </c>
      <c r="B119" t="s">
        <v>968</v>
      </c>
      <c r="C119" s="369" t="s">
        <v>969</v>
      </c>
      <c r="D119" s="369" t="s">
        <v>970</v>
      </c>
      <c r="E119" s="369" t="s">
        <v>971</v>
      </c>
      <c r="F119" s="369" t="s">
        <v>972</v>
      </c>
      <c r="G119" t="str">
        <f t="shared" si="6"/>
        <v>DynamicLabel|Shape_CB_h_CTRL_Modulating</v>
      </c>
    </row>
    <row r="120" spans="1:7" ht="92.4" x14ac:dyDescent="0.25">
      <c r="A120" t="s">
        <v>799</v>
      </c>
      <c r="B120" t="s">
        <v>973</v>
      </c>
      <c r="C120" s="369" t="s">
        <v>974</v>
      </c>
      <c r="D120" s="369" t="s">
        <v>975</v>
      </c>
      <c r="E120" s="369" t="s">
        <v>976</v>
      </c>
      <c r="F120" s="369" t="s">
        <v>977</v>
      </c>
      <c r="G120" t="str">
        <f t="shared" si="6"/>
        <v>DynamicLabel|Shape_CB_h_APP_Radiator</v>
      </c>
    </row>
    <row r="121" spans="1:7" ht="79.2" x14ac:dyDescent="0.25">
      <c r="A121" t="s">
        <v>799</v>
      </c>
      <c r="B121" t="s">
        <v>978</v>
      </c>
      <c r="C121" s="369" t="s">
        <v>979</v>
      </c>
      <c r="D121" s="369" t="s">
        <v>980</v>
      </c>
      <c r="E121" s="369" t="s">
        <v>981</v>
      </c>
      <c r="F121" s="369" t="s">
        <v>982</v>
      </c>
      <c r="G121" t="str">
        <f t="shared" si="6"/>
        <v>DynamicLabel|Shape_FeedbackText</v>
      </c>
    </row>
    <row r="122" spans="1:7" x14ac:dyDescent="0.25">
      <c r="A122" t="s">
        <v>799</v>
      </c>
      <c r="B122" t="s">
        <v>984</v>
      </c>
      <c r="C122" t="s">
        <v>985</v>
      </c>
      <c r="D122" t="s">
        <v>986</v>
      </c>
      <c r="E122" t="s">
        <v>987</v>
      </c>
      <c r="F122" t="s">
        <v>988</v>
      </c>
      <c r="G122" t="str">
        <f t="shared" ref="G122:G153" si="7">A122&amp;"|"&amp;B122</f>
        <v>DynamicLabel|MsgBoxTitle_InputError</v>
      </c>
    </row>
    <row r="123" spans="1:7" x14ac:dyDescent="0.25">
      <c r="A123" t="s">
        <v>799</v>
      </c>
      <c r="B123" t="s">
        <v>989</v>
      </c>
      <c r="C123" t="s">
        <v>990</v>
      </c>
      <c r="D123" t="s">
        <v>991</v>
      </c>
      <c r="E123" t="s">
        <v>992</v>
      </c>
      <c r="F123" t="s">
        <v>993</v>
      </c>
      <c r="G123" t="str">
        <f t="shared" si="7"/>
        <v>DynamicLabel|MsgBoxTitle_LookupError</v>
      </c>
    </row>
    <row r="124" spans="1:7" x14ac:dyDescent="0.25">
      <c r="A124" t="s">
        <v>799</v>
      </c>
      <c r="B124" t="s">
        <v>994</v>
      </c>
      <c r="C124" t="s">
        <v>995</v>
      </c>
      <c r="D124" t="s">
        <v>996</v>
      </c>
      <c r="E124" t="s">
        <v>997</v>
      </c>
      <c r="F124" t="s">
        <v>998</v>
      </c>
      <c r="G124" t="str">
        <f t="shared" si="7"/>
        <v>DynamicLabel|MsgBoxTitle_CalculationError</v>
      </c>
    </row>
    <row r="125" spans="1:7" x14ac:dyDescent="0.25">
      <c r="A125" t="s">
        <v>799</v>
      </c>
      <c r="B125" t="s">
        <v>999</v>
      </c>
      <c r="C125" t="s">
        <v>1000</v>
      </c>
      <c r="D125" t="s">
        <v>1001</v>
      </c>
      <c r="E125" t="s">
        <v>1002</v>
      </c>
      <c r="F125" t="s">
        <v>1003</v>
      </c>
      <c r="G125" t="str">
        <f t="shared" si="7"/>
        <v>DynamicLabel|MsgBoxTitle_NoData</v>
      </c>
    </row>
    <row r="126" spans="1:7" x14ac:dyDescent="0.25">
      <c r="A126" t="s">
        <v>799</v>
      </c>
      <c r="B126" t="s">
        <v>1004</v>
      </c>
      <c r="C126" t="s">
        <v>1005</v>
      </c>
      <c r="D126" t="s">
        <v>1006</v>
      </c>
      <c r="E126" t="s">
        <v>1007</v>
      </c>
      <c r="F126" t="s">
        <v>1008</v>
      </c>
      <c r="G126" t="str">
        <f t="shared" si="7"/>
        <v>DynamicLabel|MsgBoxTitle_NoValveTypes</v>
      </c>
    </row>
    <row r="127" spans="1:7" x14ac:dyDescent="0.25">
      <c r="A127" t="s">
        <v>799</v>
      </c>
      <c r="B127" t="s">
        <v>1009</v>
      </c>
      <c r="C127" t="s">
        <v>1010</v>
      </c>
      <c r="D127" t="s">
        <v>1011</v>
      </c>
      <c r="E127" t="s">
        <v>1012</v>
      </c>
      <c r="F127" t="s">
        <v>1013</v>
      </c>
      <c r="G127" t="str">
        <f t="shared" si="7"/>
        <v>DynamicLabel|MsgBoxTitle_MissingInputs</v>
      </c>
    </row>
    <row r="128" spans="1:7" x14ac:dyDescent="0.25">
      <c r="A128" t="s">
        <v>799</v>
      </c>
      <c r="B128" t="s">
        <v>1014</v>
      </c>
      <c r="C128" t="s">
        <v>1015</v>
      </c>
      <c r="D128" t="s">
        <v>1016</v>
      </c>
      <c r="E128" t="s">
        <v>1017</v>
      </c>
      <c r="F128" t="s">
        <v>1018</v>
      </c>
      <c r="G128" t="str">
        <f t="shared" si="7"/>
        <v>DynamicLabel|MsgBoxTitle_MissingInput</v>
      </c>
    </row>
    <row r="129" spans="1:7" x14ac:dyDescent="0.25">
      <c r="A129" t="s">
        <v>799</v>
      </c>
      <c r="B129" t="s">
        <v>1019</v>
      </c>
      <c r="C129" t="s">
        <v>1020</v>
      </c>
      <c r="D129" t="s">
        <v>1021</v>
      </c>
      <c r="E129" t="s">
        <v>1022</v>
      </c>
      <c r="F129" t="s">
        <v>1023</v>
      </c>
      <c r="G129" t="str">
        <f t="shared" si="7"/>
        <v>DynamicLabel|MsgBoxTitle_UnitConversionError</v>
      </c>
    </row>
    <row r="130" spans="1:7" x14ac:dyDescent="0.25">
      <c r="A130" t="s">
        <v>799</v>
      </c>
      <c r="B130" t="s">
        <v>1024</v>
      </c>
      <c r="C130" t="s">
        <v>1025</v>
      </c>
      <c r="D130" t="s">
        <v>1026</v>
      </c>
      <c r="E130" t="s">
        <v>1027</v>
      </c>
      <c r="F130" t="s">
        <v>1028</v>
      </c>
      <c r="G130" t="str">
        <f t="shared" si="7"/>
        <v>DynamicLabel|MsgBoxTitle_SelectedValveCapacity</v>
      </c>
    </row>
    <row r="131" spans="1:7" x14ac:dyDescent="0.25">
      <c r="A131" t="s">
        <v>799</v>
      </c>
      <c r="B131" t="s">
        <v>1029</v>
      </c>
      <c r="C131" t="s">
        <v>363</v>
      </c>
      <c r="D131" t="s">
        <v>604</v>
      </c>
      <c r="E131" t="s">
        <v>605</v>
      </c>
      <c r="F131" t="s">
        <v>1030</v>
      </c>
      <c r="G131" t="str">
        <f t="shared" si="7"/>
        <v>DynamicLabel|MsgBoxTitle_CorrectedPressureDropMsg</v>
      </c>
    </row>
    <row r="132" spans="1:7" x14ac:dyDescent="0.25">
      <c r="A132" t="s">
        <v>799</v>
      </c>
      <c r="B132" t="s">
        <v>1031</v>
      </c>
      <c r="C132" t="s">
        <v>1032</v>
      </c>
      <c r="D132" t="s">
        <v>1033</v>
      </c>
      <c r="E132" t="s">
        <v>1034</v>
      </c>
      <c r="F132" t="s">
        <v>1035</v>
      </c>
      <c r="G132" t="str">
        <f t="shared" si="7"/>
        <v>DynamicLabel|MsgBoxTitle_ConfirmReset</v>
      </c>
    </row>
    <row r="133" spans="1:7" x14ac:dyDescent="0.25">
      <c r="A133" t="s">
        <v>799</v>
      </c>
      <c r="B133" t="s">
        <v>1036</v>
      </c>
      <c r="C133" t="s">
        <v>1037</v>
      </c>
      <c r="D133" t="s">
        <v>1038</v>
      </c>
      <c r="E133" t="s">
        <v>1039</v>
      </c>
      <c r="F133" t="s">
        <v>1040</v>
      </c>
      <c r="G133" t="str">
        <f t="shared" si="7"/>
        <v>DynamicLabel|MsgBoxTitle_CloseSizingTool</v>
      </c>
    </row>
    <row r="134" spans="1:7" x14ac:dyDescent="0.25">
      <c r="A134" t="s">
        <v>799</v>
      </c>
      <c r="B134" t="s">
        <v>1041</v>
      </c>
      <c r="C134" t="s">
        <v>532</v>
      </c>
      <c r="D134" t="s">
        <v>1042</v>
      </c>
      <c r="E134" t="s">
        <v>1043</v>
      </c>
      <c r="F134" t="s">
        <v>1044</v>
      </c>
      <c r="G134" t="str">
        <f t="shared" si="7"/>
        <v>DynamicLabel|MsgBoxTitle_Success</v>
      </c>
    </row>
    <row r="135" spans="1:7" x14ac:dyDescent="0.25">
      <c r="A135" t="s">
        <v>799</v>
      </c>
      <c r="B135" t="s">
        <v>1045</v>
      </c>
      <c r="C135" t="s">
        <v>1046</v>
      </c>
      <c r="D135" t="s">
        <v>1047</v>
      </c>
      <c r="E135" t="s">
        <v>1048</v>
      </c>
      <c r="F135" t="s">
        <v>1049</v>
      </c>
      <c r="G135" t="str">
        <f t="shared" si="7"/>
        <v>DynamicLabel|MsgBoxTitle_ReadError</v>
      </c>
    </row>
    <row r="136" spans="1:7" x14ac:dyDescent="0.25">
      <c r="A136" t="s">
        <v>799</v>
      </c>
      <c r="B136" t="s">
        <v>1050</v>
      </c>
      <c r="C136" t="s">
        <v>1051</v>
      </c>
      <c r="D136" t="s">
        <v>1052</v>
      </c>
      <c r="E136" t="s">
        <v>1053</v>
      </c>
      <c r="F136" t="s">
        <v>1054</v>
      </c>
      <c r="G136" t="str">
        <f t="shared" si="7"/>
        <v>DynamicLabel|MsgBox_Reset_ConfirmBody</v>
      </c>
    </row>
    <row r="137" spans="1:7" x14ac:dyDescent="0.25">
      <c r="A137" t="s">
        <v>799</v>
      </c>
      <c r="B137" t="s">
        <v>1055</v>
      </c>
      <c r="C137" t="s">
        <v>1056</v>
      </c>
      <c r="D137" t="s">
        <v>1057</v>
      </c>
      <c r="E137" t="s">
        <v>1058</v>
      </c>
      <c r="F137" t="s">
        <v>1059</v>
      </c>
      <c r="G137" t="str">
        <f t="shared" si="7"/>
        <v>DynamicLabel|MsgBox_Reset_CloseBody</v>
      </c>
    </row>
    <row r="138" spans="1:7" x14ac:dyDescent="0.25">
      <c r="A138" t="s">
        <v>799</v>
      </c>
      <c r="B138" t="s">
        <v>1060</v>
      </c>
      <c r="C138" t="s">
        <v>1061</v>
      </c>
      <c r="D138" t="s">
        <v>1062</v>
      </c>
      <c r="E138" t="s">
        <v>1063</v>
      </c>
      <c r="F138" t="s">
        <v>1064</v>
      </c>
      <c r="G138" t="str">
        <f t="shared" si="7"/>
        <v>DynamicLabel|MsgBox_Reset_ClosingMsg</v>
      </c>
    </row>
    <row r="139" spans="1:7" x14ac:dyDescent="0.25">
      <c r="A139" t="s">
        <v>799</v>
      </c>
      <c r="B139" t="s">
        <v>1065</v>
      </c>
      <c r="C139" t="s">
        <v>1066</v>
      </c>
      <c r="D139" t="s">
        <v>1067</v>
      </c>
      <c r="E139" t="s">
        <v>1068</v>
      </c>
      <c r="F139" t="s">
        <v>1069</v>
      </c>
      <c r="G139" t="str">
        <f t="shared" si="7"/>
        <v>DynamicLabel|MsgBox_Splash_Disclaimer</v>
      </c>
    </row>
    <row r="140" spans="1:7" x14ac:dyDescent="0.25">
      <c r="A140" t="s">
        <v>799</v>
      </c>
      <c r="B140" t="s">
        <v>1070</v>
      </c>
      <c r="C140" t="s">
        <v>1071</v>
      </c>
      <c r="D140" t="s">
        <v>1072</v>
      </c>
      <c r="E140" t="s">
        <v>1073</v>
      </c>
      <c r="F140" t="s">
        <v>1074</v>
      </c>
      <c r="G140" t="str">
        <f t="shared" si="7"/>
        <v>DynamicLabel|MsgBox_Calc_ReadInputsFail</v>
      </c>
    </row>
    <row r="141" spans="1:7" x14ac:dyDescent="0.25">
      <c r="A141" t="s">
        <v>799</v>
      </c>
      <c r="B141" t="s">
        <v>1075</v>
      </c>
      <c r="C141" t="s">
        <v>1076</v>
      </c>
      <c r="D141" t="s">
        <v>1077</v>
      </c>
      <c r="E141" t="s">
        <v>1078</v>
      </c>
      <c r="F141" t="s">
        <v>1079</v>
      </c>
      <c r="G141" t="str">
        <f t="shared" si="7"/>
        <v>DynamicLabel|MsgBox_Calc_InvalidApp</v>
      </c>
    </row>
    <row r="142" spans="1:7" x14ac:dyDescent="0.25">
      <c r="A142" t="s">
        <v>799</v>
      </c>
      <c r="B142" t="s">
        <v>1080</v>
      </c>
      <c r="C142" t="s">
        <v>1081</v>
      </c>
      <c r="D142" t="s">
        <v>1082</v>
      </c>
      <c r="E142" t="s">
        <v>1083</v>
      </c>
      <c r="F142" t="s">
        <v>1084</v>
      </c>
      <c r="G142" t="str">
        <f t="shared" si="7"/>
        <v>DynamicLabel|MsgBox_Calc_InvalidControl</v>
      </c>
    </row>
    <row r="143" spans="1:7" x14ac:dyDescent="0.25">
      <c r="A143" t="s">
        <v>799</v>
      </c>
      <c r="B143" t="s">
        <v>1085</v>
      </c>
      <c r="C143" t="s">
        <v>1086</v>
      </c>
      <c r="D143" t="s">
        <v>1087</v>
      </c>
      <c r="E143" t="s">
        <v>1088</v>
      </c>
      <c r="F143" t="s">
        <v>1089</v>
      </c>
      <c r="G143" t="str">
        <f t="shared" si="7"/>
        <v>DynamicLabel|MsgBox_Calc_InvalidFlowType</v>
      </c>
    </row>
    <row r="144" spans="1:7" x14ac:dyDescent="0.25">
      <c r="A144" t="s">
        <v>799</v>
      </c>
      <c r="B144" t="s">
        <v>1090</v>
      </c>
      <c r="C144" t="s">
        <v>1091</v>
      </c>
      <c r="D144" t="s">
        <v>1092</v>
      </c>
      <c r="E144" t="s">
        <v>1093</v>
      </c>
      <c r="F144" t="s">
        <v>1094</v>
      </c>
      <c r="G144" t="str">
        <f t="shared" si="7"/>
        <v>DynamicLabel|MsgBox_Calc_InvalidPSI</v>
      </c>
    </row>
    <row r="145" spans="1:7" x14ac:dyDescent="0.25">
      <c r="A145" t="s">
        <v>799</v>
      </c>
      <c r="B145" t="s">
        <v>1095</v>
      </c>
      <c r="C145" t="s">
        <v>1096</v>
      </c>
      <c r="D145" t="s">
        <v>1097</v>
      </c>
      <c r="E145" t="s">
        <v>1098</v>
      </c>
      <c r="F145" t="s">
        <v>1099</v>
      </c>
      <c r="G145" t="str">
        <f t="shared" si="7"/>
        <v>DynamicLabel|MsgBox_Calc_InvalidPSO</v>
      </c>
    </row>
    <row r="146" spans="1:7" x14ac:dyDescent="0.25">
      <c r="A146" t="s">
        <v>799</v>
      </c>
      <c r="B146" t="s">
        <v>1100</v>
      </c>
      <c r="C146" t="s">
        <v>1101</v>
      </c>
      <c r="D146" t="s">
        <v>1102</v>
      </c>
      <c r="E146" t="s">
        <v>1103</v>
      </c>
      <c r="F146" t="s">
        <v>1104</v>
      </c>
      <c r="G146" t="str">
        <f t="shared" si="7"/>
        <v>DynamicLabel|MsgBox_Calc_SelectCvKv</v>
      </c>
    </row>
    <row r="147" spans="1:7" x14ac:dyDescent="0.25">
      <c r="A147" t="s">
        <v>799</v>
      </c>
      <c r="B147" t="s">
        <v>1105</v>
      </c>
      <c r="C147" t="s">
        <v>1106</v>
      </c>
      <c r="D147" t="s">
        <v>1107</v>
      </c>
      <c r="E147" t="s">
        <v>1108</v>
      </c>
      <c r="F147" t="s">
        <v>1109</v>
      </c>
      <c r="G147" t="str">
        <f t="shared" si="7"/>
        <v>DynamicLabel|MsgBox_Calc_FlowRateRange</v>
      </c>
    </row>
    <row r="148" spans="1:7" x14ac:dyDescent="0.25">
      <c r="A148" t="s">
        <v>799</v>
      </c>
      <c r="B148" t="s">
        <v>1110</v>
      </c>
      <c r="C148" t="s">
        <v>1111</v>
      </c>
      <c r="D148" t="s">
        <v>1112</v>
      </c>
      <c r="E148" t="s">
        <v>1113</v>
      </c>
      <c r="F148" t="s">
        <v>1114</v>
      </c>
      <c r="G148" t="str">
        <f t="shared" si="7"/>
        <v>DynamicLabel|MsgBox_Calc_InletNumeric</v>
      </c>
    </row>
    <row r="149" spans="1:7" x14ac:dyDescent="0.25">
      <c r="A149" t="s">
        <v>799</v>
      </c>
      <c r="B149" t="s">
        <v>1115</v>
      </c>
      <c r="C149" t="s">
        <v>1116</v>
      </c>
      <c r="D149" t="s">
        <v>1117</v>
      </c>
      <c r="E149" t="s">
        <v>1118</v>
      </c>
      <c r="F149" t="s">
        <v>1119</v>
      </c>
      <c r="G149" t="str">
        <f t="shared" si="7"/>
        <v>DynamicLabel|MsgBox_Calc_OutletNumeric</v>
      </c>
    </row>
    <row r="150" spans="1:7" x14ac:dyDescent="0.25">
      <c r="A150" t="s">
        <v>799</v>
      </c>
      <c r="B150" t="s">
        <v>1120</v>
      </c>
      <c r="C150" t="s">
        <v>1121</v>
      </c>
      <c r="D150" t="s">
        <v>1122</v>
      </c>
      <c r="E150" t="s">
        <v>1123</v>
      </c>
      <c r="F150" t="s">
        <v>1124</v>
      </c>
      <c r="G150" t="str">
        <f t="shared" si="7"/>
        <v>DynamicLabel|MsgBox_Calc_InletNegative</v>
      </c>
    </row>
    <row r="151" spans="1:7" x14ac:dyDescent="0.25">
      <c r="A151" t="s">
        <v>799</v>
      </c>
      <c r="B151" t="s">
        <v>1125</v>
      </c>
      <c r="C151" t="s">
        <v>1126</v>
      </c>
      <c r="D151" t="s">
        <v>1127</v>
      </c>
      <c r="E151" t="s">
        <v>1128</v>
      </c>
      <c r="F151" t="s">
        <v>1129</v>
      </c>
      <c r="G151" t="str">
        <f t="shared" si="7"/>
        <v>DynamicLabel|MsgBox_Calc_OutletNegative</v>
      </c>
    </row>
    <row r="152" spans="1:7" x14ac:dyDescent="0.25">
      <c r="A152" t="s">
        <v>799</v>
      </c>
      <c r="B152" t="s">
        <v>1130</v>
      </c>
      <c r="C152" t="s">
        <v>1131</v>
      </c>
      <c r="D152" t="s">
        <v>1132</v>
      </c>
      <c r="E152" t="s">
        <v>1133</v>
      </c>
      <c r="F152" t="s">
        <v>1134</v>
      </c>
      <c r="G152" t="str">
        <f t="shared" si="7"/>
        <v>DynamicLabel|MsgBox_Calc_PIPOBothZero</v>
      </c>
    </row>
    <row r="153" spans="1:7" x14ac:dyDescent="0.25">
      <c r="A153" t="s">
        <v>799</v>
      </c>
      <c r="B153" t="s">
        <v>1135</v>
      </c>
      <c r="C153" t="s">
        <v>1136</v>
      </c>
      <c r="D153" t="s">
        <v>1137</v>
      </c>
      <c r="E153" t="s">
        <v>1138</v>
      </c>
      <c r="F153" t="s">
        <v>1139</v>
      </c>
      <c r="G153" t="str">
        <f t="shared" si="7"/>
        <v>DynamicLabel|MsgBox_Calc_MBHNeedsInlet</v>
      </c>
    </row>
    <row r="154" spans="1:7" x14ac:dyDescent="0.25">
      <c r="A154" t="s">
        <v>799</v>
      </c>
      <c r="B154" t="s">
        <v>1140</v>
      </c>
      <c r="C154" t="s">
        <v>1141</v>
      </c>
      <c r="D154" t="s">
        <v>1142</v>
      </c>
      <c r="E154" t="s">
        <v>1143</v>
      </c>
      <c r="F154" t="s">
        <v>1144</v>
      </c>
      <c r="G154" t="str">
        <f t="shared" ref="G154:G185" si="8">A154&amp;"|"&amp;B154</f>
        <v>DynamicLabel|MsgBox_Calc_APRange</v>
      </c>
    </row>
    <row r="155" spans="1:7" x14ac:dyDescent="0.25">
      <c r="A155" t="s">
        <v>799</v>
      </c>
      <c r="B155" t="s">
        <v>1145</v>
      </c>
      <c r="C155" t="s">
        <v>1146</v>
      </c>
      <c r="D155" t="s">
        <v>1147</v>
      </c>
      <c r="E155" t="s">
        <v>1148</v>
      </c>
      <c r="F155" t="s">
        <v>1149</v>
      </c>
      <c r="G155" t="str">
        <f t="shared" si="8"/>
        <v>DynamicLabel|MsgBox_Calc_APLookupFail</v>
      </c>
    </row>
    <row r="156" spans="1:7" x14ac:dyDescent="0.25">
      <c r="A156" t="s">
        <v>799</v>
      </c>
      <c r="B156" t="s">
        <v>1150</v>
      </c>
      <c r="C156" t="s">
        <v>1151</v>
      </c>
      <c r="D156" t="s">
        <v>1152</v>
      </c>
      <c r="E156" t="s">
        <v>1153</v>
      </c>
      <c r="F156" t="s">
        <v>1154</v>
      </c>
      <c r="G156" t="str">
        <f t="shared" si="8"/>
        <v>DynamicLabel|MsgBox_Calc_APOutOfRange</v>
      </c>
    </row>
    <row r="157" spans="1:7" x14ac:dyDescent="0.25">
      <c r="A157" t="s">
        <v>799</v>
      </c>
      <c r="B157" t="s">
        <v>1155</v>
      </c>
      <c r="C157" t="s">
        <v>1156</v>
      </c>
      <c r="D157" t="s">
        <v>1157</v>
      </c>
      <c r="E157" t="s">
        <v>1158</v>
      </c>
      <c r="F157" t="s">
        <v>1159</v>
      </c>
      <c r="G157" t="str">
        <f t="shared" si="8"/>
        <v>DynamicLabel|MsgBox_Calc_MBHNeedsLatent</v>
      </c>
    </row>
    <row r="158" spans="1:7" x14ac:dyDescent="0.25">
      <c r="A158" t="s">
        <v>799</v>
      </c>
      <c r="B158" t="s">
        <v>1160</v>
      </c>
      <c r="C158" t="s">
        <v>1334</v>
      </c>
      <c r="D158" t="s">
        <v>1335</v>
      </c>
      <c r="E158" t="s">
        <v>1336</v>
      </c>
      <c r="F158" t="s">
        <v>1337</v>
      </c>
      <c r="G158" t="str">
        <f t="shared" si="8"/>
        <v>DynamicLabel|MsgBox_Calc_LatentLookupFail_Prefix</v>
      </c>
    </row>
    <row r="159" spans="1:7" x14ac:dyDescent="0.25">
      <c r="A159" t="s">
        <v>799</v>
      </c>
      <c r="B159" t="s">
        <v>1161</v>
      </c>
      <c r="C159" t="s">
        <v>1338</v>
      </c>
      <c r="D159" t="s">
        <v>1338</v>
      </c>
      <c r="E159" t="s">
        <v>1338</v>
      </c>
      <c r="F159" t="s">
        <v>1338</v>
      </c>
      <c r="G159" t="str">
        <f t="shared" si="8"/>
        <v>DynamicLabel|MsgBox_Calc_LatentLookupFail_Suffix</v>
      </c>
    </row>
    <row r="160" spans="1:7" x14ac:dyDescent="0.25">
      <c r="A160" t="s">
        <v>799</v>
      </c>
      <c r="B160" t="s">
        <v>1162</v>
      </c>
      <c r="C160" t="s">
        <v>1339</v>
      </c>
      <c r="D160" t="s">
        <v>1340</v>
      </c>
      <c r="E160" t="s">
        <v>1341</v>
      </c>
      <c r="F160" t="s">
        <v>1342</v>
      </c>
      <c r="G160" t="str">
        <f t="shared" si="8"/>
        <v>DynamicLabel|MsgBox_Calc_UnexpectedFlowType_Prefix</v>
      </c>
    </row>
    <row r="161" spans="1:7" x14ac:dyDescent="0.25">
      <c r="A161" t="s">
        <v>799</v>
      </c>
      <c r="B161" t="s">
        <v>1163</v>
      </c>
      <c r="C161" t="s">
        <v>1164</v>
      </c>
      <c r="D161" t="s">
        <v>1165</v>
      </c>
      <c r="E161" t="s">
        <v>1166</v>
      </c>
      <c r="F161" t="s">
        <v>1167</v>
      </c>
      <c r="G161" t="str">
        <f t="shared" si="8"/>
        <v>DynamicLabel|MsgBox_Calc_PIMustBePositive</v>
      </c>
    </row>
    <row r="162" spans="1:7" x14ac:dyDescent="0.25">
      <c r="A162" t="s">
        <v>799</v>
      </c>
      <c r="B162" t="s">
        <v>1168</v>
      </c>
      <c r="C162" t="s">
        <v>1169</v>
      </c>
      <c r="D162" t="s">
        <v>1170</v>
      </c>
      <c r="E162" t="s">
        <v>1171</v>
      </c>
      <c r="F162" t="s">
        <v>1172</v>
      </c>
      <c r="G162" t="str">
        <f t="shared" si="8"/>
        <v>DynamicLabel|MsgBox_Calc_POMustBeNonNegative</v>
      </c>
    </row>
    <row r="163" spans="1:7" x14ac:dyDescent="0.25">
      <c r="A163" t="s">
        <v>799</v>
      </c>
      <c r="B163" t="s">
        <v>1173</v>
      </c>
      <c r="C163" t="s">
        <v>1174</v>
      </c>
      <c r="D163" t="s">
        <v>1175</v>
      </c>
      <c r="E163" t="s">
        <v>1176</v>
      </c>
      <c r="F163" t="s">
        <v>1177</v>
      </c>
      <c r="G163" t="str">
        <f t="shared" si="8"/>
        <v>DynamicLabel|MsgBox_Calc_InletGreaterThanOutlet</v>
      </c>
    </row>
    <row r="164" spans="1:7" x14ac:dyDescent="0.25">
      <c r="A164" t="s">
        <v>799</v>
      </c>
      <c r="B164" t="s">
        <v>1178</v>
      </c>
      <c r="C164" t="s">
        <v>1179</v>
      </c>
      <c r="D164" t="s">
        <v>1180</v>
      </c>
      <c r="E164" t="s">
        <v>1181</v>
      </c>
      <c r="F164" t="s">
        <v>1182</v>
      </c>
      <c r="G164" t="str">
        <f t="shared" si="8"/>
        <v>DynamicLabel|MsgBox_Calc_InvalidIntermediate</v>
      </c>
    </row>
    <row r="165" spans="1:7" x14ac:dyDescent="0.25">
      <c r="A165" t="s">
        <v>799</v>
      </c>
      <c r="B165" t="s">
        <v>1183</v>
      </c>
      <c r="C165" t="s">
        <v>1184</v>
      </c>
      <c r="D165" t="s">
        <v>1185</v>
      </c>
      <c r="E165" t="s">
        <v>1186</v>
      </c>
      <c r="F165" t="s">
        <v>1187</v>
      </c>
      <c r="G165" t="str">
        <f t="shared" si="8"/>
        <v>DynamicLabel|MsgBox_CvC_FlowInputInvalid</v>
      </c>
    </row>
    <row r="166" spans="1:7" x14ac:dyDescent="0.25">
      <c r="A166" t="s">
        <v>799</v>
      </c>
      <c r="B166" t="s">
        <v>1188</v>
      </c>
      <c r="C166" t="s">
        <v>1189</v>
      </c>
      <c r="D166" t="s">
        <v>1190</v>
      </c>
      <c r="E166" t="s">
        <v>1191</v>
      </c>
      <c r="F166" t="s">
        <v>1192</v>
      </c>
      <c r="G166" t="str">
        <f t="shared" si="8"/>
        <v>DynamicLabel|MsgBox_CvC_CoeffInputInvalid</v>
      </c>
    </row>
    <row r="167" spans="1:7" x14ac:dyDescent="0.25">
      <c r="A167" t="s">
        <v>799</v>
      </c>
      <c r="B167" t="s">
        <v>1193</v>
      </c>
      <c r="C167" t="s">
        <v>1194</v>
      </c>
      <c r="D167" t="s">
        <v>1195</v>
      </c>
      <c r="E167" t="s">
        <v>1196</v>
      </c>
      <c r="F167" t="s">
        <v>1197</v>
      </c>
      <c r="G167" t="str">
        <f t="shared" si="8"/>
        <v>DynamicLabel|MsgBox_CvC_APMustBePositive</v>
      </c>
    </row>
    <row r="168" spans="1:7" x14ac:dyDescent="0.25">
      <c r="A168" t="s">
        <v>799</v>
      </c>
      <c r="B168" t="s">
        <v>1198</v>
      </c>
      <c r="C168" t="s">
        <v>1199</v>
      </c>
      <c r="D168" t="s">
        <v>1200</v>
      </c>
      <c r="E168" t="s">
        <v>1201</v>
      </c>
      <c r="F168" t="s">
        <v>1202</v>
      </c>
      <c r="G168" t="str">
        <f t="shared" si="8"/>
        <v>DynamicLabel|MsgBox_CvC_PIPONumeric</v>
      </c>
    </row>
    <row r="169" spans="1:7" x14ac:dyDescent="0.25">
      <c r="A169" t="s">
        <v>799</v>
      </c>
      <c r="B169" t="s">
        <v>1203</v>
      </c>
      <c r="C169" t="s">
        <v>1204</v>
      </c>
      <c r="D169" t="s">
        <v>1205</v>
      </c>
      <c r="E169" t="s">
        <v>1206</v>
      </c>
      <c r="F169" t="s">
        <v>1207</v>
      </c>
      <c r="G169" t="str">
        <f t="shared" si="8"/>
        <v>DynamicLabel|MsgBox_CvC_CoeffTypeInvalid</v>
      </c>
    </row>
    <row r="170" spans="1:7" x14ac:dyDescent="0.25">
      <c r="A170" t="s">
        <v>799</v>
      </c>
      <c r="B170" t="s">
        <v>1208</v>
      </c>
      <c r="C170" t="s">
        <v>1209</v>
      </c>
      <c r="D170" t="s">
        <v>1210</v>
      </c>
      <c r="E170" t="s">
        <v>1211</v>
      </c>
      <c r="F170" t="s">
        <v>1212</v>
      </c>
      <c r="G170" t="str">
        <f t="shared" si="8"/>
        <v>DynamicLabel|MsgBox_CvC_FlowRateInvalid</v>
      </c>
    </row>
    <row r="171" spans="1:7" x14ac:dyDescent="0.25">
      <c r="A171" t="s">
        <v>799</v>
      </c>
      <c r="B171" t="s">
        <v>1213</v>
      </c>
      <c r="C171" t="s">
        <v>1214</v>
      </c>
      <c r="D171" t="s">
        <v>1215</v>
      </c>
      <c r="E171" t="s">
        <v>1216</v>
      </c>
      <c r="F171" t="s">
        <v>1217</v>
      </c>
      <c r="G171" t="str">
        <f t="shared" si="8"/>
        <v>DynamicLabel|MsgBox_CvC_NormalizeFail</v>
      </c>
    </row>
    <row r="172" spans="1:7" x14ac:dyDescent="0.25">
      <c r="A172" t="s">
        <v>799</v>
      </c>
      <c r="B172" t="s">
        <v>1218</v>
      </c>
      <c r="C172" t="s">
        <v>1219</v>
      </c>
      <c r="D172" t="s">
        <v>1220</v>
      </c>
      <c r="E172" t="s">
        <v>1221</v>
      </c>
      <c r="F172" t="s">
        <v>1222</v>
      </c>
      <c r="G172" t="str">
        <f t="shared" si="8"/>
        <v>DynamicLabel|MsgBox_CvC_InvalidAbsPressures</v>
      </c>
    </row>
    <row r="173" spans="1:7" x14ac:dyDescent="0.25">
      <c r="A173" t="s">
        <v>799</v>
      </c>
      <c r="B173" t="s">
        <v>1223</v>
      </c>
      <c r="C173" t="s">
        <v>1224</v>
      </c>
      <c r="D173" t="s">
        <v>1225</v>
      </c>
      <c r="E173" t="s">
        <v>1226</v>
      </c>
      <c r="F173" t="s">
        <v>1227</v>
      </c>
      <c r="G173" t="str">
        <f t="shared" si="8"/>
        <v>DynamicLabel|MsgBox_CvC_EqualPressures</v>
      </c>
    </row>
    <row r="174" spans="1:7" x14ac:dyDescent="0.25">
      <c r="A174" t="s">
        <v>799</v>
      </c>
      <c r="B174" t="s">
        <v>1228</v>
      </c>
      <c r="C174" t="s">
        <v>1229</v>
      </c>
      <c r="D174" t="s">
        <v>1230</v>
      </c>
      <c r="E174" t="s">
        <v>1231</v>
      </c>
      <c r="F174" t="s">
        <v>1232</v>
      </c>
      <c r="G174" t="str">
        <f t="shared" si="8"/>
        <v>DynamicLabel|MsgBox_CvC_SpecVolumeFail</v>
      </c>
    </row>
    <row r="175" spans="1:7" x14ac:dyDescent="0.25">
      <c r="A175" t="s">
        <v>799</v>
      </c>
      <c r="B175" t="s">
        <v>1233</v>
      </c>
      <c r="C175" t="s">
        <v>1234</v>
      </c>
      <c r="D175" t="s">
        <v>1235</v>
      </c>
      <c r="E175" t="s">
        <v>1236</v>
      </c>
      <c r="F175" t="s">
        <v>1237</v>
      </c>
      <c r="G175" t="str">
        <f t="shared" si="8"/>
        <v>DynamicLabel|MsgBox_CvC_LatentHeatFail</v>
      </c>
    </row>
    <row r="176" spans="1:7" x14ac:dyDescent="0.25">
      <c r="A176" t="s">
        <v>799</v>
      </c>
      <c r="B176" t="s">
        <v>1238</v>
      </c>
      <c r="C176" t="s">
        <v>1239</v>
      </c>
      <c r="D176" t="s">
        <v>1240</v>
      </c>
      <c r="E176" t="s">
        <v>1241</v>
      </c>
      <c r="F176" t="s">
        <v>1242</v>
      </c>
      <c r="G176" t="str">
        <f t="shared" si="8"/>
        <v>DynamicLabel|MsgBox_CvC_ValveCapacityExceeded</v>
      </c>
    </row>
    <row r="177" spans="1:7" x14ac:dyDescent="0.25">
      <c r="A177" t="s">
        <v>799</v>
      </c>
      <c r="B177" t="s">
        <v>1243</v>
      </c>
      <c r="C177" t="s">
        <v>1244</v>
      </c>
      <c r="D177" t="s">
        <v>1245</v>
      </c>
      <c r="E177" t="s">
        <v>1246</v>
      </c>
      <c r="F177" t="s">
        <v>1247</v>
      </c>
      <c r="G177" t="str">
        <f t="shared" si="8"/>
        <v>DynamicLabel|MsgBox_CvC_CorrectedDropFail</v>
      </c>
    </row>
    <row r="178" spans="1:7" x14ac:dyDescent="0.25">
      <c r="A178" t="s">
        <v>799</v>
      </c>
      <c r="B178" t="s">
        <v>1248</v>
      </c>
      <c r="C178" t="s">
        <v>1249</v>
      </c>
      <c r="D178" t="s">
        <v>1250</v>
      </c>
      <c r="E178" t="s">
        <v>1251</v>
      </c>
      <c r="F178" t="s">
        <v>1252</v>
      </c>
      <c r="G178" t="str">
        <f t="shared" si="8"/>
        <v>DynamicLabel|MsgBox_VL_CoeffMissing</v>
      </c>
    </row>
    <row r="179" spans="1:7" x14ac:dyDescent="0.25">
      <c r="A179" t="s">
        <v>799</v>
      </c>
      <c r="B179" t="s">
        <v>1253</v>
      </c>
      <c r="C179" t="s">
        <v>1254</v>
      </c>
      <c r="D179" t="s">
        <v>1255</v>
      </c>
      <c r="E179" t="s">
        <v>1256</v>
      </c>
      <c r="F179" t="s">
        <v>1257</v>
      </c>
      <c r="G179" t="str">
        <f t="shared" si="8"/>
        <v>DynamicLabel|MsgBox_VL_CoeffZero</v>
      </c>
    </row>
    <row r="180" spans="1:7" x14ac:dyDescent="0.25">
      <c r="A180" t="s">
        <v>799</v>
      </c>
      <c r="B180" t="s">
        <v>1258</v>
      </c>
      <c r="C180" t="s">
        <v>1259</v>
      </c>
      <c r="D180" t="s">
        <v>1260</v>
      </c>
      <c r="E180" t="s">
        <v>1261</v>
      </c>
      <c r="F180" t="s">
        <v>1262</v>
      </c>
      <c r="G180" t="str">
        <f t="shared" si="8"/>
        <v>DynamicLabel|MsgBox_VL_CoeffTypeInvalid</v>
      </c>
    </row>
    <row r="181" spans="1:7" x14ac:dyDescent="0.25">
      <c r="A181" t="s">
        <v>799</v>
      </c>
      <c r="B181" t="s">
        <v>1263</v>
      </c>
      <c r="C181" t="s">
        <v>1264</v>
      </c>
      <c r="D181" t="s">
        <v>1265</v>
      </c>
      <c r="E181" t="s">
        <v>1266</v>
      </c>
      <c r="F181" t="s">
        <v>1267</v>
      </c>
      <c r="G181" t="str">
        <f t="shared" si="8"/>
        <v>DynamicLabel|MsgBox_VL_PIMissing</v>
      </c>
    </row>
    <row r="182" spans="1:7" x14ac:dyDescent="0.25">
      <c r="A182" t="s">
        <v>799</v>
      </c>
      <c r="B182" t="s">
        <v>1268</v>
      </c>
      <c r="C182" t="s">
        <v>1269</v>
      </c>
      <c r="D182" t="s">
        <v>1270</v>
      </c>
      <c r="E182" t="s">
        <v>1271</v>
      </c>
      <c r="F182" t="s">
        <v>1272</v>
      </c>
      <c r="G182" t="str">
        <f t="shared" si="8"/>
        <v>DynamicLabel|MsgBox_VL_PIMustBePositive</v>
      </c>
    </row>
    <row r="183" spans="1:7" x14ac:dyDescent="0.25">
      <c r="A183" t="s">
        <v>799</v>
      </c>
      <c r="B183" t="s">
        <v>1273</v>
      </c>
      <c r="C183" t="s">
        <v>1274</v>
      </c>
      <c r="D183" t="s">
        <v>1275</v>
      </c>
      <c r="E183" t="s">
        <v>1276</v>
      </c>
      <c r="F183" t="s">
        <v>1277</v>
      </c>
      <c r="G183" t="str">
        <f t="shared" si="8"/>
        <v>DynamicLabel|MsgBox_VL_NoValveData</v>
      </c>
    </row>
    <row r="184" spans="1:7" x14ac:dyDescent="0.25">
      <c r="A184" t="s">
        <v>799</v>
      </c>
      <c r="B184" t="s">
        <v>1278</v>
      </c>
      <c r="C184" t="s">
        <v>1279</v>
      </c>
      <c r="D184" t="s">
        <v>1280</v>
      </c>
      <c r="E184" t="s">
        <v>1281</v>
      </c>
      <c r="F184" t="s">
        <v>1282</v>
      </c>
      <c r="G184" t="str">
        <f t="shared" si="8"/>
        <v>DynamicLabel|MsgBox_VL_NoValveTypes</v>
      </c>
    </row>
    <row r="185" spans="1:7" x14ac:dyDescent="0.25">
      <c r="A185" t="s">
        <v>799</v>
      </c>
      <c r="B185" t="s">
        <v>1283</v>
      </c>
      <c r="C185" t="s">
        <v>1284</v>
      </c>
      <c r="D185" t="s">
        <v>1285</v>
      </c>
      <c r="E185" t="s">
        <v>1286</v>
      </c>
      <c r="F185" t="s">
        <v>1287</v>
      </c>
      <c r="G185" t="str">
        <f t="shared" si="8"/>
        <v>DynamicLabel|MsgBox_Vel_RunCalcFirst</v>
      </c>
    </row>
    <row r="186" spans="1:7" x14ac:dyDescent="0.25">
      <c r="A186" t="s">
        <v>799</v>
      </c>
      <c r="B186" t="s">
        <v>1288</v>
      </c>
      <c r="C186" t="s">
        <v>1289</v>
      </c>
      <c r="D186" t="s">
        <v>1290</v>
      </c>
      <c r="E186" t="s">
        <v>1291</v>
      </c>
      <c r="F186" t="s">
        <v>1292</v>
      </c>
      <c r="G186" t="str">
        <f t="shared" ref="G186:G196" si="9">A186&amp;"|"&amp;B186</f>
        <v>DynamicLabel|MsgBox_Vel_MissingAbsPressure</v>
      </c>
    </row>
    <row r="187" spans="1:7" x14ac:dyDescent="0.25">
      <c r="A187" t="s">
        <v>799</v>
      </c>
      <c r="B187" t="s">
        <v>1293</v>
      </c>
      <c r="C187" t="s">
        <v>1294</v>
      </c>
      <c r="D187" t="s">
        <v>1295</v>
      </c>
      <c r="E187" t="s">
        <v>1296</v>
      </c>
      <c r="F187" t="s">
        <v>1297</v>
      </c>
      <c r="G187" t="str">
        <f t="shared" si="9"/>
        <v>DynamicLabel|MsgBox_Vel_SelectValveType</v>
      </c>
    </row>
    <row r="188" spans="1:7" x14ac:dyDescent="0.25">
      <c r="A188" t="s">
        <v>799</v>
      </c>
      <c r="B188" t="s">
        <v>1298</v>
      </c>
      <c r="C188" t="s">
        <v>1299</v>
      </c>
      <c r="D188" t="s">
        <v>1300</v>
      </c>
      <c r="E188" t="s">
        <v>1301</v>
      </c>
      <c r="F188" t="s">
        <v>1302</v>
      </c>
      <c r="G188" t="str">
        <f t="shared" si="9"/>
        <v>DynamicLabel|MsgBox_Vel_EnterValveCv</v>
      </c>
    </row>
    <row r="189" spans="1:7" x14ac:dyDescent="0.25">
      <c r="A189" t="s">
        <v>799</v>
      </c>
      <c r="B189" t="s">
        <v>1303</v>
      </c>
      <c r="C189" t="s">
        <v>1304</v>
      </c>
      <c r="D189" t="s">
        <v>1305</v>
      </c>
      <c r="E189" t="s">
        <v>1306</v>
      </c>
      <c r="F189" t="s">
        <v>1307</v>
      </c>
      <c r="G189" t="str">
        <f t="shared" si="9"/>
        <v>DynamicLabel|MsgBox_Vel_OutletLessThanInlet</v>
      </c>
    </row>
    <row r="190" spans="1:7" x14ac:dyDescent="0.25">
      <c r="A190" t="s">
        <v>799</v>
      </c>
      <c r="B190" t="s">
        <v>1308</v>
      </c>
      <c r="C190" t="s">
        <v>1309</v>
      </c>
      <c r="D190" t="s">
        <v>1310</v>
      </c>
      <c r="E190" t="s">
        <v>1311</v>
      </c>
      <c r="F190" t="s">
        <v>1312</v>
      </c>
      <c r="G190" t="str">
        <f t="shared" si="9"/>
        <v>DynamicLabel|MsgBox_Vel_PressureOutOfRange</v>
      </c>
    </row>
    <row r="191" spans="1:7" x14ac:dyDescent="0.25">
      <c r="A191" t="s">
        <v>799</v>
      </c>
      <c r="B191" t="s">
        <v>1313</v>
      </c>
      <c r="C191" t="s">
        <v>1314</v>
      </c>
      <c r="D191" t="s">
        <v>1315</v>
      </c>
      <c r="E191" t="s">
        <v>1316</v>
      </c>
      <c r="F191" t="s">
        <v>1317</v>
      </c>
      <c r="G191" t="str">
        <f t="shared" si="9"/>
        <v>DynamicLabel|MsgBox_Vel_ConvertFail_Prefix</v>
      </c>
    </row>
    <row r="192" spans="1:7" x14ac:dyDescent="0.25">
      <c r="A192" t="s">
        <v>799</v>
      </c>
      <c r="B192" t="s">
        <v>1318</v>
      </c>
      <c r="C192" t="s">
        <v>1319</v>
      </c>
      <c r="D192" t="s">
        <v>1320</v>
      </c>
      <c r="E192" t="s">
        <v>1321</v>
      </c>
      <c r="F192" t="s">
        <v>1322</v>
      </c>
      <c r="G192" t="str">
        <f t="shared" si="9"/>
        <v>DynamicLabel|MsgBox_Vel_ConvertFail_Suffix</v>
      </c>
    </row>
    <row r="193" spans="1:7" x14ac:dyDescent="0.25">
      <c r="A193" t="s">
        <v>799</v>
      </c>
      <c r="B193" t="s">
        <v>1323</v>
      </c>
      <c r="C193" t="s">
        <v>1324</v>
      </c>
      <c r="D193" t="s">
        <v>1325</v>
      </c>
      <c r="E193" t="s">
        <v>1326</v>
      </c>
      <c r="F193" t="s">
        <v>1327</v>
      </c>
      <c r="G193" t="str">
        <f t="shared" si="9"/>
        <v>DynamicLabel|MsgBox_Summary_RunCalcFirst</v>
      </c>
    </row>
    <row r="194" spans="1:7" x14ac:dyDescent="0.25">
      <c r="A194" t="s">
        <v>799</v>
      </c>
      <c r="B194" t="s">
        <v>1328</v>
      </c>
      <c r="C194" t="s">
        <v>1343</v>
      </c>
      <c r="D194" t="s">
        <v>1344</v>
      </c>
      <c r="E194" t="s">
        <v>1345</v>
      </c>
      <c r="F194" t="s">
        <v>1346</v>
      </c>
      <c r="G194" t="str">
        <f t="shared" si="9"/>
        <v>DynamicLabel|MsgBox_Summary_AddedPrefix</v>
      </c>
    </row>
    <row r="195" spans="1:7" ht="26.4" x14ac:dyDescent="0.25">
      <c r="A195" t="s">
        <v>799</v>
      </c>
      <c r="B195" t="s">
        <v>1329</v>
      </c>
      <c r="C195" s="369" t="s">
        <v>1330</v>
      </c>
      <c r="D195" s="369" t="s">
        <v>1331</v>
      </c>
      <c r="E195" s="369" t="s">
        <v>1330</v>
      </c>
      <c r="F195" s="369" t="s">
        <v>1332</v>
      </c>
      <c r="G195" t="str">
        <f t="shared" si="9"/>
        <v>DynamicLabel|MsgBox_Summary_AddedMid</v>
      </c>
    </row>
    <row r="196" spans="1:7" x14ac:dyDescent="0.25">
      <c r="A196" t="s">
        <v>799</v>
      </c>
      <c r="B196" t="s">
        <v>1333</v>
      </c>
      <c r="C196" s="378" t="s">
        <v>1347</v>
      </c>
      <c r="D196" s="378" t="s">
        <v>1348</v>
      </c>
      <c r="E196" s="378" t="s">
        <v>1349</v>
      </c>
      <c r="F196" s="378" t="s">
        <v>1350</v>
      </c>
      <c r="G196" t="str">
        <f t="shared" si="9"/>
        <v>DynamicLabel|MsgBox_Summary_AddedSuffix</v>
      </c>
    </row>
    <row r="197" spans="1:7" x14ac:dyDescent="0.25">
      <c r="A197" t="s">
        <v>799</v>
      </c>
      <c r="B197" t="s">
        <v>1351</v>
      </c>
      <c r="C197" t="s">
        <v>1352</v>
      </c>
      <c r="D197" t="s">
        <v>1353</v>
      </c>
      <c r="E197" t="s">
        <v>1354</v>
      </c>
      <c r="F197" t="s">
        <v>1355</v>
      </c>
      <c r="G197" t="str">
        <f t="shared" ref="G197:G226" si="10">A197&amp;"|"&amp;B197</f>
        <v>DynamicLabel|MsgBoxTitle_CvCOutput</v>
      </c>
    </row>
    <row r="198" spans="1:7" x14ac:dyDescent="0.25">
      <c r="A198" t="s">
        <v>799</v>
      </c>
      <c r="B198" t="s">
        <v>1356</v>
      </c>
      <c r="C198" t="s">
        <v>1357</v>
      </c>
      <c r="D198" t="s">
        <v>1358</v>
      </c>
      <c r="E198" t="s">
        <v>1359</v>
      </c>
      <c r="F198" t="s">
        <v>1360</v>
      </c>
      <c r="G198" t="str">
        <f t="shared" si="10"/>
        <v>DynamicLabel|MsgBoxTitle_CalculatedCvCOutput</v>
      </c>
    </row>
    <row r="199" spans="1:7" x14ac:dyDescent="0.25">
      <c r="A199" t="s">
        <v>799</v>
      </c>
      <c r="B199" t="s">
        <v>1361</v>
      </c>
      <c r="C199" t="s">
        <v>1362</v>
      </c>
      <c r="D199" t="s">
        <v>1363</v>
      </c>
      <c r="E199" t="s">
        <v>1364</v>
      </c>
      <c r="F199" t="s">
        <v>1365</v>
      </c>
      <c r="G199" t="str">
        <f t="shared" si="10"/>
        <v>DynamicLabel|MsgBoxTitle_CalculatedFlowOutput</v>
      </c>
    </row>
    <row r="200" spans="1:7" x14ac:dyDescent="0.25">
      <c r="A200" t="s">
        <v>799</v>
      </c>
      <c r="B200" t="s">
        <v>1366</v>
      </c>
      <c r="C200" t="s">
        <v>1367</v>
      </c>
      <c r="D200" t="s">
        <v>1368</v>
      </c>
      <c r="E200" t="s">
        <v>1369</v>
      </c>
      <c r="F200" t="s">
        <v>1370</v>
      </c>
      <c r="G200" t="str">
        <f t="shared" si="10"/>
        <v>DynamicLabel|MsgBoxTitle_OutletVelocityCalc</v>
      </c>
    </row>
    <row r="201" spans="1:7" x14ac:dyDescent="0.25">
      <c r="A201" t="s">
        <v>799</v>
      </c>
      <c r="B201" t="s">
        <v>1371</v>
      </c>
      <c r="C201" t="s">
        <v>1372</v>
      </c>
      <c r="D201" t="s">
        <v>1373</v>
      </c>
      <c r="E201" t="s">
        <v>1374</v>
      </c>
      <c r="F201" t="s">
        <v>1375</v>
      </c>
      <c r="G201" t="str">
        <f t="shared" si="10"/>
        <v>DynamicLabel|MsgBoxTitle_SteamPipeValveVelCalc</v>
      </c>
    </row>
    <row r="202" spans="1:7" x14ac:dyDescent="0.25">
      <c r="A202" t="s">
        <v>799</v>
      </c>
      <c r="B202" t="s">
        <v>1376</v>
      </c>
      <c r="C202" t="s">
        <v>1377</v>
      </c>
      <c r="D202" t="s">
        <v>1378</v>
      </c>
      <c r="E202" t="s">
        <v>1379</v>
      </c>
      <c r="F202" t="s">
        <v>1380</v>
      </c>
      <c r="G202" t="str">
        <f t="shared" si="10"/>
        <v>DynamicLabel|MsgBoxTitle_SPLCalc</v>
      </c>
    </row>
    <row r="203" spans="1:7" x14ac:dyDescent="0.25">
      <c r="A203" t="s">
        <v>799</v>
      </c>
      <c r="B203" t="s">
        <v>1381</v>
      </c>
      <c r="C203" t="s">
        <v>1382</v>
      </c>
      <c r="D203" t="s">
        <v>1383</v>
      </c>
      <c r="E203" t="s">
        <v>1384</v>
      </c>
      <c r="F203" t="s">
        <v>1385</v>
      </c>
      <c r="G203" t="str">
        <f t="shared" si="10"/>
        <v>DynamicLabel|MsgBoxTitle_ValveVelCalc</v>
      </c>
    </row>
    <row r="204" spans="1:7" x14ac:dyDescent="0.25">
      <c r="A204" t="s">
        <v>799</v>
      </c>
      <c r="B204" t="s">
        <v>1386</v>
      </c>
      <c r="C204" t="s">
        <v>1387</v>
      </c>
      <c r="D204" t="s">
        <v>1388</v>
      </c>
      <c r="E204" t="s">
        <v>1389</v>
      </c>
      <c r="F204" t="s">
        <v>1390</v>
      </c>
      <c r="G204" t="str">
        <f t="shared" si="10"/>
        <v>DynamicLabel|MsgBoxTitle_InletPipeSizeCalc</v>
      </c>
    </row>
    <row r="205" spans="1:7" x14ac:dyDescent="0.25">
      <c r="A205" t="s">
        <v>799</v>
      </c>
      <c r="B205" t="s">
        <v>1391</v>
      </c>
      <c r="C205" t="s">
        <v>1392</v>
      </c>
      <c r="D205" t="s">
        <v>1393</v>
      </c>
      <c r="E205" t="s">
        <v>1394</v>
      </c>
      <c r="F205" t="s">
        <v>1395</v>
      </c>
      <c r="G205" t="str">
        <f t="shared" si="10"/>
        <v>DynamicLabel|MsgBoxTitle_OutletPipeSizeCalc</v>
      </c>
    </row>
    <row r="206" spans="1:7" x14ac:dyDescent="0.25">
      <c r="A206" t="s">
        <v>799</v>
      </c>
      <c r="B206" t="s">
        <v>1396</v>
      </c>
      <c r="C206" t="s">
        <v>1397</v>
      </c>
      <c r="D206" t="s">
        <v>1398</v>
      </c>
      <c r="E206" t="s">
        <v>1399</v>
      </c>
      <c r="F206" t="s">
        <v>1400</v>
      </c>
      <c r="G206" t="str">
        <f t="shared" si="10"/>
        <v>DynamicLabel|MsgBoxTitle_InletPipeVelCalc</v>
      </c>
    </row>
    <row r="207" spans="1:7" x14ac:dyDescent="0.25">
      <c r="A207" t="s">
        <v>799</v>
      </c>
      <c r="B207" t="s">
        <v>1401</v>
      </c>
      <c r="C207" t="s">
        <v>1402</v>
      </c>
      <c r="D207" t="s">
        <v>1403</v>
      </c>
      <c r="E207" t="s">
        <v>1404</v>
      </c>
      <c r="F207" t="s">
        <v>1405</v>
      </c>
      <c r="G207" t="str">
        <f t="shared" si="10"/>
        <v>DynamicLabel|MsgBoxTitle_OutletPipeVelCalc</v>
      </c>
    </row>
    <row r="208" spans="1:7" x14ac:dyDescent="0.25">
      <c r="A208" t="s">
        <v>799</v>
      </c>
      <c r="B208" t="s">
        <v>1406</v>
      </c>
      <c r="C208" t="s">
        <v>1407</v>
      </c>
      <c r="D208" t="s">
        <v>1408</v>
      </c>
      <c r="E208" t="s">
        <v>1409</v>
      </c>
      <c r="F208" t="s">
        <v>1410</v>
      </c>
      <c r="G208" t="str">
        <f t="shared" si="10"/>
        <v>DynamicLabel|MsgBoxTitle_MinFlowWhatToEnter</v>
      </c>
    </row>
    <row r="209" spans="1:7" x14ac:dyDescent="0.25">
      <c r="A209" t="s">
        <v>799</v>
      </c>
      <c r="B209" t="s">
        <v>1411</v>
      </c>
      <c r="C209" t="s">
        <v>1412</v>
      </c>
      <c r="D209" t="s">
        <v>1413</v>
      </c>
      <c r="E209" t="s">
        <v>1414</v>
      </c>
      <c r="F209" t="s">
        <v>1415</v>
      </c>
      <c r="G209" t="str">
        <f t="shared" si="10"/>
        <v>DynamicLabel|MsgBoxTitle_PipingDiagramShows</v>
      </c>
    </row>
    <row r="210" spans="1:7" x14ac:dyDescent="0.25">
      <c r="A210" t="s">
        <v>799</v>
      </c>
      <c r="B210" t="s">
        <v>1416</v>
      </c>
      <c r="C210" t="s">
        <v>1417</v>
      </c>
      <c r="D210" t="s">
        <v>1418</v>
      </c>
      <c r="E210" t="s">
        <v>1419</v>
      </c>
      <c r="F210" t="s">
        <v>1420</v>
      </c>
      <c r="G210" t="str">
        <f t="shared" si="10"/>
        <v>DynamicLabel|MsgBox_Help_NoCvCYet</v>
      </c>
    </row>
    <row r="211" spans="1:7" x14ac:dyDescent="0.25">
      <c r="A211" t="s">
        <v>799</v>
      </c>
      <c r="B211" t="s">
        <v>1421</v>
      </c>
      <c r="C211" t="s">
        <v>1422</v>
      </c>
      <c r="D211" t="s">
        <v>1423</v>
      </c>
      <c r="E211" t="s">
        <v>1424</v>
      </c>
      <c r="F211" t="s">
        <v>1425</v>
      </c>
      <c r="G211" t="str">
        <f t="shared" si="10"/>
        <v>DynamicLabel|MsgBox_Help_CvC_Label1</v>
      </c>
    </row>
    <row r="212" spans="1:7" x14ac:dyDescent="0.25">
      <c r="A212" t="s">
        <v>799</v>
      </c>
      <c r="B212" t="s">
        <v>1426</v>
      </c>
      <c r="C212" t="s">
        <v>1427</v>
      </c>
      <c r="D212" t="s">
        <v>1428</v>
      </c>
      <c r="E212" t="s">
        <v>1429</v>
      </c>
      <c r="F212" t="s">
        <v>1430</v>
      </c>
      <c r="G212" t="str">
        <f t="shared" si="10"/>
        <v>DynamicLabel|MsgBox_Help_CvC_Label2</v>
      </c>
    </row>
    <row r="213" spans="1:7" x14ac:dyDescent="0.25">
      <c r="A213" t="s">
        <v>799</v>
      </c>
      <c r="B213" t="s">
        <v>1431</v>
      </c>
      <c r="C213" t="s">
        <v>1432</v>
      </c>
      <c r="D213" t="s">
        <v>1433</v>
      </c>
      <c r="E213" t="s">
        <v>1433</v>
      </c>
      <c r="F213" t="s">
        <v>1434</v>
      </c>
      <c r="G213" t="str">
        <f t="shared" si="10"/>
        <v>DynamicLabel|MsgBox_Help_CvC_Label3</v>
      </c>
    </row>
    <row r="214" spans="1:7" ht="79.2" x14ac:dyDescent="0.25">
      <c r="A214" t="s">
        <v>799</v>
      </c>
      <c r="B214" t="s">
        <v>1435</v>
      </c>
      <c r="C214" s="369" t="s">
        <v>1436</v>
      </c>
      <c r="D214" s="369" t="s">
        <v>1437</v>
      </c>
      <c r="E214" s="369" t="s">
        <v>1438</v>
      </c>
      <c r="F214" s="369" t="s">
        <v>1439</v>
      </c>
      <c r="G214" t="str">
        <f t="shared" si="10"/>
        <v>DynamicLabel|MsgBox_Help_CfoPrefix</v>
      </c>
    </row>
    <row r="215" spans="1:7" ht="290.39999999999998" x14ac:dyDescent="0.25">
      <c r="A215" t="s">
        <v>799</v>
      </c>
      <c r="B215" t="s">
        <v>1440</v>
      </c>
      <c r="C215" s="369" t="s">
        <v>1441</v>
      </c>
      <c r="D215" s="369" t="s">
        <v>1442</v>
      </c>
      <c r="E215" s="369" t="s">
        <v>1443</v>
      </c>
      <c r="F215" s="369" t="s">
        <v>1444</v>
      </c>
      <c r="G215" t="str">
        <f t="shared" si="10"/>
        <v>DynamicLabel|MsgBox_Help_OutletVelocity</v>
      </c>
    </row>
    <row r="216" spans="1:7" ht="330" x14ac:dyDescent="0.25">
      <c r="A216" t="s">
        <v>799</v>
      </c>
      <c r="B216" t="s">
        <v>1445</v>
      </c>
      <c r="C216" s="369" t="s">
        <v>1446</v>
      </c>
      <c r="D216" s="369" t="s">
        <v>1447</v>
      </c>
      <c r="E216" s="369" t="s">
        <v>1448</v>
      </c>
      <c r="F216" s="369" t="s">
        <v>1449</v>
      </c>
      <c r="G216" t="str">
        <f t="shared" si="10"/>
        <v>DynamicLabel|MsgBox_Help_SteamPipeValveVel</v>
      </c>
    </row>
    <row r="217" spans="1:7" ht="303.60000000000002" x14ac:dyDescent="0.25">
      <c r="A217" t="s">
        <v>799</v>
      </c>
      <c r="B217" t="s">
        <v>1450</v>
      </c>
      <c r="C217" s="369" t="s">
        <v>1451</v>
      </c>
      <c r="D217" s="369" t="s">
        <v>1452</v>
      </c>
      <c r="E217" s="369" t="s">
        <v>1453</v>
      </c>
      <c r="F217" s="369" t="s">
        <v>1454</v>
      </c>
      <c r="G217" t="str">
        <f t="shared" si="10"/>
        <v>DynamicLabel|MsgBox_Help_SPL</v>
      </c>
    </row>
    <row r="218" spans="1:7" ht="303.60000000000002" x14ac:dyDescent="0.25">
      <c r="A218" t="s">
        <v>799</v>
      </c>
      <c r="B218" t="s">
        <v>1455</v>
      </c>
      <c r="C218" s="369" t="s">
        <v>1456</v>
      </c>
      <c r="D218" s="369" t="s">
        <v>1457</v>
      </c>
      <c r="E218" s="369" t="s">
        <v>1458</v>
      </c>
      <c r="F218" s="369" t="s">
        <v>1459</v>
      </c>
      <c r="G218" t="str">
        <f t="shared" si="10"/>
        <v>DynamicLabel|MsgBox_Help_ValveVel</v>
      </c>
    </row>
    <row r="219" spans="1:7" x14ac:dyDescent="0.25">
      <c r="A219" t="s">
        <v>799</v>
      </c>
      <c r="B219" t="s">
        <v>1460</v>
      </c>
      <c r="C219" t="s">
        <v>1461</v>
      </c>
      <c r="D219" t="s">
        <v>1462</v>
      </c>
      <c r="E219" t="s">
        <v>1463</v>
      </c>
      <c r="F219" t="s">
        <v>1464</v>
      </c>
      <c r="G219" t="str">
        <f t="shared" si="10"/>
        <v>DynamicLabel|MsgBox_Help_InletPipeSize_A</v>
      </c>
    </row>
    <row r="220" spans="1:7" ht="145.19999999999999" x14ac:dyDescent="0.25">
      <c r="A220" t="s">
        <v>799</v>
      </c>
      <c r="B220" t="s">
        <v>1465</v>
      </c>
      <c r="C220" s="369" t="s">
        <v>1466</v>
      </c>
      <c r="D220" s="369" t="s">
        <v>1467</v>
      </c>
      <c r="E220" s="369" t="s">
        <v>1468</v>
      </c>
      <c r="F220" s="369" t="s">
        <v>1469</v>
      </c>
      <c r="G220" t="str">
        <f t="shared" si="10"/>
        <v>DynamicLabel|MsgBox_Help_InletPipeSize_B</v>
      </c>
    </row>
    <row r="221" spans="1:7" ht="118.8" x14ac:dyDescent="0.25">
      <c r="A221" t="s">
        <v>799</v>
      </c>
      <c r="B221" t="s">
        <v>1470</v>
      </c>
      <c r="C221" s="369" t="s">
        <v>1471</v>
      </c>
      <c r="D221" s="369" t="s">
        <v>1472</v>
      </c>
      <c r="E221" s="369" t="s">
        <v>1473</v>
      </c>
      <c r="F221" s="369" t="s">
        <v>1474</v>
      </c>
      <c r="G221" t="str">
        <f t="shared" si="10"/>
        <v>DynamicLabel|MsgBox_Help_InletPipeSize_C</v>
      </c>
    </row>
    <row r="222" spans="1:7" ht="330" x14ac:dyDescent="0.25">
      <c r="A222" t="s">
        <v>799</v>
      </c>
      <c r="B222" t="s">
        <v>1475</v>
      </c>
      <c r="C222" s="369" t="s">
        <v>1476</v>
      </c>
      <c r="D222" s="369" t="s">
        <v>1477</v>
      </c>
      <c r="E222" s="369" t="s">
        <v>1478</v>
      </c>
      <c r="F222" s="369" t="s">
        <v>1479</v>
      </c>
      <c r="G222" t="str">
        <f t="shared" si="10"/>
        <v>DynamicLabel|MsgBox_Help_OutletPipeSize</v>
      </c>
    </row>
    <row r="223" spans="1:7" ht="184.8" x14ac:dyDescent="0.25">
      <c r="A223" t="s">
        <v>799</v>
      </c>
      <c r="B223" t="s">
        <v>1480</v>
      </c>
      <c r="C223" s="369" t="s">
        <v>1481</v>
      </c>
      <c r="D223" s="369" t="s">
        <v>1482</v>
      </c>
      <c r="E223" s="369" t="s">
        <v>1483</v>
      </c>
      <c r="F223" s="369" t="s">
        <v>1484</v>
      </c>
      <c r="G223" t="str">
        <f t="shared" si="10"/>
        <v>DynamicLabel|MsgBox_Help_InletPipeVel</v>
      </c>
    </row>
    <row r="224" spans="1:7" ht="250.8" x14ac:dyDescent="0.25">
      <c r="A224" t="s">
        <v>799</v>
      </c>
      <c r="B224" t="s">
        <v>1485</v>
      </c>
      <c r="C224" s="369" t="s">
        <v>1486</v>
      </c>
      <c r="D224" s="369" t="s">
        <v>1487</v>
      </c>
      <c r="E224" s="369" t="s">
        <v>1488</v>
      </c>
      <c r="F224" s="369" t="s">
        <v>1489</v>
      </c>
      <c r="G224" t="str">
        <f t="shared" si="10"/>
        <v>DynamicLabel|MsgBox_Help_OutletPipeVel</v>
      </c>
    </row>
    <row r="225" spans="1:7" ht="303.60000000000002" x14ac:dyDescent="0.25">
      <c r="A225" t="s">
        <v>799</v>
      </c>
      <c r="B225" t="s">
        <v>1490</v>
      </c>
      <c r="C225" s="369" t="s">
        <v>1491</v>
      </c>
      <c r="D225" s="369" t="s">
        <v>1492</v>
      </c>
      <c r="E225" s="369" t="s">
        <v>1493</v>
      </c>
      <c r="F225" s="369" t="s">
        <v>1494</v>
      </c>
      <c r="G225" t="str">
        <f t="shared" si="10"/>
        <v>DynamicLabel|MsgBox_Help_MinFlow</v>
      </c>
    </row>
    <row r="226" spans="1:7" ht="409.6" x14ac:dyDescent="0.25">
      <c r="A226" t="s">
        <v>799</v>
      </c>
      <c r="B226" t="s">
        <v>1495</v>
      </c>
      <c r="C226" s="369" t="s">
        <v>1496</v>
      </c>
      <c r="D226" s="369" t="s">
        <v>1497</v>
      </c>
      <c r="E226" s="369" t="s">
        <v>1498</v>
      </c>
      <c r="F226" s="369" t="s">
        <v>1499</v>
      </c>
      <c r="G226" t="str">
        <f t="shared" si="10"/>
        <v>DynamicLabel|MsgBox_Help_PipingDiagram</v>
      </c>
    </row>
    <row r="227" spans="1:7" x14ac:dyDescent="0.25">
      <c r="A227" t="s">
        <v>799</v>
      </c>
      <c r="B227" t="s">
        <v>1500</v>
      </c>
      <c r="C227" t="s">
        <v>1501</v>
      </c>
      <c r="D227" t="s">
        <v>1502</v>
      </c>
      <c r="E227" t="s">
        <v>1503</v>
      </c>
      <c r="F227" t="s">
        <v>1504</v>
      </c>
      <c r="G227" t="str">
        <f t="shared" ref="G227:G253" si="11">A227&amp;"|"&amp;B227</f>
        <v>DynamicLabel|MsgBoxTitle_CheckForUpdate</v>
      </c>
    </row>
    <row r="228" spans="1:7" x14ac:dyDescent="0.25">
      <c r="A228" t="s">
        <v>799</v>
      </c>
      <c r="B228" t="s">
        <v>1505</v>
      </c>
      <c r="C228" t="s">
        <v>1506</v>
      </c>
      <c r="D228" t="s">
        <v>1507</v>
      </c>
      <c r="E228" t="s">
        <v>1508</v>
      </c>
      <c r="F228" t="s">
        <v>1509</v>
      </c>
      <c r="G228" t="str">
        <f t="shared" si="11"/>
        <v>DynamicLabel|MsgBoxTitle_SaveRequired</v>
      </c>
    </row>
    <row r="229" spans="1:7" x14ac:dyDescent="0.25">
      <c r="A229" t="s">
        <v>799</v>
      </c>
      <c r="B229" t="s">
        <v>1510</v>
      </c>
      <c r="C229" t="s">
        <v>1511</v>
      </c>
      <c r="D229" t="s">
        <v>1512</v>
      </c>
      <c r="E229" t="s">
        <v>1513</v>
      </c>
      <c r="F229" t="s">
        <v>1514</v>
      </c>
      <c r="G229" t="str">
        <f t="shared" si="11"/>
        <v>DynamicLabel|MsgBoxTitle_AutoUpdate</v>
      </c>
    </row>
    <row r="230" spans="1:7" x14ac:dyDescent="0.25">
      <c r="A230" t="s">
        <v>799</v>
      </c>
      <c r="B230" t="s">
        <v>1515</v>
      </c>
      <c r="C230" t="s">
        <v>1516</v>
      </c>
      <c r="D230" t="s">
        <v>1517</v>
      </c>
      <c r="E230" t="s">
        <v>1517</v>
      </c>
      <c r="F230" t="s">
        <v>1518</v>
      </c>
      <c r="G230" t="str">
        <f t="shared" si="11"/>
        <v>DynamicLabel|MsgBox_Update_ReasonLabel</v>
      </c>
    </row>
    <row r="231" spans="1:7" x14ac:dyDescent="0.25">
      <c r="A231" t="s">
        <v>799</v>
      </c>
      <c r="B231" t="s">
        <v>1519</v>
      </c>
      <c r="C231" t="s">
        <v>1520</v>
      </c>
      <c r="D231" t="s">
        <v>1521</v>
      </c>
      <c r="E231" t="s">
        <v>1522</v>
      </c>
      <c r="F231" t="s">
        <v>1523</v>
      </c>
      <c r="G231" t="str">
        <f t="shared" si="11"/>
        <v>DynamicLabel|MsgBox_Update_MustBeSavedForUpdates</v>
      </c>
    </row>
    <row r="232" spans="1:7" x14ac:dyDescent="0.25">
      <c r="A232" t="s">
        <v>799</v>
      </c>
      <c r="B232" t="s">
        <v>1524</v>
      </c>
      <c r="C232" t="s">
        <v>1525</v>
      </c>
      <c r="D232" t="s">
        <v>1526</v>
      </c>
      <c r="E232" t="s">
        <v>1527</v>
      </c>
      <c r="F232" t="s">
        <v>1528</v>
      </c>
      <c r="G232" t="str">
        <f t="shared" si="11"/>
        <v>DynamicLabel|MsgBox_Update_CannotWriteTo_Prefix</v>
      </c>
    </row>
    <row r="233" spans="1:7" x14ac:dyDescent="0.25">
      <c r="A233" t="s">
        <v>799</v>
      </c>
      <c r="B233" t="s">
        <v>1529</v>
      </c>
      <c r="C233" t="s">
        <v>1530</v>
      </c>
      <c r="D233" t="s">
        <v>1531</v>
      </c>
      <c r="E233" t="s">
        <v>1532</v>
      </c>
      <c r="F233" t="s">
        <v>1533</v>
      </c>
      <c r="G233" t="str">
        <f t="shared" si="11"/>
        <v>DynamicLabel|MsgBox_Update_NoInternet</v>
      </c>
    </row>
    <row r="234" spans="1:7" x14ac:dyDescent="0.25">
      <c r="A234" t="s">
        <v>799</v>
      </c>
      <c r="B234" t="s">
        <v>1534</v>
      </c>
      <c r="C234" t="s">
        <v>1535</v>
      </c>
      <c r="D234" t="s">
        <v>1536</v>
      </c>
      <c r="E234" t="s">
        <v>1537</v>
      </c>
      <c r="F234" t="s">
        <v>1538</v>
      </c>
      <c r="G234" t="str">
        <f t="shared" si="11"/>
        <v>DynamicLabel|MsgBox_Update_UnableToReachGithub</v>
      </c>
    </row>
    <row r="235" spans="1:7" x14ac:dyDescent="0.25">
      <c r="A235" t="s">
        <v>799</v>
      </c>
      <c r="B235" t="s">
        <v>1539</v>
      </c>
      <c r="C235" t="s">
        <v>1540</v>
      </c>
      <c r="D235" t="s">
        <v>1541</v>
      </c>
      <c r="E235" t="s">
        <v>1542</v>
      </c>
      <c r="F235" t="s">
        <v>1543</v>
      </c>
      <c r="G235" t="str">
        <f t="shared" si="11"/>
        <v>DynamicLabel|MsgBox_Update_VersionTxtEmpty</v>
      </c>
    </row>
    <row r="236" spans="1:7" x14ac:dyDescent="0.25">
      <c r="A236" t="s">
        <v>799</v>
      </c>
      <c r="B236" t="s">
        <v>1544</v>
      </c>
      <c r="C236" t="s">
        <v>1545</v>
      </c>
      <c r="D236" t="s">
        <v>1546</v>
      </c>
      <c r="E236" t="s">
        <v>1547</v>
      </c>
      <c r="F236" t="s">
        <v>1548</v>
      </c>
      <c r="G236" t="str">
        <f t="shared" si="11"/>
        <v>DynamicLabel|MsgBox_Update_VersionTxtInvalid</v>
      </c>
    </row>
    <row r="237" spans="1:7" x14ac:dyDescent="0.25">
      <c r="A237" t="s">
        <v>799</v>
      </c>
      <c r="B237" t="s">
        <v>1549</v>
      </c>
      <c r="C237" t="s">
        <v>1550</v>
      </c>
      <c r="D237" t="s">
        <v>1551</v>
      </c>
      <c r="E237" t="s">
        <v>1552</v>
      </c>
      <c r="F237" t="s">
        <v>1553</v>
      </c>
      <c r="G237" t="str">
        <f t="shared" si="11"/>
        <v>DynamicLabel|MsgBox_Update_UpToDate_Prefix</v>
      </c>
    </row>
    <row r="238" spans="1:7" x14ac:dyDescent="0.25">
      <c r="A238" t="s">
        <v>799</v>
      </c>
      <c r="B238" t="s">
        <v>1554</v>
      </c>
      <c r="C238" t="s">
        <v>1555</v>
      </c>
      <c r="D238" t="s">
        <v>1555</v>
      </c>
      <c r="E238" t="s">
        <v>1555</v>
      </c>
      <c r="F238" t="s">
        <v>1556</v>
      </c>
      <c r="G238" t="str">
        <f t="shared" si="11"/>
        <v>DynamicLabel|MsgBox_Update_LocalLabel</v>
      </c>
    </row>
    <row r="239" spans="1:7" x14ac:dyDescent="0.25">
      <c r="A239" t="s">
        <v>799</v>
      </c>
      <c r="B239" t="s">
        <v>1557</v>
      </c>
      <c r="C239" t="s">
        <v>1558</v>
      </c>
      <c r="D239" t="s">
        <v>1559</v>
      </c>
      <c r="E239" t="s">
        <v>1559</v>
      </c>
      <c r="F239" t="s">
        <v>1560</v>
      </c>
      <c r="G239" t="str">
        <f t="shared" si="11"/>
        <v>DynamicLabel|MsgBox_Update_RemoteLabel</v>
      </c>
    </row>
    <row r="240" spans="1:7" x14ac:dyDescent="0.25">
      <c r="A240" t="s">
        <v>799</v>
      </c>
      <c r="B240" t="s">
        <v>1561</v>
      </c>
      <c r="C240" t="s">
        <v>1562</v>
      </c>
      <c r="D240" t="s">
        <v>1563</v>
      </c>
      <c r="E240" t="s">
        <v>1564</v>
      </c>
      <c r="F240" t="s">
        <v>1565</v>
      </c>
      <c r="G240" t="str">
        <f t="shared" si="11"/>
        <v>DynamicLabel|MsgBox_Update_DownloadFailed_Prefix</v>
      </c>
    </row>
    <row r="241" spans="1:7" x14ac:dyDescent="0.25">
      <c r="A241" t="s">
        <v>799</v>
      </c>
      <c r="B241" t="s">
        <v>1566</v>
      </c>
      <c r="C241" t="s">
        <v>1567</v>
      </c>
      <c r="D241" t="s">
        <v>1568</v>
      </c>
      <c r="E241" t="s">
        <v>1569</v>
      </c>
      <c r="F241" t="s">
        <v>1570</v>
      </c>
      <c r="G241" t="str">
        <f t="shared" si="11"/>
        <v>DynamicLabel|MsgBox_Update_404Hint</v>
      </c>
    </row>
    <row r="242" spans="1:7" x14ac:dyDescent="0.25">
      <c r="A242" t="s">
        <v>799</v>
      </c>
      <c r="B242" t="s">
        <v>1571</v>
      </c>
      <c r="C242" t="s">
        <v>1572</v>
      </c>
      <c r="D242" t="s">
        <v>1573</v>
      </c>
      <c r="E242" t="s">
        <v>1574</v>
      </c>
      <c r="F242" t="s">
        <v>1575</v>
      </c>
      <c r="G242" t="str">
        <f t="shared" si="11"/>
        <v>DynamicLabel|MsgBox_Update_DownloadedEmpty</v>
      </c>
    </row>
    <row r="243" spans="1:7" x14ac:dyDescent="0.25">
      <c r="A243" t="s">
        <v>799</v>
      </c>
      <c r="B243" t="s">
        <v>1576</v>
      </c>
      <c r="C243" t="s">
        <v>1577</v>
      </c>
      <c r="D243" t="s">
        <v>1578</v>
      </c>
      <c r="E243" t="s">
        <v>1579</v>
      </c>
      <c r="F243" t="s">
        <v>1580</v>
      </c>
      <c r="G243" t="str">
        <f t="shared" si="11"/>
        <v>DynamicLabel|MsgBox_Update_NotValidWorkbook</v>
      </c>
    </row>
    <row r="244" spans="1:7" x14ac:dyDescent="0.25">
      <c r="A244" t="s">
        <v>799</v>
      </c>
      <c r="B244" t="s">
        <v>1581</v>
      </c>
      <c r="C244" t="s">
        <v>1582</v>
      </c>
      <c r="D244" t="s">
        <v>1583</v>
      </c>
      <c r="E244" t="s">
        <v>1584</v>
      </c>
      <c r="F244" t="s">
        <v>1585</v>
      </c>
      <c r="G244" t="str">
        <f t="shared" si="11"/>
        <v>DynamicLabel|MsgBox_Update_LooksIncomplete</v>
      </c>
    </row>
    <row r="245" spans="1:7" x14ac:dyDescent="0.25">
      <c r="A245" t="s">
        <v>799</v>
      </c>
      <c r="B245" t="s">
        <v>1586</v>
      </c>
      <c r="C245" t="s">
        <v>1587</v>
      </c>
      <c r="D245" t="s">
        <v>1588</v>
      </c>
      <c r="E245" t="s">
        <v>1589</v>
      </c>
      <c r="F245" t="s">
        <v>1590</v>
      </c>
      <c r="G245" t="str">
        <f t="shared" si="11"/>
        <v>DynamicLabel|MsgBox_Update_FailedWriteTemp</v>
      </c>
    </row>
    <row r="246" spans="1:7" x14ac:dyDescent="0.25">
      <c r="A246" t="s">
        <v>799</v>
      </c>
      <c r="B246" t="s">
        <v>1591</v>
      </c>
      <c r="C246" t="s">
        <v>1592</v>
      </c>
      <c r="D246" t="s">
        <v>1593</v>
      </c>
      <c r="E246" t="s">
        <v>1594</v>
      </c>
      <c r="F246" t="s">
        <v>1595</v>
      </c>
      <c r="G246" t="str">
        <f t="shared" si="11"/>
        <v>DynamicLabel|MsgBox_Update_FailedCopyFolder</v>
      </c>
    </row>
    <row r="247" spans="1:7" x14ac:dyDescent="0.25">
      <c r="A247" t="s">
        <v>799</v>
      </c>
      <c r="B247" t="s">
        <v>1596</v>
      </c>
      <c r="C247" t="s">
        <v>1597</v>
      </c>
      <c r="D247" t="s">
        <v>1598</v>
      </c>
      <c r="E247" t="s">
        <v>1599</v>
      </c>
      <c r="F247" t="s">
        <v>1600</v>
      </c>
      <c r="G247" t="str">
        <f t="shared" si="11"/>
        <v>DynamicLabel|MsgBox_Update_FailedOpenNewFile</v>
      </c>
    </row>
    <row r="248" spans="1:7" ht="39.6" x14ac:dyDescent="0.25">
      <c r="A248" t="s">
        <v>799</v>
      </c>
      <c r="B248" t="s">
        <v>1601</v>
      </c>
      <c r="C248" s="369" t="s">
        <v>1602</v>
      </c>
      <c r="D248" s="369" t="s">
        <v>1603</v>
      </c>
      <c r="E248" s="369" t="s">
        <v>1604</v>
      </c>
      <c r="F248" s="369" t="s">
        <v>1605</v>
      </c>
      <c r="G248" t="str">
        <f t="shared" si="11"/>
        <v>DynamicLabel|MsgBox_Update_DiscardedNotRight</v>
      </c>
    </row>
    <row r="249" spans="1:7" ht="66" x14ac:dyDescent="0.25">
      <c r="A249" t="s">
        <v>799</v>
      </c>
      <c r="B249" t="s">
        <v>1606</v>
      </c>
      <c r="C249" s="369" t="s">
        <v>1607</v>
      </c>
      <c r="D249" s="369" t="s">
        <v>1608</v>
      </c>
      <c r="E249" s="369" t="s">
        <v>1609</v>
      </c>
      <c r="F249" s="369" t="s">
        <v>1610</v>
      </c>
      <c r="G249" t="str">
        <f t="shared" si="11"/>
        <v>DynamicLabel|MsgBox_Update_NotLocalDrive</v>
      </c>
    </row>
    <row r="250" spans="1:7" x14ac:dyDescent="0.25">
      <c r="A250" t="s">
        <v>799</v>
      </c>
      <c r="B250" t="s">
        <v>1611</v>
      </c>
      <c r="C250" t="s">
        <v>1612</v>
      </c>
      <c r="D250" t="s">
        <v>1613</v>
      </c>
      <c r="E250" t="s">
        <v>1614</v>
      </c>
      <c r="F250" t="s">
        <v>1615</v>
      </c>
      <c r="G250" t="str">
        <f t="shared" si="11"/>
        <v>DynamicLabel|MsgBox_Update_SaveNowQuestion_Suffix</v>
      </c>
    </row>
    <row r="251" spans="1:7" x14ac:dyDescent="0.25">
      <c r="A251" t="s">
        <v>799</v>
      </c>
      <c r="B251" t="s">
        <v>1616</v>
      </c>
      <c r="C251" t="s">
        <v>1617</v>
      </c>
      <c r="D251" t="s">
        <v>1618</v>
      </c>
      <c r="E251" t="s">
        <v>1619</v>
      </c>
      <c r="F251" t="s">
        <v>1620</v>
      </c>
      <c r="G251" t="str">
        <f t="shared" si="11"/>
        <v>DynamicLabel|MsgBox_Update_CheckFailed_Prefix</v>
      </c>
    </row>
    <row r="252" spans="1:7" x14ac:dyDescent="0.25">
      <c r="A252" t="s">
        <v>799</v>
      </c>
      <c r="B252" t="s">
        <v>1621</v>
      </c>
      <c r="C252" t="s">
        <v>1622</v>
      </c>
      <c r="D252" t="s">
        <v>1623</v>
      </c>
      <c r="E252" t="s">
        <v>1624</v>
      </c>
      <c r="F252" t="s">
        <v>1625</v>
      </c>
      <c r="G252" t="str">
        <f t="shared" si="11"/>
        <v>DynamicLabel|MsgBox_Update_AutoUpdateIssue_Prefix</v>
      </c>
    </row>
    <row r="253" spans="1:7" x14ac:dyDescent="0.25">
      <c r="A253" t="s">
        <v>799</v>
      </c>
      <c r="B253" t="s">
        <v>1626</v>
      </c>
      <c r="C253" t="s">
        <v>1627</v>
      </c>
      <c r="D253" t="s">
        <v>1627</v>
      </c>
      <c r="E253" t="s">
        <v>1628</v>
      </c>
      <c r="F253" t="s">
        <v>1629</v>
      </c>
      <c r="G253" t="str">
        <f t="shared" si="11"/>
        <v>DynamicLabel|MsgBox_Update_ErrorLabel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54" customFormat="1" ht="28.8" x14ac:dyDescent="0.25">
      <c r="A1" s="353" t="s">
        <v>464</v>
      </c>
      <c r="B1" s="353" t="s">
        <v>473</v>
      </c>
      <c r="C1" s="353" t="s">
        <v>465</v>
      </c>
      <c r="D1" s="354" t="s">
        <v>466</v>
      </c>
      <c r="E1" s="354" t="s">
        <v>467</v>
      </c>
      <c r="F1" s="354" t="s">
        <v>468</v>
      </c>
      <c r="G1" s="354" t="s">
        <v>1772</v>
      </c>
      <c r="H1" s="354" t="s">
        <v>469</v>
      </c>
      <c r="I1" s="354" t="s">
        <v>470</v>
      </c>
      <c r="J1" s="354" t="s">
        <v>471</v>
      </c>
      <c r="K1" s="354" t="s">
        <v>472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CBF8-27A9-43D0-A861-B0DE7E69562F}">
  <sheetPr codeName="Sheet12"/>
  <dimension ref="A1:E391"/>
  <sheetViews>
    <sheetView workbookViewId="0">
      <selection activeCell="B4" sqref="B4"/>
    </sheetView>
  </sheetViews>
  <sheetFormatPr defaultRowHeight="13.2" x14ac:dyDescent="0.25"/>
  <cols>
    <col min="1" max="1" width="44.44140625" bestFit="1" customWidth="1"/>
    <col min="2" max="2" width="55.5546875" customWidth="1"/>
    <col min="3" max="3" width="84.33203125" customWidth="1"/>
    <col min="4" max="4" width="83.5546875" customWidth="1"/>
    <col min="5" max="5" width="154.109375" bestFit="1" customWidth="1"/>
  </cols>
  <sheetData>
    <row r="1" spans="1:5" x14ac:dyDescent="0.25">
      <c r="A1" t="s">
        <v>761</v>
      </c>
      <c r="B1" t="s">
        <v>983</v>
      </c>
      <c r="C1" t="s">
        <v>540</v>
      </c>
      <c r="D1" t="s">
        <v>541</v>
      </c>
      <c r="E1" t="s">
        <v>543</v>
      </c>
    </row>
    <row r="2" spans="1:5" x14ac:dyDescent="0.25">
      <c r="A2" t="s">
        <v>1639</v>
      </c>
      <c r="B2" t="s">
        <v>370</v>
      </c>
      <c r="C2" t="s">
        <v>547</v>
      </c>
      <c r="D2" t="s">
        <v>548</v>
      </c>
      <c r="E2" t="s">
        <v>549</v>
      </c>
    </row>
    <row r="3" spans="1:5" x14ac:dyDescent="0.25">
      <c r="A3" t="s">
        <v>1640</v>
      </c>
      <c r="B3" t="s">
        <v>371</v>
      </c>
      <c r="C3" t="s">
        <v>551</v>
      </c>
      <c r="D3" t="s">
        <v>552</v>
      </c>
      <c r="E3" t="s">
        <v>553</v>
      </c>
    </row>
    <row r="4" spans="1:5" x14ac:dyDescent="0.25">
      <c r="A4" t="s">
        <v>1641</v>
      </c>
      <c r="B4" t="s">
        <v>554</v>
      </c>
      <c r="C4" t="s">
        <v>555</v>
      </c>
      <c r="D4" t="s">
        <v>556</v>
      </c>
      <c r="E4" t="s">
        <v>554</v>
      </c>
    </row>
    <row r="5" spans="1:5" x14ac:dyDescent="0.25">
      <c r="A5" t="s">
        <v>1642</v>
      </c>
      <c r="B5" t="s">
        <v>558</v>
      </c>
      <c r="C5" t="s">
        <v>559</v>
      </c>
      <c r="D5" t="s">
        <v>560</v>
      </c>
      <c r="E5" t="s">
        <v>561</v>
      </c>
    </row>
    <row r="6" spans="1:5" x14ac:dyDescent="0.25">
      <c r="A6" t="s">
        <v>1643</v>
      </c>
      <c r="B6" t="s">
        <v>372</v>
      </c>
      <c r="C6" t="s">
        <v>563</v>
      </c>
      <c r="D6" t="s">
        <v>564</v>
      </c>
      <c r="E6" t="s">
        <v>565</v>
      </c>
    </row>
    <row r="7" spans="1:5" x14ac:dyDescent="0.25">
      <c r="A7" t="s">
        <v>1644</v>
      </c>
      <c r="B7" t="s">
        <v>567</v>
      </c>
      <c r="C7" t="s">
        <v>568</v>
      </c>
      <c r="D7" t="s">
        <v>569</v>
      </c>
      <c r="E7" t="s">
        <v>570</v>
      </c>
    </row>
    <row r="8" spans="1:5" x14ac:dyDescent="0.25">
      <c r="A8" t="s">
        <v>1645</v>
      </c>
      <c r="B8" t="s">
        <v>572</v>
      </c>
      <c r="C8" t="s">
        <v>573</v>
      </c>
      <c r="D8" t="s">
        <v>574</v>
      </c>
      <c r="E8" t="s">
        <v>575</v>
      </c>
    </row>
    <row r="9" spans="1:5" x14ac:dyDescent="0.25">
      <c r="A9" t="s">
        <v>1646</v>
      </c>
      <c r="B9" t="s">
        <v>577</v>
      </c>
      <c r="C9" t="s">
        <v>578</v>
      </c>
      <c r="D9" t="s">
        <v>579</v>
      </c>
      <c r="E9" t="s">
        <v>580</v>
      </c>
    </row>
    <row r="10" spans="1:5" x14ac:dyDescent="0.25">
      <c r="A10" t="s">
        <v>1647</v>
      </c>
      <c r="B10" t="s">
        <v>582</v>
      </c>
      <c r="C10" t="s">
        <v>583</v>
      </c>
      <c r="D10" t="s">
        <v>584</v>
      </c>
      <c r="E10" t="s">
        <v>585</v>
      </c>
    </row>
    <row r="11" spans="1:5" x14ac:dyDescent="0.25">
      <c r="A11" t="s">
        <v>1648</v>
      </c>
      <c r="B11" t="s">
        <v>373</v>
      </c>
      <c r="C11" t="s">
        <v>587</v>
      </c>
      <c r="D11" t="s">
        <v>588</v>
      </c>
      <c r="E11" t="s">
        <v>589</v>
      </c>
    </row>
    <row r="12" spans="1:5" x14ac:dyDescent="0.25">
      <c r="A12" t="s">
        <v>1649</v>
      </c>
      <c r="B12" t="s">
        <v>526</v>
      </c>
      <c r="C12" t="s">
        <v>591</v>
      </c>
      <c r="D12" t="s">
        <v>592</v>
      </c>
      <c r="E12" t="s">
        <v>593</v>
      </c>
    </row>
    <row r="13" spans="1:5" x14ac:dyDescent="0.25">
      <c r="A13" t="s">
        <v>1650</v>
      </c>
      <c r="B13" t="s">
        <v>595</v>
      </c>
      <c r="C13" t="s">
        <v>596</v>
      </c>
      <c r="D13" t="s">
        <v>597</v>
      </c>
      <c r="E13" t="s">
        <v>598</v>
      </c>
    </row>
    <row r="14" spans="1:5" x14ac:dyDescent="0.25">
      <c r="A14" t="s">
        <v>1651</v>
      </c>
      <c r="B14" t="s">
        <v>363</v>
      </c>
      <c r="C14" t="s">
        <v>604</v>
      </c>
      <c r="D14" t="s">
        <v>605</v>
      </c>
      <c r="E14" t="s">
        <v>606</v>
      </c>
    </row>
    <row r="15" spans="1:5" x14ac:dyDescent="0.25">
      <c r="A15" t="s">
        <v>1652</v>
      </c>
      <c r="B15" t="s">
        <v>368</v>
      </c>
      <c r="C15" t="s">
        <v>613</v>
      </c>
      <c r="D15" t="s">
        <v>614</v>
      </c>
      <c r="E15" t="s">
        <v>615</v>
      </c>
    </row>
    <row r="16" spans="1:5" x14ac:dyDescent="0.25">
      <c r="A16" t="s">
        <v>1653</v>
      </c>
      <c r="B16" t="s">
        <v>617</v>
      </c>
      <c r="C16" t="s">
        <v>618</v>
      </c>
      <c r="D16" t="s">
        <v>619</v>
      </c>
      <c r="E16" t="s">
        <v>620</v>
      </c>
    </row>
    <row r="17" spans="1:5" x14ac:dyDescent="0.25">
      <c r="A17" t="s">
        <v>1654</v>
      </c>
      <c r="B17" t="s">
        <v>364</v>
      </c>
      <c r="C17" t="s">
        <v>622</v>
      </c>
      <c r="D17" t="s">
        <v>623</v>
      </c>
      <c r="E17" t="s">
        <v>624</v>
      </c>
    </row>
    <row r="18" spans="1:5" x14ac:dyDescent="0.25">
      <c r="A18" t="s">
        <v>1655</v>
      </c>
      <c r="B18" t="s">
        <v>626</v>
      </c>
      <c r="C18" t="s">
        <v>627</v>
      </c>
      <c r="D18" t="s">
        <v>628</v>
      </c>
      <c r="E18" t="s">
        <v>629</v>
      </c>
    </row>
    <row r="19" spans="1:5" x14ac:dyDescent="0.25">
      <c r="A19" t="s">
        <v>1656</v>
      </c>
      <c r="B19" t="s">
        <v>365</v>
      </c>
      <c r="C19" t="s">
        <v>631</v>
      </c>
      <c r="D19" t="s">
        <v>632</v>
      </c>
      <c r="E19" t="s">
        <v>633</v>
      </c>
    </row>
    <row r="20" spans="1:5" x14ac:dyDescent="0.25">
      <c r="A20" t="s">
        <v>1657</v>
      </c>
      <c r="B20" t="s">
        <v>382</v>
      </c>
      <c r="C20" t="s">
        <v>1907</v>
      </c>
      <c r="D20" t="s">
        <v>1908</v>
      </c>
      <c r="E20" t="s">
        <v>1909</v>
      </c>
    </row>
    <row r="21" spans="1:5" x14ac:dyDescent="0.25">
      <c r="A21" t="s">
        <v>1658</v>
      </c>
      <c r="B21" t="s">
        <v>366</v>
      </c>
      <c r="C21" t="s">
        <v>643</v>
      </c>
      <c r="D21" t="s">
        <v>644</v>
      </c>
      <c r="E21" t="s">
        <v>645</v>
      </c>
    </row>
    <row r="22" spans="1:5" x14ac:dyDescent="0.25">
      <c r="A22" t="s">
        <v>1659</v>
      </c>
      <c r="B22" t="s">
        <v>1887</v>
      </c>
      <c r="C22" t="s">
        <v>1888</v>
      </c>
      <c r="D22" t="s">
        <v>1889</v>
      </c>
      <c r="E22" t="s">
        <v>1890</v>
      </c>
    </row>
    <row r="23" spans="1:5" x14ac:dyDescent="0.25">
      <c r="A23" t="s">
        <v>1660</v>
      </c>
      <c r="B23" t="s">
        <v>1910</v>
      </c>
      <c r="C23" t="s">
        <v>1911</v>
      </c>
      <c r="D23" t="s">
        <v>1912</v>
      </c>
      <c r="E23" t="s">
        <v>1913</v>
      </c>
    </row>
    <row r="24" spans="1:5" x14ac:dyDescent="0.25">
      <c r="A24" t="s">
        <v>1661</v>
      </c>
      <c r="B24" t="s">
        <v>505</v>
      </c>
      <c r="C24" t="s">
        <v>664</v>
      </c>
      <c r="D24" t="s">
        <v>665</v>
      </c>
      <c r="E24" t="s">
        <v>666</v>
      </c>
    </row>
    <row r="25" spans="1:5" x14ac:dyDescent="0.25">
      <c r="A25" t="s">
        <v>1662</v>
      </c>
      <c r="B25" t="s">
        <v>431</v>
      </c>
      <c r="C25" t="s">
        <v>672</v>
      </c>
      <c r="D25" t="s">
        <v>672</v>
      </c>
      <c r="E25" t="s">
        <v>673</v>
      </c>
    </row>
    <row r="26" spans="1:5" x14ac:dyDescent="0.25">
      <c r="A26" t="s">
        <v>1663</v>
      </c>
      <c r="B26" t="s">
        <v>502</v>
      </c>
      <c r="C26" t="s">
        <v>675</v>
      </c>
      <c r="D26" t="s">
        <v>676</v>
      </c>
      <c r="E26" t="s">
        <v>677</v>
      </c>
    </row>
    <row r="27" spans="1:5" x14ac:dyDescent="0.25">
      <c r="A27" t="s">
        <v>1664</v>
      </c>
      <c r="B27" t="s">
        <v>432</v>
      </c>
      <c r="C27" t="s">
        <v>679</v>
      </c>
      <c r="D27" t="s">
        <v>679</v>
      </c>
      <c r="E27" t="s">
        <v>680</v>
      </c>
    </row>
    <row r="28" spans="1:5" x14ac:dyDescent="0.25">
      <c r="A28" t="s">
        <v>1665</v>
      </c>
      <c r="B28" t="s">
        <v>503</v>
      </c>
      <c r="C28" t="s">
        <v>682</v>
      </c>
      <c r="D28" t="s">
        <v>683</v>
      </c>
      <c r="E28" t="s">
        <v>684</v>
      </c>
    </row>
    <row r="29" spans="1:5" x14ac:dyDescent="0.25">
      <c r="A29" t="s">
        <v>1666</v>
      </c>
      <c r="B29" t="s">
        <v>433</v>
      </c>
      <c r="C29" t="s">
        <v>686</v>
      </c>
      <c r="D29" t="s">
        <v>687</v>
      </c>
      <c r="E29" t="s">
        <v>688</v>
      </c>
    </row>
    <row r="30" spans="1:5" x14ac:dyDescent="0.25">
      <c r="A30" t="s">
        <v>1667</v>
      </c>
      <c r="B30" t="s">
        <v>498</v>
      </c>
      <c r="C30" t="s">
        <v>690</v>
      </c>
      <c r="D30" t="s">
        <v>691</v>
      </c>
      <c r="E30" t="s">
        <v>692</v>
      </c>
    </row>
    <row r="31" spans="1:5" x14ac:dyDescent="0.25">
      <c r="A31" t="s">
        <v>1668</v>
      </c>
      <c r="B31" t="s">
        <v>435</v>
      </c>
      <c r="C31" t="s">
        <v>694</v>
      </c>
      <c r="D31" t="s">
        <v>695</v>
      </c>
      <c r="E31" t="s">
        <v>696</v>
      </c>
    </row>
    <row r="32" spans="1:5" x14ac:dyDescent="0.25">
      <c r="A32" t="s">
        <v>1669</v>
      </c>
      <c r="B32" t="s">
        <v>499</v>
      </c>
      <c r="C32" t="s">
        <v>698</v>
      </c>
      <c r="D32" t="s">
        <v>699</v>
      </c>
      <c r="E32" t="s">
        <v>700</v>
      </c>
    </row>
    <row r="33" spans="1:5" x14ac:dyDescent="0.25">
      <c r="A33" t="s">
        <v>1670</v>
      </c>
      <c r="B33" t="s">
        <v>223</v>
      </c>
      <c r="C33" t="s">
        <v>702</v>
      </c>
      <c r="D33" t="s">
        <v>703</v>
      </c>
      <c r="E33" t="s">
        <v>704</v>
      </c>
    </row>
    <row r="34" spans="1:5" x14ac:dyDescent="0.25">
      <c r="A34" t="s">
        <v>1671</v>
      </c>
      <c r="B34" t="s">
        <v>437</v>
      </c>
      <c r="C34" t="s">
        <v>711</v>
      </c>
      <c r="D34" t="s">
        <v>711</v>
      </c>
      <c r="E34" t="s">
        <v>712</v>
      </c>
    </row>
    <row r="35" spans="1:5" x14ac:dyDescent="0.25">
      <c r="A35" t="s">
        <v>1672</v>
      </c>
      <c r="B35" t="s">
        <v>501</v>
      </c>
      <c r="C35" t="s">
        <v>714</v>
      </c>
      <c r="D35" t="s">
        <v>715</v>
      </c>
      <c r="E35" t="s">
        <v>716</v>
      </c>
    </row>
    <row r="36" spans="1:5" x14ac:dyDescent="0.25">
      <c r="A36" t="s">
        <v>1673</v>
      </c>
      <c r="B36" t="s">
        <v>527</v>
      </c>
      <c r="C36" t="s">
        <v>718</v>
      </c>
      <c r="D36" t="s">
        <v>719</v>
      </c>
      <c r="E36" t="s">
        <v>720</v>
      </c>
    </row>
    <row r="37" spans="1:5" x14ac:dyDescent="0.25">
      <c r="A37" t="s">
        <v>1674</v>
      </c>
      <c r="B37" t="s">
        <v>374</v>
      </c>
      <c r="C37" t="s">
        <v>722</v>
      </c>
      <c r="D37" t="s">
        <v>723</v>
      </c>
      <c r="E37" t="s">
        <v>724</v>
      </c>
    </row>
    <row r="38" spans="1:5" x14ac:dyDescent="0.25">
      <c r="A38" t="s">
        <v>1675</v>
      </c>
      <c r="B38" t="s">
        <v>375</v>
      </c>
      <c r="C38" t="s">
        <v>726</v>
      </c>
      <c r="D38" t="s">
        <v>727</v>
      </c>
      <c r="E38" t="s">
        <v>728</v>
      </c>
    </row>
    <row r="39" spans="1:5" x14ac:dyDescent="0.25">
      <c r="A39" t="s">
        <v>1676</v>
      </c>
      <c r="B39" t="s">
        <v>376</v>
      </c>
      <c r="C39" t="s">
        <v>730</v>
      </c>
      <c r="D39" t="s">
        <v>731</v>
      </c>
      <c r="E39" t="s">
        <v>732</v>
      </c>
    </row>
    <row r="40" spans="1:5" x14ac:dyDescent="0.25">
      <c r="A40" t="s">
        <v>1677</v>
      </c>
      <c r="B40" t="s">
        <v>377</v>
      </c>
      <c r="C40" t="s">
        <v>734</v>
      </c>
      <c r="D40" t="s">
        <v>735</v>
      </c>
      <c r="E40" t="s">
        <v>736</v>
      </c>
    </row>
    <row r="41" spans="1:5" x14ac:dyDescent="0.25">
      <c r="A41" t="s">
        <v>1678</v>
      </c>
      <c r="B41" t="s">
        <v>378</v>
      </c>
      <c r="C41" t="s">
        <v>738</v>
      </c>
      <c r="D41" t="s">
        <v>739</v>
      </c>
      <c r="E41" t="s">
        <v>740</v>
      </c>
    </row>
    <row r="42" spans="1:5" x14ac:dyDescent="0.25">
      <c r="A42" t="s">
        <v>1679</v>
      </c>
      <c r="B42" t="s">
        <v>533</v>
      </c>
      <c r="C42" t="s">
        <v>742</v>
      </c>
      <c r="D42" t="s">
        <v>743</v>
      </c>
      <c r="E42" t="s">
        <v>744</v>
      </c>
    </row>
    <row r="43" spans="1:5" x14ac:dyDescent="0.25">
      <c r="A43" t="s">
        <v>1680</v>
      </c>
      <c r="B43" t="s">
        <v>362</v>
      </c>
      <c r="C43" t="s">
        <v>362</v>
      </c>
      <c r="D43" t="s">
        <v>362</v>
      </c>
      <c r="E43" t="s">
        <v>362</v>
      </c>
    </row>
    <row r="44" spans="1:5" x14ac:dyDescent="0.25">
      <c r="A44" t="s">
        <v>1681</v>
      </c>
      <c r="B44" t="s">
        <v>434</v>
      </c>
      <c r="C44" t="s">
        <v>434</v>
      </c>
      <c r="D44" t="s">
        <v>434</v>
      </c>
      <c r="E44" t="s">
        <v>434</v>
      </c>
    </row>
    <row r="45" spans="1:5" x14ac:dyDescent="0.25">
      <c r="A45" t="s">
        <v>1630</v>
      </c>
      <c r="B45" t="s">
        <v>83</v>
      </c>
      <c r="C45" t="s">
        <v>765</v>
      </c>
      <c r="D45" t="s">
        <v>766</v>
      </c>
      <c r="E45" t="s">
        <v>767</v>
      </c>
    </row>
    <row r="46" spans="1:5" x14ac:dyDescent="0.25">
      <c r="A46" t="s">
        <v>1631</v>
      </c>
      <c r="B46" t="s">
        <v>81</v>
      </c>
      <c r="C46" t="s">
        <v>770</v>
      </c>
      <c r="D46" t="s">
        <v>770</v>
      </c>
      <c r="E46" t="s">
        <v>771</v>
      </c>
    </row>
    <row r="47" spans="1:5" x14ac:dyDescent="0.25">
      <c r="A47" t="s">
        <v>1632</v>
      </c>
      <c r="B47" t="s">
        <v>80</v>
      </c>
      <c r="C47" t="s">
        <v>773</v>
      </c>
      <c r="D47" t="s">
        <v>774</v>
      </c>
      <c r="E47" t="s">
        <v>775</v>
      </c>
    </row>
    <row r="48" spans="1:5" x14ac:dyDescent="0.25">
      <c r="A48" t="s">
        <v>1633</v>
      </c>
      <c r="B48" t="s">
        <v>82</v>
      </c>
      <c r="C48" t="s">
        <v>777</v>
      </c>
      <c r="D48" t="s">
        <v>777</v>
      </c>
      <c r="E48" t="s">
        <v>778</v>
      </c>
    </row>
    <row r="49" spans="1:5" x14ac:dyDescent="0.25">
      <c r="A49" t="s">
        <v>1634</v>
      </c>
      <c r="B49" t="s">
        <v>19</v>
      </c>
      <c r="C49" t="s">
        <v>780</v>
      </c>
      <c r="D49" t="s">
        <v>781</v>
      </c>
      <c r="E49" t="s">
        <v>782</v>
      </c>
    </row>
    <row r="50" spans="1:5" x14ac:dyDescent="0.25">
      <c r="A50" t="s">
        <v>1635</v>
      </c>
      <c r="B50" t="s">
        <v>17</v>
      </c>
      <c r="C50" t="s">
        <v>785</v>
      </c>
      <c r="D50" t="s">
        <v>785</v>
      </c>
      <c r="E50" t="s">
        <v>786</v>
      </c>
    </row>
    <row r="51" spans="1:5" x14ac:dyDescent="0.25">
      <c r="A51" t="s">
        <v>1636</v>
      </c>
      <c r="B51" t="s">
        <v>407</v>
      </c>
      <c r="C51" t="s">
        <v>788</v>
      </c>
      <c r="D51" t="s">
        <v>788</v>
      </c>
      <c r="E51" t="s">
        <v>789</v>
      </c>
    </row>
    <row r="52" spans="1:5" x14ac:dyDescent="0.25">
      <c r="A52" t="s">
        <v>1637</v>
      </c>
      <c r="B52" t="s">
        <v>791</v>
      </c>
      <c r="C52" t="s">
        <v>792</v>
      </c>
      <c r="D52" t="s">
        <v>793</v>
      </c>
      <c r="E52" t="s">
        <v>794</v>
      </c>
    </row>
    <row r="53" spans="1:5" x14ac:dyDescent="0.25">
      <c r="A53" t="s">
        <v>1638</v>
      </c>
      <c r="B53" t="s">
        <v>241</v>
      </c>
      <c r="C53" t="s">
        <v>796</v>
      </c>
      <c r="D53" t="s">
        <v>797</v>
      </c>
      <c r="E53" t="s">
        <v>798</v>
      </c>
    </row>
    <row r="54" spans="1:5" x14ac:dyDescent="0.25">
      <c r="A54" t="s">
        <v>800</v>
      </c>
      <c r="B54" t="s">
        <v>383</v>
      </c>
      <c r="C54" t="s">
        <v>600</v>
      </c>
      <c r="D54" t="s">
        <v>601</v>
      </c>
      <c r="E54" t="s">
        <v>801</v>
      </c>
    </row>
    <row r="55" spans="1:5" x14ac:dyDescent="0.25">
      <c r="A55" t="s">
        <v>802</v>
      </c>
      <c r="B55" t="s">
        <v>803</v>
      </c>
      <c r="C55" t="s">
        <v>804</v>
      </c>
      <c r="D55" t="s">
        <v>805</v>
      </c>
      <c r="E55" t="s">
        <v>806</v>
      </c>
    </row>
    <row r="56" spans="1:5" x14ac:dyDescent="0.25">
      <c r="A56" t="s">
        <v>807</v>
      </c>
      <c r="B56" t="s">
        <v>380</v>
      </c>
      <c r="C56" t="s">
        <v>647</v>
      </c>
      <c r="D56" t="s">
        <v>647</v>
      </c>
      <c r="E56" t="s">
        <v>649</v>
      </c>
    </row>
    <row r="57" spans="1:5" x14ac:dyDescent="0.25">
      <c r="A57" t="s">
        <v>808</v>
      </c>
      <c r="B57" t="s">
        <v>809</v>
      </c>
      <c r="C57" t="s">
        <v>810</v>
      </c>
      <c r="D57" t="s">
        <v>810</v>
      </c>
      <c r="E57" t="s">
        <v>811</v>
      </c>
    </row>
    <row r="58" spans="1:5" x14ac:dyDescent="0.25">
      <c r="A58" t="s">
        <v>812</v>
      </c>
      <c r="B58" t="s">
        <v>384</v>
      </c>
      <c r="C58" t="s">
        <v>651</v>
      </c>
      <c r="D58" t="s">
        <v>652</v>
      </c>
      <c r="E58" t="s">
        <v>653</v>
      </c>
    </row>
    <row r="59" spans="1:5" x14ac:dyDescent="0.25">
      <c r="A59" t="s">
        <v>813</v>
      </c>
      <c r="B59" t="s">
        <v>814</v>
      </c>
      <c r="C59" t="s">
        <v>815</v>
      </c>
      <c r="D59" t="s">
        <v>816</v>
      </c>
      <c r="E59" t="s">
        <v>817</v>
      </c>
    </row>
    <row r="60" spans="1:5" x14ac:dyDescent="0.25">
      <c r="A60" t="s">
        <v>818</v>
      </c>
      <c r="B60" t="s">
        <v>367</v>
      </c>
      <c r="C60" t="s">
        <v>635</v>
      </c>
      <c r="D60" t="s">
        <v>819</v>
      </c>
      <c r="E60" t="s">
        <v>820</v>
      </c>
    </row>
    <row r="61" spans="1:5" x14ac:dyDescent="0.25">
      <c r="A61" t="s">
        <v>821</v>
      </c>
      <c r="B61" t="s">
        <v>822</v>
      </c>
      <c r="C61" t="s">
        <v>823</v>
      </c>
      <c r="D61" t="s">
        <v>824</v>
      </c>
      <c r="E61" t="s">
        <v>825</v>
      </c>
    </row>
    <row r="62" spans="1:5" x14ac:dyDescent="0.25">
      <c r="A62" t="s">
        <v>826</v>
      </c>
      <c r="B62" t="s">
        <v>506</v>
      </c>
      <c r="C62" t="s">
        <v>668</v>
      </c>
      <c r="D62" t="s">
        <v>669</v>
      </c>
      <c r="E62" t="s">
        <v>670</v>
      </c>
    </row>
    <row r="63" spans="1:5" x14ac:dyDescent="0.25">
      <c r="A63" t="s">
        <v>827</v>
      </c>
      <c r="B63" t="s">
        <v>828</v>
      </c>
      <c r="C63" t="s">
        <v>829</v>
      </c>
      <c r="D63" t="s">
        <v>830</v>
      </c>
      <c r="E63" t="s">
        <v>831</v>
      </c>
    </row>
    <row r="64" spans="1:5" x14ac:dyDescent="0.25">
      <c r="A64" t="s">
        <v>832</v>
      </c>
      <c r="B64" t="s">
        <v>833</v>
      </c>
      <c r="C64" t="s">
        <v>834</v>
      </c>
      <c r="D64" t="s">
        <v>835</v>
      </c>
      <c r="E64" t="s">
        <v>836</v>
      </c>
    </row>
    <row r="65" spans="1:5" x14ac:dyDescent="0.25">
      <c r="A65" t="s">
        <v>837</v>
      </c>
      <c r="B65" t="s">
        <v>838</v>
      </c>
      <c r="C65" t="s">
        <v>839</v>
      </c>
      <c r="D65" t="s">
        <v>840</v>
      </c>
      <c r="E65" t="s">
        <v>841</v>
      </c>
    </row>
    <row r="66" spans="1:5" x14ac:dyDescent="0.25">
      <c r="A66" t="s">
        <v>842</v>
      </c>
      <c r="B66" t="s">
        <v>843</v>
      </c>
      <c r="C66" t="s">
        <v>844</v>
      </c>
      <c r="D66" t="s">
        <v>845</v>
      </c>
      <c r="E66" t="s">
        <v>846</v>
      </c>
    </row>
    <row r="67" spans="1:5" x14ac:dyDescent="0.25">
      <c r="A67" t="s">
        <v>847</v>
      </c>
      <c r="B67" t="s">
        <v>848</v>
      </c>
      <c r="C67" t="s">
        <v>849</v>
      </c>
      <c r="D67" t="s">
        <v>850</v>
      </c>
      <c r="E67" t="s">
        <v>851</v>
      </c>
    </row>
    <row r="68" spans="1:5" x14ac:dyDescent="0.25">
      <c r="A68" t="s">
        <v>1682</v>
      </c>
      <c r="B68" t="s">
        <v>853</v>
      </c>
      <c r="C68" t="s">
        <v>854</v>
      </c>
      <c r="D68" t="s">
        <v>855</v>
      </c>
      <c r="E68" t="s">
        <v>856</v>
      </c>
    </row>
    <row r="69" spans="1:5" x14ac:dyDescent="0.25">
      <c r="A69" t="s">
        <v>1683</v>
      </c>
      <c r="B69" t="s">
        <v>762</v>
      </c>
      <c r="C69" t="s">
        <v>858</v>
      </c>
      <c r="D69" t="s">
        <v>858</v>
      </c>
      <c r="E69" t="s">
        <v>859</v>
      </c>
    </row>
    <row r="70" spans="1:5" x14ac:dyDescent="0.25">
      <c r="A70" t="s">
        <v>866</v>
      </c>
      <c r="B70" t="s">
        <v>867</v>
      </c>
      <c r="C70" t="s">
        <v>868</v>
      </c>
      <c r="D70" t="s">
        <v>868</v>
      </c>
      <c r="E70" t="s">
        <v>869</v>
      </c>
    </row>
    <row r="71" spans="1:5" x14ac:dyDescent="0.25">
      <c r="A71" t="s">
        <v>870</v>
      </c>
      <c r="B71" t="s">
        <v>871</v>
      </c>
      <c r="C71" t="s">
        <v>872</v>
      </c>
      <c r="D71" t="s">
        <v>872</v>
      </c>
      <c r="E71" t="s">
        <v>873</v>
      </c>
    </row>
    <row r="72" spans="1:5" x14ac:dyDescent="0.25">
      <c r="A72" t="s">
        <v>874</v>
      </c>
      <c r="B72" t="s">
        <v>875</v>
      </c>
      <c r="C72" t="s">
        <v>876</v>
      </c>
      <c r="D72" t="s">
        <v>877</v>
      </c>
      <c r="E72" t="s">
        <v>878</v>
      </c>
    </row>
    <row r="73" spans="1:5" x14ac:dyDescent="0.25">
      <c r="A73" t="s">
        <v>879</v>
      </c>
      <c r="B73" t="s">
        <v>880</v>
      </c>
      <c r="C73" t="s">
        <v>881</v>
      </c>
      <c r="D73" t="s">
        <v>882</v>
      </c>
      <c r="E73" t="s">
        <v>883</v>
      </c>
    </row>
    <row r="74" spans="1:5" x14ac:dyDescent="0.25">
      <c r="A74" t="s">
        <v>884</v>
      </c>
      <c r="B74" t="s">
        <v>885</v>
      </c>
      <c r="C74" t="s">
        <v>886</v>
      </c>
      <c r="D74" t="s">
        <v>887</v>
      </c>
      <c r="E74" t="s">
        <v>1915</v>
      </c>
    </row>
    <row r="75" spans="1:5" x14ac:dyDescent="0.25">
      <c r="A75" t="s">
        <v>889</v>
      </c>
      <c r="B75" t="s">
        <v>890</v>
      </c>
      <c r="C75" t="s">
        <v>891</v>
      </c>
      <c r="D75" t="s">
        <v>892</v>
      </c>
      <c r="E75" t="s">
        <v>1914</v>
      </c>
    </row>
    <row r="76" spans="1:5" x14ac:dyDescent="0.25">
      <c r="A76" t="s">
        <v>894</v>
      </c>
      <c r="B76" t="s">
        <v>895</v>
      </c>
      <c r="C76" t="s">
        <v>896</v>
      </c>
      <c r="D76" t="s">
        <v>897</v>
      </c>
      <c r="E76" t="s">
        <v>898</v>
      </c>
    </row>
    <row r="77" spans="1:5" x14ac:dyDescent="0.25">
      <c r="A77" t="s">
        <v>899</v>
      </c>
      <c r="B77" t="s">
        <v>900</v>
      </c>
      <c r="C77" t="s">
        <v>901</v>
      </c>
      <c r="D77" t="s">
        <v>902</v>
      </c>
      <c r="E77" t="s">
        <v>903</v>
      </c>
    </row>
    <row r="78" spans="1:5" x14ac:dyDescent="0.25">
      <c r="A78" t="s">
        <v>904</v>
      </c>
      <c r="B78" t="s">
        <v>905</v>
      </c>
      <c r="C78" t="s">
        <v>906</v>
      </c>
      <c r="D78" t="s">
        <v>907</v>
      </c>
      <c r="E78" t="s">
        <v>908</v>
      </c>
    </row>
    <row r="79" spans="1:5" x14ac:dyDescent="0.25">
      <c r="A79" t="s">
        <v>909</v>
      </c>
      <c r="B79" t="s">
        <v>910</v>
      </c>
      <c r="C79" t="s">
        <v>911</v>
      </c>
      <c r="D79" t="s">
        <v>912</v>
      </c>
      <c r="E79" t="s">
        <v>913</v>
      </c>
    </row>
    <row r="80" spans="1:5" x14ac:dyDescent="0.25">
      <c r="A80" t="s">
        <v>914</v>
      </c>
      <c r="B80" t="s">
        <v>915</v>
      </c>
      <c r="C80" t="s">
        <v>916</v>
      </c>
      <c r="D80" t="s">
        <v>917</v>
      </c>
      <c r="E80" t="s">
        <v>918</v>
      </c>
    </row>
    <row r="81" spans="1:5" x14ac:dyDescent="0.25">
      <c r="A81" t="s">
        <v>919</v>
      </c>
      <c r="B81" t="s">
        <v>920</v>
      </c>
      <c r="C81" t="s">
        <v>921</v>
      </c>
      <c r="D81" t="s">
        <v>922</v>
      </c>
      <c r="E81" t="s">
        <v>923</v>
      </c>
    </row>
    <row r="82" spans="1:5" x14ac:dyDescent="0.25">
      <c r="A82" t="s">
        <v>924</v>
      </c>
      <c r="B82" t="s">
        <v>925</v>
      </c>
      <c r="C82" t="s">
        <v>926</v>
      </c>
      <c r="D82" t="s">
        <v>927</v>
      </c>
      <c r="E82" t="s">
        <v>928</v>
      </c>
    </row>
    <row r="83" spans="1:5" x14ac:dyDescent="0.25">
      <c r="A83" t="s">
        <v>929</v>
      </c>
      <c r="B83" t="s">
        <v>930</v>
      </c>
      <c r="C83" t="s">
        <v>931</v>
      </c>
      <c r="D83" t="s">
        <v>932</v>
      </c>
      <c r="E83" t="s">
        <v>933</v>
      </c>
    </row>
    <row r="84" spans="1:5" ht="52.8" x14ac:dyDescent="0.25">
      <c r="A84" t="s">
        <v>934</v>
      </c>
      <c r="B84" s="369" t="s">
        <v>935</v>
      </c>
      <c r="C84" s="369" t="s">
        <v>936</v>
      </c>
      <c r="D84" s="369" t="s">
        <v>937</v>
      </c>
      <c r="E84" s="369" t="s">
        <v>938</v>
      </c>
    </row>
    <row r="85" spans="1:5" ht="105.6" x14ac:dyDescent="0.25">
      <c r="A85" t="s">
        <v>939</v>
      </c>
      <c r="B85" s="369" t="s">
        <v>940</v>
      </c>
      <c r="C85" s="369" t="s">
        <v>941</v>
      </c>
      <c r="D85" s="369" t="s">
        <v>942</v>
      </c>
      <c r="E85" s="369" t="s">
        <v>943</v>
      </c>
    </row>
    <row r="86" spans="1:5" ht="224.4" x14ac:dyDescent="0.25">
      <c r="A86" t="s">
        <v>944</v>
      </c>
      <c r="B86" s="369" t="s">
        <v>1771</v>
      </c>
      <c r="C86" s="369" t="s">
        <v>945</v>
      </c>
      <c r="D86" s="369" t="s">
        <v>946</v>
      </c>
      <c r="E86" s="369" t="s">
        <v>947</v>
      </c>
    </row>
    <row r="87" spans="1:5" ht="369.6" x14ac:dyDescent="0.25">
      <c r="A87" t="s">
        <v>948</v>
      </c>
      <c r="B87" s="369" t="s">
        <v>949</v>
      </c>
      <c r="C87" s="369" t="s">
        <v>950</v>
      </c>
      <c r="D87" s="369" t="s">
        <v>951</v>
      </c>
      <c r="E87" s="369" t="s">
        <v>952</v>
      </c>
    </row>
    <row r="88" spans="1:5" ht="66" x14ac:dyDescent="0.25">
      <c r="A88" t="s">
        <v>953</v>
      </c>
      <c r="B88" s="369" t="s">
        <v>954</v>
      </c>
      <c r="C88" s="369" t="s">
        <v>955</v>
      </c>
      <c r="D88" s="369" t="s">
        <v>956</v>
      </c>
      <c r="E88" s="369" t="s">
        <v>957</v>
      </c>
    </row>
    <row r="89" spans="1:5" ht="277.2" x14ac:dyDescent="0.25">
      <c r="A89" t="s">
        <v>958</v>
      </c>
      <c r="B89" s="369" t="s">
        <v>959</v>
      </c>
      <c r="C89" s="369" t="s">
        <v>960</v>
      </c>
      <c r="D89" s="369" t="s">
        <v>961</v>
      </c>
      <c r="E89" s="369" t="s">
        <v>962</v>
      </c>
    </row>
    <row r="90" spans="1:5" ht="158.4" x14ac:dyDescent="0.25">
      <c r="A90" t="s">
        <v>963</v>
      </c>
      <c r="B90" s="369" t="s">
        <v>964</v>
      </c>
      <c r="C90" s="369" t="s">
        <v>965</v>
      </c>
      <c r="D90" s="369" t="s">
        <v>966</v>
      </c>
      <c r="E90" s="369" t="s">
        <v>967</v>
      </c>
    </row>
    <row r="91" spans="1:5" ht="52.8" x14ac:dyDescent="0.25">
      <c r="A91" t="s">
        <v>968</v>
      </c>
      <c r="B91" s="369" t="s">
        <v>969</v>
      </c>
      <c r="C91" s="369" t="s">
        <v>970</v>
      </c>
      <c r="D91" s="369" t="s">
        <v>971</v>
      </c>
      <c r="E91" s="369" t="s">
        <v>972</v>
      </c>
    </row>
    <row r="92" spans="1:5" ht="79.2" x14ac:dyDescent="0.25">
      <c r="A92" t="s">
        <v>973</v>
      </c>
      <c r="B92" s="369" t="s">
        <v>974</v>
      </c>
      <c r="C92" s="369" t="s">
        <v>975</v>
      </c>
      <c r="D92" s="369" t="s">
        <v>976</v>
      </c>
      <c r="E92" s="369" t="s">
        <v>977</v>
      </c>
    </row>
    <row r="93" spans="1:5" ht="66" x14ac:dyDescent="0.25">
      <c r="A93" t="s">
        <v>978</v>
      </c>
      <c r="B93" s="369" t="s">
        <v>979</v>
      </c>
      <c r="C93" s="369" t="s">
        <v>980</v>
      </c>
      <c r="D93" s="369" t="s">
        <v>981</v>
      </c>
      <c r="E93" s="369" t="s">
        <v>982</v>
      </c>
    </row>
    <row r="94" spans="1:5" x14ac:dyDescent="0.25">
      <c r="A94" t="s">
        <v>984</v>
      </c>
      <c r="B94" t="s">
        <v>985</v>
      </c>
      <c r="C94" t="s">
        <v>986</v>
      </c>
      <c r="D94" t="s">
        <v>987</v>
      </c>
      <c r="E94" t="s">
        <v>988</v>
      </c>
    </row>
    <row r="95" spans="1:5" x14ac:dyDescent="0.25">
      <c r="A95" t="s">
        <v>989</v>
      </c>
      <c r="B95" t="s">
        <v>990</v>
      </c>
      <c r="C95" t="s">
        <v>991</v>
      </c>
      <c r="D95" t="s">
        <v>992</v>
      </c>
      <c r="E95" t="s">
        <v>993</v>
      </c>
    </row>
    <row r="96" spans="1:5" x14ac:dyDescent="0.25">
      <c r="A96" t="s">
        <v>994</v>
      </c>
      <c r="B96" t="s">
        <v>995</v>
      </c>
      <c r="C96" t="s">
        <v>996</v>
      </c>
      <c r="D96" t="s">
        <v>997</v>
      </c>
      <c r="E96" t="s">
        <v>998</v>
      </c>
    </row>
    <row r="97" spans="1:5" x14ac:dyDescent="0.25">
      <c r="A97" t="s">
        <v>999</v>
      </c>
      <c r="B97" t="s">
        <v>1000</v>
      </c>
      <c r="C97" t="s">
        <v>1001</v>
      </c>
      <c r="D97" t="s">
        <v>1002</v>
      </c>
      <c r="E97" t="s">
        <v>1003</v>
      </c>
    </row>
    <row r="98" spans="1:5" x14ac:dyDescent="0.25">
      <c r="A98" t="s">
        <v>1004</v>
      </c>
      <c r="B98" t="s">
        <v>1005</v>
      </c>
      <c r="C98" t="s">
        <v>1006</v>
      </c>
      <c r="D98" t="s">
        <v>1007</v>
      </c>
      <c r="E98" t="s">
        <v>1008</v>
      </c>
    </row>
    <row r="99" spans="1:5" x14ac:dyDescent="0.25">
      <c r="A99" t="s">
        <v>1009</v>
      </c>
      <c r="B99" t="s">
        <v>1010</v>
      </c>
      <c r="C99" t="s">
        <v>1011</v>
      </c>
      <c r="D99" t="s">
        <v>1012</v>
      </c>
      <c r="E99" t="s">
        <v>1013</v>
      </c>
    </row>
    <row r="100" spans="1:5" x14ac:dyDescent="0.25">
      <c r="A100" t="s">
        <v>1014</v>
      </c>
      <c r="B100" t="s">
        <v>1015</v>
      </c>
      <c r="C100" t="s">
        <v>1016</v>
      </c>
      <c r="D100" t="s">
        <v>1017</v>
      </c>
      <c r="E100" t="s">
        <v>1018</v>
      </c>
    </row>
    <row r="101" spans="1:5" x14ac:dyDescent="0.25">
      <c r="A101" t="s">
        <v>1019</v>
      </c>
      <c r="B101" t="s">
        <v>1020</v>
      </c>
      <c r="C101" t="s">
        <v>1021</v>
      </c>
      <c r="D101" t="s">
        <v>1022</v>
      </c>
      <c r="E101" t="s">
        <v>1023</v>
      </c>
    </row>
    <row r="102" spans="1:5" x14ac:dyDescent="0.25">
      <c r="A102" t="s">
        <v>1024</v>
      </c>
      <c r="B102" t="s">
        <v>1025</v>
      </c>
      <c r="C102" t="s">
        <v>1026</v>
      </c>
      <c r="D102" t="s">
        <v>1027</v>
      </c>
      <c r="E102" t="s">
        <v>1028</v>
      </c>
    </row>
    <row r="103" spans="1:5" x14ac:dyDescent="0.25">
      <c r="A103" t="s">
        <v>1029</v>
      </c>
      <c r="B103" t="s">
        <v>363</v>
      </c>
      <c r="C103" t="s">
        <v>604</v>
      </c>
      <c r="D103" t="s">
        <v>605</v>
      </c>
      <c r="E103" t="s">
        <v>1030</v>
      </c>
    </row>
    <row r="104" spans="1:5" x14ac:dyDescent="0.25">
      <c r="A104" t="s">
        <v>1031</v>
      </c>
      <c r="B104" t="s">
        <v>1032</v>
      </c>
      <c r="C104" t="s">
        <v>1033</v>
      </c>
      <c r="D104" t="s">
        <v>1034</v>
      </c>
      <c r="E104" t="s">
        <v>1035</v>
      </c>
    </row>
    <row r="105" spans="1:5" x14ac:dyDescent="0.25">
      <c r="A105" t="s">
        <v>1036</v>
      </c>
      <c r="B105" t="s">
        <v>1037</v>
      </c>
      <c r="C105" t="s">
        <v>1038</v>
      </c>
      <c r="D105" t="s">
        <v>1039</v>
      </c>
      <c r="E105" t="s">
        <v>1040</v>
      </c>
    </row>
    <row r="106" spans="1:5" x14ac:dyDescent="0.25">
      <c r="A106" t="s">
        <v>1041</v>
      </c>
      <c r="B106" t="s">
        <v>532</v>
      </c>
      <c r="C106" t="s">
        <v>1042</v>
      </c>
      <c r="D106" t="s">
        <v>1043</v>
      </c>
      <c r="E106" t="s">
        <v>1044</v>
      </c>
    </row>
    <row r="107" spans="1:5" x14ac:dyDescent="0.25">
      <c r="A107" t="s">
        <v>1045</v>
      </c>
      <c r="B107" t="s">
        <v>1046</v>
      </c>
      <c r="C107" t="s">
        <v>1047</v>
      </c>
      <c r="D107" t="s">
        <v>1048</v>
      </c>
      <c r="E107" t="s">
        <v>1049</v>
      </c>
    </row>
    <row r="108" spans="1:5" x14ac:dyDescent="0.25">
      <c r="A108" t="s">
        <v>1050</v>
      </c>
      <c r="B108" t="s">
        <v>1051</v>
      </c>
      <c r="C108" t="s">
        <v>1052</v>
      </c>
      <c r="D108" t="s">
        <v>1053</v>
      </c>
      <c r="E108" t="s">
        <v>1054</v>
      </c>
    </row>
    <row r="109" spans="1:5" x14ac:dyDescent="0.25">
      <c r="A109" t="s">
        <v>1055</v>
      </c>
      <c r="B109" t="s">
        <v>1056</v>
      </c>
      <c r="C109" t="s">
        <v>1057</v>
      </c>
      <c r="D109" t="s">
        <v>1058</v>
      </c>
      <c r="E109" t="s">
        <v>1059</v>
      </c>
    </row>
    <row r="110" spans="1:5" x14ac:dyDescent="0.25">
      <c r="A110" t="s">
        <v>1060</v>
      </c>
      <c r="B110" t="s">
        <v>1061</v>
      </c>
      <c r="C110" t="s">
        <v>1062</v>
      </c>
      <c r="D110" t="s">
        <v>1063</v>
      </c>
      <c r="E110" t="s">
        <v>1064</v>
      </c>
    </row>
    <row r="111" spans="1:5" x14ac:dyDescent="0.25">
      <c r="A111" t="s">
        <v>1065</v>
      </c>
      <c r="B111" t="s">
        <v>1066</v>
      </c>
      <c r="C111" t="s">
        <v>1067</v>
      </c>
      <c r="D111" t="s">
        <v>1068</v>
      </c>
      <c r="E111" t="s">
        <v>1069</v>
      </c>
    </row>
    <row r="112" spans="1:5" x14ac:dyDescent="0.25">
      <c r="A112" t="s">
        <v>1070</v>
      </c>
      <c r="B112" t="s">
        <v>1071</v>
      </c>
      <c r="C112" t="s">
        <v>1072</v>
      </c>
      <c r="D112" t="s">
        <v>1073</v>
      </c>
      <c r="E112" t="s">
        <v>1074</v>
      </c>
    </row>
    <row r="113" spans="1:5" x14ac:dyDescent="0.25">
      <c r="A113" t="s">
        <v>1075</v>
      </c>
      <c r="B113" t="s">
        <v>1076</v>
      </c>
      <c r="C113" t="s">
        <v>1077</v>
      </c>
      <c r="D113" t="s">
        <v>1078</v>
      </c>
      <c r="E113" t="s">
        <v>1079</v>
      </c>
    </row>
    <row r="114" spans="1:5" x14ac:dyDescent="0.25">
      <c r="A114" t="s">
        <v>1080</v>
      </c>
      <c r="B114" t="s">
        <v>1081</v>
      </c>
      <c r="C114" t="s">
        <v>1082</v>
      </c>
      <c r="D114" t="s">
        <v>1083</v>
      </c>
      <c r="E114" t="s">
        <v>1084</v>
      </c>
    </row>
    <row r="115" spans="1:5" x14ac:dyDescent="0.25">
      <c r="A115" t="s">
        <v>1085</v>
      </c>
      <c r="B115" t="s">
        <v>1086</v>
      </c>
      <c r="C115" t="s">
        <v>1087</v>
      </c>
      <c r="D115" t="s">
        <v>1088</v>
      </c>
      <c r="E115" t="s">
        <v>1089</v>
      </c>
    </row>
    <row r="116" spans="1:5" x14ac:dyDescent="0.25">
      <c r="A116" t="s">
        <v>1090</v>
      </c>
      <c r="B116" t="s">
        <v>1091</v>
      </c>
      <c r="C116" t="s">
        <v>1092</v>
      </c>
      <c r="D116" t="s">
        <v>1093</v>
      </c>
      <c r="E116" t="s">
        <v>1094</v>
      </c>
    </row>
    <row r="117" spans="1:5" x14ac:dyDescent="0.25">
      <c r="A117" t="s">
        <v>1095</v>
      </c>
      <c r="B117" t="s">
        <v>1096</v>
      </c>
      <c r="C117" t="s">
        <v>1097</v>
      </c>
      <c r="D117" t="s">
        <v>1098</v>
      </c>
      <c r="E117" t="s">
        <v>1099</v>
      </c>
    </row>
    <row r="118" spans="1:5" x14ac:dyDescent="0.25">
      <c r="A118" t="s">
        <v>1100</v>
      </c>
      <c r="B118" t="s">
        <v>1101</v>
      </c>
      <c r="C118" t="s">
        <v>1102</v>
      </c>
      <c r="D118" t="s">
        <v>1103</v>
      </c>
      <c r="E118" t="s">
        <v>1104</v>
      </c>
    </row>
    <row r="119" spans="1:5" x14ac:dyDescent="0.25">
      <c r="A119" t="s">
        <v>1105</v>
      </c>
      <c r="B119" t="s">
        <v>1916</v>
      </c>
      <c r="C119" t="s">
        <v>1917</v>
      </c>
      <c r="D119" t="s">
        <v>1918</v>
      </c>
      <c r="E119" t="s">
        <v>1919</v>
      </c>
    </row>
    <row r="120" spans="1:5" x14ac:dyDescent="0.25">
      <c r="A120" t="s">
        <v>1110</v>
      </c>
      <c r="B120" t="s">
        <v>1111</v>
      </c>
      <c r="C120" t="s">
        <v>1112</v>
      </c>
      <c r="D120" t="s">
        <v>1113</v>
      </c>
      <c r="E120" t="s">
        <v>1114</v>
      </c>
    </row>
    <row r="121" spans="1:5" x14ac:dyDescent="0.25">
      <c r="A121" t="s">
        <v>1115</v>
      </c>
      <c r="B121" t="s">
        <v>1116</v>
      </c>
      <c r="C121" t="s">
        <v>1117</v>
      </c>
      <c r="D121" t="s">
        <v>1118</v>
      </c>
      <c r="E121" t="s">
        <v>1119</v>
      </c>
    </row>
    <row r="122" spans="1:5" x14ac:dyDescent="0.25">
      <c r="A122" t="s">
        <v>1120</v>
      </c>
      <c r="B122" t="s">
        <v>1121</v>
      </c>
      <c r="C122" t="s">
        <v>1122</v>
      </c>
      <c r="D122" t="s">
        <v>1123</v>
      </c>
      <c r="E122" t="s">
        <v>1124</v>
      </c>
    </row>
    <row r="123" spans="1:5" x14ac:dyDescent="0.25">
      <c r="A123" t="s">
        <v>1125</v>
      </c>
      <c r="B123" t="s">
        <v>1126</v>
      </c>
      <c r="C123" t="s">
        <v>1127</v>
      </c>
      <c r="D123" t="s">
        <v>1128</v>
      </c>
      <c r="E123" t="s">
        <v>1129</v>
      </c>
    </row>
    <row r="124" spans="1:5" x14ac:dyDescent="0.25">
      <c r="A124" t="s">
        <v>1130</v>
      </c>
      <c r="B124" t="s">
        <v>1131</v>
      </c>
      <c r="C124" t="s">
        <v>1132</v>
      </c>
      <c r="D124" t="s">
        <v>1133</v>
      </c>
      <c r="E124" t="s">
        <v>1134</v>
      </c>
    </row>
    <row r="125" spans="1:5" x14ac:dyDescent="0.25">
      <c r="A125" t="s">
        <v>1135</v>
      </c>
      <c r="B125" t="s">
        <v>1136</v>
      </c>
      <c r="C125" t="s">
        <v>1137</v>
      </c>
      <c r="D125" t="s">
        <v>1138</v>
      </c>
      <c r="E125" t="s">
        <v>1139</v>
      </c>
    </row>
    <row r="126" spans="1:5" x14ac:dyDescent="0.25">
      <c r="A126" t="s">
        <v>1140</v>
      </c>
      <c r="B126" t="s">
        <v>1141</v>
      </c>
      <c r="C126" t="s">
        <v>1142</v>
      </c>
      <c r="D126" t="s">
        <v>1143</v>
      </c>
      <c r="E126" t="s">
        <v>1144</v>
      </c>
    </row>
    <row r="127" spans="1:5" x14ac:dyDescent="0.25">
      <c r="A127" t="s">
        <v>1145</v>
      </c>
      <c r="B127" t="s">
        <v>1146</v>
      </c>
      <c r="C127" t="s">
        <v>1147</v>
      </c>
      <c r="D127" t="s">
        <v>1148</v>
      </c>
      <c r="E127" t="s">
        <v>1149</v>
      </c>
    </row>
    <row r="128" spans="1:5" x14ac:dyDescent="0.25">
      <c r="A128" t="s">
        <v>1150</v>
      </c>
      <c r="B128" t="s">
        <v>1151</v>
      </c>
      <c r="C128" t="s">
        <v>1152</v>
      </c>
      <c r="D128" t="s">
        <v>1153</v>
      </c>
      <c r="E128" t="s">
        <v>1154</v>
      </c>
    </row>
    <row r="129" spans="1:5" x14ac:dyDescent="0.25">
      <c r="A129" t="s">
        <v>1155</v>
      </c>
      <c r="B129" t="s">
        <v>1156</v>
      </c>
      <c r="C129" t="s">
        <v>1157</v>
      </c>
      <c r="D129" t="s">
        <v>1158</v>
      </c>
      <c r="E129" t="s">
        <v>1159</v>
      </c>
    </row>
    <row r="130" spans="1:5" x14ac:dyDescent="0.25">
      <c r="A130" t="s">
        <v>1160</v>
      </c>
      <c r="B130" t="s">
        <v>1334</v>
      </c>
      <c r="C130" t="s">
        <v>1335</v>
      </c>
      <c r="D130" t="s">
        <v>1336</v>
      </c>
      <c r="E130" t="s">
        <v>1337</v>
      </c>
    </row>
    <row r="131" spans="1:5" x14ac:dyDescent="0.25">
      <c r="A131" t="s">
        <v>1161</v>
      </c>
      <c r="B131" t="s">
        <v>1338</v>
      </c>
      <c r="C131" t="s">
        <v>1338</v>
      </c>
      <c r="D131" t="s">
        <v>1338</v>
      </c>
      <c r="E131" t="s">
        <v>1338</v>
      </c>
    </row>
    <row r="132" spans="1:5" x14ac:dyDescent="0.25">
      <c r="A132" t="s">
        <v>1162</v>
      </c>
      <c r="B132" t="s">
        <v>1339</v>
      </c>
      <c r="C132" t="s">
        <v>1340</v>
      </c>
      <c r="D132" t="s">
        <v>1341</v>
      </c>
      <c r="E132" t="s">
        <v>1342</v>
      </c>
    </row>
    <row r="133" spans="1:5" x14ac:dyDescent="0.25">
      <c r="A133" t="s">
        <v>1163</v>
      </c>
      <c r="B133" t="s">
        <v>1164</v>
      </c>
      <c r="C133" t="s">
        <v>1165</v>
      </c>
      <c r="D133" t="s">
        <v>1166</v>
      </c>
      <c r="E133" t="s">
        <v>1167</v>
      </c>
    </row>
    <row r="134" spans="1:5" x14ac:dyDescent="0.25">
      <c r="A134" t="s">
        <v>1168</v>
      </c>
      <c r="B134" t="s">
        <v>1169</v>
      </c>
      <c r="C134" t="s">
        <v>1170</v>
      </c>
      <c r="D134" t="s">
        <v>1171</v>
      </c>
      <c r="E134" t="s">
        <v>1172</v>
      </c>
    </row>
    <row r="135" spans="1:5" x14ac:dyDescent="0.25">
      <c r="A135" t="s">
        <v>1173</v>
      </c>
      <c r="B135" t="s">
        <v>1174</v>
      </c>
      <c r="C135" t="s">
        <v>1175</v>
      </c>
      <c r="D135" t="s">
        <v>1176</v>
      </c>
      <c r="E135" t="s">
        <v>1177</v>
      </c>
    </row>
    <row r="136" spans="1:5" x14ac:dyDescent="0.25">
      <c r="A136" t="s">
        <v>1178</v>
      </c>
      <c r="B136" t="s">
        <v>1179</v>
      </c>
      <c r="C136" t="s">
        <v>1180</v>
      </c>
      <c r="D136" t="s">
        <v>1181</v>
      </c>
      <c r="E136" t="s">
        <v>1182</v>
      </c>
    </row>
    <row r="137" spans="1:5" x14ac:dyDescent="0.25">
      <c r="A137" t="s">
        <v>1183</v>
      </c>
      <c r="B137" t="s">
        <v>1184</v>
      </c>
      <c r="C137" t="s">
        <v>1185</v>
      </c>
      <c r="D137" t="s">
        <v>1186</v>
      </c>
      <c r="E137" t="s">
        <v>1187</v>
      </c>
    </row>
    <row r="138" spans="1:5" x14ac:dyDescent="0.25">
      <c r="A138" t="s">
        <v>1188</v>
      </c>
      <c r="B138" t="s">
        <v>1189</v>
      </c>
      <c r="C138" t="s">
        <v>1190</v>
      </c>
      <c r="D138" t="s">
        <v>1191</v>
      </c>
      <c r="E138" t="s">
        <v>1192</v>
      </c>
    </row>
    <row r="139" spans="1:5" x14ac:dyDescent="0.25">
      <c r="A139" t="s">
        <v>1193</v>
      </c>
      <c r="B139" t="s">
        <v>1194</v>
      </c>
      <c r="C139" t="s">
        <v>1195</v>
      </c>
      <c r="D139" t="s">
        <v>1196</v>
      </c>
      <c r="E139" t="s">
        <v>1197</v>
      </c>
    </row>
    <row r="140" spans="1:5" x14ac:dyDescent="0.25">
      <c r="A140" t="s">
        <v>1198</v>
      </c>
      <c r="B140" t="s">
        <v>1199</v>
      </c>
      <c r="C140" t="s">
        <v>1200</v>
      </c>
      <c r="D140" t="s">
        <v>1201</v>
      </c>
      <c r="E140" t="s">
        <v>1202</v>
      </c>
    </row>
    <row r="141" spans="1:5" x14ac:dyDescent="0.25">
      <c r="A141" t="s">
        <v>1203</v>
      </c>
      <c r="B141" t="s">
        <v>1204</v>
      </c>
      <c r="C141" t="s">
        <v>1205</v>
      </c>
      <c r="D141" t="s">
        <v>1206</v>
      </c>
      <c r="E141" t="s">
        <v>1207</v>
      </c>
    </row>
    <row r="142" spans="1:5" x14ac:dyDescent="0.25">
      <c r="A142" t="s">
        <v>1208</v>
      </c>
      <c r="B142" t="s">
        <v>1209</v>
      </c>
      <c r="C142" t="s">
        <v>1210</v>
      </c>
      <c r="D142" t="s">
        <v>1211</v>
      </c>
      <c r="E142" t="s">
        <v>1212</v>
      </c>
    </row>
    <row r="143" spans="1:5" x14ac:dyDescent="0.25">
      <c r="A143" t="s">
        <v>1213</v>
      </c>
      <c r="B143" t="s">
        <v>1214</v>
      </c>
      <c r="C143" t="s">
        <v>1215</v>
      </c>
      <c r="D143" t="s">
        <v>1216</v>
      </c>
      <c r="E143" t="s">
        <v>1217</v>
      </c>
    </row>
    <row r="144" spans="1:5" x14ac:dyDescent="0.25">
      <c r="A144" t="s">
        <v>1218</v>
      </c>
      <c r="B144" t="s">
        <v>1219</v>
      </c>
      <c r="C144" t="s">
        <v>1220</v>
      </c>
      <c r="D144" t="s">
        <v>1221</v>
      </c>
      <c r="E144" t="s">
        <v>1222</v>
      </c>
    </row>
    <row r="145" spans="1:5" x14ac:dyDescent="0.25">
      <c r="A145" t="s">
        <v>1223</v>
      </c>
      <c r="B145" t="s">
        <v>1224</v>
      </c>
      <c r="C145" t="s">
        <v>1225</v>
      </c>
      <c r="D145" t="s">
        <v>1226</v>
      </c>
      <c r="E145" t="s">
        <v>1227</v>
      </c>
    </row>
    <row r="146" spans="1:5" x14ac:dyDescent="0.25">
      <c r="A146" t="s">
        <v>1228</v>
      </c>
      <c r="B146" t="s">
        <v>1229</v>
      </c>
      <c r="C146" t="s">
        <v>1230</v>
      </c>
      <c r="D146" t="s">
        <v>1231</v>
      </c>
      <c r="E146" t="s">
        <v>1232</v>
      </c>
    </row>
    <row r="147" spans="1:5" x14ac:dyDescent="0.25">
      <c r="A147" t="s">
        <v>1233</v>
      </c>
      <c r="B147" t="s">
        <v>1234</v>
      </c>
      <c r="C147" t="s">
        <v>1235</v>
      </c>
      <c r="D147" t="s">
        <v>1236</v>
      </c>
      <c r="E147" t="s">
        <v>1237</v>
      </c>
    </row>
    <row r="148" spans="1:5" x14ac:dyDescent="0.25">
      <c r="A148" t="s">
        <v>1238</v>
      </c>
      <c r="B148" t="s">
        <v>1239</v>
      </c>
      <c r="C148" t="s">
        <v>1240</v>
      </c>
      <c r="D148" t="s">
        <v>1241</v>
      </c>
      <c r="E148" t="s">
        <v>1242</v>
      </c>
    </row>
    <row r="149" spans="1:5" x14ac:dyDescent="0.25">
      <c r="A149" t="s">
        <v>1243</v>
      </c>
      <c r="B149" t="s">
        <v>1244</v>
      </c>
      <c r="C149" t="s">
        <v>1245</v>
      </c>
      <c r="D149" t="s">
        <v>1246</v>
      </c>
      <c r="E149" t="s">
        <v>1247</v>
      </c>
    </row>
    <row r="150" spans="1:5" x14ac:dyDescent="0.25">
      <c r="A150" t="s">
        <v>1248</v>
      </c>
      <c r="B150" t="s">
        <v>1249</v>
      </c>
      <c r="C150" t="s">
        <v>1250</v>
      </c>
      <c r="D150" t="s">
        <v>1251</v>
      </c>
      <c r="E150" t="s">
        <v>1252</v>
      </c>
    </row>
    <row r="151" spans="1:5" x14ac:dyDescent="0.25">
      <c r="A151" t="s">
        <v>1253</v>
      </c>
      <c r="B151" t="s">
        <v>1254</v>
      </c>
      <c r="C151" t="s">
        <v>1255</v>
      </c>
      <c r="D151" t="s">
        <v>1256</v>
      </c>
      <c r="E151" t="s">
        <v>1257</v>
      </c>
    </row>
    <row r="152" spans="1:5" x14ac:dyDescent="0.25">
      <c r="A152" t="s">
        <v>1258</v>
      </c>
      <c r="B152" t="s">
        <v>1259</v>
      </c>
      <c r="C152" t="s">
        <v>1260</v>
      </c>
      <c r="D152" t="s">
        <v>1261</v>
      </c>
      <c r="E152" t="s">
        <v>1262</v>
      </c>
    </row>
    <row r="153" spans="1:5" x14ac:dyDescent="0.25">
      <c r="A153" t="s">
        <v>1263</v>
      </c>
      <c r="B153" t="s">
        <v>1264</v>
      </c>
      <c r="C153" t="s">
        <v>1265</v>
      </c>
      <c r="D153" t="s">
        <v>1266</v>
      </c>
      <c r="E153" t="s">
        <v>1267</v>
      </c>
    </row>
    <row r="154" spans="1:5" x14ac:dyDescent="0.25">
      <c r="A154" t="s">
        <v>1268</v>
      </c>
      <c r="B154" t="s">
        <v>1269</v>
      </c>
      <c r="C154" t="s">
        <v>1270</v>
      </c>
      <c r="D154" t="s">
        <v>1271</v>
      </c>
      <c r="E154" t="s">
        <v>1272</v>
      </c>
    </row>
    <row r="155" spans="1:5" x14ac:dyDescent="0.25">
      <c r="A155" t="s">
        <v>1273</v>
      </c>
      <c r="B155" t="s">
        <v>1274</v>
      </c>
      <c r="C155" t="s">
        <v>1275</v>
      </c>
      <c r="D155" t="s">
        <v>1276</v>
      </c>
      <c r="E155" t="s">
        <v>1277</v>
      </c>
    </row>
    <row r="156" spans="1:5" x14ac:dyDescent="0.25">
      <c r="A156" t="s">
        <v>1278</v>
      </c>
      <c r="B156" t="s">
        <v>1279</v>
      </c>
      <c r="C156" t="s">
        <v>1280</v>
      </c>
      <c r="D156" t="s">
        <v>1281</v>
      </c>
      <c r="E156" t="s">
        <v>1282</v>
      </c>
    </row>
    <row r="157" spans="1:5" x14ac:dyDescent="0.25">
      <c r="A157" t="s">
        <v>1283</v>
      </c>
      <c r="B157" t="s">
        <v>1284</v>
      </c>
      <c r="C157" t="s">
        <v>1285</v>
      </c>
      <c r="D157" t="s">
        <v>1286</v>
      </c>
      <c r="E157" t="s">
        <v>1287</v>
      </c>
    </row>
    <row r="158" spans="1:5" x14ac:dyDescent="0.25">
      <c r="A158" t="s">
        <v>1288</v>
      </c>
      <c r="B158" t="s">
        <v>1289</v>
      </c>
      <c r="C158" t="s">
        <v>1290</v>
      </c>
      <c r="D158" t="s">
        <v>1291</v>
      </c>
      <c r="E158" t="s">
        <v>1292</v>
      </c>
    </row>
    <row r="159" spans="1:5" x14ac:dyDescent="0.25">
      <c r="A159" t="s">
        <v>1293</v>
      </c>
      <c r="B159" t="s">
        <v>1294</v>
      </c>
      <c r="C159" t="s">
        <v>1295</v>
      </c>
      <c r="D159" t="s">
        <v>1296</v>
      </c>
      <c r="E159" t="s">
        <v>1297</v>
      </c>
    </row>
    <row r="160" spans="1:5" x14ac:dyDescent="0.25">
      <c r="A160" t="s">
        <v>1298</v>
      </c>
      <c r="B160" t="s">
        <v>1299</v>
      </c>
      <c r="C160" t="s">
        <v>1300</v>
      </c>
      <c r="D160" t="s">
        <v>1301</v>
      </c>
      <c r="E160" t="s">
        <v>1302</v>
      </c>
    </row>
    <row r="161" spans="1:5" x14ac:dyDescent="0.25">
      <c r="A161" t="s">
        <v>1303</v>
      </c>
      <c r="B161" t="s">
        <v>1304</v>
      </c>
      <c r="C161" t="s">
        <v>1305</v>
      </c>
      <c r="D161" t="s">
        <v>1306</v>
      </c>
      <c r="E161" t="s">
        <v>1307</v>
      </c>
    </row>
    <row r="162" spans="1:5" x14ac:dyDescent="0.25">
      <c r="A162" t="s">
        <v>1308</v>
      </c>
      <c r="B162" t="s">
        <v>1309</v>
      </c>
      <c r="C162" t="s">
        <v>1310</v>
      </c>
      <c r="D162" t="s">
        <v>1311</v>
      </c>
      <c r="E162" t="s">
        <v>1312</v>
      </c>
    </row>
    <row r="163" spans="1:5" x14ac:dyDescent="0.25">
      <c r="A163" t="s">
        <v>1313</v>
      </c>
      <c r="B163" t="s">
        <v>1314</v>
      </c>
      <c r="C163" t="s">
        <v>1315</v>
      </c>
      <c r="D163" t="s">
        <v>1316</v>
      </c>
      <c r="E163" t="s">
        <v>1317</v>
      </c>
    </row>
    <row r="164" spans="1:5" x14ac:dyDescent="0.25">
      <c r="A164" t="s">
        <v>1318</v>
      </c>
      <c r="B164" t="s">
        <v>1319</v>
      </c>
      <c r="C164" t="s">
        <v>1320</v>
      </c>
      <c r="D164" t="s">
        <v>1321</v>
      </c>
      <c r="E164" t="s">
        <v>1322</v>
      </c>
    </row>
    <row r="165" spans="1:5" x14ac:dyDescent="0.25">
      <c r="A165" t="s">
        <v>1323</v>
      </c>
      <c r="B165" t="s">
        <v>1324</v>
      </c>
      <c r="C165" t="s">
        <v>1325</v>
      </c>
      <c r="D165" t="s">
        <v>1326</v>
      </c>
      <c r="E165" t="s">
        <v>1327</v>
      </c>
    </row>
    <row r="166" spans="1:5" x14ac:dyDescent="0.25">
      <c r="A166" t="s">
        <v>1328</v>
      </c>
      <c r="B166" t="s">
        <v>1343</v>
      </c>
      <c r="C166" t="s">
        <v>1344</v>
      </c>
      <c r="D166" t="s">
        <v>1345</v>
      </c>
      <c r="E166" t="s">
        <v>1346</v>
      </c>
    </row>
    <row r="167" spans="1:5" ht="26.4" x14ac:dyDescent="0.25">
      <c r="A167" t="s">
        <v>1329</v>
      </c>
      <c r="B167" s="369" t="s">
        <v>1330</v>
      </c>
      <c r="C167" s="369" t="s">
        <v>1331</v>
      </c>
      <c r="D167" s="369" t="s">
        <v>1330</v>
      </c>
      <c r="E167" s="369" t="s">
        <v>1332</v>
      </c>
    </row>
    <row r="168" spans="1:5" x14ac:dyDescent="0.25">
      <c r="A168" t="s">
        <v>1333</v>
      </c>
      <c r="B168" t="s">
        <v>1347</v>
      </c>
      <c r="C168" t="s">
        <v>1348</v>
      </c>
      <c r="D168" t="s">
        <v>1349</v>
      </c>
      <c r="E168" t="s">
        <v>1350</v>
      </c>
    </row>
    <row r="169" spans="1:5" x14ac:dyDescent="0.25">
      <c r="A169" t="s">
        <v>1351</v>
      </c>
      <c r="B169" t="s">
        <v>1352</v>
      </c>
      <c r="C169" t="s">
        <v>1353</v>
      </c>
      <c r="D169" t="s">
        <v>1354</v>
      </c>
      <c r="E169" t="s">
        <v>1355</v>
      </c>
    </row>
    <row r="170" spans="1:5" x14ac:dyDescent="0.25">
      <c r="A170" t="s">
        <v>1356</v>
      </c>
      <c r="B170" t="s">
        <v>1357</v>
      </c>
      <c r="C170" t="s">
        <v>1358</v>
      </c>
      <c r="D170" t="s">
        <v>1359</v>
      </c>
      <c r="E170" t="s">
        <v>1360</v>
      </c>
    </row>
    <row r="171" spans="1:5" x14ac:dyDescent="0.25">
      <c r="A171" t="s">
        <v>1361</v>
      </c>
      <c r="B171" t="s">
        <v>1362</v>
      </c>
      <c r="C171" t="s">
        <v>1363</v>
      </c>
      <c r="D171" t="s">
        <v>1364</v>
      </c>
      <c r="E171" t="s">
        <v>1365</v>
      </c>
    </row>
    <row r="172" spans="1:5" x14ac:dyDescent="0.25">
      <c r="A172" t="s">
        <v>1366</v>
      </c>
      <c r="B172" t="s">
        <v>1367</v>
      </c>
      <c r="C172" t="s">
        <v>1368</v>
      </c>
      <c r="D172" t="s">
        <v>1369</v>
      </c>
      <c r="E172" t="s">
        <v>1370</v>
      </c>
    </row>
    <row r="173" spans="1:5" x14ac:dyDescent="0.25">
      <c r="A173" t="s">
        <v>1371</v>
      </c>
      <c r="B173" t="s">
        <v>1372</v>
      </c>
      <c r="C173" t="s">
        <v>1373</v>
      </c>
      <c r="D173" t="s">
        <v>1374</v>
      </c>
      <c r="E173" t="s">
        <v>1375</v>
      </c>
    </row>
    <row r="174" spans="1:5" x14ac:dyDescent="0.25">
      <c r="A174" t="s">
        <v>1376</v>
      </c>
      <c r="B174" t="s">
        <v>1377</v>
      </c>
      <c r="C174" t="s">
        <v>1378</v>
      </c>
      <c r="D174" t="s">
        <v>1379</v>
      </c>
      <c r="E174" t="s">
        <v>1380</v>
      </c>
    </row>
    <row r="175" spans="1:5" x14ac:dyDescent="0.25">
      <c r="A175" t="s">
        <v>1381</v>
      </c>
      <c r="B175" t="s">
        <v>1382</v>
      </c>
      <c r="C175" t="s">
        <v>1383</v>
      </c>
      <c r="D175" t="s">
        <v>1384</v>
      </c>
      <c r="E175" t="s">
        <v>1385</v>
      </c>
    </row>
    <row r="176" spans="1:5" x14ac:dyDescent="0.25">
      <c r="A176" t="s">
        <v>1386</v>
      </c>
      <c r="B176" t="s">
        <v>1859</v>
      </c>
      <c r="C176" t="s">
        <v>1860</v>
      </c>
      <c r="D176" t="s">
        <v>1861</v>
      </c>
      <c r="E176" t="s">
        <v>1862</v>
      </c>
    </row>
    <row r="177" spans="1:5" x14ac:dyDescent="0.25">
      <c r="A177" t="s">
        <v>1391</v>
      </c>
      <c r="B177" t="s">
        <v>1863</v>
      </c>
      <c r="C177" t="s">
        <v>1864</v>
      </c>
      <c r="D177" t="s">
        <v>1865</v>
      </c>
      <c r="E177" t="s">
        <v>1866</v>
      </c>
    </row>
    <row r="178" spans="1:5" x14ac:dyDescent="0.25">
      <c r="A178" t="s">
        <v>1396</v>
      </c>
      <c r="B178" t="s">
        <v>1397</v>
      </c>
      <c r="C178" t="s">
        <v>1398</v>
      </c>
      <c r="D178" t="s">
        <v>1399</v>
      </c>
      <c r="E178" t="s">
        <v>1400</v>
      </c>
    </row>
    <row r="179" spans="1:5" x14ac:dyDescent="0.25">
      <c r="A179" t="s">
        <v>1401</v>
      </c>
      <c r="B179" t="s">
        <v>1402</v>
      </c>
      <c r="C179" t="s">
        <v>1403</v>
      </c>
      <c r="D179" t="s">
        <v>1404</v>
      </c>
      <c r="E179" t="s">
        <v>1405</v>
      </c>
    </row>
    <row r="180" spans="1:5" x14ac:dyDescent="0.25">
      <c r="A180" t="s">
        <v>1406</v>
      </c>
      <c r="B180" t="s">
        <v>1407</v>
      </c>
      <c r="C180" t="s">
        <v>1408</v>
      </c>
      <c r="D180" t="s">
        <v>1409</v>
      </c>
      <c r="E180" t="s">
        <v>1410</v>
      </c>
    </row>
    <row r="181" spans="1:5" x14ac:dyDescent="0.25">
      <c r="A181" t="s">
        <v>1411</v>
      </c>
      <c r="B181" t="s">
        <v>1412</v>
      </c>
      <c r="C181" t="s">
        <v>1413</v>
      </c>
      <c r="D181" t="s">
        <v>1414</v>
      </c>
      <c r="E181" t="s">
        <v>1415</v>
      </c>
    </row>
    <row r="182" spans="1:5" x14ac:dyDescent="0.25">
      <c r="A182" t="s">
        <v>1416</v>
      </c>
      <c r="B182" t="s">
        <v>1417</v>
      </c>
      <c r="C182" t="s">
        <v>1418</v>
      </c>
      <c r="D182" t="s">
        <v>1419</v>
      </c>
      <c r="E182" t="s">
        <v>1420</v>
      </c>
    </row>
    <row r="183" spans="1:5" x14ac:dyDescent="0.25">
      <c r="A183" t="s">
        <v>1421</v>
      </c>
      <c r="B183" t="s">
        <v>1422</v>
      </c>
      <c r="C183" t="s">
        <v>1423</v>
      </c>
      <c r="D183" t="s">
        <v>1424</v>
      </c>
      <c r="E183" t="s">
        <v>1425</v>
      </c>
    </row>
    <row r="184" spans="1:5" x14ac:dyDescent="0.25">
      <c r="A184" t="s">
        <v>1426</v>
      </c>
      <c r="B184" t="s">
        <v>1427</v>
      </c>
      <c r="C184" t="s">
        <v>1428</v>
      </c>
      <c r="D184" t="s">
        <v>1429</v>
      </c>
      <c r="E184" t="s">
        <v>1430</v>
      </c>
    </row>
    <row r="185" spans="1:5" x14ac:dyDescent="0.25">
      <c r="A185" t="s">
        <v>1431</v>
      </c>
      <c r="B185" t="s">
        <v>1432</v>
      </c>
      <c r="C185" t="s">
        <v>1433</v>
      </c>
      <c r="D185" t="s">
        <v>1433</v>
      </c>
      <c r="E185" t="s">
        <v>1434</v>
      </c>
    </row>
    <row r="186" spans="1:5" ht="79.2" x14ac:dyDescent="0.25">
      <c r="A186" t="s">
        <v>1435</v>
      </c>
      <c r="B186" s="369" t="s">
        <v>1436</v>
      </c>
      <c r="C186" s="369" t="s">
        <v>1437</v>
      </c>
      <c r="D186" s="369" t="s">
        <v>1438</v>
      </c>
      <c r="E186" s="369" t="s">
        <v>1439</v>
      </c>
    </row>
    <row r="187" spans="1:5" ht="237.6" x14ac:dyDescent="0.25">
      <c r="A187" t="s">
        <v>1440</v>
      </c>
      <c r="B187" s="369" t="s">
        <v>1891</v>
      </c>
      <c r="C187" s="369" t="s">
        <v>1892</v>
      </c>
      <c r="D187" s="369" t="s">
        <v>1893</v>
      </c>
      <c r="E187" s="369" t="s">
        <v>1894</v>
      </c>
    </row>
    <row r="188" spans="1:5" ht="264" x14ac:dyDescent="0.25">
      <c r="A188" t="s">
        <v>1445</v>
      </c>
      <c r="B188" s="369" t="s">
        <v>1928</v>
      </c>
      <c r="C188" s="369" t="s">
        <v>1929</v>
      </c>
      <c r="D188" s="369" t="s">
        <v>1930</v>
      </c>
      <c r="E188" s="369" t="s">
        <v>1931</v>
      </c>
    </row>
    <row r="189" spans="1:5" ht="290.39999999999998" x14ac:dyDescent="0.25">
      <c r="A189" t="s">
        <v>1450</v>
      </c>
      <c r="B189" s="369" t="s">
        <v>1451</v>
      </c>
      <c r="C189" s="369" t="s">
        <v>1452</v>
      </c>
      <c r="D189" s="369" t="s">
        <v>1453</v>
      </c>
      <c r="E189" s="369" t="s">
        <v>1454</v>
      </c>
    </row>
    <row r="190" spans="1:5" ht="290.39999999999998" x14ac:dyDescent="0.25">
      <c r="A190" t="s">
        <v>1455</v>
      </c>
      <c r="B190" s="369" t="s">
        <v>1924</v>
      </c>
      <c r="C190" s="369" t="s">
        <v>1925</v>
      </c>
      <c r="D190" s="369" t="s">
        <v>1926</v>
      </c>
      <c r="E190" s="369" t="s">
        <v>1927</v>
      </c>
    </row>
    <row r="191" spans="1:5" x14ac:dyDescent="0.25">
      <c r="A191" t="s">
        <v>1460</v>
      </c>
      <c r="B191" t="s">
        <v>1461</v>
      </c>
      <c r="C191" t="s">
        <v>1462</v>
      </c>
      <c r="D191" t="s">
        <v>1463</v>
      </c>
      <c r="E191" t="s">
        <v>1464</v>
      </c>
    </row>
    <row r="192" spans="1:5" ht="145.19999999999999" x14ac:dyDescent="0.25">
      <c r="A192" t="s">
        <v>1465</v>
      </c>
      <c r="B192" s="369" t="s">
        <v>1466</v>
      </c>
      <c r="C192" s="369" t="s">
        <v>1467</v>
      </c>
      <c r="D192" s="369" t="s">
        <v>1468</v>
      </c>
      <c r="E192" s="369" t="s">
        <v>1469</v>
      </c>
    </row>
    <row r="193" spans="1:5" ht="118.8" x14ac:dyDescent="0.25">
      <c r="A193" t="s">
        <v>1470</v>
      </c>
      <c r="B193" s="369" t="s">
        <v>1471</v>
      </c>
      <c r="C193" s="369" t="s">
        <v>1472</v>
      </c>
      <c r="D193" s="369" t="s">
        <v>1473</v>
      </c>
      <c r="E193" s="369" t="s">
        <v>1474</v>
      </c>
    </row>
    <row r="194" spans="1:5" ht="277.2" x14ac:dyDescent="0.25">
      <c r="A194" t="s">
        <v>1475</v>
      </c>
      <c r="B194" s="369" t="s">
        <v>1867</v>
      </c>
      <c r="C194" s="369" t="s">
        <v>1868</v>
      </c>
      <c r="D194" s="369" t="s">
        <v>1869</v>
      </c>
      <c r="E194" s="369" t="s">
        <v>1870</v>
      </c>
    </row>
    <row r="195" spans="1:5" ht="171.6" x14ac:dyDescent="0.25">
      <c r="A195" t="s">
        <v>1480</v>
      </c>
      <c r="B195" s="369" t="s">
        <v>1871</v>
      </c>
      <c r="C195" s="369" t="s">
        <v>1872</v>
      </c>
      <c r="D195" s="369" t="s">
        <v>1873</v>
      </c>
      <c r="E195" s="369" t="s">
        <v>1874</v>
      </c>
    </row>
    <row r="196" spans="1:5" ht="224.4" x14ac:dyDescent="0.25">
      <c r="A196" t="s">
        <v>1485</v>
      </c>
      <c r="B196" s="369" t="s">
        <v>1875</v>
      </c>
      <c r="C196" s="369" t="s">
        <v>1876</v>
      </c>
      <c r="D196" s="369" t="s">
        <v>1877</v>
      </c>
      <c r="E196" s="369" t="s">
        <v>1878</v>
      </c>
    </row>
    <row r="197" spans="1:5" ht="250.8" x14ac:dyDescent="0.25">
      <c r="A197" t="s">
        <v>1490</v>
      </c>
      <c r="B197" s="369" t="s">
        <v>1491</v>
      </c>
      <c r="C197" s="369" t="s">
        <v>1492</v>
      </c>
      <c r="D197" s="369" t="s">
        <v>1493</v>
      </c>
      <c r="E197" s="369" t="s">
        <v>1494</v>
      </c>
    </row>
    <row r="198" spans="1:5" ht="409.6" x14ac:dyDescent="0.25">
      <c r="A198" t="s">
        <v>1495</v>
      </c>
      <c r="B198" s="369" t="s">
        <v>1496</v>
      </c>
      <c r="C198" s="369" t="s">
        <v>1497</v>
      </c>
      <c r="D198" s="369" t="s">
        <v>1498</v>
      </c>
      <c r="E198" s="369" t="s">
        <v>1499</v>
      </c>
    </row>
    <row r="199" spans="1:5" x14ac:dyDescent="0.25">
      <c r="A199" t="s">
        <v>1500</v>
      </c>
      <c r="B199" t="s">
        <v>1501</v>
      </c>
      <c r="C199" t="s">
        <v>1502</v>
      </c>
      <c r="D199" t="s">
        <v>1503</v>
      </c>
      <c r="E199" t="s">
        <v>1504</v>
      </c>
    </row>
    <row r="200" spans="1:5" x14ac:dyDescent="0.25">
      <c r="A200" t="s">
        <v>1505</v>
      </c>
      <c r="B200" t="s">
        <v>1506</v>
      </c>
      <c r="C200" t="s">
        <v>1507</v>
      </c>
      <c r="D200" t="s">
        <v>1508</v>
      </c>
      <c r="E200" t="s">
        <v>1509</v>
      </c>
    </row>
    <row r="201" spans="1:5" x14ac:dyDescent="0.25">
      <c r="A201" t="s">
        <v>1510</v>
      </c>
      <c r="B201" t="s">
        <v>1511</v>
      </c>
      <c r="C201" t="s">
        <v>1512</v>
      </c>
      <c r="D201" t="s">
        <v>1513</v>
      </c>
      <c r="E201" t="s">
        <v>1514</v>
      </c>
    </row>
    <row r="202" spans="1:5" x14ac:dyDescent="0.25">
      <c r="A202" t="s">
        <v>1515</v>
      </c>
      <c r="B202" t="s">
        <v>1516</v>
      </c>
      <c r="C202" t="s">
        <v>1517</v>
      </c>
      <c r="D202" t="s">
        <v>1517</v>
      </c>
      <c r="E202" t="s">
        <v>1518</v>
      </c>
    </row>
    <row r="203" spans="1:5" x14ac:dyDescent="0.25">
      <c r="A203" t="s">
        <v>1519</v>
      </c>
      <c r="B203" t="s">
        <v>1520</v>
      </c>
      <c r="C203" t="s">
        <v>1521</v>
      </c>
      <c r="D203" t="s">
        <v>1522</v>
      </c>
      <c r="E203" t="s">
        <v>1523</v>
      </c>
    </row>
    <row r="204" spans="1:5" x14ac:dyDescent="0.25">
      <c r="A204" t="s">
        <v>1524</v>
      </c>
      <c r="B204" t="s">
        <v>1525</v>
      </c>
      <c r="C204" t="s">
        <v>1526</v>
      </c>
      <c r="D204" t="s">
        <v>1527</v>
      </c>
      <c r="E204" t="s">
        <v>1528</v>
      </c>
    </row>
    <row r="205" spans="1:5" x14ac:dyDescent="0.25">
      <c r="A205" t="s">
        <v>1529</v>
      </c>
      <c r="B205" t="s">
        <v>1530</v>
      </c>
      <c r="C205" t="s">
        <v>1531</v>
      </c>
      <c r="D205" t="s">
        <v>1532</v>
      </c>
      <c r="E205" t="s">
        <v>1533</v>
      </c>
    </row>
    <row r="206" spans="1:5" x14ac:dyDescent="0.25">
      <c r="A206" t="s">
        <v>1534</v>
      </c>
      <c r="B206" t="s">
        <v>1535</v>
      </c>
      <c r="C206" t="s">
        <v>1536</v>
      </c>
      <c r="D206" t="s">
        <v>1537</v>
      </c>
      <c r="E206" t="s">
        <v>1538</v>
      </c>
    </row>
    <row r="207" spans="1:5" x14ac:dyDescent="0.25">
      <c r="A207" t="s">
        <v>1539</v>
      </c>
      <c r="B207" t="s">
        <v>1540</v>
      </c>
      <c r="C207" t="s">
        <v>1541</v>
      </c>
      <c r="D207" t="s">
        <v>1542</v>
      </c>
      <c r="E207" t="s">
        <v>1543</v>
      </c>
    </row>
    <row r="208" spans="1:5" x14ac:dyDescent="0.25">
      <c r="A208" t="s">
        <v>1544</v>
      </c>
      <c r="B208" t="s">
        <v>1545</v>
      </c>
      <c r="C208" t="s">
        <v>1546</v>
      </c>
      <c r="D208" t="s">
        <v>1547</v>
      </c>
      <c r="E208" t="s">
        <v>1548</v>
      </c>
    </row>
    <row r="209" spans="1:5" x14ac:dyDescent="0.25">
      <c r="A209" t="s">
        <v>1549</v>
      </c>
      <c r="B209" t="s">
        <v>1550</v>
      </c>
      <c r="C209" t="s">
        <v>1551</v>
      </c>
      <c r="D209" t="s">
        <v>1552</v>
      </c>
      <c r="E209" t="s">
        <v>1553</v>
      </c>
    </row>
    <row r="210" spans="1:5" x14ac:dyDescent="0.25">
      <c r="A210" t="s">
        <v>1554</v>
      </c>
      <c r="B210" t="s">
        <v>1555</v>
      </c>
      <c r="C210" t="s">
        <v>1555</v>
      </c>
      <c r="D210" t="s">
        <v>1555</v>
      </c>
      <c r="E210" t="s">
        <v>1556</v>
      </c>
    </row>
    <row r="211" spans="1:5" x14ac:dyDescent="0.25">
      <c r="A211" t="s">
        <v>1557</v>
      </c>
      <c r="B211" t="s">
        <v>1558</v>
      </c>
      <c r="C211" t="s">
        <v>1559</v>
      </c>
      <c r="D211" t="s">
        <v>1559</v>
      </c>
      <c r="E211" t="s">
        <v>1560</v>
      </c>
    </row>
    <row r="212" spans="1:5" x14ac:dyDescent="0.25">
      <c r="A212" t="s">
        <v>1561</v>
      </c>
      <c r="B212" t="s">
        <v>1562</v>
      </c>
      <c r="C212" t="s">
        <v>1563</v>
      </c>
      <c r="D212" t="s">
        <v>1564</v>
      </c>
      <c r="E212" t="s">
        <v>1565</v>
      </c>
    </row>
    <row r="213" spans="1:5" x14ac:dyDescent="0.25">
      <c r="A213" t="s">
        <v>1566</v>
      </c>
      <c r="B213" t="s">
        <v>1567</v>
      </c>
      <c r="C213" t="s">
        <v>1568</v>
      </c>
      <c r="D213" t="s">
        <v>1569</v>
      </c>
      <c r="E213" t="s">
        <v>1570</v>
      </c>
    </row>
    <row r="214" spans="1:5" x14ac:dyDescent="0.25">
      <c r="A214" t="s">
        <v>1571</v>
      </c>
      <c r="B214" t="s">
        <v>1572</v>
      </c>
      <c r="C214" t="s">
        <v>1573</v>
      </c>
      <c r="D214" t="s">
        <v>1574</v>
      </c>
      <c r="E214" t="s">
        <v>1575</v>
      </c>
    </row>
    <row r="215" spans="1:5" x14ac:dyDescent="0.25">
      <c r="A215" t="s">
        <v>1576</v>
      </c>
      <c r="B215" t="s">
        <v>1577</v>
      </c>
      <c r="C215" t="s">
        <v>1578</v>
      </c>
      <c r="D215" t="s">
        <v>1579</v>
      </c>
      <c r="E215" t="s">
        <v>1580</v>
      </c>
    </row>
    <row r="216" spans="1:5" x14ac:dyDescent="0.25">
      <c r="A216" t="s">
        <v>1581</v>
      </c>
      <c r="B216" t="s">
        <v>1582</v>
      </c>
      <c r="C216" t="s">
        <v>1583</v>
      </c>
      <c r="D216" t="s">
        <v>1584</v>
      </c>
      <c r="E216" t="s">
        <v>1585</v>
      </c>
    </row>
    <row r="217" spans="1:5" x14ac:dyDescent="0.25">
      <c r="A217" t="s">
        <v>1586</v>
      </c>
      <c r="B217" t="s">
        <v>1587</v>
      </c>
      <c r="C217" t="s">
        <v>1588</v>
      </c>
      <c r="D217" t="s">
        <v>1589</v>
      </c>
      <c r="E217" t="s">
        <v>1590</v>
      </c>
    </row>
    <row r="218" spans="1:5" x14ac:dyDescent="0.25">
      <c r="A218" t="s">
        <v>1591</v>
      </c>
      <c r="B218" t="s">
        <v>1592</v>
      </c>
      <c r="C218" t="s">
        <v>1593</v>
      </c>
      <c r="D218" t="s">
        <v>1594</v>
      </c>
      <c r="E218" t="s">
        <v>1595</v>
      </c>
    </row>
    <row r="219" spans="1:5" x14ac:dyDescent="0.25">
      <c r="A219" t="s">
        <v>1596</v>
      </c>
      <c r="B219" t="s">
        <v>1597</v>
      </c>
      <c r="C219" t="s">
        <v>1598</v>
      </c>
      <c r="D219" t="s">
        <v>1599</v>
      </c>
      <c r="E219" t="s">
        <v>1600</v>
      </c>
    </row>
    <row r="220" spans="1:5" ht="39.6" x14ac:dyDescent="0.25">
      <c r="A220" t="s">
        <v>1601</v>
      </c>
      <c r="B220" s="369" t="s">
        <v>1602</v>
      </c>
      <c r="C220" s="369" t="s">
        <v>1603</v>
      </c>
      <c r="D220" s="369" t="s">
        <v>1604</v>
      </c>
      <c r="E220" s="369" t="s">
        <v>1605</v>
      </c>
    </row>
    <row r="221" spans="1:5" ht="52.8" x14ac:dyDescent="0.25">
      <c r="A221" t="s">
        <v>1606</v>
      </c>
      <c r="B221" s="369" t="s">
        <v>1607</v>
      </c>
      <c r="C221" s="369" t="s">
        <v>1608</v>
      </c>
      <c r="D221" s="369" t="s">
        <v>1609</v>
      </c>
      <c r="E221" s="369" t="s">
        <v>1610</v>
      </c>
    </row>
    <row r="222" spans="1:5" x14ac:dyDescent="0.25">
      <c r="A222" t="s">
        <v>1611</v>
      </c>
      <c r="B222" t="s">
        <v>1612</v>
      </c>
      <c r="C222" t="s">
        <v>1613</v>
      </c>
      <c r="D222" t="s">
        <v>1614</v>
      </c>
      <c r="E222" t="s">
        <v>1615</v>
      </c>
    </row>
    <row r="223" spans="1:5" x14ac:dyDescent="0.25">
      <c r="A223" t="s">
        <v>1616</v>
      </c>
      <c r="B223" t="s">
        <v>1617</v>
      </c>
      <c r="C223" t="s">
        <v>1618</v>
      </c>
      <c r="D223" t="s">
        <v>1619</v>
      </c>
      <c r="E223" t="s">
        <v>1620</v>
      </c>
    </row>
    <row r="224" spans="1:5" x14ac:dyDescent="0.25">
      <c r="A224" t="s">
        <v>1621</v>
      </c>
      <c r="B224" t="s">
        <v>1622</v>
      </c>
      <c r="C224" t="s">
        <v>1623</v>
      </c>
      <c r="D224" t="s">
        <v>1624</v>
      </c>
      <c r="E224" t="s">
        <v>1625</v>
      </c>
    </row>
    <row r="225" spans="1:5" x14ac:dyDescent="0.25">
      <c r="A225" t="s">
        <v>1626</v>
      </c>
      <c r="B225" t="s">
        <v>1627</v>
      </c>
      <c r="C225" t="s">
        <v>1627</v>
      </c>
      <c r="D225" t="s">
        <v>1628</v>
      </c>
      <c r="E225" t="s">
        <v>1629</v>
      </c>
    </row>
    <row r="226" spans="1:5" x14ac:dyDescent="0.25">
      <c r="A226" t="s">
        <v>1685</v>
      </c>
      <c r="B226" t="s">
        <v>1686</v>
      </c>
      <c r="C226" t="s">
        <v>1687</v>
      </c>
      <c r="D226" t="s">
        <v>1688</v>
      </c>
      <c r="E226" t="s">
        <v>1689</v>
      </c>
    </row>
    <row r="227" spans="1:5" x14ac:dyDescent="0.25">
      <c r="A227" t="s">
        <v>1690</v>
      </c>
      <c r="B227" t="s">
        <v>1691</v>
      </c>
      <c r="C227" t="s">
        <v>1692</v>
      </c>
      <c r="D227" t="s">
        <v>1693</v>
      </c>
      <c r="E227" t="s">
        <v>1694</v>
      </c>
    </row>
    <row r="228" spans="1:5" x14ac:dyDescent="0.25">
      <c r="A228" t="s">
        <v>1695</v>
      </c>
      <c r="B228" t="s">
        <v>1696</v>
      </c>
      <c r="C228" t="s">
        <v>1697</v>
      </c>
      <c r="D228" t="s">
        <v>1698</v>
      </c>
      <c r="E228" t="s">
        <v>1699</v>
      </c>
    </row>
    <row r="229" spans="1:5" x14ac:dyDescent="0.25">
      <c r="A229" t="s">
        <v>1700</v>
      </c>
      <c r="B229" t="s">
        <v>1701</v>
      </c>
      <c r="C229" t="s">
        <v>1702</v>
      </c>
      <c r="D229" t="s">
        <v>1703</v>
      </c>
      <c r="E229" t="s">
        <v>1704</v>
      </c>
    </row>
    <row r="230" spans="1:5" x14ac:dyDescent="0.25">
      <c r="A230" t="s">
        <v>1705</v>
      </c>
      <c r="B230" t="s">
        <v>1706</v>
      </c>
      <c r="C230" t="s">
        <v>1707</v>
      </c>
      <c r="D230" t="s">
        <v>1708</v>
      </c>
      <c r="E230" t="s">
        <v>1709</v>
      </c>
    </row>
    <row r="231" spans="1:5" x14ac:dyDescent="0.25">
      <c r="A231" t="s">
        <v>1710</v>
      </c>
      <c r="B231" t="s">
        <v>1711</v>
      </c>
      <c r="C231" t="s">
        <v>1712</v>
      </c>
      <c r="D231" t="s">
        <v>1713</v>
      </c>
      <c r="E231" t="s">
        <v>1714</v>
      </c>
    </row>
    <row r="232" spans="1:5" x14ac:dyDescent="0.25">
      <c r="A232" t="s">
        <v>1715</v>
      </c>
      <c r="B232" t="s">
        <v>1716</v>
      </c>
      <c r="C232" t="s">
        <v>1717</v>
      </c>
      <c r="D232" t="s">
        <v>1718</v>
      </c>
      <c r="E232" t="s">
        <v>1719</v>
      </c>
    </row>
    <row r="233" spans="1:5" x14ac:dyDescent="0.25">
      <c r="A233" t="s">
        <v>1720</v>
      </c>
      <c r="B233" t="s">
        <v>1721</v>
      </c>
      <c r="C233" t="s">
        <v>1722</v>
      </c>
      <c r="D233" t="s">
        <v>1723</v>
      </c>
      <c r="E233" t="s">
        <v>1724</v>
      </c>
    </row>
    <row r="234" spans="1:5" x14ac:dyDescent="0.25">
      <c r="A234" t="s">
        <v>1725</v>
      </c>
      <c r="B234" t="s">
        <v>1726</v>
      </c>
      <c r="C234" t="s">
        <v>1727</v>
      </c>
      <c r="D234" t="s">
        <v>1728</v>
      </c>
      <c r="E234" t="s">
        <v>1729</v>
      </c>
    </row>
    <row r="235" spans="1:5" x14ac:dyDescent="0.25">
      <c r="A235" t="s">
        <v>1730</v>
      </c>
      <c r="B235" t="s">
        <v>1731</v>
      </c>
      <c r="C235" t="s">
        <v>1732</v>
      </c>
      <c r="D235" t="s">
        <v>1733</v>
      </c>
      <c r="E235" t="s">
        <v>1734</v>
      </c>
    </row>
    <row r="236" spans="1:5" x14ac:dyDescent="0.25">
      <c r="A236" t="s">
        <v>1735</v>
      </c>
      <c r="B236" t="s">
        <v>1736</v>
      </c>
      <c r="C236" t="s">
        <v>1737</v>
      </c>
      <c r="D236" t="s">
        <v>1738</v>
      </c>
      <c r="E236" t="s">
        <v>1739</v>
      </c>
    </row>
    <row r="237" spans="1:5" x14ac:dyDescent="0.25">
      <c r="A237" t="s">
        <v>1740</v>
      </c>
      <c r="B237" t="s">
        <v>1741</v>
      </c>
      <c r="C237" t="s">
        <v>1742</v>
      </c>
      <c r="D237" t="s">
        <v>1743</v>
      </c>
      <c r="E237" t="s">
        <v>1744</v>
      </c>
    </row>
    <row r="238" spans="1:5" x14ac:dyDescent="0.25">
      <c r="A238" t="s">
        <v>1745</v>
      </c>
      <c r="B238" t="s">
        <v>1746</v>
      </c>
      <c r="C238" t="s">
        <v>1747</v>
      </c>
      <c r="D238" t="s">
        <v>1748</v>
      </c>
      <c r="E238" t="s">
        <v>1749</v>
      </c>
    </row>
    <row r="239" spans="1:5" x14ac:dyDescent="0.25">
      <c r="A239" t="s">
        <v>1750</v>
      </c>
      <c r="B239" t="s">
        <v>1751</v>
      </c>
      <c r="C239" t="s">
        <v>1752</v>
      </c>
      <c r="D239" t="s">
        <v>1753</v>
      </c>
      <c r="E239" t="s">
        <v>1754</v>
      </c>
    </row>
    <row r="240" spans="1:5" x14ac:dyDescent="0.25">
      <c r="A240" t="s">
        <v>1755</v>
      </c>
      <c r="B240" t="s">
        <v>1756</v>
      </c>
      <c r="C240" t="s">
        <v>1757</v>
      </c>
      <c r="D240" t="s">
        <v>1758</v>
      </c>
      <c r="E240" t="s">
        <v>1759</v>
      </c>
    </row>
    <row r="241" spans="1:5" x14ac:dyDescent="0.25">
      <c r="A241" t="s">
        <v>1760</v>
      </c>
      <c r="B241" t="s">
        <v>1761</v>
      </c>
      <c r="C241" t="s">
        <v>1762</v>
      </c>
      <c r="D241" t="s">
        <v>1763</v>
      </c>
      <c r="E241" t="s">
        <v>1764</v>
      </c>
    </row>
    <row r="242" spans="1:5" x14ac:dyDescent="0.25">
      <c r="A242" t="s">
        <v>1765</v>
      </c>
      <c r="B242" t="s">
        <v>1766</v>
      </c>
      <c r="C242" t="s">
        <v>1767</v>
      </c>
      <c r="D242" t="s">
        <v>1768</v>
      </c>
      <c r="E242" t="s">
        <v>1769</v>
      </c>
    </row>
    <row r="243" spans="1:5" x14ac:dyDescent="0.25">
      <c r="A243" t="s">
        <v>1773</v>
      </c>
      <c r="B243" t="s">
        <v>1774</v>
      </c>
      <c r="C243" t="s">
        <v>1775</v>
      </c>
      <c r="D243" t="s">
        <v>1776</v>
      </c>
      <c r="E243" t="s">
        <v>1777</v>
      </c>
    </row>
    <row r="244" spans="1:5" ht="26.4" x14ac:dyDescent="0.25">
      <c r="A244" t="s">
        <v>1778</v>
      </c>
      <c r="B244" s="369" t="s">
        <v>1779</v>
      </c>
      <c r="C244" s="369" t="s">
        <v>1780</v>
      </c>
      <c r="D244" s="369" t="s">
        <v>1781</v>
      </c>
      <c r="E244" s="369" t="s">
        <v>1782</v>
      </c>
    </row>
    <row r="245" spans="1:5" x14ac:dyDescent="0.25">
      <c r="A245" t="s">
        <v>1783</v>
      </c>
      <c r="B245" t="s">
        <v>1784</v>
      </c>
      <c r="C245" t="s">
        <v>1785</v>
      </c>
      <c r="D245" t="s">
        <v>1786</v>
      </c>
      <c r="E245" t="s">
        <v>1787</v>
      </c>
    </row>
    <row r="246" spans="1:5" x14ac:dyDescent="0.25">
      <c r="A246" t="s">
        <v>1788</v>
      </c>
      <c r="B246" t="s">
        <v>367</v>
      </c>
      <c r="C246" t="s">
        <v>635</v>
      </c>
      <c r="D246" t="s">
        <v>636</v>
      </c>
      <c r="E246" t="s">
        <v>1789</v>
      </c>
    </row>
    <row r="247" spans="1:5" ht="158.4" x14ac:dyDescent="0.25">
      <c r="A247" t="s">
        <v>1790</v>
      </c>
      <c r="B247" s="369" t="s">
        <v>1791</v>
      </c>
      <c r="C247" s="369" t="s">
        <v>1792</v>
      </c>
      <c r="D247" s="369" t="s">
        <v>1793</v>
      </c>
      <c r="E247" s="369" t="s">
        <v>1794</v>
      </c>
    </row>
    <row r="248" spans="1:5" x14ac:dyDescent="0.25">
      <c r="A248" t="s">
        <v>1795</v>
      </c>
      <c r="B248" t="s">
        <v>1796</v>
      </c>
      <c r="C248" t="s">
        <v>1797</v>
      </c>
      <c r="D248" t="s">
        <v>1798</v>
      </c>
      <c r="E248" t="s">
        <v>1799</v>
      </c>
    </row>
    <row r="249" spans="1:5" ht="118.8" x14ac:dyDescent="0.25">
      <c r="A249" t="s">
        <v>1800</v>
      </c>
      <c r="B249" s="369" t="s">
        <v>1801</v>
      </c>
      <c r="C249" s="369" t="s">
        <v>1802</v>
      </c>
      <c r="D249" s="369" t="s">
        <v>1803</v>
      </c>
      <c r="E249" s="369" t="s">
        <v>1804</v>
      </c>
    </row>
    <row r="250" spans="1:5" x14ac:dyDescent="0.25">
      <c r="A250" t="s">
        <v>1805</v>
      </c>
      <c r="B250" t="s">
        <v>364</v>
      </c>
      <c r="C250" t="s">
        <v>622</v>
      </c>
      <c r="D250" t="s">
        <v>1806</v>
      </c>
      <c r="E250" t="s">
        <v>1807</v>
      </c>
    </row>
    <row r="251" spans="1:5" ht="184.8" x14ac:dyDescent="0.25">
      <c r="A251" t="s">
        <v>1808</v>
      </c>
      <c r="B251" s="369" t="s">
        <v>1809</v>
      </c>
      <c r="C251" s="369" t="s">
        <v>1810</v>
      </c>
      <c r="D251" s="369" t="s">
        <v>1811</v>
      </c>
      <c r="E251" s="369" t="s">
        <v>1812</v>
      </c>
    </row>
    <row r="252" spans="1:5" x14ac:dyDescent="0.25">
      <c r="A252" t="s">
        <v>1813</v>
      </c>
      <c r="B252" t="s">
        <v>1814</v>
      </c>
      <c r="C252" t="s">
        <v>1815</v>
      </c>
      <c r="D252" t="s">
        <v>1816</v>
      </c>
      <c r="E252" t="s">
        <v>1817</v>
      </c>
    </row>
    <row r="253" spans="1:5" ht="158.4" x14ac:dyDescent="0.25">
      <c r="A253" t="s">
        <v>1818</v>
      </c>
      <c r="B253" s="369" t="s">
        <v>1819</v>
      </c>
      <c r="C253" s="369" t="s">
        <v>1820</v>
      </c>
      <c r="D253" s="369" t="s">
        <v>1821</v>
      </c>
      <c r="E253" s="369" t="s">
        <v>1822</v>
      </c>
    </row>
    <row r="254" spans="1:5" x14ac:dyDescent="0.25">
      <c r="A254" t="s">
        <v>1823</v>
      </c>
      <c r="B254" t="s">
        <v>1824</v>
      </c>
      <c r="C254" t="s">
        <v>1825</v>
      </c>
      <c r="D254" t="s">
        <v>1826</v>
      </c>
      <c r="E254" t="s">
        <v>1827</v>
      </c>
    </row>
    <row r="255" spans="1:5" ht="105.6" x14ac:dyDescent="0.25">
      <c r="A255" t="s">
        <v>1828</v>
      </c>
      <c r="B255" s="369" t="s">
        <v>1879</v>
      </c>
      <c r="C255" s="369" t="s">
        <v>1880</v>
      </c>
      <c r="D255" s="369" t="s">
        <v>1881</v>
      </c>
      <c r="E255" s="369" t="s">
        <v>1882</v>
      </c>
    </row>
    <row r="256" spans="1:5" x14ac:dyDescent="0.25">
      <c r="A256" t="s">
        <v>1829</v>
      </c>
      <c r="B256" t="s">
        <v>1883</v>
      </c>
      <c r="C256" t="s">
        <v>1884</v>
      </c>
      <c r="D256" t="s">
        <v>1885</v>
      </c>
      <c r="E256" t="s">
        <v>1886</v>
      </c>
    </row>
    <row r="257" spans="1:5" ht="171.6" x14ac:dyDescent="0.25">
      <c r="A257" t="s">
        <v>1830</v>
      </c>
      <c r="B257" s="369" t="s">
        <v>1920</v>
      </c>
      <c r="C257" s="369" t="s">
        <v>1921</v>
      </c>
      <c r="D257" s="369" t="s">
        <v>1922</v>
      </c>
      <c r="E257" s="369" t="s">
        <v>1923</v>
      </c>
    </row>
    <row r="258" spans="1:5" x14ac:dyDescent="0.25">
      <c r="A258" t="s">
        <v>1831</v>
      </c>
      <c r="B258" t="s">
        <v>502</v>
      </c>
      <c r="C258" t="s">
        <v>1832</v>
      </c>
      <c r="D258" t="s">
        <v>676</v>
      </c>
      <c r="E258" t="s">
        <v>1833</v>
      </c>
    </row>
    <row r="259" spans="1:5" ht="158.4" x14ac:dyDescent="0.25">
      <c r="A259" t="s">
        <v>1834</v>
      </c>
      <c r="B259" s="369" t="s">
        <v>1903</v>
      </c>
      <c r="C259" s="369" t="s">
        <v>1904</v>
      </c>
      <c r="D259" s="369" t="s">
        <v>1905</v>
      </c>
      <c r="E259" s="369" t="s">
        <v>1906</v>
      </c>
    </row>
    <row r="260" spans="1:5" x14ac:dyDescent="0.25">
      <c r="A260" t="s">
        <v>1835</v>
      </c>
      <c r="B260" t="s">
        <v>1895</v>
      </c>
      <c r="C260" t="s">
        <v>1896</v>
      </c>
      <c r="D260" t="s">
        <v>1897</v>
      </c>
      <c r="E260" t="s">
        <v>1898</v>
      </c>
    </row>
    <row r="261" spans="1:5" x14ac:dyDescent="0.25">
      <c r="A261" t="s">
        <v>1836</v>
      </c>
      <c r="B261" t="s">
        <v>1899</v>
      </c>
      <c r="C261" t="s">
        <v>1900</v>
      </c>
      <c r="D261" t="s">
        <v>1901</v>
      </c>
      <c r="E261" t="s">
        <v>1902</v>
      </c>
    </row>
    <row r="262" spans="1:5" x14ac:dyDescent="0.25">
      <c r="A262" t="s">
        <v>1837</v>
      </c>
      <c r="B262" t="s">
        <v>1838</v>
      </c>
      <c r="C262" t="s">
        <v>1839</v>
      </c>
      <c r="D262" t="s">
        <v>1840</v>
      </c>
      <c r="E262" t="s">
        <v>1841</v>
      </c>
    </row>
    <row r="263" spans="1:5" x14ac:dyDescent="0.25">
      <c r="A263" t="s">
        <v>1932</v>
      </c>
      <c r="B263" t="s">
        <v>1933</v>
      </c>
      <c r="C263" t="s">
        <v>1934</v>
      </c>
      <c r="D263" t="s">
        <v>1935</v>
      </c>
      <c r="E263" t="s">
        <v>1936</v>
      </c>
    </row>
    <row r="264" spans="1:5" x14ac:dyDescent="0.25">
      <c r="A264" t="s">
        <v>1937</v>
      </c>
      <c r="B264" t="s">
        <v>1938</v>
      </c>
      <c r="C264" t="s">
        <v>1939</v>
      </c>
      <c r="D264" t="s">
        <v>1940</v>
      </c>
      <c r="E264" t="s">
        <v>1941</v>
      </c>
    </row>
    <row r="265" spans="1:5" x14ac:dyDescent="0.25">
      <c r="A265" t="s">
        <v>1942</v>
      </c>
      <c r="B265" t="s">
        <v>1943</v>
      </c>
      <c r="C265" t="s">
        <v>1944</v>
      </c>
      <c r="D265" t="s">
        <v>1945</v>
      </c>
      <c r="E265" t="s">
        <v>1946</v>
      </c>
    </row>
    <row r="266" spans="1:5" x14ac:dyDescent="0.25">
      <c r="A266" t="s">
        <v>1947</v>
      </c>
      <c r="B266" t="s">
        <v>1948</v>
      </c>
      <c r="C266" t="s">
        <v>1949</v>
      </c>
      <c r="D266" t="s">
        <v>1950</v>
      </c>
      <c r="E266" t="s">
        <v>1951</v>
      </c>
    </row>
    <row r="267" spans="1:5" x14ac:dyDescent="0.25">
      <c r="A267" t="s">
        <v>1952</v>
      </c>
      <c r="B267" t="s">
        <v>1953</v>
      </c>
      <c r="C267" t="s">
        <v>1954</v>
      </c>
      <c r="D267" t="s">
        <v>1955</v>
      </c>
      <c r="E267" t="s">
        <v>1956</v>
      </c>
    </row>
    <row r="268" spans="1:5" x14ac:dyDescent="0.25">
      <c r="A268" t="s">
        <v>1957</v>
      </c>
      <c r="B268" t="s">
        <v>1958</v>
      </c>
      <c r="C268" t="s">
        <v>1959</v>
      </c>
      <c r="D268" t="s">
        <v>1960</v>
      </c>
      <c r="E268" t="s">
        <v>1961</v>
      </c>
    </row>
    <row r="269" spans="1:5" x14ac:dyDescent="0.25">
      <c r="A269" t="s">
        <v>1962</v>
      </c>
      <c r="B269" t="s">
        <v>1963</v>
      </c>
      <c r="C269" t="s">
        <v>1964</v>
      </c>
      <c r="D269" t="s">
        <v>1965</v>
      </c>
      <c r="E269" t="s">
        <v>1966</v>
      </c>
    </row>
    <row r="270" spans="1:5" x14ac:dyDescent="0.25">
      <c r="A270" t="s">
        <v>1967</v>
      </c>
      <c r="B270" t="s">
        <v>1968</v>
      </c>
      <c r="C270" t="s">
        <v>1969</v>
      </c>
      <c r="D270" t="s">
        <v>1970</v>
      </c>
      <c r="E270" t="s">
        <v>1971</v>
      </c>
    </row>
    <row r="271" spans="1:5" x14ac:dyDescent="0.25">
      <c r="A271" t="s">
        <v>1972</v>
      </c>
      <c r="B271" t="s">
        <v>1973</v>
      </c>
      <c r="C271" t="s">
        <v>1974</v>
      </c>
      <c r="D271" t="s">
        <v>1975</v>
      </c>
      <c r="E271" t="s">
        <v>1976</v>
      </c>
    </row>
    <row r="272" spans="1:5" x14ac:dyDescent="0.25">
      <c r="A272" t="s">
        <v>1977</v>
      </c>
      <c r="B272" t="s">
        <v>1978</v>
      </c>
      <c r="C272" t="s">
        <v>1979</v>
      </c>
      <c r="D272" t="s">
        <v>1980</v>
      </c>
      <c r="E272" t="s">
        <v>1981</v>
      </c>
    </row>
    <row r="273" spans="1:5" x14ac:dyDescent="0.25">
      <c r="A273" t="s">
        <v>1982</v>
      </c>
      <c r="B273" t="s">
        <v>1983</v>
      </c>
      <c r="C273" t="s">
        <v>1984</v>
      </c>
      <c r="D273" t="s">
        <v>1985</v>
      </c>
      <c r="E273" t="s">
        <v>1986</v>
      </c>
    </row>
    <row r="274" spans="1:5" x14ac:dyDescent="0.25">
      <c r="A274" t="s">
        <v>1987</v>
      </c>
      <c r="B274" t="s">
        <v>1988</v>
      </c>
      <c r="C274" t="s">
        <v>1989</v>
      </c>
      <c r="D274" t="s">
        <v>1990</v>
      </c>
      <c r="E274" t="s">
        <v>1991</v>
      </c>
    </row>
    <row r="275" spans="1:5" x14ac:dyDescent="0.25">
      <c r="A275" t="s">
        <v>1992</v>
      </c>
      <c r="B275" t="s">
        <v>1993</v>
      </c>
      <c r="C275" t="s">
        <v>1994</v>
      </c>
      <c r="D275" t="s">
        <v>1995</v>
      </c>
      <c r="E275" t="s">
        <v>1996</v>
      </c>
    </row>
    <row r="276" spans="1:5" x14ac:dyDescent="0.25">
      <c r="A276" t="s">
        <v>1997</v>
      </c>
      <c r="B276" t="s">
        <v>1998</v>
      </c>
      <c r="C276" t="s">
        <v>1999</v>
      </c>
      <c r="D276" t="s">
        <v>2000</v>
      </c>
      <c r="E276" t="s">
        <v>2001</v>
      </c>
    </row>
    <row r="277" spans="1:5" x14ac:dyDescent="0.25">
      <c r="A277" t="s">
        <v>2002</v>
      </c>
      <c r="B277" t="s">
        <v>2003</v>
      </c>
      <c r="C277" t="s">
        <v>2004</v>
      </c>
      <c r="D277" t="s">
        <v>2004</v>
      </c>
      <c r="E277" t="s">
        <v>2005</v>
      </c>
    </row>
    <row r="278" spans="1:5" x14ac:dyDescent="0.25">
      <c r="A278" t="s">
        <v>2006</v>
      </c>
      <c r="B278" t="s">
        <v>2007</v>
      </c>
      <c r="C278" t="s">
        <v>2008</v>
      </c>
      <c r="D278" t="s">
        <v>2009</v>
      </c>
      <c r="E278" t="s">
        <v>2010</v>
      </c>
    </row>
    <row r="279" spans="1:5" x14ac:dyDescent="0.25">
      <c r="A279" t="s">
        <v>2011</v>
      </c>
      <c r="B279" t="s">
        <v>2012</v>
      </c>
      <c r="C279" t="s">
        <v>2013</v>
      </c>
      <c r="D279" t="s">
        <v>2014</v>
      </c>
      <c r="E279" t="s">
        <v>2015</v>
      </c>
    </row>
    <row r="280" spans="1:5" x14ac:dyDescent="0.25">
      <c r="A280" t="s">
        <v>2016</v>
      </c>
      <c r="B280" t="s">
        <v>2017</v>
      </c>
      <c r="C280" t="s">
        <v>2018</v>
      </c>
      <c r="D280" t="s">
        <v>2019</v>
      </c>
      <c r="E280" t="s">
        <v>2020</v>
      </c>
    </row>
    <row r="281" spans="1:5" x14ac:dyDescent="0.25">
      <c r="A281" t="s">
        <v>2021</v>
      </c>
      <c r="B281" t="s">
        <v>2022</v>
      </c>
      <c r="C281" t="s">
        <v>2023</v>
      </c>
      <c r="D281" t="s">
        <v>2024</v>
      </c>
      <c r="E281" t="s">
        <v>2025</v>
      </c>
    </row>
    <row r="282" spans="1:5" x14ac:dyDescent="0.25">
      <c r="A282" t="s">
        <v>2026</v>
      </c>
      <c r="B282" t="s">
        <v>2027</v>
      </c>
      <c r="C282" t="s">
        <v>2028</v>
      </c>
      <c r="D282" t="s">
        <v>2029</v>
      </c>
      <c r="E282" t="s">
        <v>2030</v>
      </c>
    </row>
    <row r="283" spans="1:5" x14ac:dyDescent="0.25">
      <c r="A283" t="s">
        <v>2031</v>
      </c>
      <c r="B283" t="s">
        <v>2032</v>
      </c>
      <c r="C283" t="s">
        <v>2033</v>
      </c>
      <c r="D283" t="s">
        <v>2034</v>
      </c>
      <c r="E283" t="s">
        <v>2035</v>
      </c>
    </row>
    <row r="284" spans="1:5" ht="198" x14ac:dyDescent="0.25">
      <c r="A284" t="s">
        <v>2036</v>
      </c>
      <c r="B284" s="369" t="s">
        <v>2037</v>
      </c>
      <c r="C284" s="369" t="s">
        <v>2038</v>
      </c>
      <c r="D284" s="369" t="s">
        <v>2039</v>
      </c>
      <c r="E284" s="369" t="s">
        <v>2040</v>
      </c>
    </row>
    <row r="285" spans="1:5" x14ac:dyDescent="0.25">
      <c r="A285" t="s">
        <v>2041</v>
      </c>
      <c r="B285" t="s">
        <v>2042</v>
      </c>
      <c r="C285" t="s">
        <v>2043</v>
      </c>
      <c r="D285" t="s">
        <v>2044</v>
      </c>
      <c r="E285" t="s">
        <v>2045</v>
      </c>
    </row>
    <row r="286" spans="1:5" ht="211.2" x14ac:dyDescent="0.25">
      <c r="A286" t="s">
        <v>2046</v>
      </c>
      <c r="B286" s="369" t="s">
        <v>2047</v>
      </c>
      <c r="C286" s="369" t="s">
        <v>2048</v>
      </c>
      <c r="D286" s="369" t="s">
        <v>2049</v>
      </c>
      <c r="E286" s="369" t="s">
        <v>2050</v>
      </c>
    </row>
    <row r="287" spans="1:5" x14ac:dyDescent="0.25">
      <c r="A287" t="s">
        <v>2051</v>
      </c>
      <c r="B287" t="s">
        <v>2052</v>
      </c>
      <c r="C287" t="s">
        <v>2053</v>
      </c>
      <c r="D287" t="s">
        <v>2054</v>
      </c>
      <c r="E287" t="s">
        <v>2055</v>
      </c>
    </row>
    <row r="288" spans="1:5" ht="211.2" x14ac:dyDescent="0.25">
      <c r="A288" t="s">
        <v>2056</v>
      </c>
      <c r="B288" s="369" t="s">
        <v>2057</v>
      </c>
      <c r="C288" s="369" t="s">
        <v>2058</v>
      </c>
      <c r="D288" s="369" t="s">
        <v>2059</v>
      </c>
      <c r="E288" s="369" t="s">
        <v>2060</v>
      </c>
    </row>
    <row r="289" spans="1:5" x14ac:dyDescent="0.25">
      <c r="A289" t="s">
        <v>2061</v>
      </c>
      <c r="B289" t="s">
        <v>2062</v>
      </c>
      <c r="C289" t="s">
        <v>2063</v>
      </c>
      <c r="D289" t="s">
        <v>2064</v>
      </c>
      <c r="E289" t="s">
        <v>2065</v>
      </c>
    </row>
    <row r="290" spans="1:5" ht="105.6" x14ac:dyDescent="0.25">
      <c r="A290" t="s">
        <v>2066</v>
      </c>
      <c r="B290" s="369" t="s">
        <v>2067</v>
      </c>
      <c r="C290" s="369" t="s">
        <v>2068</v>
      </c>
      <c r="D290" s="369" t="s">
        <v>2069</v>
      </c>
      <c r="E290" s="369" t="s">
        <v>2070</v>
      </c>
    </row>
    <row r="291" spans="1:5" x14ac:dyDescent="0.25">
      <c r="A291" t="s">
        <v>2071</v>
      </c>
      <c r="B291" t="s">
        <v>2072</v>
      </c>
      <c r="C291" t="s">
        <v>2073</v>
      </c>
      <c r="D291" t="s">
        <v>2074</v>
      </c>
      <c r="E291" t="s">
        <v>2075</v>
      </c>
    </row>
    <row r="292" spans="1:5" ht="105.6" x14ac:dyDescent="0.25">
      <c r="A292" t="s">
        <v>2076</v>
      </c>
      <c r="B292" s="369" t="s">
        <v>2077</v>
      </c>
      <c r="C292" s="369" t="s">
        <v>2078</v>
      </c>
      <c r="D292" s="369" t="s">
        <v>2079</v>
      </c>
      <c r="E292" s="369" t="s">
        <v>2080</v>
      </c>
    </row>
    <row r="293" spans="1:5" x14ac:dyDescent="0.25">
      <c r="A293" t="s">
        <v>2081</v>
      </c>
      <c r="B293" t="s">
        <v>2082</v>
      </c>
      <c r="C293" t="s">
        <v>2083</v>
      </c>
      <c r="D293" t="s">
        <v>2084</v>
      </c>
      <c r="E293" t="s">
        <v>2085</v>
      </c>
    </row>
    <row r="294" spans="1:5" ht="105.6" x14ac:dyDescent="0.25">
      <c r="A294" t="s">
        <v>2086</v>
      </c>
      <c r="B294" s="369" t="s">
        <v>2087</v>
      </c>
      <c r="C294" s="369" t="s">
        <v>2088</v>
      </c>
      <c r="D294" s="369" t="s">
        <v>2089</v>
      </c>
      <c r="E294" s="369" t="s">
        <v>2090</v>
      </c>
    </row>
    <row r="295" spans="1:5" x14ac:dyDescent="0.25">
      <c r="A295" t="s">
        <v>2091</v>
      </c>
      <c r="B295" t="s">
        <v>2092</v>
      </c>
      <c r="C295" t="s">
        <v>2093</v>
      </c>
      <c r="D295" t="s">
        <v>2094</v>
      </c>
      <c r="E295" t="s">
        <v>2095</v>
      </c>
    </row>
    <row r="296" spans="1:5" x14ac:dyDescent="0.25">
      <c r="A296" t="s">
        <v>2096</v>
      </c>
      <c r="B296" t="s">
        <v>2097</v>
      </c>
      <c r="C296" t="s">
        <v>2098</v>
      </c>
      <c r="D296" t="s">
        <v>2099</v>
      </c>
      <c r="E296" t="s">
        <v>2100</v>
      </c>
    </row>
    <row r="297" spans="1:5" x14ac:dyDescent="0.25">
      <c r="A297" t="s">
        <v>2101</v>
      </c>
      <c r="B297" t="s">
        <v>2102</v>
      </c>
      <c r="C297" t="s">
        <v>2103</v>
      </c>
      <c r="D297" t="s">
        <v>2104</v>
      </c>
      <c r="E297" t="s">
        <v>2105</v>
      </c>
    </row>
    <row r="298" spans="1:5" x14ac:dyDescent="0.25">
      <c r="A298" t="s">
        <v>2106</v>
      </c>
      <c r="B298" t="s">
        <v>2107</v>
      </c>
      <c r="C298" t="s">
        <v>2108</v>
      </c>
      <c r="D298" t="s">
        <v>2109</v>
      </c>
      <c r="E298" t="s">
        <v>2110</v>
      </c>
    </row>
    <row r="299" spans="1:5" x14ac:dyDescent="0.25">
      <c r="A299" t="s">
        <v>2111</v>
      </c>
      <c r="B299" t="s">
        <v>2112</v>
      </c>
      <c r="C299" t="s">
        <v>2113</v>
      </c>
      <c r="D299" t="s">
        <v>2114</v>
      </c>
      <c r="E299" t="s">
        <v>2115</v>
      </c>
    </row>
    <row r="300" spans="1:5" x14ac:dyDescent="0.25">
      <c r="A300" t="s">
        <v>2116</v>
      </c>
      <c r="B300" t="s">
        <v>500</v>
      </c>
      <c r="C300" t="s">
        <v>707</v>
      </c>
      <c r="D300" t="s">
        <v>708</v>
      </c>
      <c r="E300" t="s">
        <v>709</v>
      </c>
    </row>
    <row r="301" spans="1:5" x14ac:dyDescent="0.25">
      <c r="A301" t="s">
        <v>2117</v>
      </c>
      <c r="B301" t="s">
        <v>2118</v>
      </c>
      <c r="C301" t="s">
        <v>2119</v>
      </c>
      <c r="D301" t="s">
        <v>2119</v>
      </c>
      <c r="E301" t="s">
        <v>2120</v>
      </c>
    </row>
    <row r="302" spans="1:5" x14ac:dyDescent="0.25">
      <c r="A302" t="s">
        <v>2121</v>
      </c>
      <c r="B302" t="s">
        <v>2122</v>
      </c>
      <c r="C302" t="s">
        <v>2123</v>
      </c>
      <c r="D302" t="s">
        <v>2123</v>
      </c>
      <c r="E302" t="s">
        <v>2124</v>
      </c>
    </row>
    <row r="303" spans="1:5" x14ac:dyDescent="0.25">
      <c r="A303" t="s">
        <v>2125</v>
      </c>
      <c r="B303" t="s">
        <v>2126</v>
      </c>
      <c r="C303" t="s">
        <v>2127</v>
      </c>
      <c r="D303" t="s">
        <v>2127</v>
      </c>
      <c r="E303" t="s">
        <v>2128</v>
      </c>
    </row>
    <row r="304" spans="1:5" x14ac:dyDescent="0.25">
      <c r="A304" t="s">
        <v>2129</v>
      </c>
      <c r="B304" t="s">
        <v>2130</v>
      </c>
      <c r="C304" t="s">
        <v>2131</v>
      </c>
      <c r="D304" t="s">
        <v>2131</v>
      </c>
      <c r="E304" t="s">
        <v>2132</v>
      </c>
    </row>
    <row r="305" spans="1:5" x14ac:dyDescent="0.25">
      <c r="A305" t="s">
        <v>2133</v>
      </c>
      <c r="B305" t="s">
        <v>2134</v>
      </c>
      <c r="C305" t="s">
        <v>2135</v>
      </c>
      <c r="D305" t="s">
        <v>2135</v>
      </c>
      <c r="E305" t="s">
        <v>2136</v>
      </c>
    </row>
    <row r="306" spans="1:5" x14ac:dyDescent="0.25">
      <c r="A306" t="s">
        <v>2137</v>
      </c>
      <c r="B306" t="s">
        <v>2138</v>
      </c>
      <c r="C306" t="s">
        <v>2139</v>
      </c>
      <c r="D306" t="s">
        <v>2139</v>
      </c>
      <c r="E306" t="s">
        <v>2140</v>
      </c>
    </row>
    <row r="307" spans="1:5" x14ac:dyDescent="0.25">
      <c r="A307" t="s">
        <v>2141</v>
      </c>
      <c r="B307" t="s">
        <v>2142</v>
      </c>
      <c r="C307" t="s">
        <v>2143</v>
      </c>
      <c r="D307" t="s">
        <v>2143</v>
      </c>
      <c r="E307" t="s">
        <v>2144</v>
      </c>
    </row>
    <row r="308" spans="1:5" x14ac:dyDescent="0.25">
      <c r="A308" t="s">
        <v>2145</v>
      </c>
      <c r="B308" t="s">
        <v>2146</v>
      </c>
      <c r="C308" t="s">
        <v>2147</v>
      </c>
      <c r="D308" t="s">
        <v>2148</v>
      </c>
      <c r="E308" t="s">
        <v>2149</v>
      </c>
    </row>
    <row r="309" spans="1:5" x14ac:dyDescent="0.25">
      <c r="A309" t="s">
        <v>2150</v>
      </c>
      <c r="B309" t="s">
        <v>2151</v>
      </c>
      <c r="C309" t="s">
        <v>2152</v>
      </c>
      <c r="D309" t="s">
        <v>2152</v>
      </c>
      <c r="E309" t="s">
        <v>2153</v>
      </c>
    </row>
    <row r="310" spans="1:5" x14ac:dyDescent="0.25">
      <c r="A310" t="s">
        <v>2154</v>
      </c>
      <c r="B310" t="s">
        <v>2155</v>
      </c>
      <c r="C310" t="s">
        <v>2156</v>
      </c>
      <c r="D310" t="s">
        <v>2156</v>
      </c>
      <c r="E310" t="s">
        <v>2157</v>
      </c>
    </row>
    <row r="311" spans="1:5" x14ac:dyDescent="0.25">
      <c r="A311" t="s">
        <v>2158</v>
      </c>
      <c r="B311" t="s">
        <v>2159</v>
      </c>
      <c r="C311" t="s">
        <v>2160</v>
      </c>
      <c r="D311" t="s">
        <v>2161</v>
      </c>
      <c r="E311" t="s">
        <v>2162</v>
      </c>
    </row>
    <row r="312" spans="1:5" x14ac:dyDescent="0.25">
      <c r="A312" t="s">
        <v>2163</v>
      </c>
      <c r="B312" t="s">
        <v>2164</v>
      </c>
      <c r="C312" t="s">
        <v>2165</v>
      </c>
      <c r="D312" t="s">
        <v>2166</v>
      </c>
      <c r="E312" t="s">
        <v>2167</v>
      </c>
    </row>
    <row r="313" spans="1:5" x14ac:dyDescent="0.25">
      <c r="A313" t="s">
        <v>2168</v>
      </c>
      <c r="B313" t="s">
        <v>2169</v>
      </c>
      <c r="C313" t="s">
        <v>2170</v>
      </c>
      <c r="D313" t="s">
        <v>2171</v>
      </c>
      <c r="E313" t="s">
        <v>2172</v>
      </c>
    </row>
    <row r="314" spans="1:5" x14ac:dyDescent="0.25">
      <c r="A314" t="s">
        <v>2173</v>
      </c>
      <c r="B314" t="s">
        <v>2174</v>
      </c>
      <c r="C314" t="s">
        <v>2175</v>
      </c>
      <c r="D314" t="s">
        <v>2176</v>
      </c>
      <c r="E314" t="s">
        <v>2177</v>
      </c>
    </row>
    <row r="315" spans="1:5" x14ac:dyDescent="0.25">
      <c r="A315" t="s">
        <v>2178</v>
      </c>
      <c r="B315" t="s">
        <v>379</v>
      </c>
      <c r="C315" t="s">
        <v>2179</v>
      </c>
      <c r="D315" t="s">
        <v>2179</v>
      </c>
      <c r="E315" t="s">
        <v>2180</v>
      </c>
    </row>
    <row r="316" spans="1:5" x14ac:dyDescent="0.25">
      <c r="A316" t="s">
        <v>2181</v>
      </c>
      <c r="B316" t="s">
        <v>515</v>
      </c>
      <c r="C316" t="s">
        <v>2182</v>
      </c>
      <c r="D316" t="s">
        <v>2183</v>
      </c>
      <c r="E316" t="s">
        <v>2184</v>
      </c>
    </row>
    <row r="317" spans="1:5" x14ac:dyDescent="0.25">
      <c r="A317" t="s">
        <v>2185</v>
      </c>
      <c r="B317" t="s">
        <v>2186</v>
      </c>
      <c r="C317" t="s">
        <v>2187</v>
      </c>
      <c r="D317" t="s">
        <v>2188</v>
      </c>
      <c r="E317" t="s">
        <v>2189</v>
      </c>
    </row>
    <row r="318" spans="1:5" x14ac:dyDescent="0.25">
      <c r="A318" t="s">
        <v>2190</v>
      </c>
      <c r="B318" t="s">
        <v>516</v>
      </c>
      <c r="C318" t="s">
        <v>2191</v>
      </c>
      <c r="D318" t="s">
        <v>2191</v>
      </c>
      <c r="E318" t="s">
        <v>2192</v>
      </c>
    </row>
    <row r="319" spans="1:5" x14ac:dyDescent="0.25">
      <c r="A319" t="s">
        <v>2193</v>
      </c>
      <c r="B319" t="s">
        <v>517</v>
      </c>
      <c r="C319" t="s">
        <v>2194</v>
      </c>
      <c r="D319" t="s">
        <v>2195</v>
      </c>
      <c r="E319" t="s">
        <v>2196</v>
      </c>
    </row>
    <row r="320" spans="1:5" x14ac:dyDescent="0.25">
      <c r="A320" t="s">
        <v>2197</v>
      </c>
      <c r="B320" t="s">
        <v>2198</v>
      </c>
      <c r="C320" t="s">
        <v>2199</v>
      </c>
      <c r="D320" t="s">
        <v>2200</v>
      </c>
      <c r="E320" t="s">
        <v>2201</v>
      </c>
    </row>
    <row r="321" spans="1:5" x14ac:dyDescent="0.25">
      <c r="A321" t="s">
        <v>2202</v>
      </c>
      <c r="B321" t="s">
        <v>2203</v>
      </c>
      <c r="C321" t="s">
        <v>2204</v>
      </c>
      <c r="D321" t="s">
        <v>2205</v>
      </c>
      <c r="E321" t="s">
        <v>2206</v>
      </c>
    </row>
    <row r="322" spans="1:5" x14ac:dyDescent="0.25">
      <c r="A322" t="s">
        <v>2207</v>
      </c>
      <c r="B322" t="s">
        <v>520</v>
      </c>
      <c r="C322" t="s">
        <v>2208</v>
      </c>
      <c r="D322" t="s">
        <v>2209</v>
      </c>
      <c r="E322" t="s">
        <v>2210</v>
      </c>
    </row>
    <row r="323" spans="1:5" x14ac:dyDescent="0.25">
      <c r="A323" t="s">
        <v>2211</v>
      </c>
      <c r="B323" t="s">
        <v>523</v>
      </c>
      <c r="C323" t="s">
        <v>2212</v>
      </c>
      <c r="D323" t="s">
        <v>2213</v>
      </c>
      <c r="E323" t="s">
        <v>2214</v>
      </c>
    </row>
    <row r="324" spans="1:5" x14ac:dyDescent="0.25">
      <c r="A324" t="s">
        <v>2215</v>
      </c>
      <c r="B324" t="s">
        <v>2216</v>
      </c>
      <c r="C324" t="s">
        <v>2217</v>
      </c>
      <c r="D324" t="s">
        <v>2218</v>
      </c>
      <c r="E324" t="s">
        <v>2219</v>
      </c>
    </row>
    <row r="325" spans="1:5" x14ac:dyDescent="0.25">
      <c r="A325" t="s">
        <v>2220</v>
      </c>
      <c r="B325" t="s">
        <v>521</v>
      </c>
      <c r="C325" t="s">
        <v>2221</v>
      </c>
      <c r="D325" t="s">
        <v>2222</v>
      </c>
      <c r="E325" t="s">
        <v>2223</v>
      </c>
    </row>
    <row r="326" spans="1:5" x14ac:dyDescent="0.25">
      <c r="A326" t="s">
        <v>2224</v>
      </c>
      <c r="B326" t="s">
        <v>522</v>
      </c>
      <c r="C326" t="s">
        <v>2225</v>
      </c>
      <c r="D326" t="s">
        <v>2226</v>
      </c>
      <c r="E326" t="s">
        <v>2227</v>
      </c>
    </row>
    <row r="327" spans="1:5" x14ac:dyDescent="0.25">
      <c r="A327" t="s">
        <v>2228</v>
      </c>
      <c r="B327" t="s">
        <v>414</v>
      </c>
      <c r="C327" t="s">
        <v>2229</v>
      </c>
      <c r="D327" t="s">
        <v>2230</v>
      </c>
      <c r="E327" t="s">
        <v>2231</v>
      </c>
    </row>
    <row r="328" spans="1:5" x14ac:dyDescent="0.25">
      <c r="A328" t="s">
        <v>2232</v>
      </c>
      <c r="B328" t="s">
        <v>2233</v>
      </c>
      <c r="C328" t="s">
        <v>2234</v>
      </c>
      <c r="D328" t="s">
        <v>2234</v>
      </c>
      <c r="E328" t="s">
        <v>2235</v>
      </c>
    </row>
    <row r="329" spans="1:5" x14ac:dyDescent="0.25">
      <c r="A329" t="s">
        <v>2236</v>
      </c>
      <c r="B329" t="s">
        <v>524</v>
      </c>
      <c r="C329" t="s">
        <v>2237</v>
      </c>
      <c r="D329" t="s">
        <v>2238</v>
      </c>
      <c r="E329" t="s">
        <v>2239</v>
      </c>
    </row>
    <row r="330" spans="1:5" x14ac:dyDescent="0.25">
      <c r="A330" t="s">
        <v>2240</v>
      </c>
      <c r="B330" t="s">
        <v>525</v>
      </c>
      <c r="C330" t="s">
        <v>2241</v>
      </c>
      <c r="D330" t="s">
        <v>2241</v>
      </c>
      <c r="E330" t="s">
        <v>2242</v>
      </c>
    </row>
    <row r="331" spans="1:5" x14ac:dyDescent="0.25">
      <c r="A331" t="s">
        <v>2243</v>
      </c>
      <c r="B331" t="s">
        <v>2244</v>
      </c>
      <c r="C331" t="s">
        <v>2245</v>
      </c>
      <c r="D331" t="s">
        <v>2246</v>
      </c>
      <c r="E331" t="s">
        <v>2247</v>
      </c>
    </row>
    <row r="332" spans="1:5" x14ac:dyDescent="0.25">
      <c r="A332" t="s">
        <v>2248</v>
      </c>
      <c r="B332" t="s">
        <v>529</v>
      </c>
      <c r="C332" t="s">
        <v>2249</v>
      </c>
      <c r="D332" t="s">
        <v>2250</v>
      </c>
      <c r="E332" t="s">
        <v>2251</v>
      </c>
    </row>
    <row r="333" spans="1:5" x14ac:dyDescent="0.25">
      <c r="A333" t="s">
        <v>2252</v>
      </c>
      <c r="B333" t="s">
        <v>2253</v>
      </c>
      <c r="C333" t="s">
        <v>2254</v>
      </c>
      <c r="D333" t="s">
        <v>2255</v>
      </c>
      <c r="E333" t="s">
        <v>2256</v>
      </c>
    </row>
    <row r="334" spans="1:5" x14ac:dyDescent="0.25">
      <c r="A334" t="s">
        <v>2257</v>
      </c>
      <c r="B334" t="s">
        <v>2258</v>
      </c>
      <c r="C334" t="s">
        <v>2259</v>
      </c>
      <c r="D334" t="s">
        <v>2260</v>
      </c>
      <c r="E334" t="s">
        <v>2261</v>
      </c>
    </row>
    <row r="335" spans="1:5" x14ac:dyDescent="0.25">
      <c r="A335" t="s">
        <v>2262</v>
      </c>
      <c r="B335" t="s">
        <v>2263</v>
      </c>
      <c r="C335" t="s">
        <v>2264</v>
      </c>
      <c r="D335" t="s">
        <v>2265</v>
      </c>
      <c r="E335" t="s">
        <v>2266</v>
      </c>
    </row>
    <row r="336" spans="1:5" x14ac:dyDescent="0.25">
      <c r="A336" t="s">
        <v>2267</v>
      </c>
      <c r="B336" t="s">
        <v>2268</v>
      </c>
      <c r="C336" t="s">
        <v>2269</v>
      </c>
      <c r="D336" t="s">
        <v>2270</v>
      </c>
      <c r="E336" t="s">
        <v>2271</v>
      </c>
    </row>
    <row r="337" spans="1:5" x14ac:dyDescent="0.25">
      <c r="A337" t="s">
        <v>2272</v>
      </c>
      <c r="B337" t="s">
        <v>2273</v>
      </c>
      <c r="C337" t="s">
        <v>2274</v>
      </c>
      <c r="D337" t="s">
        <v>2275</v>
      </c>
      <c r="E337" t="s">
        <v>2276</v>
      </c>
    </row>
    <row r="338" spans="1:5" x14ac:dyDescent="0.25">
      <c r="A338" t="s">
        <v>2277</v>
      </c>
      <c r="B338" t="s">
        <v>2278</v>
      </c>
      <c r="C338" t="s">
        <v>2279</v>
      </c>
      <c r="D338" t="s">
        <v>2280</v>
      </c>
      <c r="E338" t="s">
        <v>2281</v>
      </c>
    </row>
    <row r="339" spans="1:5" x14ac:dyDescent="0.25">
      <c r="A339" t="s">
        <v>2282</v>
      </c>
      <c r="B339" t="s">
        <v>2283</v>
      </c>
      <c r="C339" t="s">
        <v>2284</v>
      </c>
      <c r="D339" t="s">
        <v>2285</v>
      </c>
      <c r="E339" t="s">
        <v>2286</v>
      </c>
    </row>
    <row r="340" spans="1:5" x14ac:dyDescent="0.25">
      <c r="A340" t="s">
        <v>2287</v>
      </c>
      <c r="B340" t="s">
        <v>2288</v>
      </c>
      <c r="C340" t="s">
        <v>2289</v>
      </c>
      <c r="D340" t="s">
        <v>2290</v>
      </c>
      <c r="E340" t="s">
        <v>2291</v>
      </c>
    </row>
    <row r="341" spans="1:5" x14ac:dyDescent="0.25">
      <c r="A341" t="s">
        <v>2292</v>
      </c>
      <c r="B341" t="s">
        <v>2293</v>
      </c>
      <c r="C341" t="s">
        <v>2294</v>
      </c>
      <c r="D341" t="s">
        <v>2295</v>
      </c>
      <c r="E341" t="s">
        <v>2296</v>
      </c>
    </row>
    <row r="342" spans="1:5" x14ac:dyDescent="0.25">
      <c r="A342" t="s">
        <v>2297</v>
      </c>
      <c r="B342" t="s">
        <v>2298</v>
      </c>
      <c r="C342" t="s">
        <v>2299</v>
      </c>
      <c r="D342" t="s">
        <v>2300</v>
      </c>
      <c r="E342" t="s">
        <v>2301</v>
      </c>
    </row>
    <row r="343" spans="1:5" x14ac:dyDescent="0.25">
      <c r="A343" t="s">
        <v>2302</v>
      </c>
      <c r="B343" t="s">
        <v>2303</v>
      </c>
      <c r="C343" t="s">
        <v>2304</v>
      </c>
      <c r="D343" t="s">
        <v>2305</v>
      </c>
      <c r="E343" t="s">
        <v>2306</v>
      </c>
    </row>
    <row r="344" spans="1:5" ht="264" x14ac:dyDescent="0.25">
      <c r="A344" t="s">
        <v>2307</v>
      </c>
      <c r="B344" s="369" t="s">
        <v>2308</v>
      </c>
      <c r="C344" s="369" t="s">
        <v>2309</v>
      </c>
      <c r="D344" s="369" t="s">
        <v>2310</v>
      </c>
      <c r="E344" s="369" t="s">
        <v>2311</v>
      </c>
    </row>
    <row r="345" spans="1:5" ht="66" x14ac:dyDescent="0.25">
      <c r="A345" t="s">
        <v>2312</v>
      </c>
      <c r="B345" s="369" t="s">
        <v>2313</v>
      </c>
      <c r="C345" s="369" t="s">
        <v>2314</v>
      </c>
      <c r="D345" s="369" t="s">
        <v>2315</v>
      </c>
      <c r="E345" s="369" t="s">
        <v>2316</v>
      </c>
    </row>
    <row r="346" spans="1:5" x14ac:dyDescent="0.25">
      <c r="A346" t="s">
        <v>2317</v>
      </c>
      <c r="B346" t="s">
        <v>2318</v>
      </c>
      <c r="C346" t="s">
        <v>2319</v>
      </c>
      <c r="D346" t="s">
        <v>2320</v>
      </c>
      <c r="E346" t="s">
        <v>2321</v>
      </c>
    </row>
    <row r="347" spans="1:5" x14ac:dyDescent="0.25">
      <c r="A347" t="s">
        <v>2322</v>
      </c>
      <c r="B347" t="s">
        <v>2323</v>
      </c>
      <c r="C347" t="s">
        <v>2324</v>
      </c>
      <c r="D347" t="s">
        <v>2325</v>
      </c>
      <c r="E347" t="s">
        <v>2326</v>
      </c>
    </row>
    <row r="348" spans="1:5" x14ac:dyDescent="0.25">
      <c r="A348" t="s">
        <v>2327</v>
      </c>
      <c r="B348" t="s">
        <v>2328</v>
      </c>
      <c r="C348" t="s">
        <v>2329</v>
      </c>
      <c r="D348" t="s">
        <v>2329</v>
      </c>
      <c r="E348" t="s">
        <v>2330</v>
      </c>
    </row>
    <row r="349" spans="1:5" x14ac:dyDescent="0.25">
      <c r="A349" t="s">
        <v>2331</v>
      </c>
      <c r="B349" t="s">
        <v>2332</v>
      </c>
      <c r="C349" t="s">
        <v>2333</v>
      </c>
      <c r="D349" t="s">
        <v>2334</v>
      </c>
      <c r="E349" t="s">
        <v>2335</v>
      </c>
    </row>
    <row r="350" spans="1:5" x14ac:dyDescent="0.25">
      <c r="A350" t="s">
        <v>2336</v>
      </c>
      <c r="B350" t="s">
        <v>2337</v>
      </c>
      <c r="C350" t="s">
        <v>2338</v>
      </c>
      <c r="D350" t="s">
        <v>2339</v>
      </c>
      <c r="E350" t="s">
        <v>2340</v>
      </c>
    </row>
    <row r="351" spans="1:5" x14ac:dyDescent="0.25">
      <c r="A351" t="s">
        <v>2341</v>
      </c>
      <c r="B351" t="s">
        <v>2342</v>
      </c>
      <c r="C351" t="s">
        <v>2343</v>
      </c>
      <c r="D351" t="s">
        <v>2344</v>
      </c>
      <c r="E351" t="s">
        <v>2345</v>
      </c>
    </row>
    <row r="352" spans="1:5" x14ac:dyDescent="0.25">
      <c r="A352" t="s">
        <v>2346</v>
      </c>
      <c r="B352" t="s">
        <v>2347</v>
      </c>
      <c r="C352" t="s">
        <v>2348</v>
      </c>
      <c r="D352" t="s">
        <v>2349</v>
      </c>
      <c r="E352" t="s">
        <v>2350</v>
      </c>
    </row>
    <row r="353" spans="1:5" x14ac:dyDescent="0.25">
      <c r="A353" t="s">
        <v>2351</v>
      </c>
      <c r="B353" t="s">
        <v>2352</v>
      </c>
      <c r="C353" t="s">
        <v>2353</v>
      </c>
      <c r="D353" t="s">
        <v>2354</v>
      </c>
      <c r="E353" t="s">
        <v>2355</v>
      </c>
    </row>
    <row r="354" spans="1:5" x14ac:dyDescent="0.25">
      <c r="A354" t="s">
        <v>2356</v>
      </c>
      <c r="B354" t="s">
        <v>2357</v>
      </c>
      <c r="C354" t="s">
        <v>2358</v>
      </c>
      <c r="D354" t="s">
        <v>2359</v>
      </c>
      <c r="E354" t="s">
        <v>2360</v>
      </c>
    </row>
    <row r="355" spans="1:5" x14ac:dyDescent="0.25">
      <c r="A355" t="s">
        <v>2361</v>
      </c>
      <c r="B355" t="s">
        <v>2362</v>
      </c>
      <c r="C355" t="s">
        <v>2363</v>
      </c>
      <c r="D355" t="s">
        <v>2364</v>
      </c>
      <c r="E355" t="s">
        <v>2365</v>
      </c>
    </row>
    <row r="356" spans="1:5" x14ac:dyDescent="0.25">
      <c r="A356" t="s">
        <v>2366</v>
      </c>
      <c r="B356" t="s">
        <v>2367</v>
      </c>
      <c r="C356" t="s">
        <v>2368</v>
      </c>
      <c r="D356" t="s">
        <v>2369</v>
      </c>
      <c r="E356" t="s">
        <v>2370</v>
      </c>
    </row>
    <row r="357" spans="1:5" x14ac:dyDescent="0.25">
      <c r="A357" t="s">
        <v>2371</v>
      </c>
      <c r="B357" t="s">
        <v>2372</v>
      </c>
      <c r="C357" t="s">
        <v>2373</v>
      </c>
      <c r="D357" t="s">
        <v>2374</v>
      </c>
      <c r="E357" t="s">
        <v>2375</v>
      </c>
    </row>
    <row r="358" spans="1:5" x14ac:dyDescent="0.25">
      <c r="A358" t="s">
        <v>2376</v>
      </c>
      <c r="B358" t="s">
        <v>2377</v>
      </c>
      <c r="C358" t="s">
        <v>2378</v>
      </c>
      <c r="D358" t="s">
        <v>2379</v>
      </c>
      <c r="E358" t="s">
        <v>2380</v>
      </c>
    </row>
    <row r="359" spans="1:5" x14ac:dyDescent="0.25">
      <c r="A359" t="s">
        <v>2381</v>
      </c>
      <c r="B359" t="s">
        <v>2382</v>
      </c>
      <c r="C359" t="s">
        <v>2383</v>
      </c>
      <c r="D359" t="s">
        <v>2383</v>
      </c>
      <c r="E359" t="s">
        <v>2384</v>
      </c>
    </row>
    <row r="360" spans="1:5" x14ac:dyDescent="0.25">
      <c r="A360" t="s">
        <v>2385</v>
      </c>
      <c r="B360" t="s">
        <v>2386</v>
      </c>
      <c r="C360" t="s">
        <v>2387</v>
      </c>
      <c r="D360" t="s">
        <v>2388</v>
      </c>
      <c r="E360" t="s">
        <v>2389</v>
      </c>
    </row>
    <row r="361" spans="1:5" x14ac:dyDescent="0.25">
      <c r="A361" t="s">
        <v>2390</v>
      </c>
      <c r="B361" t="s">
        <v>2391</v>
      </c>
      <c r="C361" t="s">
        <v>2392</v>
      </c>
      <c r="D361" t="s">
        <v>2393</v>
      </c>
      <c r="E361" t="s">
        <v>2394</v>
      </c>
    </row>
    <row r="362" spans="1:5" x14ac:dyDescent="0.25">
      <c r="A362" t="s">
        <v>2395</v>
      </c>
      <c r="B362" t="s">
        <v>2396</v>
      </c>
      <c r="C362" t="s">
        <v>2397</v>
      </c>
      <c r="D362" t="s">
        <v>2398</v>
      </c>
      <c r="E362" t="s">
        <v>2399</v>
      </c>
    </row>
    <row r="363" spans="1:5" x14ac:dyDescent="0.25">
      <c r="A363" t="s">
        <v>2400</v>
      </c>
      <c r="B363" t="s">
        <v>2401</v>
      </c>
      <c r="C363" t="s">
        <v>2402</v>
      </c>
      <c r="D363" t="s">
        <v>2403</v>
      </c>
      <c r="E363" t="s">
        <v>2404</v>
      </c>
    </row>
    <row r="364" spans="1:5" x14ac:dyDescent="0.25">
      <c r="A364" t="s">
        <v>2405</v>
      </c>
      <c r="B364" t="s">
        <v>2406</v>
      </c>
      <c r="C364" t="s">
        <v>2407</v>
      </c>
      <c r="D364" t="s">
        <v>2407</v>
      </c>
      <c r="E364" t="s">
        <v>2408</v>
      </c>
    </row>
    <row r="365" spans="1:5" x14ac:dyDescent="0.25">
      <c r="A365" t="s">
        <v>2409</v>
      </c>
      <c r="B365" t="s">
        <v>2410</v>
      </c>
      <c r="C365" t="s">
        <v>2411</v>
      </c>
      <c r="D365" t="s">
        <v>2412</v>
      </c>
      <c r="E365" t="s">
        <v>2413</v>
      </c>
    </row>
    <row r="366" spans="1:5" x14ac:dyDescent="0.25">
      <c r="A366" t="s">
        <v>2414</v>
      </c>
      <c r="B366" t="s">
        <v>2415</v>
      </c>
      <c r="C366" t="s">
        <v>2416</v>
      </c>
      <c r="D366" t="s">
        <v>2417</v>
      </c>
      <c r="E366" t="s">
        <v>2418</v>
      </c>
    </row>
    <row r="367" spans="1:5" x14ac:dyDescent="0.25">
      <c r="A367" t="s">
        <v>2419</v>
      </c>
      <c r="B367" t="s">
        <v>2420</v>
      </c>
      <c r="C367" t="s">
        <v>2421</v>
      </c>
      <c r="D367" t="s">
        <v>2421</v>
      </c>
      <c r="E367" t="s">
        <v>2422</v>
      </c>
    </row>
    <row r="368" spans="1:5" x14ac:dyDescent="0.25">
      <c r="A368" t="s">
        <v>2423</v>
      </c>
      <c r="B368" t="s">
        <v>2424</v>
      </c>
      <c r="C368" t="s">
        <v>2425</v>
      </c>
      <c r="D368" t="s">
        <v>2426</v>
      </c>
      <c r="E368" t="s">
        <v>2427</v>
      </c>
    </row>
    <row r="369" spans="1:5" x14ac:dyDescent="0.25">
      <c r="A369" t="s">
        <v>2428</v>
      </c>
      <c r="B369" t="s">
        <v>2429</v>
      </c>
      <c r="C369" t="s">
        <v>2430</v>
      </c>
      <c r="D369" t="s">
        <v>2430</v>
      </c>
      <c r="E369" t="s">
        <v>2431</v>
      </c>
    </row>
    <row r="370" spans="1:5" x14ac:dyDescent="0.25">
      <c r="A370" t="s">
        <v>2432</v>
      </c>
      <c r="B370" t="s">
        <v>2433</v>
      </c>
      <c r="C370" t="s">
        <v>2434</v>
      </c>
      <c r="D370" t="s">
        <v>2435</v>
      </c>
      <c r="E370" t="s">
        <v>2436</v>
      </c>
    </row>
    <row r="371" spans="1:5" x14ac:dyDescent="0.25">
      <c r="A371" t="s">
        <v>2437</v>
      </c>
      <c r="B371" t="s">
        <v>2438</v>
      </c>
      <c r="C371" t="s">
        <v>2439</v>
      </c>
      <c r="D371" t="s">
        <v>2440</v>
      </c>
      <c r="E371" t="s">
        <v>2441</v>
      </c>
    </row>
    <row r="372" spans="1:5" x14ac:dyDescent="0.25">
      <c r="A372" t="s">
        <v>2442</v>
      </c>
      <c r="B372" t="s">
        <v>2443</v>
      </c>
      <c r="C372" t="s">
        <v>2444</v>
      </c>
      <c r="D372" t="s">
        <v>2445</v>
      </c>
      <c r="E372" t="s">
        <v>2446</v>
      </c>
    </row>
    <row r="373" spans="1:5" x14ac:dyDescent="0.25">
      <c r="A373" t="s">
        <v>2447</v>
      </c>
      <c r="B373" t="s">
        <v>2448</v>
      </c>
      <c r="C373" t="s">
        <v>2449</v>
      </c>
      <c r="D373" t="s">
        <v>2450</v>
      </c>
      <c r="E373" t="s">
        <v>2451</v>
      </c>
    </row>
    <row r="374" spans="1:5" x14ac:dyDescent="0.25">
      <c r="A374" t="s">
        <v>2452</v>
      </c>
      <c r="B374" t="s">
        <v>2453</v>
      </c>
      <c r="C374" t="s">
        <v>2454</v>
      </c>
      <c r="D374" t="s">
        <v>2455</v>
      </c>
      <c r="E374" t="s">
        <v>2456</v>
      </c>
    </row>
    <row r="375" spans="1:5" x14ac:dyDescent="0.25">
      <c r="A375" t="s">
        <v>2457</v>
      </c>
      <c r="B375" t="s">
        <v>510</v>
      </c>
      <c r="C375" t="s">
        <v>2458</v>
      </c>
      <c r="D375" t="s">
        <v>2458</v>
      </c>
      <c r="E375" t="s">
        <v>2459</v>
      </c>
    </row>
    <row r="376" spans="1:5" x14ac:dyDescent="0.25">
      <c r="A376" t="s">
        <v>2460</v>
      </c>
      <c r="B376" t="s">
        <v>2461</v>
      </c>
      <c r="C376" t="s">
        <v>2462</v>
      </c>
      <c r="D376" t="s">
        <v>2461</v>
      </c>
      <c r="E376" t="s">
        <v>2463</v>
      </c>
    </row>
    <row r="377" spans="1:5" x14ac:dyDescent="0.25">
      <c r="A377" t="s">
        <v>2464</v>
      </c>
      <c r="B377" t="s">
        <v>2465</v>
      </c>
      <c r="C377" t="s">
        <v>2466</v>
      </c>
      <c r="D377" t="s">
        <v>2466</v>
      </c>
      <c r="E377" t="s">
        <v>2467</v>
      </c>
    </row>
    <row r="378" spans="1:5" x14ac:dyDescent="0.25">
      <c r="A378" t="s">
        <v>2468</v>
      </c>
      <c r="B378" t="s">
        <v>2469</v>
      </c>
      <c r="C378" t="s">
        <v>2470</v>
      </c>
      <c r="D378" t="s">
        <v>2471</v>
      </c>
      <c r="E378" t="s">
        <v>2472</v>
      </c>
    </row>
    <row r="379" spans="1:5" x14ac:dyDescent="0.25">
      <c r="A379" t="s">
        <v>2473</v>
      </c>
      <c r="B379" t="s">
        <v>403</v>
      </c>
      <c r="C379" t="s">
        <v>2474</v>
      </c>
      <c r="D379" t="s">
        <v>2475</v>
      </c>
      <c r="E379" t="s">
        <v>2476</v>
      </c>
    </row>
    <row r="380" spans="1:5" x14ac:dyDescent="0.25">
      <c r="A380" t="s">
        <v>2477</v>
      </c>
      <c r="B380" t="s">
        <v>416</v>
      </c>
      <c r="C380" t="s">
        <v>2478</v>
      </c>
      <c r="D380" t="s">
        <v>2479</v>
      </c>
      <c r="E380" t="s">
        <v>2480</v>
      </c>
    </row>
    <row r="381" spans="1:5" x14ac:dyDescent="0.25">
      <c r="A381" t="s">
        <v>2481</v>
      </c>
      <c r="B381" t="s">
        <v>2482</v>
      </c>
      <c r="C381" t="s">
        <v>2483</v>
      </c>
      <c r="D381" t="s">
        <v>2483</v>
      </c>
      <c r="E381" t="s">
        <v>2484</v>
      </c>
    </row>
    <row r="382" spans="1:5" x14ac:dyDescent="0.25">
      <c r="A382" t="s">
        <v>2485</v>
      </c>
      <c r="B382" t="s">
        <v>2486</v>
      </c>
      <c r="C382" t="s">
        <v>2487</v>
      </c>
      <c r="D382" t="s">
        <v>2488</v>
      </c>
      <c r="E382" t="s">
        <v>2489</v>
      </c>
    </row>
    <row r="383" spans="1:5" x14ac:dyDescent="0.25">
      <c r="A383" t="s">
        <v>2490</v>
      </c>
      <c r="B383" t="s">
        <v>2491</v>
      </c>
      <c r="C383" t="s">
        <v>2492</v>
      </c>
      <c r="D383" t="s">
        <v>2493</v>
      </c>
      <c r="E383" t="s">
        <v>2494</v>
      </c>
    </row>
    <row r="384" spans="1:5" x14ac:dyDescent="0.25">
      <c r="A384" t="s">
        <v>2495</v>
      </c>
      <c r="B384" t="s">
        <v>2496</v>
      </c>
      <c r="C384" t="s">
        <v>2497</v>
      </c>
      <c r="D384" t="s">
        <v>2498</v>
      </c>
      <c r="E384" t="s">
        <v>2499</v>
      </c>
    </row>
    <row r="385" spans="1:5" x14ac:dyDescent="0.25">
      <c r="A385" t="s">
        <v>2500</v>
      </c>
      <c r="B385" t="s">
        <v>2501</v>
      </c>
      <c r="C385" t="s">
        <v>2502</v>
      </c>
      <c r="D385" t="s">
        <v>2503</v>
      </c>
      <c r="E385" t="s">
        <v>2504</v>
      </c>
    </row>
    <row r="386" spans="1:5" x14ac:dyDescent="0.25">
      <c r="A386" t="s">
        <v>2505</v>
      </c>
      <c r="B386" t="s">
        <v>2506</v>
      </c>
      <c r="C386" t="s">
        <v>2507</v>
      </c>
      <c r="D386" t="s">
        <v>2508</v>
      </c>
      <c r="E386" t="s">
        <v>2509</v>
      </c>
    </row>
    <row r="387" spans="1:5" x14ac:dyDescent="0.25">
      <c r="A387" t="s">
        <v>2510</v>
      </c>
      <c r="B387" t="s">
        <v>2511</v>
      </c>
      <c r="C387" t="s">
        <v>2512</v>
      </c>
      <c r="D387" t="s">
        <v>2513</v>
      </c>
      <c r="E387" t="s">
        <v>2514</v>
      </c>
    </row>
    <row r="388" spans="1:5" x14ac:dyDescent="0.25">
      <c r="A388" t="s">
        <v>2515</v>
      </c>
      <c r="B388" t="s">
        <v>2516</v>
      </c>
      <c r="C388" t="s">
        <v>2517</v>
      </c>
      <c r="D388" t="s">
        <v>2518</v>
      </c>
      <c r="E388" t="s">
        <v>2519</v>
      </c>
    </row>
    <row r="389" spans="1:5" x14ac:dyDescent="0.25">
      <c r="A389" t="s">
        <v>2520</v>
      </c>
      <c r="B389" t="s">
        <v>2521</v>
      </c>
      <c r="C389" t="s">
        <v>2522</v>
      </c>
      <c r="D389" t="s">
        <v>2523</v>
      </c>
      <c r="E389" t="s">
        <v>2524</v>
      </c>
    </row>
    <row r="390" spans="1:5" x14ac:dyDescent="0.25">
      <c r="A390" t="s">
        <v>2525</v>
      </c>
      <c r="B390" t="s">
        <v>2526</v>
      </c>
      <c r="C390" t="s">
        <v>2527</v>
      </c>
      <c r="D390" t="s">
        <v>2528</v>
      </c>
      <c r="E390" t="s">
        <v>2529</v>
      </c>
    </row>
    <row r="391" spans="1:5" ht="26.4" x14ac:dyDescent="0.25">
      <c r="A391" t="s">
        <v>2530</v>
      </c>
      <c r="B391" s="369" t="s">
        <v>2531</v>
      </c>
      <c r="C391" s="369" t="s">
        <v>2532</v>
      </c>
      <c r="D391" s="369" t="s">
        <v>2533</v>
      </c>
      <c r="E391" s="369" t="s">
        <v>2534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F5E-8A7A-4189-81CE-AB54B9C455BD}">
  <sheetPr codeName="Sheet13"/>
  <dimension ref="A1:P13"/>
  <sheetViews>
    <sheetView workbookViewId="0"/>
  </sheetViews>
  <sheetFormatPr defaultRowHeight="13.2" x14ac:dyDescent="0.25"/>
  <cols>
    <col min="1" max="1" width="173.44140625" bestFit="1" customWidth="1"/>
    <col min="2" max="2" width="8.109375" bestFit="1" customWidth="1"/>
    <col min="3" max="6" width="7" bestFit="1" customWidth="1"/>
    <col min="7" max="13" width="8" bestFit="1" customWidth="1"/>
    <col min="14" max="14" width="10.5546875" bestFit="1" customWidth="1"/>
    <col min="15" max="15" width="12.5546875" bestFit="1" customWidth="1"/>
    <col min="16" max="16" width="10.109375" bestFit="1" customWidth="1"/>
  </cols>
  <sheetData>
    <row r="1" spans="1:16" x14ac:dyDescent="0.25">
      <c r="A1" t="s">
        <v>1842</v>
      </c>
    </row>
    <row r="2" spans="1:16" x14ac:dyDescent="0.25">
      <c r="A2" s="127" t="s">
        <v>142</v>
      </c>
      <c r="B2" s="127" t="s">
        <v>402</v>
      </c>
      <c r="C2" s="467">
        <v>0</v>
      </c>
      <c r="D2" s="467">
        <v>0.1</v>
      </c>
      <c r="E2" s="467">
        <v>0.2</v>
      </c>
      <c r="F2" s="467">
        <v>0.3</v>
      </c>
      <c r="G2" s="467">
        <v>0.4</v>
      </c>
      <c r="H2" s="467">
        <v>0.5</v>
      </c>
      <c r="I2" s="467">
        <v>0.6</v>
      </c>
      <c r="J2" s="467">
        <v>0.7</v>
      </c>
      <c r="K2" s="467">
        <v>0.8</v>
      </c>
      <c r="L2" s="467">
        <v>0.9</v>
      </c>
      <c r="M2" s="467">
        <v>1</v>
      </c>
      <c r="N2" s="127" t="s">
        <v>1843</v>
      </c>
      <c r="O2" s="127" t="s">
        <v>1844</v>
      </c>
      <c r="P2" s="127" t="s">
        <v>1845</v>
      </c>
    </row>
    <row r="3" spans="1:16" x14ac:dyDescent="0.25">
      <c r="A3" t="s">
        <v>128</v>
      </c>
      <c r="B3">
        <v>0.5</v>
      </c>
      <c r="C3">
        <v>0</v>
      </c>
      <c r="D3">
        <v>1.9E-2</v>
      </c>
      <c r="E3">
        <v>2.3800000000000002E-2</v>
      </c>
      <c r="F3">
        <v>3.39E-2</v>
      </c>
      <c r="G3">
        <v>4.5400000000000003E-2</v>
      </c>
      <c r="H3">
        <v>5.9499999999999997E-2</v>
      </c>
      <c r="I3">
        <v>8.3000000000000004E-2</v>
      </c>
      <c r="J3">
        <v>0.1109</v>
      </c>
      <c r="K3">
        <v>0.15459999999999999</v>
      </c>
      <c r="L3">
        <v>0.2384</v>
      </c>
      <c r="M3">
        <v>0.36509999999999998</v>
      </c>
      <c r="N3">
        <v>0.4</v>
      </c>
      <c r="O3" t="s">
        <v>1846</v>
      </c>
      <c r="P3" t="s">
        <v>1847</v>
      </c>
    </row>
    <row r="4" spans="1:16" x14ac:dyDescent="0.25">
      <c r="A4" t="s">
        <v>127</v>
      </c>
      <c r="B4">
        <v>0.5</v>
      </c>
      <c r="C4">
        <v>0</v>
      </c>
      <c r="D4">
        <v>2.6599999999999999E-2</v>
      </c>
      <c r="E4">
        <v>3.8399999999999997E-2</v>
      </c>
      <c r="F4">
        <v>5.5E-2</v>
      </c>
      <c r="G4">
        <v>8.0199999999999994E-2</v>
      </c>
      <c r="H4">
        <v>0.1193</v>
      </c>
      <c r="I4">
        <v>0.19189999999999999</v>
      </c>
      <c r="J4">
        <v>0.30809999999999998</v>
      </c>
      <c r="K4">
        <v>0.45939999999999998</v>
      </c>
      <c r="L4">
        <v>0.72550000000000003</v>
      </c>
      <c r="M4">
        <v>1.3736999999999999</v>
      </c>
      <c r="N4">
        <v>1.3</v>
      </c>
      <c r="O4" t="s">
        <v>1848</v>
      </c>
      <c r="P4" t="s">
        <v>1849</v>
      </c>
    </row>
    <row r="5" spans="1:16" x14ac:dyDescent="0.25">
      <c r="A5" t="s">
        <v>126</v>
      </c>
      <c r="B5">
        <v>0.5</v>
      </c>
      <c r="C5">
        <v>0</v>
      </c>
      <c r="D5">
        <v>3.9899999999999998E-2</v>
      </c>
      <c r="E5">
        <v>5.0900000000000001E-2</v>
      </c>
      <c r="F5">
        <v>8.5999999999999993E-2</v>
      </c>
      <c r="G5">
        <v>0.13450000000000001</v>
      </c>
      <c r="H5">
        <v>0.21340000000000001</v>
      </c>
      <c r="I5">
        <v>0.33179999999999998</v>
      </c>
      <c r="J5">
        <v>0.50849999999999995</v>
      </c>
      <c r="K5">
        <v>0.83760000000000001</v>
      </c>
      <c r="L5">
        <v>1.3299000000000001</v>
      </c>
      <c r="M5">
        <v>2.4746999999999999</v>
      </c>
      <c r="N5">
        <v>2.2000000000000002</v>
      </c>
      <c r="O5" t="s">
        <v>1850</v>
      </c>
      <c r="P5" s="466">
        <v>42926</v>
      </c>
    </row>
    <row r="6" spans="1:16" x14ac:dyDescent="0.25">
      <c r="A6" t="s">
        <v>125</v>
      </c>
      <c r="B6">
        <v>0.5</v>
      </c>
      <c r="C6">
        <v>0</v>
      </c>
      <c r="D6">
        <v>3.2899999999999999E-2</v>
      </c>
      <c r="E6">
        <v>9.01E-2</v>
      </c>
      <c r="F6">
        <v>0.14299999999999999</v>
      </c>
      <c r="G6">
        <v>0.2311</v>
      </c>
      <c r="H6">
        <v>0.37269999999999998</v>
      </c>
      <c r="I6">
        <v>0.58279999999999998</v>
      </c>
      <c r="J6">
        <v>1.0633999999999999</v>
      </c>
      <c r="K6">
        <v>1.8507</v>
      </c>
      <c r="L6">
        <v>3.4394999999999998</v>
      </c>
      <c r="M6">
        <v>4.5495000000000001</v>
      </c>
      <c r="N6">
        <v>4.4000000000000004</v>
      </c>
      <c r="O6" t="s">
        <v>1851</v>
      </c>
      <c r="P6" s="466">
        <v>42978</v>
      </c>
    </row>
    <row r="7" spans="1:16" x14ac:dyDescent="0.25">
      <c r="A7" t="s">
        <v>98</v>
      </c>
      <c r="B7">
        <v>0.75</v>
      </c>
      <c r="C7">
        <v>0</v>
      </c>
      <c r="D7">
        <v>4.5100000000000001E-2</v>
      </c>
      <c r="E7">
        <v>8.0699999999999994E-2</v>
      </c>
      <c r="F7">
        <v>0.17199999999999999</v>
      </c>
      <c r="G7">
        <v>0.2928</v>
      </c>
      <c r="H7">
        <v>0.4803</v>
      </c>
      <c r="I7">
        <v>0.76229999999999998</v>
      </c>
      <c r="J7">
        <v>1.2502</v>
      </c>
      <c r="K7">
        <v>2.8656000000000001</v>
      </c>
      <c r="L7">
        <v>5.0016999999999996</v>
      </c>
      <c r="M7">
        <v>6.0660999999999996</v>
      </c>
      <c r="N7">
        <v>5.5</v>
      </c>
      <c r="O7" t="s">
        <v>1852</v>
      </c>
      <c r="P7" s="466">
        <v>42919</v>
      </c>
    </row>
    <row r="8" spans="1:16" x14ac:dyDescent="0.25">
      <c r="A8" t="s">
        <v>97</v>
      </c>
      <c r="B8">
        <v>0.75</v>
      </c>
      <c r="C8">
        <v>0</v>
      </c>
      <c r="D8">
        <v>6.5199999999999994E-2</v>
      </c>
      <c r="E8">
        <v>0.17430000000000001</v>
      </c>
      <c r="F8">
        <v>0.26600000000000001</v>
      </c>
      <c r="G8">
        <v>0.42509999999999998</v>
      </c>
      <c r="H8">
        <v>0.65439999999999998</v>
      </c>
      <c r="I8">
        <v>1.2576000000000001</v>
      </c>
      <c r="J8">
        <v>3.2776999999999998</v>
      </c>
      <c r="K8">
        <v>5.2138999999999998</v>
      </c>
      <c r="L8">
        <v>6.0340999999999996</v>
      </c>
      <c r="M8">
        <v>6.8836000000000004</v>
      </c>
      <c r="N8">
        <v>7.5</v>
      </c>
      <c r="O8" t="s">
        <v>1853</v>
      </c>
      <c r="P8" s="466">
        <v>42920</v>
      </c>
    </row>
    <row r="9" spans="1:16" x14ac:dyDescent="0.25">
      <c r="A9" t="s">
        <v>114</v>
      </c>
      <c r="B9">
        <v>1</v>
      </c>
      <c r="C9">
        <v>1.6000000000000001E-3</v>
      </c>
      <c r="D9">
        <v>7.9500000000000001E-2</v>
      </c>
      <c r="E9">
        <v>0.17219999999999999</v>
      </c>
      <c r="F9">
        <v>0.30399999999999999</v>
      </c>
      <c r="G9">
        <v>0.51080000000000003</v>
      </c>
      <c r="H9">
        <v>0.84899999999999998</v>
      </c>
      <c r="I9">
        <v>1.3675999999999999</v>
      </c>
      <c r="J9">
        <v>2.0427</v>
      </c>
      <c r="K9">
        <v>4.8524000000000003</v>
      </c>
      <c r="L9">
        <v>8.9664999999999999</v>
      </c>
      <c r="M9">
        <v>9.4579000000000004</v>
      </c>
      <c r="N9">
        <v>10</v>
      </c>
      <c r="O9" t="s">
        <v>1854</v>
      </c>
      <c r="P9" s="466">
        <v>42912</v>
      </c>
    </row>
    <row r="10" spans="1:16" x14ac:dyDescent="0.25">
      <c r="A10" t="s">
        <v>113</v>
      </c>
      <c r="B10">
        <v>1</v>
      </c>
      <c r="C10">
        <v>1.6000000000000001E-3</v>
      </c>
      <c r="D10">
        <v>0.30609999999999998</v>
      </c>
      <c r="E10">
        <v>0.6754</v>
      </c>
      <c r="F10">
        <v>1.2408999999999999</v>
      </c>
      <c r="G10">
        <v>1.7906</v>
      </c>
      <c r="H10">
        <v>2.7343999999999999</v>
      </c>
      <c r="I10">
        <v>4.01</v>
      </c>
      <c r="J10">
        <v>6.3106999999999998</v>
      </c>
      <c r="K10">
        <v>9.3950999999999993</v>
      </c>
      <c r="L10">
        <v>12.4536</v>
      </c>
      <c r="M10">
        <v>13.4152</v>
      </c>
      <c r="N10">
        <v>14</v>
      </c>
      <c r="O10" t="s">
        <v>1855</v>
      </c>
      <c r="P10" s="466">
        <v>42857</v>
      </c>
    </row>
    <row r="11" spans="1:16" x14ac:dyDescent="0.25">
      <c r="A11" t="s">
        <v>122</v>
      </c>
      <c r="B11">
        <v>1.25</v>
      </c>
      <c r="C11">
        <v>0</v>
      </c>
      <c r="D11">
        <v>0.35510000000000003</v>
      </c>
      <c r="E11">
        <v>0.62429999999999997</v>
      </c>
      <c r="F11">
        <v>1.4877</v>
      </c>
      <c r="G11">
        <v>2.4352</v>
      </c>
      <c r="H11">
        <v>4.819</v>
      </c>
      <c r="I11">
        <v>9.4619</v>
      </c>
      <c r="J11">
        <v>13.2889</v>
      </c>
      <c r="K11">
        <v>16.6952</v>
      </c>
      <c r="L11">
        <v>18.490200000000002</v>
      </c>
      <c r="M11">
        <v>19.3066</v>
      </c>
      <c r="N11">
        <v>20</v>
      </c>
      <c r="O11" t="s">
        <v>1856</v>
      </c>
      <c r="P11" s="466">
        <v>42997</v>
      </c>
    </row>
    <row r="12" spans="1:16" x14ac:dyDescent="0.25">
      <c r="A12" t="s">
        <v>123</v>
      </c>
      <c r="B12">
        <v>1.5</v>
      </c>
      <c r="C12">
        <v>0</v>
      </c>
      <c r="D12">
        <v>0.86229999999999996</v>
      </c>
      <c r="E12">
        <v>1.0550999999999999</v>
      </c>
      <c r="F12">
        <v>1.9523999999999999</v>
      </c>
      <c r="G12">
        <v>3.3895</v>
      </c>
      <c r="H12">
        <v>6.3517000000000001</v>
      </c>
      <c r="I12">
        <v>11.043900000000001</v>
      </c>
      <c r="J12">
        <v>17.705200000000001</v>
      </c>
      <c r="K12">
        <v>22.257999999999999</v>
      </c>
      <c r="L12">
        <v>25.433700000000002</v>
      </c>
      <c r="M12">
        <v>27.976400000000002</v>
      </c>
      <c r="N12">
        <v>28</v>
      </c>
      <c r="O12" t="s">
        <v>1857</v>
      </c>
      <c r="P12" s="466">
        <v>42997</v>
      </c>
    </row>
    <row r="13" spans="1:16" x14ac:dyDescent="0.25">
      <c r="A13" t="s">
        <v>108</v>
      </c>
      <c r="B13">
        <v>2</v>
      </c>
      <c r="C13">
        <v>0</v>
      </c>
      <c r="D13">
        <v>0.76239999999999997</v>
      </c>
      <c r="E13">
        <v>1.0801000000000001</v>
      </c>
      <c r="F13">
        <v>3.9497</v>
      </c>
      <c r="G13">
        <v>13.340299999999999</v>
      </c>
      <c r="H13">
        <v>23.1051</v>
      </c>
      <c r="I13">
        <v>27.331800000000001</v>
      </c>
      <c r="J13">
        <v>30.333500000000001</v>
      </c>
      <c r="K13">
        <v>32.118699999999997</v>
      </c>
      <c r="L13">
        <v>33.842599999999997</v>
      </c>
      <c r="M13">
        <v>36.310099999999998</v>
      </c>
      <c r="N13">
        <v>40</v>
      </c>
      <c r="O13" t="s">
        <v>1858</v>
      </c>
      <c r="P13" s="466">
        <v>42895</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49</vt:i4>
      </vt:variant>
    </vt:vector>
  </HeadingPairs>
  <TitlesOfParts>
    <vt:vector size="65"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Language</vt:lpstr>
      <vt:lpstr>Updates</vt:lpstr>
      <vt:lpstr>Localization</vt:lpstr>
      <vt:lpstr>ValveCurves</vt:lpstr>
      <vt:lpstr>A</vt:lpstr>
      <vt:lpstr>AP</vt:lpstr>
      <vt:lpstr>App</vt:lpstr>
      <vt:lpstr>BarPressure</vt:lpstr>
      <vt:lpstr>CoeffType</vt:lpstr>
      <vt:lpstr>cpdh</vt:lpstr>
      <vt:lpstr>Ctrl</vt:lpstr>
      <vt:lpstr>CurrentLanguage</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RememberLanguageFlag</vt:lpstr>
      <vt:lpstr>rGitHubStatus</vt:lpstr>
      <vt:lpstr>rUpdMode</vt:lpstr>
      <vt:lpstr>rVersion</vt:lpstr>
      <vt:lpstr>SATURATIONCHART</vt:lpstr>
      <vt:lpstr>SATURATIONCHARTMETRIC</vt:lpstr>
      <vt:lpstr>SavedLanguagePref</vt:lpstr>
      <vt:lpstr>SelectedLanguage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2026-09-29T12:51:11Z</dcterms:modified>
</cp:coreProperties>
</file>