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BetterMan\微小卫星\程序\"/>
    </mc:Choice>
  </mc:AlternateContent>
  <xr:revisionPtr revIDLastSave="0" documentId="13_ncr:1_{88675D9A-9F5C-40AF-B719-97C488159A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="1" iterateCount="10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U33" i="1"/>
  <c r="Q29" i="1"/>
  <c r="D23" i="1"/>
  <c r="E23" i="1"/>
  <c r="F23" i="1"/>
  <c r="G23" i="1"/>
  <c r="I23" i="1"/>
  <c r="H23" i="1"/>
  <c r="C23" i="1"/>
  <c r="H17" i="1"/>
  <c r="G17" i="1"/>
  <c r="F17" i="1"/>
  <c r="E17" i="1"/>
  <c r="D17" i="1"/>
  <c r="C17" i="1"/>
  <c r="V13" i="1"/>
  <c r="U13" i="1"/>
  <c r="T17" i="1"/>
  <c r="S17" i="1"/>
  <c r="S33" i="1"/>
  <c r="R13" i="1"/>
  <c r="S13" i="1"/>
  <c r="Q13" i="1"/>
  <c r="R17" i="1"/>
  <c r="Q17" i="1"/>
  <c r="V9" i="1"/>
  <c r="U9" i="1"/>
  <c r="Q33" i="1" s="1"/>
  <c r="T9" i="1"/>
  <c r="S9" i="1"/>
  <c r="R33" i="1" s="1"/>
  <c r="R9" i="1"/>
  <c r="Q9" i="1"/>
  <c r="U5" i="1"/>
  <c r="S5" i="1"/>
  <c r="R5" i="1"/>
  <c r="Q5" i="1"/>
  <c r="T5" i="1"/>
  <c r="T13" i="1" l="1"/>
  <c r="U37" i="1"/>
  <c r="Q21" i="1"/>
  <c r="S21" i="1"/>
  <c r="U21" i="1"/>
  <c r="V21" i="1"/>
  <c r="Q25" i="1"/>
  <c r="S25" i="1"/>
  <c r="U25" i="1"/>
  <c r="V25" i="1"/>
  <c r="C29" i="1"/>
  <c r="D29" i="1"/>
  <c r="E29" i="1"/>
  <c r="F29" i="1"/>
  <c r="G29" i="1"/>
  <c r="H29" i="1"/>
  <c r="U29" i="1"/>
  <c r="T33" i="1"/>
  <c r="C35" i="1"/>
  <c r="D35" i="1"/>
  <c r="Q37" i="1"/>
  <c r="R37" i="1"/>
  <c r="S37" i="1"/>
  <c r="T37" i="1"/>
  <c r="Q41" i="1"/>
  <c r="R41" i="1"/>
  <c r="S41" i="1"/>
  <c r="T41" i="1"/>
  <c r="U41" i="1"/>
  <c r="V41" i="1"/>
</calcChain>
</file>

<file path=xl/sharedStrings.xml><?xml version="1.0" encoding="utf-8"?>
<sst xmlns="http://schemas.openxmlformats.org/spreadsheetml/2006/main" count="108" uniqueCount="71">
  <si>
    <t>参数表</t>
    <phoneticPr fontId="1" type="noConversion"/>
  </si>
  <si>
    <t>轨道倾角</t>
    <phoneticPr fontId="1" type="noConversion"/>
  </si>
  <si>
    <t>极光纬度边界</t>
    <phoneticPr fontId="1" type="noConversion"/>
  </si>
  <si>
    <t>拍摄经纬范围</t>
    <phoneticPr fontId="1" type="noConversion"/>
  </si>
  <si>
    <t>拍摄角度</t>
    <phoneticPr fontId="1" type="noConversion"/>
  </si>
  <si>
    <t>计算机</t>
    <phoneticPr fontId="1" type="noConversion"/>
  </si>
  <si>
    <t>任务</t>
    <phoneticPr fontId="1" type="noConversion"/>
  </si>
  <si>
    <t>轨道参数</t>
    <phoneticPr fontId="1" type="noConversion"/>
  </si>
  <si>
    <t>飞行速度</t>
    <phoneticPr fontId="1" type="noConversion"/>
  </si>
  <si>
    <t>飞行周期</t>
    <phoneticPr fontId="1" type="noConversion"/>
  </si>
  <si>
    <t>飞行频率</t>
    <phoneticPr fontId="1" type="noConversion"/>
  </si>
  <si>
    <t>角度单位换算</t>
    <phoneticPr fontId="1" type="noConversion"/>
  </si>
  <si>
    <t>轨道半径</t>
    <phoneticPr fontId="1" type="noConversion"/>
  </si>
  <si>
    <t>极光半径</t>
    <phoneticPr fontId="1" type="noConversion"/>
  </si>
  <si>
    <t>地球半径</t>
    <phoneticPr fontId="1" type="noConversion"/>
  </si>
  <si>
    <t>相片</t>
    <phoneticPr fontId="1" type="noConversion"/>
  </si>
  <si>
    <t>有效时间</t>
    <phoneticPr fontId="1" type="noConversion"/>
  </si>
  <si>
    <t>相片数量/轨道</t>
    <phoneticPr fontId="1" type="noConversion"/>
  </si>
  <si>
    <t>相片数量/天</t>
    <phoneticPr fontId="1" type="noConversion"/>
  </si>
  <si>
    <t>数据量/轨道</t>
    <phoneticPr fontId="1" type="noConversion"/>
  </si>
  <si>
    <t>数据量/天</t>
    <phoneticPr fontId="1" type="noConversion"/>
  </si>
  <si>
    <t>相片分辨率</t>
    <phoneticPr fontId="1" type="noConversion"/>
  </si>
  <si>
    <t>相位</t>
    <phoneticPr fontId="1" type="noConversion"/>
  </si>
  <si>
    <t>相机</t>
    <phoneticPr fontId="1" type="noConversion"/>
  </si>
  <si>
    <t>纬度函数</t>
    <phoneticPr fontId="1" type="noConversion"/>
  </si>
  <si>
    <t>纬度导函数</t>
    <phoneticPr fontId="1" type="noConversion"/>
  </si>
  <si>
    <t>经度函数</t>
    <phoneticPr fontId="1" type="noConversion"/>
  </si>
  <si>
    <t>经度导函数</t>
    <phoneticPr fontId="1" type="noConversion"/>
  </si>
  <si>
    <t>纬度迭代</t>
    <phoneticPr fontId="1" type="noConversion"/>
  </si>
  <si>
    <t>经度迭代</t>
    <phoneticPr fontId="1" type="noConversion"/>
  </si>
  <si>
    <t>纬度视场角</t>
    <phoneticPr fontId="1" type="noConversion"/>
  </si>
  <si>
    <t>经度视场角</t>
    <phoneticPr fontId="1" type="noConversion"/>
  </si>
  <si>
    <t>极限经度</t>
    <phoneticPr fontId="1" type="noConversion"/>
  </si>
  <si>
    <t>极限纬度</t>
    <phoneticPr fontId="1" type="noConversion"/>
  </si>
  <si>
    <t>TAN</t>
    <phoneticPr fontId="1" type="noConversion"/>
  </si>
  <si>
    <t>X</t>
    <phoneticPr fontId="1" type="noConversion"/>
  </si>
  <si>
    <t>a</t>
    <phoneticPr fontId="1" type="noConversion"/>
  </si>
  <si>
    <t>A</t>
    <phoneticPr fontId="1" type="noConversion"/>
  </si>
  <si>
    <t>Y</t>
    <phoneticPr fontId="1" type="noConversion"/>
  </si>
  <si>
    <t>视场角X</t>
    <phoneticPr fontId="1" type="noConversion"/>
  </si>
  <si>
    <t>视场角Y</t>
    <phoneticPr fontId="1" type="noConversion"/>
  </si>
  <si>
    <t>单相片数据/M</t>
    <phoneticPr fontId="1" type="noConversion"/>
  </si>
  <si>
    <t>极限Theta</t>
    <phoneticPr fontId="1" type="noConversion"/>
  </si>
  <si>
    <t>Z</t>
    <phoneticPr fontId="1" type="noConversion"/>
  </si>
  <si>
    <t>焦距</t>
    <phoneticPr fontId="1" type="noConversion"/>
  </si>
  <si>
    <t>快门</t>
    <phoneticPr fontId="1" type="noConversion"/>
  </si>
  <si>
    <t>安全快门</t>
    <phoneticPr fontId="1" type="noConversion"/>
  </si>
  <si>
    <t xml:space="preserve"> </t>
    <phoneticPr fontId="1" type="noConversion"/>
  </si>
  <si>
    <t>输出栏</t>
    <phoneticPr fontId="1" type="noConversion"/>
  </si>
  <si>
    <t>轨道参数（时间单位：s；距离单位：km）</t>
    <phoneticPr fontId="1" type="noConversion"/>
  </si>
  <si>
    <t>拍摄频率（/s）</t>
    <phoneticPr fontId="1" type="noConversion"/>
  </si>
  <si>
    <t>轨道倾角（°）</t>
    <phoneticPr fontId="1" type="noConversion"/>
  </si>
  <si>
    <t>极光纬度边界（°）</t>
    <phoneticPr fontId="1" type="noConversion"/>
  </si>
  <si>
    <t>轨道高度（km）</t>
    <phoneticPr fontId="1" type="noConversion"/>
  </si>
  <si>
    <t>极光高度（km）</t>
    <phoneticPr fontId="1" type="noConversion"/>
  </si>
  <si>
    <t>分辨精度（km）</t>
    <phoneticPr fontId="1" type="noConversion"/>
  </si>
  <si>
    <t>拍摄经纬范围（°）</t>
    <phoneticPr fontId="1" type="noConversion"/>
  </si>
  <si>
    <t>拍摄角度（°）</t>
    <phoneticPr fontId="1" type="noConversion"/>
  </si>
  <si>
    <t>像素深度（bit）</t>
    <phoneticPr fontId="1" type="noConversion"/>
  </si>
  <si>
    <t>像素尺度（km）</t>
    <phoneticPr fontId="1" type="noConversion"/>
  </si>
  <si>
    <t>数据量/天（单位：M）</t>
    <phoneticPr fontId="1" type="noConversion"/>
  </si>
  <si>
    <t>数量</t>
    <phoneticPr fontId="1" type="noConversion"/>
  </si>
  <si>
    <t>数据量</t>
    <phoneticPr fontId="1" type="noConversion"/>
  </si>
  <si>
    <t>极限X视场</t>
    <phoneticPr fontId="1" type="noConversion"/>
  </si>
  <si>
    <t>极限Y视场</t>
    <phoneticPr fontId="1" type="noConversion"/>
  </si>
  <si>
    <t>视场角(°)</t>
    <phoneticPr fontId="1" type="noConversion"/>
  </si>
  <si>
    <t>焦距(mm)</t>
    <phoneticPr fontId="1" type="noConversion"/>
  </si>
  <si>
    <t>快门(s)</t>
    <phoneticPr fontId="1" type="noConversion"/>
  </si>
  <si>
    <t>安全快门(s)</t>
    <phoneticPr fontId="1" type="noConversion"/>
  </si>
  <si>
    <t>备注：只可以在参数表进行输入，XY分别代表两个相互垂直的平面且分别与经纬线平行。</t>
    <phoneticPr fontId="1" type="noConversion"/>
  </si>
  <si>
    <t>备注：XY平面相互垂直，左图给出了X平面。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</si>
</sst>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1048774</xdr:colOff>
      <xdr:row>29</xdr:row>
      <xdr:rowOff>166686</xdr:rowOff>
    </xdr:from>
    <xdr:to>
      <xdr:col>8</xdr:col>
      <xdr:colOff>17929</xdr:colOff>
      <xdr:row>36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285050-0761-41DA-A806-14B876EC6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4633" y="5366215"/>
          <a:ext cx="4114896" cy="1116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C25" zoomScale="85" zoomScaleNormal="85" workbookViewId="0">
      <selection activeCell="R41" sqref="R41:R42"/>
    </sheetView>
  </sheetViews>
  <sheetFormatPr defaultRowHeight="13.8" x14ac:dyDescent="0.25"/>
  <cols>
    <col min="1" max="1" width="15.88671875" customWidth="1"/>
    <col min="2" max="2" width="25.21875" customWidth="1"/>
    <col min="3" max="3" width="14.88671875" customWidth="1"/>
    <col min="4" max="4" width="15.5546875" customWidth="1"/>
    <col min="5" max="5" width="19.77734375" customWidth="1"/>
    <col min="6" max="7" width="14.21875" customWidth="1"/>
    <col min="8" max="8" width="11.21875" customWidth="1"/>
    <col min="11" max="11" width="13.44140625" customWidth="1"/>
    <col min="12" max="12" width="13.77734375" customWidth="1"/>
    <col min="19" max="19" width="10.21875" bestFit="1" customWidth="1"/>
  </cols>
  <sheetData>
    <row r="1" spans="1:2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11" t="s">
        <v>6</v>
      </c>
      <c r="Q1" s="11" t="s">
        <v>5</v>
      </c>
      <c r="R1" s="11"/>
      <c r="S1" s="11"/>
      <c r="T1" s="11"/>
      <c r="U1" s="11"/>
      <c r="V1" s="11"/>
    </row>
    <row r="2" spans="1:2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P2" s="11"/>
      <c r="Q2" s="11"/>
      <c r="R2" s="11"/>
      <c r="S2" s="11"/>
      <c r="T2" s="11"/>
      <c r="U2" s="11"/>
      <c r="V2" s="11"/>
    </row>
    <row r="3" spans="1:22" x14ac:dyDescent="0.25">
      <c r="A3" s="15" t="s">
        <v>50</v>
      </c>
      <c r="B3" s="15" t="s">
        <v>51</v>
      </c>
      <c r="C3" s="11" t="s">
        <v>52</v>
      </c>
      <c r="D3" s="11"/>
      <c r="E3" s="11" t="s">
        <v>53</v>
      </c>
      <c r="F3" s="11" t="s">
        <v>54</v>
      </c>
      <c r="G3" s="11" t="s">
        <v>55</v>
      </c>
      <c r="H3" s="11"/>
      <c r="I3" s="11" t="s">
        <v>56</v>
      </c>
      <c r="J3" s="11"/>
      <c r="K3" s="11" t="s">
        <v>57</v>
      </c>
      <c r="L3" s="11" t="s">
        <v>58</v>
      </c>
      <c r="M3" s="11" t="s">
        <v>59</v>
      </c>
      <c r="N3" s="11"/>
      <c r="P3" s="6" t="s">
        <v>7</v>
      </c>
      <c r="Q3" s="11" t="s">
        <v>8</v>
      </c>
      <c r="R3" s="11" t="s">
        <v>9</v>
      </c>
      <c r="S3" s="11" t="s">
        <v>10</v>
      </c>
      <c r="T3" s="11" t="s">
        <v>12</v>
      </c>
      <c r="U3" s="11" t="s">
        <v>13</v>
      </c>
      <c r="V3" s="11" t="s">
        <v>14</v>
      </c>
    </row>
    <row r="4" spans="1:22" x14ac:dyDescent="0.25">
      <c r="A4" s="6"/>
      <c r="B4" s="15"/>
      <c r="C4" s="11"/>
      <c r="D4" s="11"/>
      <c r="E4" s="15"/>
      <c r="F4" s="15"/>
      <c r="G4" s="2" t="s">
        <v>35</v>
      </c>
      <c r="H4" s="2" t="s">
        <v>38</v>
      </c>
      <c r="I4" s="2" t="s">
        <v>35</v>
      </c>
      <c r="J4" s="2" t="s">
        <v>38</v>
      </c>
      <c r="K4" s="11"/>
      <c r="L4" s="11"/>
      <c r="M4" s="2" t="s">
        <v>35</v>
      </c>
      <c r="N4" s="2" t="s">
        <v>38</v>
      </c>
      <c r="P4" s="6"/>
      <c r="Q4" s="11"/>
      <c r="R4" s="11"/>
      <c r="S4" s="11"/>
      <c r="T4" s="11"/>
      <c r="U4" s="11"/>
      <c r="V4" s="11"/>
    </row>
    <row r="5" spans="1:22" x14ac:dyDescent="0.25">
      <c r="A5" s="6">
        <v>16</v>
      </c>
      <c r="B5" s="6">
        <v>78</v>
      </c>
      <c r="C5" s="6">
        <v>60</v>
      </c>
      <c r="D5" s="6">
        <v>75</v>
      </c>
      <c r="E5" s="6">
        <v>500</v>
      </c>
      <c r="F5" s="6">
        <v>110</v>
      </c>
      <c r="G5" s="6">
        <v>0.1</v>
      </c>
      <c r="H5" s="6">
        <v>0.1</v>
      </c>
      <c r="I5" s="6">
        <v>5</v>
      </c>
      <c r="J5" s="6">
        <v>5</v>
      </c>
      <c r="K5" s="6">
        <v>0</v>
      </c>
      <c r="L5" s="6">
        <v>12</v>
      </c>
      <c r="M5" s="14">
        <v>5.0000000000000003E-10</v>
      </c>
      <c r="N5" s="14">
        <v>5.0000000000000003E-10</v>
      </c>
      <c r="P5" s="6"/>
      <c r="Q5" s="11">
        <f>SQRT(398094556000000/((T5)*1000))/1000</f>
        <v>7.6117259730846838</v>
      </c>
      <c r="R5" s="11">
        <f>2*PI()*(T5)*1000/Q5/1000</f>
        <v>5671.7446737162818</v>
      </c>
      <c r="S5" s="11">
        <f>2*PI()/R5</f>
        <v>1.1078046824457405E-3</v>
      </c>
      <c r="T5" s="11">
        <f>E5+V5</f>
        <v>6871</v>
      </c>
      <c r="U5" s="11">
        <f>F5+V5</f>
        <v>6481</v>
      </c>
      <c r="V5" s="11">
        <v>6371</v>
      </c>
    </row>
    <row r="6" spans="1:2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  <c r="N6" s="11"/>
      <c r="P6" s="6"/>
      <c r="Q6" s="11"/>
      <c r="R6" s="11"/>
      <c r="S6" s="11"/>
      <c r="T6" s="11"/>
      <c r="U6" s="11"/>
      <c r="V6" s="11"/>
    </row>
    <row r="7" spans="1:22" x14ac:dyDescent="0.25">
      <c r="A7" s="8" t="s">
        <v>69</v>
      </c>
      <c r="B7" s="9"/>
      <c r="C7" s="9"/>
      <c r="D7" s="9"/>
      <c r="E7" s="9"/>
      <c r="F7" s="9"/>
      <c r="G7" s="13"/>
      <c r="H7" s="13"/>
      <c r="I7" s="13"/>
      <c r="J7" s="13"/>
      <c r="K7" s="13"/>
      <c r="L7" s="13"/>
      <c r="M7" s="13"/>
      <c r="N7" s="13"/>
      <c r="P7" s="11" t="s">
        <v>11</v>
      </c>
      <c r="Q7" s="11" t="s">
        <v>2</v>
      </c>
      <c r="R7" s="11"/>
      <c r="S7" s="11" t="s">
        <v>3</v>
      </c>
      <c r="T7" s="11"/>
      <c r="U7" s="11" t="s">
        <v>4</v>
      </c>
      <c r="V7" s="11" t="s">
        <v>1</v>
      </c>
    </row>
    <row r="8" spans="1:22" x14ac:dyDescent="0.25">
      <c r="A8" s="10"/>
      <c r="B8" s="10"/>
      <c r="C8" s="10"/>
      <c r="D8" s="10"/>
      <c r="E8" s="10"/>
      <c r="F8" s="10"/>
      <c r="G8" s="13"/>
      <c r="H8" s="13"/>
      <c r="I8" s="13"/>
      <c r="J8" s="13"/>
      <c r="K8" s="13"/>
      <c r="L8" s="13"/>
      <c r="M8" s="13"/>
      <c r="N8" s="13"/>
      <c r="P8" s="11"/>
      <c r="Q8" s="11"/>
      <c r="R8" s="11"/>
      <c r="S8" s="11"/>
      <c r="T8" s="11"/>
      <c r="U8" s="11"/>
      <c r="V8" s="11"/>
    </row>
    <row r="9" spans="1:2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1"/>
      <c r="Q9" s="11">
        <f>C5*PI()/180</f>
        <v>1.0471975511965976</v>
      </c>
      <c r="R9" s="11">
        <f>D5*PI()/180</f>
        <v>1.3089969389957472</v>
      </c>
      <c r="S9" s="11">
        <f>I5*PI()/180</f>
        <v>8.7266462599716474E-2</v>
      </c>
      <c r="T9" s="11">
        <f>J5*PI()/180</f>
        <v>8.7266462599716474E-2</v>
      </c>
      <c r="U9" s="11">
        <f>K5*PI()/180</f>
        <v>0</v>
      </c>
      <c r="V9" s="11">
        <f>B5*PI()/180</f>
        <v>1.3613568165555769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1"/>
      <c r="Q10" s="11"/>
      <c r="R10" s="11"/>
      <c r="S10" s="11"/>
      <c r="T10" s="11"/>
      <c r="U10" s="11"/>
      <c r="V10" s="11"/>
    </row>
    <row r="11" spans="1:22" x14ac:dyDescent="0.25">
      <c r="P11" s="6" t="s">
        <v>15</v>
      </c>
      <c r="Q11" s="11" t="s">
        <v>16</v>
      </c>
      <c r="R11" s="11" t="s">
        <v>17</v>
      </c>
      <c r="S11" s="11" t="s">
        <v>18</v>
      </c>
      <c r="T11" s="11" t="s">
        <v>19</v>
      </c>
      <c r="U11" s="11" t="s">
        <v>20</v>
      </c>
      <c r="V11" s="11" t="s">
        <v>41</v>
      </c>
    </row>
    <row r="12" spans="1:22" x14ac:dyDescent="0.25">
      <c r="P12" s="6"/>
      <c r="Q12" s="11"/>
      <c r="R12" s="11"/>
      <c r="S12" s="11"/>
      <c r="T12" s="11"/>
      <c r="U12" s="11"/>
      <c r="V12" s="11"/>
    </row>
    <row r="13" spans="1:22" x14ac:dyDescent="0.25">
      <c r="A13" s="6" t="s">
        <v>48</v>
      </c>
      <c r="B13" s="6"/>
      <c r="C13" s="6"/>
      <c r="D13" s="6"/>
      <c r="E13" s="6"/>
      <c r="F13" s="6"/>
      <c r="G13" s="6"/>
      <c r="H13" s="6"/>
      <c r="I13" s="6"/>
      <c r="J13" s="1"/>
      <c r="K13" s="1"/>
      <c r="L13" s="1"/>
      <c r="M13" s="1"/>
      <c r="N13" s="1"/>
      <c r="P13" s="6"/>
      <c r="Q13" s="11">
        <f>(4/S5)*(R17-Q17)</f>
        <v>758.40099001946294</v>
      </c>
      <c r="R13" s="11">
        <f>INT(Q13/A5)</f>
        <v>47</v>
      </c>
      <c r="S13" s="11">
        <f>INT((S5/0.0000727220521664304)*(Q13/A5))</f>
        <v>722</v>
      </c>
      <c r="T13" s="11">
        <f>R13*V13</f>
        <v>2148.5584588050842</v>
      </c>
      <c r="U13" s="11">
        <f>S13*V13</f>
        <v>33005.515048027039</v>
      </c>
      <c r="V13" s="11">
        <f>S17*T17*L5/8/1024/1024</f>
        <v>45.714009761810303</v>
      </c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1"/>
      <c r="K14" s="1"/>
      <c r="L14" s="1"/>
      <c r="M14" s="1"/>
      <c r="N14" s="1"/>
      <c r="P14" s="6"/>
      <c r="Q14" s="11"/>
      <c r="R14" s="11"/>
      <c r="S14" s="11"/>
      <c r="T14" s="11"/>
      <c r="U14" s="11"/>
      <c r="V14" s="11"/>
    </row>
    <row r="15" spans="1:22" x14ac:dyDescent="0.25">
      <c r="A15" s="6" t="s">
        <v>49</v>
      </c>
      <c r="B15" s="6"/>
      <c r="C15" s="11" t="s">
        <v>8</v>
      </c>
      <c r="D15" s="11" t="s">
        <v>9</v>
      </c>
      <c r="E15" s="11" t="s">
        <v>10</v>
      </c>
      <c r="F15" s="11" t="s">
        <v>12</v>
      </c>
      <c r="G15" s="11" t="s">
        <v>13</v>
      </c>
      <c r="H15" s="11" t="s">
        <v>14</v>
      </c>
      <c r="I15" s="5"/>
      <c r="P15" s="6"/>
      <c r="Q15" s="11" t="s">
        <v>22</v>
      </c>
      <c r="R15" s="11"/>
      <c r="S15" s="11" t="s">
        <v>21</v>
      </c>
      <c r="T15" s="11"/>
      <c r="U15" s="11"/>
      <c r="V15" s="11"/>
    </row>
    <row r="16" spans="1:22" x14ac:dyDescent="0.25">
      <c r="A16" s="6"/>
      <c r="B16" s="6"/>
      <c r="C16" s="11"/>
      <c r="D16" s="11"/>
      <c r="E16" s="11"/>
      <c r="F16" s="11"/>
      <c r="G16" s="11"/>
      <c r="H16" s="11"/>
      <c r="I16" s="5"/>
      <c r="P16" s="6"/>
      <c r="Q16" s="11"/>
      <c r="R16" s="11"/>
      <c r="S16" s="2" t="s">
        <v>35</v>
      </c>
      <c r="T16" s="2" t="s">
        <v>38</v>
      </c>
      <c r="U16" s="11"/>
      <c r="V16" s="11"/>
    </row>
    <row r="17" spans="1:22" x14ac:dyDescent="0.25">
      <c r="A17" s="6"/>
      <c r="B17" s="6"/>
      <c r="C17" s="6">
        <f t="shared" ref="C17:H17" si="0">Q5</f>
        <v>7.6117259730846838</v>
      </c>
      <c r="D17" s="6">
        <f t="shared" si="0"/>
        <v>5671.7446737162818</v>
      </c>
      <c r="E17" s="6">
        <f t="shared" si="0"/>
        <v>1.1078046824457405E-3</v>
      </c>
      <c r="F17" s="6">
        <f t="shared" si="0"/>
        <v>6871</v>
      </c>
      <c r="G17" s="6">
        <f t="shared" si="0"/>
        <v>6481</v>
      </c>
      <c r="H17" s="6">
        <f t="shared" si="0"/>
        <v>6371</v>
      </c>
      <c r="I17" s="5"/>
      <c r="P17" s="6"/>
      <c r="Q17" s="11">
        <f>ASIN((U5/(T5*SIN(V9)))*SIN(Q9))</f>
        <v>0.98834889758943145</v>
      </c>
      <c r="R17" s="11">
        <f>ASIN((U5/(T5*SIN(V9)))*SIN(R9))</f>
        <v>1.198388939568193</v>
      </c>
      <c r="S17" s="6">
        <f>INT(2*U5*SIN(S9/2)/G5)</f>
        <v>5653</v>
      </c>
      <c r="T17" s="6">
        <f>INT(2*U5*SIN(T9/2)/H5)</f>
        <v>5653</v>
      </c>
      <c r="U17" s="11"/>
      <c r="V17" s="11"/>
    </row>
    <row r="18" spans="1:22" x14ac:dyDescent="0.25">
      <c r="A18" s="6"/>
      <c r="B18" s="6"/>
      <c r="C18" s="6"/>
      <c r="D18" s="6"/>
      <c r="E18" s="6"/>
      <c r="F18" s="6"/>
      <c r="G18" s="6"/>
      <c r="H18" s="6"/>
      <c r="I18" s="5"/>
      <c r="P18" s="6"/>
      <c r="Q18" s="11"/>
      <c r="R18" s="11"/>
      <c r="S18" s="6"/>
      <c r="T18" s="6"/>
      <c r="U18" s="11"/>
      <c r="V18" s="11"/>
    </row>
    <row r="19" spans="1:22" x14ac:dyDescent="0.25">
      <c r="A19" s="6" t="s">
        <v>15</v>
      </c>
      <c r="B19" s="6"/>
      <c r="C19" s="6" t="s">
        <v>61</v>
      </c>
      <c r="D19" s="6"/>
      <c r="E19" s="6" t="s">
        <v>62</v>
      </c>
      <c r="F19" s="6"/>
      <c r="G19" s="6"/>
      <c r="H19" s="11" t="s">
        <v>21</v>
      </c>
      <c r="I19" s="11"/>
      <c r="P19" s="11" t="s">
        <v>23</v>
      </c>
      <c r="Q19" s="11" t="s">
        <v>24</v>
      </c>
      <c r="R19" s="11"/>
      <c r="S19" s="11" t="s">
        <v>25</v>
      </c>
      <c r="T19" s="11"/>
      <c r="U19" s="11" t="s">
        <v>28</v>
      </c>
      <c r="V19" s="11" t="s">
        <v>30</v>
      </c>
    </row>
    <row r="20" spans="1:22" x14ac:dyDescent="0.25">
      <c r="A20" s="6"/>
      <c r="B20" s="6"/>
      <c r="C20" s="6"/>
      <c r="D20" s="6"/>
      <c r="E20" s="6"/>
      <c r="F20" s="6"/>
      <c r="G20" s="6"/>
      <c r="H20" s="11"/>
      <c r="I20" s="11"/>
      <c r="P20" s="11"/>
      <c r="Q20" s="11"/>
      <c r="R20" s="11"/>
      <c r="S20" s="11"/>
      <c r="T20" s="11"/>
      <c r="U20" s="11"/>
      <c r="V20" s="11"/>
    </row>
    <row r="21" spans="1:22" x14ac:dyDescent="0.25">
      <c r="A21" s="6"/>
      <c r="B21" s="6"/>
      <c r="C21" s="6" t="s">
        <v>17</v>
      </c>
      <c r="D21" s="6" t="s">
        <v>18</v>
      </c>
      <c r="E21" s="11" t="s">
        <v>19</v>
      </c>
      <c r="F21" s="11" t="s">
        <v>60</v>
      </c>
      <c r="G21" s="11" t="s">
        <v>41</v>
      </c>
      <c r="H21" s="11" t="s">
        <v>35</v>
      </c>
      <c r="I21" s="11" t="s">
        <v>38</v>
      </c>
      <c r="P21" s="11"/>
      <c r="Q21" s="11">
        <f ca="1">(S33*SIN(U21))/(1-S33*COS(U21))-Q33</f>
        <v>0</v>
      </c>
      <c r="R21" s="11"/>
      <c r="S21" s="11">
        <f ca="1">S33*(COS(U21)-S33)/POWER((1-S33*COS(U21)),2)</f>
        <v>16.617948717948703</v>
      </c>
      <c r="T21" s="11"/>
      <c r="U21" s="11">
        <f ca="1">U21-Q21/S21</f>
        <v>0</v>
      </c>
      <c r="V21" s="11">
        <f ca="1">S37*180/PI()</f>
        <v>71.021664509938375</v>
      </c>
    </row>
    <row r="22" spans="1:22" x14ac:dyDescent="0.25">
      <c r="A22" s="6"/>
      <c r="B22" s="6"/>
      <c r="C22" s="6"/>
      <c r="D22" s="6"/>
      <c r="E22" s="11"/>
      <c r="F22" s="11"/>
      <c r="G22" s="11"/>
      <c r="H22" s="11"/>
      <c r="I22" s="11"/>
      <c r="P22" s="11"/>
      <c r="Q22" s="11"/>
      <c r="R22" s="11"/>
      <c r="S22" s="11"/>
      <c r="T22" s="11"/>
      <c r="U22" s="11"/>
      <c r="V22" s="11"/>
    </row>
    <row r="23" spans="1:22" x14ac:dyDescent="0.25">
      <c r="A23" s="6"/>
      <c r="B23" s="6"/>
      <c r="C23" s="6">
        <f>R13</f>
        <v>47</v>
      </c>
      <c r="D23" s="6">
        <f t="shared" ref="D23:G23" si="1">S13</f>
        <v>722</v>
      </c>
      <c r="E23" s="6">
        <f t="shared" si="1"/>
        <v>2148.5584588050842</v>
      </c>
      <c r="F23" s="6">
        <f t="shared" si="1"/>
        <v>33005.515048027039</v>
      </c>
      <c r="G23" s="6">
        <f t="shared" si="1"/>
        <v>45.714009761810303</v>
      </c>
      <c r="H23" s="6">
        <f>S17</f>
        <v>5653</v>
      </c>
      <c r="I23" s="6">
        <f>T17</f>
        <v>5653</v>
      </c>
      <c r="P23" s="11"/>
      <c r="Q23" s="11" t="s">
        <v>26</v>
      </c>
      <c r="R23" s="11"/>
      <c r="S23" s="11" t="s">
        <v>27</v>
      </c>
      <c r="T23" s="11"/>
      <c r="U23" s="11" t="s">
        <v>29</v>
      </c>
      <c r="V23" s="11" t="s">
        <v>31</v>
      </c>
    </row>
    <row r="24" spans="1:22" x14ac:dyDescent="0.25">
      <c r="A24" s="6"/>
      <c r="B24" s="6"/>
      <c r="C24" s="6"/>
      <c r="D24" s="6"/>
      <c r="E24" s="6"/>
      <c r="F24" s="6"/>
      <c r="G24" s="6"/>
      <c r="H24" s="6"/>
      <c r="I24" s="6"/>
      <c r="P24" s="11"/>
      <c r="Q24" s="11"/>
      <c r="R24" s="11"/>
      <c r="S24" s="11"/>
      <c r="T24" s="11"/>
      <c r="U24" s="11"/>
      <c r="V24" s="11"/>
    </row>
    <row r="25" spans="1:22" x14ac:dyDescent="0.25">
      <c r="A25" s="6" t="s">
        <v>23</v>
      </c>
      <c r="B25" s="6"/>
      <c r="C25" s="6" t="s">
        <v>65</v>
      </c>
      <c r="D25" s="6"/>
      <c r="E25" s="6" t="s">
        <v>67</v>
      </c>
      <c r="F25" s="6"/>
      <c r="G25" s="6" t="s">
        <v>68</v>
      </c>
      <c r="H25" s="6"/>
      <c r="I25" s="7" t="s">
        <v>70</v>
      </c>
      <c r="P25" s="11"/>
      <c r="Q25" s="11">
        <f ca="1">(SIN(U25+R33)+SIN(U25)-S33*SIN(2*U25+R33))/((1/S33)-COS(U25+R33)-COS(U25)+S33*COS(2*U25+R33))-Q33</f>
        <v>0</v>
      </c>
      <c r="R25" s="11"/>
      <c r="S25" s="11">
        <f ca="1">(COS(U25)+COS(R33+U25)-2*S33*COS(2*U25+R33))/((1/S33)-COS(U25)-COS(R33+U25)+S33*COS(R33+2*U25))-(SIN(U25)+SIN(U25+R33)-2*S33*SIN(R33+U25))*(SIN(U25)+SIN(R33+U25)-S33*SIN(R33+2*U25))/POWER(((1/S33)-COS(U25)-COS(R33+U25)+S33*COS(R33+2*U25)),2)</f>
        <v>20.983964362683466</v>
      </c>
      <c r="T25" s="11"/>
      <c r="U25" s="11">
        <f ca="1">U25-Q25/S25</f>
        <v>-4.3633231299858237E-2</v>
      </c>
      <c r="V25" s="11">
        <f ca="1">Q37*180/PI()</f>
        <v>71.021664509938148</v>
      </c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7"/>
      <c r="P26" s="11"/>
      <c r="Q26" s="11"/>
      <c r="R26" s="11"/>
      <c r="S26" s="11"/>
      <c r="T26" s="11"/>
      <c r="U26" s="11"/>
      <c r="V26" s="11"/>
    </row>
    <row r="27" spans="1:22" x14ac:dyDescent="0.25">
      <c r="A27" s="6"/>
      <c r="B27" s="6"/>
      <c r="C27" s="6" t="s">
        <v>35</v>
      </c>
      <c r="D27" s="6" t="s">
        <v>38</v>
      </c>
      <c r="E27" s="6" t="s">
        <v>35</v>
      </c>
      <c r="F27" s="6" t="s">
        <v>38</v>
      </c>
      <c r="G27" s="6" t="s">
        <v>35</v>
      </c>
      <c r="H27" s="6" t="s">
        <v>38</v>
      </c>
      <c r="I27" s="7"/>
      <c r="P27" s="11"/>
      <c r="Q27" s="11" t="s">
        <v>42</v>
      </c>
      <c r="R27" s="11"/>
      <c r="S27" s="11" t="s">
        <v>32</v>
      </c>
      <c r="T27" s="11"/>
      <c r="U27" s="11" t="s">
        <v>33</v>
      </c>
      <c r="V27" s="11"/>
    </row>
    <row r="28" spans="1:22" x14ac:dyDescent="0.25">
      <c r="A28" s="6"/>
      <c r="B28" s="6"/>
      <c r="C28" s="6"/>
      <c r="D28" s="6"/>
      <c r="E28" s="6"/>
      <c r="F28" s="6"/>
      <c r="G28" s="6"/>
      <c r="H28" s="6"/>
      <c r="I28" s="7"/>
      <c r="P28" s="11"/>
      <c r="Q28" s="11"/>
      <c r="R28" s="11"/>
      <c r="S28" s="11"/>
      <c r="T28" s="11"/>
      <c r="U28" s="11"/>
      <c r="V28" s="11"/>
    </row>
    <row r="29" spans="1:22" x14ac:dyDescent="0.25">
      <c r="A29" s="6"/>
      <c r="B29" s="6"/>
      <c r="C29" s="6">
        <f ca="1">V25</f>
        <v>71.021664509938148</v>
      </c>
      <c r="D29" s="6">
        <f ca="1">V21</f>
        <v>71.021664509938375</v>
      </c>
      <c r="E29" s="12">
        <f ca="1">Q41</f>
        <v>0.20890514603307386</v>
      </c>
      <c r="F29" s="12">
        <f ca="1">R41</f>
        <v>0.2089051460330747</v>
      </c>
      <c r="G29" s="12">
        <f ca="1">S41</f>
        <v>0.50492011703650663</v>
      </c>
      <c r="H29" s="12">
        <f ca="1">T41</f>
        <v>0.50492011703650874</v>
      </c>
      <c r="I29" s="7"/>
      <c r="P29" s="11"/>
      <c r="Q29" s="11">
        <f>ACOS(S33)*180/PI()</f>
        <v>19.39705960039948</v>
      </c>
      <c r="R29" s="11"/>
      <c r="S29" s="11">
        <f>2*Q29</f>
        <v>38.79411920079896</v>
      </c>
      <c r="T29" s="11"/>
      <c r="U29" s="11">
        <f ca="1">2*ASIN(SQRT((1/S33)*(1/S33)-1-(T33/U5)*(T33/U5)))*180/PI()</f>
        <v>41.231372587713025</v>
      </c>
      <c r="V29" s="11"/>
    </row>
    <row r="30" spans="1:22" x14ac:dyDescent="0.25">
      <c r="A30" s="6"/>
      <c r="B30" s="6"/>
      <c r="C30" s="6"/>
      <c r="D30" s="6"/>
      <c r="E30" s="6"/>
      <c r="F30" s="6"/>
      <c r="G30" s="6"/>
      <c r="H30" s="6"/>
      <c r="I30" s="7"/>
      <c r="P30" s="11"/>
      <c r="Q30" s="11"/>
      <c r="R30" s="11"/>
      <c r="S30" s="11"/>
      <c r="T30" s="11"/>
      <c r="U30" s="11"/>
      <c r="V30" s="11"/>
    </row>
    <row r="31" spans="1:22" x14ac:dyDescent="0.25">
      <c r="A31" s="6"/>
      <c r="B31" s="6"/>
      <c r="C31" s="6" t="s">
        <v>66</v>
      </c>
      <c r="D31" s="6"/>
      <c r="E31" s="5"/>
      <c r="F31" s="5"/>
      <c r="G31" s="5"/>
      <c r="H31" s="5"/>
      <c r="I31" s="7"/>
      <c r="P31" s="11"/>
      <c r="Q31" s="11" t="s">
        <v>34</v>
      </c>
      <c r="R31" s="11" t="s">
        <v>36</v>
      </c>
      <c r="S31" s="11" t="s">
        <v>37</v>
      </c>
      <c r="T31" s="11" t="s">
        <v>43</v>
      </c>
      <c r="U31" s="11" t="s">
        <v>63</v>
      </c>
      <c r="V31" s="11"/>
    </row>
    <row r="32" spans="1:22" x14ac:dyDescent="0.25">
      <c r="A32" s="6"/>
      <c r="B32" s="6"/>
      <c r="C32" s="6"/>
      <c r="D32" s="6"/>
      <c r="E32" s="5"/>
      <c r="F32" s="5"/>
      <c r="G32" s="5"/>
      <c r="H32" s="5"/>
      <c r="I32" s="7"/>
      <c r="P32" s="11"/>
      <c r="Q32" s="11"/>
      <c r="R32" s="11"/>
      <c r="S32" s="11"/>
      <c r="T32" s="11"/>
      <c r="U32" s="11"/>
      <c r="V32" s="11"/>
    </row>
    <row r="33" spans="1:23" x14ac:dyDescent="0.25">
      <c r="A33" s="6"/>
      <c r="B33" s="6"/>
      <c r="C33" s="6" t="s">
        <v>35</v>
      </c>
      <c r="D33" s="6" t="s">
        <v>38</v>
      </c>
      <c r="E33" s="5"/>
      <c r="F33" s="5"/>
      <c r="G33" s="5"/>
      <c r="H33" s="5"/>
      <c r="I33" s="7"/>
      <c r="P33" s="11"/>
      <c r="Q33" s="11">
        <f>TAN(U9)</f>
        <v>0</v>
      </c>
      <c r="R33" s="11">
        <f>S9</f>
        <v>8.7266462599716474E-2</v>
      </c>
      <c r="S33" s="11">
        <f>U5/T5</f>
        <v>0.94323970309998539</v>
      </c>
      <c r="T33" s="11">
        <f ca="1">SQRT(S33*S33*COS(T9/2)*COS(T9/2)+1-2*S33*COS(T9/2)*COS(U21))</f>
        <v>5.7658052092559794E-2</v>
      </c>
      <c r="U33" s="11">
        <f>2*ASIN(S33)*180/PI()</f>
        <v>141.20588079920103</v>
      </c>
      <c r="V33" s="11"/>
      <c r="W33" t="s">
        <v>47</v>
      </c>
    </row>
    <row r="34" spans="1:23" x14ac:dyDescent="0.25">
      <c r="A34" s="6"/>
      <c r="B34" s="6"/>
      <c r="C34" s="6"/>
      <c r="D34" s="6"/>
      <c r="E34" s="5"/>
      <c r="F34" s="5"/>
      <c r="G34" s="5"/>
      <c r="H34" s="5"/>
      <c r="I34" s="7"/>
      <c r="P34" s="11"/>
      <c r="Q34" s="11"/>
      <c r="R34" s="11"/>
      <c r="S34" s="11"/>
      <c r="T34" s="11"/>
      <c r="U34" s="11"/>
      <c r="V34" s="11"/>
    </row>
    <row r="35" spans="1:23" x14ac:dyDescent="0.25">
      <c r="A35" s="6"/>
      <c r="B35" s="6"/>
      <c r="C35" s="12">
        <f ca="1">U41</f>
        <v>1.98051130517285E-6</v>
      </c>
      <c r="D35" s="12">
        <f ca="1">V41</f>
        <v>1.9805113051728419E-6</v>
      </c>
      <c r="E35" s="5"/>
      <c r="F35" s="5"/>
      <c r="G35" s="5"/>
      <c r="H35" s="5"/>
      <c r="I35" s="7"/>
      <c r="P35" s="11"/>
      <c r="Q35" s="11" t="s">
        <v>39</v>
      </c>
      <c r="R35" s="11" t="s">
        <v>35</v>
      </c>
      <c r="S35" s="11" t="s">
        <v>40</v>
      </c>
      <c r="T35" s="11" t="s">
        <v>38</v>
      </c>
      <c r="U35" s="11" t="s">
        <v>64</v>
      </c>
      <c r="V35" s="11"/>
    </row>
    <row r="36" spans="1:23" x14ac:dyDescent="0.25">
      <c r="A36" s="6"/>
      <c r="B36" s="6"/>
      <c r="C36" s="6"/>
      <c r="D36" s="6"/>
      <c r="E36" s="5"/>
      <c r="F36" s="5"/>
      <c r="G36" s="5"/>
      <c r="H36" s="5"/>
      <c r="I36" s="7"/>
      <c r="P36" s="11"/>
      <c r="Q36" s="11"/>
      <c r="R36" s="11"/>
      <c r="S36" s="11"/>
      <c r="T36" s="11"/>
      <c r="U36" s="11"/>
      <c r="V36" s="11"/>
    </row>
    <row r="37" spans="1:23" x14ac:dyDescent="0.25">
      <c r="P37" s="11"/>
      <c r="Q37" s="6">
        <f ca="1">ATAN((S33*SIN(U25+R33))/(1-S33*COS(R33+U25)))-ATAN((S33*SIN(U25))/(1-S33*COS(U25)))</f>
        <v>1.2395618859452258</v>
      </c>
      <c r="R37" s="11">
        <f ca="1">U25*180/PI()</f>
        <v>-2.5</v>
      </c>
      <c r="S37" s="11">
        <f ca="1">2*ATAN((S33*SIN(T9/2))/(SQRT(S33*S33*COS(T9/2)*COS(T9/2)+1-2*S33*COS(T9/2)*COS(U21))))</f>
        <v>1.2395618859452295</v>
      </c>
      <c r="T37" s="11">
        <f ca="1">U21*180/PI()</f>
        <v>0</v>
      </c>
      <c r="U37" s="11">
        <f>(90-S29)*2</f>
        <v>102.41176159840208</v>
      </c>
      <c r="V37" s="11"/>
    </row>
    <row r="38" spans="1:23" x14ac:dyDescent="0.25">
      <c r="P38" s="11"/>
      <c r="Q38" s="6"/>
      <c r="R38" s="11"/>
      <c r="S38" s="11"/>
      <c r="T38" s="11"/>
      <c r="U38" s="11"/>
      <c r="V38" s="11"/>
    </row>
    <row r="39" spans="1:23" x14ac:dyDescent="0.25">
      <c r="P39" s="11"/>
      <c r="Q39" s="6" t="s">
        <v>45</v>
      </c>
      <c r="R39" s="6"/>
      <c r="S39" s="5" t="s">
        <v>46</v>
      </c>
      <c r="T39" s="5"/>
      <c r="U39" s="11" t="s">
        <v>44</v>
      </c>
      <c r="V39" s="11"/>
    </row>
    <row r="40" spans="1:23" x14ac:dyDescent="0.25">
      <c r="P40" s="11"/>
      <c r="Q40" s="3" t="s">
        <v>35</v>
      </c>
      <c r="R40" s="3" t="s">
        <v>38</v>
      </c>
      <c r="S40" s="4" t="s">
        <v>35</v>
      </c>
      <c r="T40" s="4" t="s">
        <v>38</v>
      </c>
      <c r="U40" s="2" t="s">
        <v>35</v>
      </c>
      <c r="V40" s="2" t="s">
        <v>38</v>
      </c>
    </row>
    <row r="41" spans="1:23" x14ac:dyDescent="0.25">
      <c r="P41" s="11"/>
      <c r="Q41" s="14">
        <f ca="1">((T5-U5)*M5)/((2*PI()/(24*3600))*U5*U41)</f>
        <v>0.20890514603307386</v>
      </c>
      <c r="R41" s="14">
        <f ca="1">((T5-U5)*N5)/((2*PI()/(3600*24))*V41*U5)</f>
        <v>0.2089051460330747</v>
      </c>
      <c r="S41" s="14">
        <f ca="1">1/(U41*1000000)</f>
        <v>0.50492011703650663</v>
      </c>
      <c r="T41" s="14">
        <f ca="1">1/(V41*1000000)</f>
        <v>0.50492011703650874</v>
      </c>
      <c r="U41" s="14">
        <f ca="1">(S17*M5)/(2*TAN(Q37/2))</f>
        <v>1.98051130517285E-6</v>
      </c>
      <c r="V41" s="14">
        <f ca="1">(N5*T17)/(2*TAN(S37/2))</f>
        <v>1.9805113051728419E-6</v>
      </c>
    </row>
    <row r="42" spans="1:23" x14ac:dyDescent="0.25">
      <c r="P42" s="11"/>
      <c r="Q42" s="11"/>
      <c r="R42" s="11"/>
      <c r="S42" s="11"/>
      <c r="T42" s="11"/>
      <c r="U42" s="11"/>
      <c r="V42" s="11"/>
    </row>
  </sheetData>
  <mergeCells count="202">
    <mergeCell ref="Q41:Q42"/>
    <mergeCell ref="R41:R42"/>
    <mergeCell ref="P19:P42"/>
    <mergeCell ref="Q39:R39"/>
    <mergeCell ref="S39:T39"/>
    <mergeCell ref="S41:S42"/>
    <mergeCell ref="T41:T42"/>
    <mergeCell ref="U41:U42"/>
    <mergeCell ref="V41:V42"/>
    <mergeCell ref="U31:V32"/>
    <mergeCell ref="U33:V34"/>
    <mergeCell ref="V21:V22"/>
    <mergeCell ref="U19:U20"/>
    <mergeCell ref="V19:V20"/>
    <mergeCell ref="Q19:R20"/>
    <mergeCell ref="Q21:R22"/>
    <mergeCell ref="S19:T20"/>
    <mergeCell ref="S21:T22"/>
    <mergeCell ref="Q23:R24"/>
    <mergeCell ref="Q25:R26"/>
    <mergeCell ref="S23:T24"/>
    <mergeCell ref="S25:T26"/>
    <mergeCell ref="U21:U22"/>
    <mergeCell ref="H5:H6"/>
    <mergeCell ref="G3:H3"/>
    <mergeCell ref="U15:V18"/>
    <mergeCell ref="M5:M6"/>
    <mergeCell ref="N5:N6"/>
    <mergeCell ref="U39:V39"/>
    <mergeCell ref="M3:N3"/>
    <mergeCell ref="A5:A6"/>
    <mergeCell ref="B5:B6"/>
    <mergeCell ref="C5:C6"/>
    <mergeCell ref="D5:D6"/>
    <mergeCell ref="E5:E6"/>
    <mergeCell ref="A3:A4"/>
    <mergeCell ref="B3:B4"/>
    <mergeCell ref="E3:E4"/>
    <mergeCell ref="F3:F4"/>
    <mergeCell ref="U7:U8"/>
    <mergeCell ref="V7:V8"/>
    <mergeCell ref="T3:T4"/>
    <mergeCell ref="U3:U4"/>
    <mergeCell ref="V3:V4"/>
    <mergeCell ref="Q5:Q6"/>
    <mergeCell ref="R5:R6"/>
    <mergeCell ref="S5:S6"/>
    <mergeCell ref="A1:N2"/>
    <mergeCell ref="T17:T18"/>
    <mergeCell ref="L5:L6"/>
    <mergeCell ref="C3:D4"/>
    <mergeCell ref="Q1:V2"/>
    <mergeCell ref="P1:P2"/>
    <mergeCell ref="Q3:Q4"/>
    <mergeCell ref="R3:R4"/>
    <mergeCell ref="S3:S4"/>
    <mergeCell ref="F5:F6"/>
    <mergeCell ref="G5:G6"/>
    <mergeCell ref="I5:I6"/>
    <mergeCell ref="J5:J6"/>
    <mergeCell ref="K5:K6"/>
    <mergeCell ref="S17:S18"/>
    <mergeCell ref="K3:K4"/>
    <mergeCell ref="L3:L4"/>
    <mergeCell ref="P7:P10"/>
    <mergeCell ref="Q9:Q10"/>
    <mergeCell ref="R9:R10"/>
    <mergeCell ref="S9:S10"/>
    <mergeCell ref="T9:T10"/>
    <mergeCell ref="V5:V6"/>
    <mergeCell ref="P3:P6"/>
    <mergeCell ref="T5:T6"/>
    <mergeCell ref="U5:U6"/>
    <mergeCell ref="U9:U10"/>
    <mergeCell ref="V9:V10"/>
    <mergeCell ref="Q7:R8"/>
    <mergeCell ref="S7:T8"/>
    <mergeCell ref="Q11:Q12"/>
    <mergeCell ref="R11:R12"/>
    <mergeCell ref="S11:S12"/>
    <mergeCell ref="T11:T12"/>
    <mergeCell ref="U11:U12"/>
    <mergeCell ref="U23:U24"/>
    <mergeCell ref="V23:V24"/>
    <mergeCell ref="V25:V26"/>
    <mergeCell ref="U25:U26"/>
    <mergeCell ref="T33:T34"/>
    <mergeCell ref="R17:R18"/>
    <mergeCell ref="Q15:R16"/>
    <mergeCell ref="Q17:Q18"/>
    <mergeCell ref="P11:P18"/>
    <mergeCell ref="V11:V12"/>
    <mergeCell ref="Q13:Q14"/>
    <mergeCell ref="R13:R14"/>
    <mergeCell ref="S13:S14"/>
    <mergeCell ref="T13:T14"/>
    <mergeCell ref="U13:U14"/>
    <mergeCell ref="V13:V14"/>
    <mergeCell ref="I3:J3"/>
    <mergeCell ref="S15:T15"/>
    <mergeCell ref="R31:R32"/>
    <mergeCell ref="R33:R34"/>
    <mergeCell ref="R37:R38"/>
    <mergeCell ref="T31:T32"/>
    <mergeCell ref="U27:V28"/>
    <mergeCell ref="U29:V30"/>
    <mergeCell ref="Q37:Q38"/>
    <mergeCell ref="R35:R36"/>
    <mergeCell ref="Q35:Q36"/>
    <mergeCell ref="Q33:Q34"/>
    <mergeCell ref="T37:T38"/>
    <mergeCell ref="S33:S34"/>
    <mergeCell ref="S37:S38"/>
    <mergeCell ref="Q31:Q32"/>
    <mergeCell ref="T35:T36"/>
    <mergeCell ref="S31:S32"/>
    <mergeCell ref="N7:N8"/>
    <mergeCell ref="N9:N10"/>
    <mergeCell ref="S35:S36"/>
    <mergeCell ref="Q29:R30"/>
    <mergeCell ref="S29:T30"/>
    <mergeCell ref="Q27:R28"/>
    <mergeCell ref="J9:J10"/>
    <mergeCell ref="K9:K10"/>
    <mergeCell ref="L9:L10"/>
    <mergeCell ref="M9:M10"/>
    <mergeCell ref="G7:G8"/>
    <mergeCell ref="H7:H8"/>
    <mergeCell ref="I7:I8"/>
    <mergeCell ref="J7:J8"/>
    <mergeCell ref="K7:K8"/>
    <mergeCell ref="L7:L8"/>
    <mergeCell ref="M7:M8"/>
    <mergeCell ref="D9:D10"/>
    <mergeCell ref="A9:A10"/>
    <mergeCell ref="B9:B10"/>
    <mergeCell ref="C9:C10"/>
    <mergeCell ref="E9:E10"/>
    <mergeCell ref="F9:F10"/>
    <mergeCell ref="G9:G10"/>
    <mergeCell ref="H9:H10"/>
    <mergeCell ref="I9:I10"/>
    <mergeCell ref="A19:B24"/>
    <mergeCell ref="H21:H22"/>
    <mergeCell ref="I21:I22"/>
    <mergeCell ref="H19:I20"/>
    <mergeCell ref="C15:C16"/>
    <mergeCell ref="D15:D16"/>
    <mergeCell ref="E15:E16"/>
    <mergeCell ref="F15:F16"/>
    <mergeCell ref="G15:G16"/>
    <mergeCell ref="H15:H16"/>
    <mergeCell ref="C17:C18"/>
    <mergeCell ref="D17:D18"/>
    <mergeCell ref="E17:E18"/>
    <mergeCell ref="F17:F18"/>
    <mergeCell ref="G17:G18"/>
    <mergeCell ref="H17:H18"/>
    <mergeCell ref="A15:B18"/>
    <mergeCell ref="C21:C22"/>
    <mergeCell ref="D21:D22"/>
    <mergeCell ref="E21:E22"/>
    <mergeCell ref="F21:F22"/>
    <mergeCell ref="G21:G22"/>
    <mergeCell ref="H23:H24"/>
    <mergeCell ref="U35:V36"/>
    <mergeCell ref="U37:V38"/>
    <mergeCell ref="E25:F26"/>
    <mergeCell ref="E27:E28"/>
    <mergeCell ref="F27:F28"/>
    <mergeCell ref="G25:H26"/>
    <mergeCell ref="G27:G28"/>
    <mergeCell ref="H27:H28"/>
    <mergeCell ref="E29:E30"/>
    <mergeCell ref="F29:F30"/>
    <mergeCell ref="G29:G30"/>
    <mergeCell ref="H29:H30"/>
    <mergeCell ref="S27:T28"/>
    <mergeCell ref="I15:I18"/>
    <mergeCell ref="A13:I14"/>
    <mergeCell ref="E31:H36"/>
    <mergeCell ref="I25:I36"/>
    <mergeCell ref="A7:F8"/>
    <mergeCell ref="C25:D26"/>
    <mergeCell ref="C27:C28"/>
    <mergeCell ref="D27:D28"/>
    <mergeCell ref="C29:C30"/>
    <mergeCell ref="D29:D30"/>
    <mergeCell ref="C31:D32"/>
    <mergeCell ref="C33:C34"/>
    <mergeCell ref="D33:D34"/>
    <mergeCell ref="C35:C36"/>
    <mergeCell ref="D35:D36"/>
    <mergeCell ref="A25:B36"/>
    <mergeCell ref="I23:I24"/>
    <mergeCell ref="C23:C24"/>
    <mergeCell ref="D23:D24"/>
    <mergeCell ref="E23:E24"/>
    <mergeCell ref="F23:F24"/>
    <mergeCell ref="G23:G24"/>
    <mergeCell ref="C19:D20"/>
    <mergeCell ref="E19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Franke Chen</dc:creator>
  <cp:lastModifiedBy>Frank</cp:lastModifiedBy>
  <dcterms:created xsi:type="dcterms:W3CDTF">2015-06-05T18:19:34Z</dcterms:created>
  <dcterms:modified xsi:type="dcterms:W3CDTF">2021-07-20T13:01:21Z</dcterms:modified>
</cp:coreProperties>
</file>