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F:\Downloads\"/>
    </mc:Choice>
  </mc:AlternateContent>
  <xr:revisionPtr revIDLastSave="0" documentId="13_ncr:1_{6698B891-6AE0-411F-B66B-E489B02EE1C8}" xr6:coauthVersionLast="46" xr6:coauthVersionMax="46" xr10:uidLastSave="{00000000-0000-0000-0000-000000000000}"/>
  <bookViews>
    <workbookView xWindow="-120" yWindow="-120" windowWidth="38640" windowHeight="21240" xr2:uid="{00000000-000D-0000-FFFF-FFFF00000000}"/>
  </bookViews>
  <sheets>
    <sheet name="Sheet1" sheetId="1" r:id="rId1"/>
  </sheets>
  <calcPr calcId="191029"/>
</workbook>
</file>

<file path=xl/calcChain.xml><?xml version="1.0" encoding="utf-8"?>
<calcChain xmlns="http://schemas.openxmlformats.org/spreadsheetml/2006/main">
  <c r="D2220" i="1" l="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 i="1"/>
</calcChain>
</file>

<file path=xl/sharedStrings.xml><?xml version="1.0" encoding="utf-8"?>
<sst xmlns="http://schemas.openxmlformats.org/spreadsheetml/2006/main" count="6660" uniqueCount="5784">
  <si>
    <t>0x00e19d14</t>
  </si>
  <si>
    <t>進む</t>
  </si>
  <si>
    <t>0x00e19d38</t>
  </si>
  <si>
    <t>&lt;Sign:D&gt;進む</t>
  </si>
  <si>
    <t>0x00e19d50</t>
  </si>
  <si>
    <t>&lt;Sign:C&gt;戻る</t>
  </si>
  <si>
    <t>0x00e19d68</t>
  </si>
  <si>
    <t>&lt;Sign:D&gt;決定 &lt;Sign:C&gt;戻る</t>
  </si>
  <si>
    <t>0x00e19d90</t>
  </si>
  <si>
    <t>円</t>
  </si>
  <si>
    <t>0x00e19da0</t>
  </si>
  <si>
    <t>文</t>
  </si>
  <si>
    <t>0x00e19dc0</t>
  </si>
  <si>
    <t>万</t>
  </si>
  <si>
    <t>0x00e19dd0</t>
  </si>
  <si>
    <t>億</t>
  </si>
  <si>
    <t>0x00e19ddc</t>
  </si>
  <si>
    <t>点</t>
  </si>
  <si>
    <t>0x00e19dec</t>
  </si>
  <si>
    <t>枚</t>
  </si>
  <si>
    <t>0x00e19dfc</t>
  </si>
  <si>
    <t>個</t>
  </si>
  <si>
    <t>0x00e19e1c</t>
  </si>
  <si>
    <t>発</t>
  </si>
  <si>
    <t>0x00e19e3c</t>
  </si>
  <si>
    <t>所持金</t>
  </si>
  <si>
    <t>0x00e19e4c</t>
  </si>
  <si>
    <t>チップ</t>
  </si>
  <si>
    <t>0x00e19e5c</t>
  </si>
  <si>
    <t>おひねり</t>
  </si>
  <si>
    <t>0x00e19e74</t>
  </si>
  <si>
    <t>持ち点</t>
  </si>
  <si>
    <t>0x00e19e84</t>
  </si>
  <si>
    <t>闘玉</t>
  </si>
  <si>
    <t>0x00e19e94</t>
  </si>
  <si>
    <t>資金</t>
  </si>
  <si>
    <t>0x00e19ea4</t>
  </si>
  <si>
    <t>道場資金</t>
  </si>
  <si>
    <t>0x00e19ebc</t>
  </si>
  <si>
    <t>所持Ｐ</t>
  </si>
  <si>
    <t>0x00e19ecc</t>
  </si>
  <si>
    <t>メダル</t>
  </si>
  <si>
    <t>0x00e19edc</t>
  </si>
  <si>
    <t>持ち玉</t>
  </si>
  <si>
    <t>0x00e19eec</t>
  </si>
  <si>
    <t>獲得Ｐ</t>
  </si>
  <si>
    <t>0x00e19efc</t>
  </si>
  <si>
    <t>タクシーPt</t>
  </si>
  <si>
    <t>0x00e19f14</t>
  </si>
  <si>
    <t>%2d 点</t>
  </si>
  <si>
    <t>0x00e19f24</t>
  </si>
  <si>
    <t>位</t>
  </si>
  <si>
    <t>0x00e19f30</t>
  </si>
  <si>
    <t>福引き券</t>
  </si>
  <si>
    <t>0x00e19f48</t>
  </si>
  <si>
    <t>祗園</t>
  </si>
  <si>
    <t>0x00e19f50</t>
  </si>
  <si>
    <t>洛内</t>
  </si>
  <si>
    <t>0x00e19f58</t>
  </si>
  <si>
    <t>洛外</t>
  </si>
  <si>
    <t>0x00e19f60</t>
  </si>
  <si>
    <t>骸街</t>
  </si>
  <si>
    <t>0x00e19f68</t>
  </si>
  <si>
    <t>伏見</t>
  </si>
  <si>
    <t>0x00e19f70</t>
  </si>
  <si>
    <t>土佐</t>
  </si>
  <si>
    <t>0x00e19fa0</t>
  </si>
  <si>
    <t>徳</t>
  </si>
  <si>
    <t>0x00e19fb0</t>
  </si>
  <si>
    <t>種類</t>
  </si>
  <si>
    <t>0x00e19fc0</t>
  </si>
  <si>
    <t>回</t>
  </si>
  <si>
    <t>0x00e19fd0</t>
  </si>
  <si>
    <t>斎藤</t>
  </si>
  <si>
    <t>0x00e19fe0</t>
  </si>
  <si>
    <t>龍馬</t>
  </si>
  <si>
    <t>0x00e19ff0</t>
  </si>
  <si>
    <t>遥</t>
  </si>
  <si>
    <t>0x00e19ffc</t>
  </si>
  <si>
    <t>斎藤一</t>
  </si>
  <si>
    <t>0x00e1a00c</t>
  </si>
  <si>
    <t>坂本龍馬</t>
  </si>
  <si>
    <t>0x00e1a024</t>
  </si>
  <si>
    <t>澤村遥</t>
  </si>
  <si>
    <t>0x00e1a034</t>
  </si>
  <si>
    <t>さいとう</t>
  </si>
  <si>
    <t>0x00e1a060</t>
  </si>
  <si>
    <t>サイトウ</t>
  </si>
  <si>
    <t>0x00e1a084</t>
  </si>
  <si>
    <t>カ</t>
  </si>
  <si>
    <t>0x00e1a0b0</t>
  </si>
  <si>
    <t>りく</t>
  </si>
  <si>
    <t>0x00e1a0c0</t>
  </si>
  <si>
    <t>かぐや</t>
  </si>
  <si>
    <t>0x00e1a0d0</t>
  </si>
  <si>
    <t>ほのか</t>
  </si>
  <si>
    <t>0x00e1a0e0</t>
  </si>
  <si>
    <t>詩音</t>
  </si>
  <si>
    <t>0x00e1a0f0</t>
  </si>
  <si>
    <t>桜咲ひなた</t>
  </si>
  <si>
    <t>0x00e1a108</t>
  </si>
  <si>
    <t>ひなた</t>
  </si>
  <si>
    <t>0x00e1a118</t>
  </si>
  <si>
    <t>杏南</t>
  </si>
  <si>
    <t>0x00e1a128</t>
  </si>
  <si>
    <t>いぬ</t>
  </si>
  <si>
    <t>0x00e1a130</t>
  </si>
  <si>
    <t>ねこ</t>
  </si>
  <si>
    <t>0x00e1a138</t>
  </si>
  <si>
    <t>マメ</t>
  </si>
  <si>
    <t>0x00e1a140</t>
  </si>
  <si>
    <t>ホエ太</t>
  </si>
  <si>
    <t>0x00e1a148</t>
  </si>
  <si>
    <t>ナオタロウ</t>
  </si>
  <si>
    <t>0x00e1a158</t>
  </si>
  <si>
    <t>だいきち</t>
  </si>
  <si>
    <t>0x00e1a168</t>
  </si>
  <si>
    <t>まぐろ</t>
  </si>
  <si>
    <t>0x00e1a170</t>
  </si>
  <si>
    <t>おちょこ</t>
  </si>
  <si>
    <t>0x00e1a1a4</t>
  </si>
  <si>
    <t>使える物は持っていない。</t>
  </si>
  <si>
    <t>0x00e1a1cc</t>
  </si>
  <si>
    <t>何を使おうか。</t>
  </si>
  <si>
    <t>0x00e1a1e4</t>
  </si>
  <si>
    <t>本当に使っていいですか？</t>
  </si>
  <si>
    <t>0x00e1a20c</t>
  </si>
  <si>
    <t>賭け点</t>
  </si>
  <si>
    <t>0x00e1a214</t>
  </si>
  <si>
    <t>配当点</t>
  </si>
  <si>
    <t>0x00e1a22c</t>
  </si>
  <si>
    <t>入金</t>
  </si>
  <si>
    <t>0x00e1a240</t>
  </si>
  <si>
    <t>よろしく</t>
  </si>
  <si>
    <t>0x00e1a250</t>
  </si>
  <si>
    <t>お手柔らかに</t>
  </si>
  <si>
    <t>0x00e1a260</t>
  </si>
  <si>
    <t>勝ちにいくぜ！</t>
  </si>
  <si>
    <t>0x00e1a270</t>
  </si>
  <si>
    <t>いきなりワンペア！</t>
  </si>
  <si>
    <t>0x00e1a288</t>
  </si>
  <si>
    <t>また会ったな</t>
  </si>
  <si>
    <t>0x00e1a298</t>
  </si>
  <si>
    <t>はじめまして</t>
  </si>
  <si>
    <t>0x00e1a2a8</t>
  </si>
  <si>
    <t>いい札が来ますように…</t>
  </si>
  <si>
    <t>0x00e1a2c0</t>
  </si>
  <si>
    <t>こ、これは…！？</t>
  </si>
  <si>
    <t>0x00e1a2d8</t>
  </si>
  <si>
    <t>これで勝ち確定だな</t>
  </si>
  <si>
    <t>0x00e1a2f0</t>
  </si>
  <si>
    <t>勝てる気がしない…</t>
  </si>
  <si>
    <t>0x00e1a308</t>
  </si>
  <si>
    <t>みんな降りた方がいいぞ</t>
  </si>
  <si>
    <t>0x00e1a320</t>
  </si>
  <si>
    <t>運が悪いなぁ…</t>
  </si>
  <si>
    <t>0x00e1a330</t>
  </si>
  <si>
    <t>来い来い！</t>
  </si>
  <si>
    <t>0x00e1a340</t>
  </si>
  <si>
    <t>慎重にいこう…</t>
  </si>
  <si>
    <t>0x00e1a350</t>
  </si>
  <si>
    <t>運がいいぞ！</t>
  </si>
  <si>
    <t>0x00e1a360</t>
  </si>
  <si>
    <t>パッとしないぜ</t>
  </si>
  <si>
    <t>0x00e1a370</t>
  </si>
  <si>
    <t>取りあえず様子見だな</t>
  </si>
  <si>
    <t>0x00e1a388</t>
  </si>
  <si>
    <t>早く決めてくれないか</t>
  </si>
  <si>
    <t>0x00e1a3a0</t>
  </si>
  <si>
    <t>ハッタリかますぜ！</t>
  </si>
  <si>
    <t>0x00e1a3b8</t>
  </si>
  <si>
    <t>早めに退散！</t>
  </si>
  <si>
    <t>0x00e1a3c8</t>
  </si>
  <si>
    <t>ちょっと悩み中…</t>
  </si>
  <si>
    <t>0x00e1a3e0</t>
  </si>
  <si>
    <t>逃げるが勝ちだな</t>
  </si>
  <si>
    <t>0x00e1a3f8</t>
  </si>
  <si>
    <t>キタ〜ッ！</t>
  </si>
  <si>
    <t>0x00e1a408</t>
  </si>
  <si>
    <t>いいね！</t>
  </si>
  <si>
    <t>0x00e1a418</t>
  </si>
  <si>
    <t>クソッ！</t>
  </si>
  <si>
    <t>0x00e1a428</t>
  </si>
  <si>
    <t>やった〜！</t>
  </si>
  <si>
    <t>0x00e1a438</t>
  </si>
  <si>
    <t>残念無念…</t>
  </si>
  <si>
    <t>0x00e1a448</t>
  </si>
  <si>
    <t>うえ〜ん</t>
  </si>
  <si>
    <t>0x00e1a458</t>
  </si>
  <si>
    <t>シクシク…（涙）</t>
  </si>
  <si>
    <t>0x00e1a470</t>
  </si>
  <si>
    <t>驚き桃の木山椒の木</t>
  </si>
  <si>
    <t>0x00e1a488</t>
  </si>
  <si>
    <t>しんどいわ！</t>
  </si>
  <si>
    <t>0x00e1a498</t>
  </si>
  <si>
    <t>あきまへんがな！</t>
  </si>
  <si>
    <t>0x00e1a4b0</t>
  </si>
  <si>
    <t>えらいこっちゃで！</t>
  </si>
  <si>
    <t>0x00e1a4c8</t>
  </si>
  <si>
    <t>もう降りようかな…</t>
  </si>
  <si>
    <t>0x00e1a4e0</t>
  </si>
  <si>
    <t>役ができた！</t>
  </si>
  <si>
    <t>0x00e1a4f0</t>
  </si>
  <si>
    <t>役はできたけど弱い…</t>
  </si>
  <si>
    <t>0x00e1a508</t>
  </si>
  <si>
    <t>強い役ができた！</t>
  </si>
  <si>
    <t>0x00e1a520</t>
  </si>
  <si>
    <t>全然そろわない…</t>
  </si>
  <si>
    <t>0x00e1a538</t>
  </si>
  <si>
    <t>アゲアゲ〜</t>
  </si>
  <si>
    <t>0x00e1a548</t>
  </si>
  <si>
    <t>選択を間違えた…</t>
  </si>
  <si>
    <t>0x00e1a64c</t>
  </si>
  <si>
    <t>。</t>
  </si>
  <si>
    <t>0x00e1a660</t>
  </si>
  <si>
    <t>0x00e1a670</t>
  </si>
  <si>
    <t>？</t>
  </si>
  <si>
    <t>0x00e1a6b4</t>
  </si>
  <si>
    <t>0x00e1a710</t>
  </si>
  <si>
    <t>0x00e1a7a8</t>
  </si>
  <si>
    <t>…</t>
  </si>
  <si>
    <t>0x00e1a80c</t>
  </si>
  <si>
    <t>時</t>
  </si>
  <si>
    <t>0x00e1a814</t>
  </si>
  <si>
    <t>0x00e1a818</t>
  </si>
  <si>
    <t>0x00e1a828</t>
  </si>
  <si>
    <t>キングカズノコ</t>
  </si>
  <si>
    <t>0x00e1a838</t>
  </si>
  <si>
    <t>むっさん</t>
  </si>
  <si>
    <t>0x00e1a848</t>
  </si>
  <si>
    <t>あきなこ</t>
  </si>
  <si>
    <t>0x00e1a858</t>
  </si>
  <si>
    <t>でやでや</t>
  </si>
  <si>
    <t>0x00e1a868</t>
  </si>
  <si>
    <t>サクソン大佐</t>
  </si>
  <si>
    <t>0x00e1a878</t>
  </si>
  <si>
    <t>マシンガン下衆</t>
  </si>
  <si>
    <t>0x00e1a888</t>
  </si>
  <si>
    <t>マツコフ＠岐阜</t>
  </si>
  <si>
    <t>0x00e1a898</t>
  </si>
  <si>
    <t>でやママ</t>
  </si>
  <si>
    <t>0x00e1a8a8</t>
  </si>
  <si>
    <t>バーシー</t>
  </si>
  <si>
    <t>0x00e1a8b8</t>
  </si>
  <si>
    <t>南</t>
  </si>
  <si>
    <t>0x00e1a8c4</t>
  </si>
  <si>
    <t>意地桜</t>
  </si>
  <si>
    <t>0x00e1a8cc</t>
  </si>
  <si>
    <t>はらぺこ日和</t>
  </si>
  <si>
    <t>0x00e1a8dc</t>
  </si>
  <si>
    <t>阿修羅小町</t>
  </si>
  <si>
    <t>0x00e1a8ec</t>
  </si>
  <si>
    <t>さむらい音頭</t>
  </si>
  <si>
    <t>0x00e1a8fc</t>
  </si>
  <si>
    <t>故郷に錦を飾るべし</t>
  </si>
  <si>
    <t>0x00e1a938</t>
  </si>
  <si>
    <t>盛り上げ神</t>
  </si>
  <si>
    <t>0x00e1a948</t>
  </si>
  <si>
    <t>当店の看板男</t>
  </si>
  <si>
    <t>0x00e1a958</t>
  </si>
  <si>
    <t>空気を変える男</t>
  </si>
  <si>
    <t>0x00e1a968</t>
  </si>
  <si>
    <t>水差し野郎</t>
  </si>
  <si>
    <t>0x00e1a978</t>
  </si>
  <si>
    <t>音痴</t>
  </si>
  <si>
    <t>0x00e1a980</t>
  </si>
  <si>
    <t>未挑戦</t>
  </si>
  <si>
    <t>0x00e1a9a4</t>
  </si>
  <si>
    <t>無難に合いの手</t>
  </si>
  <si>
    <t>0x00e1a9b4</t>
  </si>
  <si>
    <t>情熱的に合いの手</t>
  </si>
  <si>
    <t>0x00e1a9cc</t>
  </si>
  <si>
    <t>歌う</t>
  </si>
  <si>
    <t>0x00e1aa3c</t>
  </si>
  <si>
    <t>0x00e1aa5c</t>
  </si>
  <si>
    <t>？？？？？</t>
  </si>
  <si>
    <t>0x00e1aa7c</t>
  </si>
  <si>
    <t>マグロ</t>
  </si>
  <si>
    <t>0x00e1aa84</t>
  </si>
  <si>
    <t>イカ</t>
  </si>
  <si>
    <t>0x00e1aa8c</t>
  </si>
  <si>
    <t>カレイ</t>
  </si>
  <si>
    <t>0x00e1aa98</t>
  </si>
  <si>
    <t>オニカサゴ</t>
  </si>
  <si>
    <t>0x00e1aab4</t>
  </si>
  <si>
    <t>アナゴ</t>
  </si>
  <si>
    <t>0x00e1aacc</t>
  </si>
  <si>
    <t>ホオジロザメ</t>
  </si>
  <si>
    <t>0x00e1aae8</t>
  </si>
  <si>
    <t>タカアシガニ</t>
  </si>
  <si>
    <t>0x00e1aaf8</t>
  </si>
  <si>
    <t>マダコ</t>
  </si>
  <si>
    <t>0x00e1ab00</t>
  </si>
  <si>
    <t>傘</t>
  </si>
  <si>
    <t>0x00e1ab08</t>
  </si>
  <si>
    <t>ハリセンボン</t>
  </si>
  <si>
    <t>0x00e1ab1c</t>
  </si>
  <si>
    <t>フナ</t>
  </si>
  <si>
    <t>0x00e1ab24</t>
  </si>
  <si>
    <t>コイ</t>
  </si>
  <si>
    <t>0x00e1ab2c</t>
  </si>
  <si>
    <t>ニシキゴイ</t>
  </si>
  <si>
    <t>0x00e1ab3c</t>
  </si>
  <si>
    <t>魚</t>
  </si>
  <si>
    <t>0x00e1ab48</t>
  </si>
  <si>
    <t>ニジマス</t>
  </si>
  <si>
    <t>0x00e1ab9c</t>
  </si>
  <si>
    <t>問</t>
  </si>
  <si>
    <t>0x00e1aba4</t>
  </si>
  <si>
    <t>0x00e1abdc</t>
  </si>
  <si>
    <t>篠</t>
  </si>
  <si>
    <t>0x00e1abf0</t>
  </si>
  <si>
    <t>0x00e1abf4</t>
  </si>
  <si>
    <t>0x00e1abfc</t>
  </si>
  <si>
    <t>0x00e1ac14</t>
  </si>
  <si>
    <t>0x00e1ac18</t>
  </si>
  <si>
    <t>0x00e1ac20</t>
  </si>
  <si>
    <t>0x00e1ac24</t>
  </si>
  <si>
    <t>0x00e1ac2c</t>
  </si>
  <si>
    <t>0x00e1ac34</t>
  </si>
  <si>
    <t>0x00e1ac40</t>
  </si>
  <si>
    <t>0x00e1ac44</t>
  </si>
  <si>
    <t>0x00e1ac48</t>
  </si>
  <si>
    <t>0x00e1ac50</t>
  </si>
  <si>
    <t>0x00e1ac54</t>
  </si>
  <si>
    <t>0x00e1ac58</t>
  </si>
  <si>
    <t>0x00e1ac64</t>
  </si>
  <si>
    <t>0x00e1ac6c</t>
  </si>
  <si>
    <t>0x00e1ac74</t>
  </si>
  <si>
    <t>0x00e1ac78</t>
  </si>
  <si>
    <t>0x00e1acf4</t>
  </si>
  <si>
    <t>終了</t>
  </si>
  <si>
    <t>0x00e1ad18</t>
  </si>
  <si>
    <t>初級</t>
  </si>
  <si>
    <t>0x00e1ad20</t>
  </si>
  <si>
    <t>中級</t>
  </si>
  <si>
    <t>0x00e1ad28</t>
  </si>
  <si>
    <t>上級</t>
  </si>
  <si>
    <t>0x00e1ad30</t>
  </si>
  <si>
    <t>で</t>
  </si>
  <si>
    <t>0x00e1adb8</t>
  </si>
  <si>
    <t>も</t>
  </si>
  <si>
    <t>0x00e1adbc</t>
  </si>
  <si>
    <t>ー</t>
  </si>
  <si>
    <t>0x00e1adec</t>
  </si>
  <si>
    <t>0x00e1ae14</t>
  </si>
  <si>
    <t>0x00e1ae20</t>
  </si>
  <si>
    <t>0x00e1ae2c</t>
  </si>
  <si>
    <t>て</t>
  </si>
  <si>
    <t>0x00e1ae34</t>
  </si>
  <si>
    <t>ば</t>
  </si>
  <si>
    <t>0x00e1ae3c</t>
  </si>
  <si>
    <t>よ</t>
  </si>
  <si>
    <t>0x00e1ae40</t>
  </si>
  <si>
    <t>い</t>
  </si>
  <si>
    <t>0x00e1ae4c</t>
  </si>
  <si>
    <t>0x00e1ae54</t>
  </si>
  <si>
    <t>0x00e1ae6c</t>
  </si>
  <si>
    <t>0x00e1ae78</t>
  </si>
  <si>
    <t>0x00e1ae7c</t>
  </si>
  <si>
    <t>ね</t>
  </si>
  <si>
    <t>0x00e1ae9c</t>
  </si>
  <si>
    <t>ん</t>
  </si>
  <si>
    <t>0x00e1aea4</t>
  </si>
  <si>
    <t>0x00e1aeac</t>
  </si>
  <si>
    <t>0x00e1aec4</t>
  </si>
  <si>
    <t>0x00e1aecc</t>
  </si>
  <si>
    <t>ろ</t>
  </si>
  <si>
    <t>0x00e1aed8</t>
  </si>
  <si>
    <t>0x00e1aee0</t>
  </si>
  <si>
    <t>0x00e1aef0</t>
  </si>
  <si>
    <t>0x00e1af00</t>
  </si>
  <si>
    <t>店</t>
  </si>
  <si>
    <t>0x00e1af04</t>
  </si>
  <si>
    <t>0x00e1af0c</t>
  </si>
  <si>
    <t>0x00e1af18</t>
  </si>
  <si>
    <t>0x00e1af30</t>
  </si>
  <si>
    <t>0x00e1af40</t>
  </si>
  <si>
    <t>成</t>
  </si>
  <si>
    <t>0x00e1af48</t>
  </si>
  <si>
    <t>0x00e1af50</t>
  </si>
  <si>
    <t>る</t>
  </si>
  <si>
    <t>0x00e1af70</t>
  </si>
  <si>
    <t>0x00e1af78</t>
  </si>
  <si>
    <t>文字詰め</t>
  </si>
  <si>
    <t>0x00e1af90</t>
  </si>
  <si>
    <t>か</t>
  </si>
  <si>
    <t>0x00e1af98</t>
  </si>
  <si>
    <t>が</t>
  </si>
  <si>
    <t>0x00e1afa0</t>
  </si>
  <si>
    <t>0x00e1afa8</t>
  </si>
  <si>
    <t>と</t>
  </si>
  <si>
    <t>0x00e1afb0</t>
  </si>
  <si>
    <t>な</t>
  </si>
  <si>
    <t>0x00e1afb8</t>
  </si>
  <si>
    <t>に</t>
  </si>
  <si>
    <t>0x00e1afc0</t>
  </si>
  <si>
    <t>の</t>
  </si>
  <si>
    <t>0x00e1afc8</t>
  </si>
  <si>
    <t>は</t>
  </si>
  <si>
    <t>0x00e1afd0</t>
  </si>
  <si>
    <t>へ</t>
  </si>
  <si>
    <t>0x00e1afd8</t>
  </si>
  <si>
    <t>0x00e1afe0</t>
  </si>
  <si>
    <t>や</t>
  </si>
  <si>
    <t>0x00e1afe8</t>
  </si>
  <si>
    <t>を</t>
  </si>
  <si>
    <t>0x00e1aff0</t>
  </si>
  <si>
    <t>組</t>
  </si>
  <si>
    <t>0x00e1aff8</t>
  </si>
  <si>
    <t>風</t>
  </si>
  <si>
    <t>0x00e1b000</t>
  </si>
  <si>
    <t>流</t>
  </si>
  <si>
    <t>0x00e1b048</t>
  </si>
  <si>
    <t>ポーカー</t>
  </si>
  <si>
    <t>0x00e1b058</t>
  </si>
  <si>
    <t>異国</t>
  </si>
  <si>
    <t>0x00e1b060</t>
  </si>
  <si>
    <t>ブラフ</t>
  </si>
  <si>
    <t>0x00e1b068</t>
  </si>
  <si>
    <t>クラブ</t>
  </si>
  <si>
    <t>0x00e1b070</t>
  </si>
  <si>
    <t>ダイヤ</t>
  </si>
  <si>
    <t>0x00e1b078</t>
  </si>
  <si>
    <t>スペード</t>
  </si>
  <si>
    <t>0x00e1b088</t>
  </si>
  <si>
    <t>ハート</t>
  </si>
  <si>
    <t>0x00e1b090</t>
  </si>
  <si>
    <t>ノーペア</t>
  </si>
  <si>
    <t>0x00e1b0a0</t>
  </si>
  <si>
    <t>ワンペア</t>
  </si>
  <si>
    <t>0x00e1b0b0</t>
  </si>
  <si>
    <t>ツーペア</t>
  </si>
  <si>
    <t>0x00e1b0c0</t>
  </si>
  <si>
    <t>３カード</t>
  </si>
  <si>
    <t>0x00e1b0d0</t>
  </si>
  <si>
    <t>ストレート</t>
  </si>
  <si>
    <t>0x00e1b0e0</t>
  </si>
  <si>
    <t>フラッシュ</t>
  </si>
  <si>
    <t>0x00e1b0f0</t>
  </si>
  <si>
    <t>フルハウス</t>
  </si>
  <si>
    <t>0x00e1b100</t>
  </si>
  <si>
    <t>４カード</t>
  </si>
  <si>
    <t>0x00e1b110</t>
  </si>
  <si>
    <t>ロイヤル</t>
  </si>
  <si>
    <t>0x00e1b164</t>
  </si>
  <si>
    <t>ポーン</t>
  </si>
  <si>
    <t>0x00e1b16c</t>
  </si>
  <si>
    <t>ナイト</t>
  </si>
  <si>
    <t>0x00e1b174</t>
  </si>
  <si>
    <t>ビショップ</t>
  </si>
  <si>
    <t>0x00e1b184</t>
  </si>
  <si>
    <t>ルーク</t>
  </si>
  <si>
    <t>0x00e1b18c</t>
  </si>
  <si>
    <t>ジャック</t>
  </si>
  <si>
    <t>0x00e1b19c</t>
  </si>
  <si>
    <t>クイーン</t>
  </si>
  <si>
    <t>0x00e1b1ac</t>
  </si>
  <si>
    <t>キング</t>
  </si>
  <si>
    <t>0x00e1b1b4</t>
  </si>
  <si>
    <t>エース</t>
  </si>
  <si>
    <t>0x00e1b1bc</t>
  </si>
  <si>
    <t>ジョーカー</t>
  </si>
  <si>
    <t>0x00e1b1cc</t>
  </si>
  <si>
    <t>ポーカー王</t>
  </si>
  <si>
    <t>0x00e1b208</t>
  </si>
  <si>
    <t>麻雀</t>
  </si>
  <si>
    <t>0x00e1b210</t>
  </si>
  <si>
    <t>東</t>
  </si>
  <si>
    <t>0x00e1b218</t>
  </si>
  <si>
    <t>西</t>
  </si>
  <si>
    <t>0x00e1b220</t>
  </si>
  <si>
    <t>北</t>
  </si>
  <si>
    <t>0x00e1b228</t>
  </si>
  <si>
    <t>チー</t>
  </si>
  <si>
    <t>0x00e1b230</t>
  </si>
  <si>
    <t>ポン</t>
  </si>
  <si>
    <t>0x00e1b238</t>
  </si>
  <si>
    <t>カン</t>
  </si>
  <si>
    <t>0x00e1b240</t>
  </si>
  <si>
    <t>マンズ</t>
  </si>
  <si>
    <t>0x00e1b248</t>
  </si>
  <si>
    <t>ピンズ</t>
  </si>
  <si>
    <t>0x00e1b250</t>
  </si>
  <si>
    <t>ソウズ</t>
  </si>
  <si>
    <t>0x00e1b258</t>
  </si>
  <si>
    <t>三元牌</t>
  </si>
  <si>
    <t>0x00e1b260</t>
  </si>
  <si>
    <t>四風牌</t>
  </si>
  <si>
    <t>0x00e1b268</t>
  </si>
  <si>
    <t>リーチ</t>
  </si>
  <si>
    <t>0x00e1b270</t>
  </si>
  <si>
    <t>ツモ</t>
  </si>
  <si>
    <t>0x00e1b278</t>
  </si>
  <si>
    <t>ロン</t>
  </si>
  <si>
    <t>0x00e1b2c4</t>
  </si>
  <si>
    <t>強者</t>
  </si>
  <si>
    <t>0x00e1b2cc</t>
  </si>
  <si>
    <t>王者</t>
  </si>
  <si>
    <t>0x00e1b2d4</t>
  </si>
  <si>
    <t>覇者</t>
  </si>
  <si>
    <t>0x00e1b2dc</t>
  </si>
  <si>
    <t>帝王</t>
  </si>
  <si>
    <t>0x00e1b2e4</t>
  </si>
  <si>
    <t>覇王</t>
  </si>
  <si>
    <t>0x00e1b2ec</t>
  </si>
  <si>
    <t>雀狼</t>
  </si>
  <si>
    <t>0x00e1b2f4</t>
  </si>
  <si>
    <t>雀将</t>
  </si>
  <si>
    <t>0x00e1b2fc</t>
  </si>
  <si>
    <t>雀王</t>
  </si>
  <si>
    <t>0x00e1b304</t>
  </si>
  <si>
    <t>雀龍</t>
  </si>
  <si>
    <t>0x00e1b30c</t>
  </si>
  <si>
    <t>雀神</t>
  </si>
  <si>
    <t>0x00e1b340</t>
  </si>
  <si>
    <t>こいこい</t>
  </si>
  <si>
    <t>0x00e1b350</t>
  </si>
  <si>
    <t>花札</t>
  </si>
  <si>
    <t>0x00e1b358</t>
  </si>
  <si>
    <t>かす</t>
  </si>
  <si>
    <t>0x00e1b360</t>
  </si>
  <si>
    <t>たん</t>
  </si>
  <si>
    <t>0x00e1b368</t>
  </si>
  <si>
    <t>たね</t>
  </si>
  <si>
    <t>0x00e1b370</t>
  </si>
  <si>
    <t>花見酒</t>
  </si>
  <si>
    <t>0x00e1b378</t>
  </si>
  <si>
    <t>月見酒</t>
  </si>
  <si>
    <t>0x00e1b380</t>
  </si>
  <si>
    <t>青短</t>
  </si>
  <si>
    <t>0x00e1b388</t>
  </si>
  <si>
    <t>赤短</t>
  </si>
  <si>
    <t>0x00e1b390</t>
  </si>
  <si>
    <t>猪鹿蝶</t>
  </si>
  <si>
    <t>0x00e1b398</t>
  </si>
  <si>
    <t>三光</t>
  </si>
  <si>
    <t>0x00e1b3a0</t>
  </si>
  <si>
    <t>食付</t>
  </si>
  <si>
    <t>0x00e1b3a8</t>
  </si>
  <si>
    <t>手四</t>
  </si>
  <si>
    <t>0x00e1b3b0</t>
  </si>
  <si>
    <t>雨四光</t>
  </si>
  <si>
    <t>0x00e1b3b8</t>
  </si>
  <si>
    <t>四光</t>
  </si>
  <si>
    <t>0x00e1b3c0</t>
  </si>
  <si>
    <t>五光</t>
  </si>
  <si>
    <t>0x00e1b40c</t>
  </si>
  <si>
    <t>序の口</t>
  </si>
  <si>
    <t>0x00e1b414</t>
  </si>
  <si>
    <t>序二段</t>
  </si>
  <si>
    <t>0x00e1b41c</t>
  </si>
  <si>
    <t>三段目</t>
  </si>
  <si>
    <t>0x00e1b424</t>
  </si>
  <si>
    <t>幕下</t>
  </si>
  <si>
    <t>0x00e1b42c</t>
  </si>
  <si>
    <t>十両</t>
  </si>
  <si>
    <t>0x00e1b434</t>
  </si>
  <si>
    <t>前頭</t>
  </si>
  <si>
    <t>0x00e1b43c</t>
  </si>
  <si>
    <t>小結</t>
  </si>
  <si>
    <t>0x00e1b444</t>
  </si>
  <si>
    <t>関脇</t>
  </si>
  <si>
    <t>0x00e1b44c</t>
  </si>
  <si>
    <t>大関</t>
  </si>
  <si>
    <t>0x00e1b454</t>
  </si>
  <si>
    <t>横綱</t>
  </si>
  <si>
    <t>0x00e1b488</t>
  </si>
  <si>
    <t>株札</t>
  </si>
  <si>
    <t>0x00e1b490</t>
  </si>
  <si>
    <t>ゴケ勝負</t>
  </si>
  <si>
    <t>0x00e1b4a0</t>
  </si>
  <si>
    <t>思案六ポウ</t>
  </si>
  <si>
    <t>0x00e1b4b0</t>
  </si>
  <si>
    <t>ブタ</t>
  </si>
  <si>
    <t>0x00e1b4b8</t>
  </si>
  <si>
    <t>ピン</t>
  </si>
  <si>
    <t>0x00e1b4c0</t>
  </si>
  <si>
    <t>ニソウ</t>
  </si>
  <si>
    <t>0x00e1b4c8</t>
  </si>
  <si>
    <t>サンタ</t>
  </si>
  <si>
    <t>0x00e1b4d0</t>
  </si>
  <si>
    <t>ヨツヤ</t>
  </si>
  <si>
    <t>0x00e1b4d8</t>
  </si>
  <si>
    <t>ゴケ</t>
  </si>
  <si>
    <t>0x00e1b4e0</t>
  </si>
  <si>
    <t>ロッポウ</t>
  </si>
  <si>
    <t>0x00e1b4f0</t>
  </si>
  <si>
    <t>ナキ</t>
  </si>
  <si>
    <t>0x00e1b4f8</t>
  </si>
  <si>
    <t>オイチョ</t>
  </si>
  <si>
    <t>0x00e1b508</t>
  </si>
  <si>
    <t>カブ</t>
  </si>
  <si>
    <t>0x00e1b510</t>
  </si>
  <si>
    <t>シッピン</t>
  </si>
  <si>
    <t>0x00e1b520</t>
  </si>
  <si>
    <t>クッピン</t>
  </si>
  <si>
    <t>0x00e1b530</t>
  </si>
  <si>
    <t>アラシ</t>
  </si>
  <si>
    <t>0x00e1b57c</t>
  </si>
  <si>
    <t>株芸人</t>
  </si>
  <si>
    <t>0x00e1b584</t>
  </si>
  <si>
    <t>株番人</t>
  </si>
  <si>
    <t>0x00e1b58c</t>
  </si>
  <si>
    <t>株達人</t>
  </si>
  <si>
    <t>0x00e1b594</t>
  </si>
  <si>
    <t>株鉄人</t>
  </si>
  <si>
    <t>0x00e1b59c</t>
  </si>
  <si>
    <t>株超人</t>
  </si>
  <si>
    <t>0x00e1b5a4</t>
  </si>
  <si>
    <t>株主</t>
  </si>
  <si>
    <t>0x00e1b5ac</t>
  </si>
  <si>
    <t>株将</t>
  </si>
  <si>
    <t>0x00e1b5b4</t>
  </si>
  <si>
    <t>株王</t>
  </si>
  <si>
    <t>0x00e1b5bc</t>
  </si>
  <si>
    <t>株龍</t>
  </si>
  <si>
    <t>0x00e1b5c4</t>
  </si>
  <si>
    <t>株神</t>
  </si>
  <si>
    <t>0x00e1b5f8</t>
  </si>
  <si>
    <t>将棋</t>
  </si>
  <si>
    <t>0x00e1b600</t>
  </si>
  <si>
    <t>先手</t>
  </si>
  <si>
    <t>0x00e1b608</t>
  </si>
  <si>
    <t>後手</t>
  </si>
  <si>
    <t>0x00e1b610</t>
  </si>
  <si>
    <t>居飛車</t>
  </si>
  <si>
    <t>0x00e1b618</t>
  </si>
  <si>
    <t>振り飛車</t>
  </si>
  <si>
    <t>0x00e1b628</t>
  </si>
  <si>
    <t>囲い</t>
  </si>
  <si>
    <t>0x00e1b630</t>
  </si>
  <si>
    <t>詰み</t>
  </si>
  <si>
    <t>0x00e1b638</t>
  </si>
  <si>
    <t>投了</t>
  </si>
  <si>
    <t>0x00e1b640</t>
  </si>
  <si>
    <t>王手</t>
  </si>
  <si>
    <t>0x00e1b648</t>
  </si>
  <si>
    <t>成り駒</t>
  </si>
  <si>
    <t>0x00e1b650</t>
  </si>
  <si>
    <t>と金</t>
  </si>
  <si>
    <t>0x00e1b658</t>
  </si>
  <si>
    <t>成香</t>
  </si>
  <si>
    <t>0x00e1b660</t>
  </si>
  <si>
    <t>成桂</t>
  </si>
  <si>
    <t>0x00e1b668</t>
  </si>
  <si>
    <t>成銀</t>
  </si>
  <si>
    <t>0x00e1b670</t>
  </si>
  <si>
    <t>竜馬</t>
  </si>
  <si>
    <t>0x00e1b678</t>
  </si>
  <si>
    <t>竜王</t>
  </si>
  <si>
    <t>0x00e1b6c4</t>
  </si>
  <si>
    <t>歩</t>
  </si>
  <si>
    <t>0x00e1b6cc</t>
  </si>
  <si>
    <t>香車</t>
  </si>
  <si>
    <t>0x00e1b6d4</t>
  </si>
  <si>
    <t>桂馬</t>
  </si>
  <si>
    <t>0x00e1b6dc</t>
  </si>
  <si>
    <t>銀将</t>
  </si>
  <si>
    <t>0x00e1b6e4</t>
  </si>
  <si>
    <t>金将</t>
  </si>
  <si>
    <t>0x00e1b6ec</t>
  </si>
  <si>
    <t>角行</t>
  </si>
  <si>
    <t>0x00e1b6f4</t>
  </si>
  <si>
    <t>飛車</t>
  </si>
  <si>
    <t>0x00e1b6fc</t>
  </si>
  <si>
    <t>玉将</t>
  </si>
  <si>
    <t>0x00e1b704</t>
  </si>
  <si>
    <t>王将</t>
  </si>
  <si>
    <t>0x00e1b70c</t>
  </si>
  <si>
    <t>将棋王</t>
  </si>
  <si>
    <t>0x00e1b740</t>
  </si>
  <si>
    <t>喜び</t>
  </si>
  <si>
    <t>0x00e1b748</t>
  </si>
  <si>
    <t>小さな</t>
  </si>
  <si>
    <t>0x00e1b750</t>
  </si>
  <si>
    <t>ねずみ</t>
  </si>
  <si>
    <t>0x00e1b758</t>
  </si>
  <si>
    <t>近所</t>
  </si>
  <si>
    <t>0x00e1b760</t>
  </si>
  <si>
    <t>貧乏</t>
  </si>
  <si>
    <t>0x00e1b768</t>
  </si>
  <si>
    <t>富豪</t>
  </si>
  <si>
    <t>0x00e1b770</t>
  </si>
  <si>
    <t>大富豪</t>
  </si>
  <si>
    <t>0x00e1b778</t>
  </si>
  <si>
    <t>怒り</t>
  </si>
  <si>
    <t>0x00e1b780</t>
  </si>
  <si>
    <t>大きな</t>
  </si>
  <si>
    <t>0x00e1b788</t>
  </si>
  <si>
    <t>牛</t>
  </si>
  <si>
    <t>0x00e1b790</t>
  </si>
  <si>
    <t>維新</t>
  </si>
  <si>
    <t>0x00e1b798</t>
  </si>
  <si>
    <t>哀れ</t>
  </si>
  <si>
    <t>0x00e1b7a0</t>
  </si>
  <si>
    <t>太った</t>
  </si>
  <si>
    <t>0x00e1b7a8</t>
  </si>
  <si>
    <t>虎</t>
  </si>
  <si>
    <t>0x00e1b7b0</t>
  </si>
  <si>
    <t>帰ってきた</t>
  </si>
  <si>
    <t>0x00e1b7c0</t>
  </si>
  <si>
    <t>楽しい</t>
  </si>
  <si>
    <t>0x00e1b7c8</t>
  </si>
  <si>
    <t>やせた</t>
  </si>
  <si>
    <t>0x00e1b7d0</t>
  </si>
  <si>
    <t>うさぎ</t>
  </si>
  <si>
    <t>0x00e1b7d8</t>
  </si>
  <si>
    <t>やさしい</t>
  </si>
  <si>
    <t>0x00e1b7e8</t>
  </si>
  <si>
    <t>派手</t>
  </si>
  <si>
    <t>0x00e1b7f0</t>
  </si>
  <si>
    <t>龍</t>
  </si>
  <si>
    <t>0x00e1b7f8</t>
  </si>
  <si>
    <t>悲しみ</t>
  </si>
  <si>
    <t>0x00e1b800</t>
  </si>
  <si>
    <t>地味</t>
  </si>
  <si>
    <t>0x00e1b808</t>
  </si>
  <si>
    <t>蛇</t>
  </si>
  <si>
    <t>0x00e1b810</t>
  </si>
  <si>
    <t>笑い</t>
  </si>
  <si>
    <t>0x00e1b818</t>
  </si>
  <si>
    <t>怪しい</t>
  </si>
  <si>
    <t>0x00e1b820</t>
  </si>
  <si>
    <t>馬</t>
  </si>
  <si>
    <t>0x00e1b828</t>
  </si>
  <si>
    <t>泣いた</t>
  </si>
  <si>
    <t>0x00e1b830</t>
  </si>
  <si>
    <t>おしゃれ</t>
  </si>
  <si>
    <t>0x00e1b840</t>
  </si>
  <si>
    <t>羊</t>
  </si>
  <si>
    <t>0x00e1b848</t>
  </si>
  <si>
    <t>驚き</t>
  </si>
  <si>
    <t>0x00e1b850</t>
  </si>
  <si>
    <t>さわやか</t>
  </si>
  <si>
    <t>0x00e1b860</t>
  </si>
  <si>
    <t>猿</t>
  </si>
  <si>
    <t>0x00e1b868</t>
  </si>
  <si>
    <t>愉快痛快</t>
  </si>
  <si>
    <t>0x00e1b878</t>
  </si>
  <si>
    <t>美しい</t>
  </si>
  <si>
    <t>0x00e1b880</t>
  </si>
  <si>
    <t>びっくり</t>
  </si>
  <si>
    <t>0x00e1b890</t>
  </si>
  <si>
    <t>鳥</t>
  </si>
  <si>
    <t>0x00e1b898</t>
  </si>
  <si>
    <t>幕末</t>
  </si>
  <si>
    <t>0x00e1b8a0</t>
  </si>
  <si>
    <t>泣き虫</t>
  </si>
  <si>
    <t>0x00e1b8a8</t>
  </si>
  <si>
    <t>新鮮</t>
  </si>
  <si>
    <t>0x00e1b8b0</t>
  </si>
  <si>
    <t>犬</t>
  </si>
  <si>
    <t>0x00e1b8b8</t>
  </si>
  <si>
    <t>血と汗と涙</t>
  </si>
  <si>
    <t>0x00e1b8c8</t>
  </si>
  <si>
    <t>怒りん坊</t>
  </si>
  <si>
    <t>0x00e1b8d8</t>
  </si>
  <si>
    <t>一発逆転</t>
  </si>
  <si>
    <t>0x00e1b8e8</t>
  </si>
  <si>
    <t>猪</t>
  </si>
  <si>
    <t>0x00e1b8f0</t>
  </si>
  <si>
    <t>百戦錬磨</t>
  </si>
  <si>
    <t>0x00e1b900</t>
  </si>
  <si>
    <t>暴れん坊</t>
  </si>
  <si>
    <t>0x00e1b910</t>
  </si>
  <si>
    <t>完全無欠</t>
  </si>
  <si>
    <t>0x00e1b9e4</t>
  </si>
  <si>
    <t>新人</t>
  </si>
  <si>
    <t>0x00e1b9ec</t>
  </si>
  <si>
    <t>男</t>
  </si>
  <si>
    <t>0x00e1b9f4</t>
  </si>
  <si>
    <t>女</t>
  </si>
  <si>
    <t>0x00e1b9fc</t>
  </si>
  <si>
    <t>猫</t>
  </si>
  <si>
    <t>0x00e1ba04</t>
  </si>
  <si>
    <t>小僧</t>
  </si>
  <si>
    <t>0x00e1ba0c</t>
  </si>
  <si>
    <t>田舎娘</t>
  </si>
  <si>
    <t>0x00e1ba14</t>
  </si>
  <si>
    <t>狸</t>
  </si>
  <si>
    <t>0x00e1ba1c</t>
  </si>
  <si>
    <t>たしなみ</t>
  </si>
  <si>
    <t>0x00e1ba2c</t>
  </si>
  <si>
    <t>看板娘</t>
  </si>
  <si>
    <t>0x00e1ba34</t>
  </si>
  <si>
    <t>狐</t>
  </si>
  <si>
    <t>0x00e1ba3c</t>
  </si>
  <si>
    <t>町人</t>
  </si>
  <si>
    <t>0x00e1ba44</t>
  </si>
  <si>
    <t>商人</t>
  </si>
  <si>
    <t>0x00e1ba4c</t>
  </si>
  <si>
    <t>鴉</t>
  </si>
  <si>
    <t>0x00e1ba54</t>
  </si>
  <si>
    <t>職人</t>
  </si>
  <si>
    <t>0x00e1ba5c</t>
  </si>
  <si>
    <t>坊主</t>
  </si>
  <si>
    <t>0x00e1ba64</t>
  </si>
  <si>
    <t>狼</t>
  </si>
  <si>
    <t>0x00e1ba6c</t>
  </si>
  <si>
    <t>浪人</t>
  </si>
  <si>
    <t>0x00e1ba74</t>
  </si>
  <si>
    <t>家来</t>
  </si>
  <si>
    <t>0x00e1ba7c</t>
  </si>
  <si>
    <t>鷹</t>
  </si>
  <si>
    <t>0x00e1ba84</t>
  </si>
  <si>
    <t>志士</t>
  </si>
  <si>
    <t>0x00e1ba8c</t>
  </si>
  <si>
    <t>武士</t>
  </si>
  <si>
    <t>0x00e1ba94</t>
  </si>
  <si>
    <t>美人</t>
  </si>
  <si>
    <t>0x00e1ba9c</t>
  </si>
  <si>
    <t>如く</t>
  </si>
  <si>
    <t>0x00e1baa4</t>
  </si>
  <si>
    <t>舞妓</t>
  </si>
  <si>
    <t>0x00e1baac</t>
  </si>
  <si>
    <t>河童</t>
  </si>
  <si>
    <t>0x00e1bab4</t>
  </si>
  <si>
    <t>芸者</t>
  </si>
  <si>
    <t>0x00e1babc</t>
  </si>
  <si>
    <t>花魁</t>
  </si>
  <si>
    <t>0x00e1bac4</t>
  </si>
  <si>
    <t>大入道</t>
  </si>
  <si>
    <t>0x00e1bacc</t>
  </si>
  <si>
    <t>姫</t>
  </si>
  <si>
    <t>0x00e1bad4</t>
  </si>
  <si>
    <t>鬼</t>
  </si>
  <si>
    <t>0x00e1badc</t>
  </si>
  <si>
    <t>忍者</t>
  </si>
  <si>
    <t>0x00e1bae4</t>
  </si>
  <si>
    <t>侍</t>
  </si>
  <si>
    <t>0x00e1baec</t>
  </si>
  <si>
    <t>殿様</t>
  </si>
  <si>
    <t>0x00e1baf4</t>
  </si>
  <si>
    <t>将軍</t>
  </si>
  <si>
    <t>0x00e1bb88</t>
  </si>
  <si>
    <t>十級</t>
  </si>
  <si>
    <t>0x00e1bb90</t>
  </si>
  <si>
    <t>九級</t>
  </si>
  <si>
    <t>0x00e1bb98</t>
  </si>
  <si>
    <t>八級</t>
  </si>
  <si>
    <t>0x00e1bba0</t>
  </si>
  <si>
    <t>七級</t>
  </si>
  <si>
    <t>0x00e1bba8</t>
  </si>
  <si>
    <t>六級</t>
  </si>
  <si>
    <t>0x00e1bbb0</t>
  </si>
  <si>
    <t>五級</t>
  </si>
  <si>
    <t>0x00e1bbb8</t>
  </si>
  <si>
    <t>四級</t>
  </si>
  <si>
    <t>0x00e1bbc0</t>
  </si>
  <si>
    <t>三級</t>
  </si>
  <si>
    <t>0x00e1bbc8</t>
  </si>
  <si>
    <t>二級</t>
  </si>
  <si>
    <t>0x00e1bbd0</t>
  </si>
  <si>
    <t>一級</t>
  </si>
  <si>
    <t>0x00e1bbd8</t>
  </si>
  <si>
    <t>初段</t>
  </si>
  <si>
    <t>0x00e1bbe0</t>
  </si>
  <si>
    <t>二段</t>
  </si>
  <si>
    <t>0x00e1bbe8</t>
  </si>
  <si>
    <t>三段</t>
  </si>
  <si>
    <t>0x00e1bbf0</t>
  </si>
  <si>
    <t>四段</t>
  </si>
  <si>
    <t>0x00e1bbf8</t>
  </si>
  <si>
    <t>五段</t>
  </si>
  <si>
    <t>0x00e1bc00</t>
  </si>
  <si>
    <t>六段</t>
  </si>
  <si>
    <t>0x00e1bc08</t>
  </si>
  <si>
    <t>七段</t>
  </si>
  <si>
    <t>0x00e1bc10</t>
  </si>
  <si>
    <t>八段</t>
  </si>
  <si>
    <t>0x00e1bc18</t>
  </si>
  <si>
    <t>九段</t>
  </si>
  <si>
    <t>0x00e1bc20</t>
  </si>
  <si>
    <t>最上段</t>
  </si>
  <si>
    <t>0x00e1bc7c</t>
  </si>
  <si>
    <t>対戦相手を募集中ですので、しばらくお待ちください。</t>
  </si>
  <si>
    <t>0x00e1bcbc</t>
  </si>
  <si>
    <t>対戦相手を見つける</t>
  </si>
  <si>
    <t>0x00e1bcdc</t>
  </si>
  <si>
    <t>このまま待ち続ける</t>
  </si>
  <si>
    <t>0x00e1bcfc</t>
  </si>
  <si>
    <t>ほかのゲームで遊ぶ</t>
  </si>
  <si>
    <t>0x00e1bd28</t>
  </si>
  <si>
    <t>次の対局を選ぶ</t>
  </si>
  <si>
    <t>0x00e1bd40</t>
  </si>
  <si>
    <t>次の相手を選ぶ</t>
  </si>
  <si>
    <t>0x00e1bd60</t>
  </si>
  <si>
    <t>通信エラーが発生しました。[n]メインメニュー画面へ戻ります。</t>
  </si>
  <si>
    <t>0x00e1bdb0</t>
  </si>
  <si>
    <t>ニックネームが入力されていません。[n]メインメニュー画面へ戻ります。</t>
  </si>
  <si>
    <t>0x00e1be00</t>
  </si>
  <si>
    <t>ニックネームが不適切です。[n]メインメニュー画面へ戻ります。</t>
  </si>
  <si>
    <t>0x00e1be48</t>
  </si>
  <si>
    <t>ホストから切断されました。[n]しばらくお待ち下さい。</t>
  </si>
  <si>
    <t>0x00e1be88</t>
  </si>
  <si>
    <t>ランキングの受信待ちです。[n]しばらくお待ち下さい。</t>
  </si>
  <si>
    <t>0x00e1bec8</t>
  </si>
  <si>
    <t>ランキングの受信に失敗しました。[n]賭け点選択画面へ戻ります。</t>
  </si>
  <si>
    <t>0x00e1bf0c</t>
  </si>
  <si>
    <t>0x00e1bf14</t>
  </si>
  <si>
    <t>ニックネーム</t>
  </si>
  <si>
    <t>0x00e1bf2c</t>
  </si>
  <si>
    <t>サインインされなかったため[n]メインメニュー画面へ戻ります。</t>
  </si>
  <si>
    <t>0x00e1bf74</t>
  </si>
  <si>
    <t>サインアップされなかったため[n]メインメニュー画面へ戻ります。</t>
  </si>
  <si>
    <t>0x00e1bfb8</t>
  </si>
  <si>
    <t>「PSN」からサインアウトしました。[n]賭場ミニゲームで遊べません。[n]メインメニュー画面へ戻ります。</t>
  </si>
  <si>
    <t>0x00e1c034</t>
  </si>
  <si>
    <t>他のユーザーとの通信待ちです。[n]しばらくおまちください。</t>
  </si>
  <si>
    <t>0x00e1c070</t>
  </si>
  <si>
    <t>ルームの作成に失敗しました。[n]通信状況を確認して下さい。</t>
  </si>
  <si>
    <t>0x00e1c0ac</t>
  </si>
  <si>
    <t>ランキングの受信に失敗しました。[n]ランキング画面を閉じます。</t>
  </si>
  <si>
    <t>0x00e1c0f0</t>
  </si>
  <si>
    <t>他プレイヤーの手番を待っています。</t>
  </si>
  <si>
    <t>0x00e1c124</t>
  </si>
  <si>
    <t>柴犬</t>
  </si>
  <si>
    <t>0x00e1c12c</t>
  </si>
  <si>
    <t>黒柴</t>
  </si>
  <si>
    <t>0x00e1c134</t>
  </si>
  <si>
    <t>白柴</t>
  </si>
  <si>
    <t>0x00e1c150</t>
  </si>
  <si>
    <t>三毛</t>
  </si>
  <si>
    <t>0x00e1c158</t>
  </si>
  <si>
    <t>黒猫</t>
  </si>
  <si>
    <t>0x00e1c160</t>
  </si>
  <si>
    <t>白猫</t>
  </si>
  <si>
    <t>0x00e1c17c</t>
  </si>
  <si>
    <t>名前を付けて下さい</t>
  </si>
  <si>
    <t>0x00e1c19c</t>
  </si>
  <si>
    <t>交換しますか？</t>
  </si>
  <si>
    <t>0x00e1c1b4</t>
  </si>
  <si>
    <t>交換済み</t>
  </si>
  <si>
    <t>0x00e1c1cc</t>
  </si>
  <si>
    <t>渡せるものを何も持っていません</t>
  </si>
  <si>
    <t>0x00e1c1f4</t>
  </si>
  <si>
    <t>（徳が足りないようだな……）</t>
  </si>
  <si>
    <t>0x00e1c21c</t>
  </si>
  <si>
    <t>標準</t>
  </si>
  <si>
    <t>0x00e1c224</t>
  </si>
  <si>
    <t>金の舞</t>
  </si>
  <si>
    <t>0x00e1c22c</t>
  </si>
  <si>
    <t>新築風</t>
  </si>
  <si>
    <t>0x00e1c234</t>
  </si>
  <si>
    <t>愛し花</t>
  </si>
  <si>
    <t>0x00e1c23c</t>
  </si>
  <si>
    <t>内装D</t>
  </si>
  <si>
    <t>0x00e1c244</t>
  </si>
  <si>
    <t>内装E</t>
  </si>
  <si>
    <t>0x00e1c268</t>
  </si>
  <si>
    <t>今の台所だと作れない献立だね。[n]台所が拡張できるといいんだけど……</t>
  </si>
  <si>
    <t>0x00e1c2b8</t>
  </si>
  <si>
    <t>今はまだ作れない献立だね。台所を[n]「万能な台所」にまで拡張したり、誰かに料理の[n]作り方を教わったりできるといいんだけど……</t>
  </si>
  <si>
    <t>0x00e1c340</t>
  </si>
  <si>
    <t>材料が足りません。</t>
  </si>
  <si>
    <t>0x00e1c36c</t>
  </si>
  <si>
    <t>行き先を選んでください。左スティックの上下で選択できます。</t>
  </si>
  <si>
    <t>0x00e1c3b4</t>
  </si>
  <si>
    <t>第一章　土佐、脱藩</t>
  </si>
  <si>
    <t>0x00e1c3cc</t>
  </si>
  <si>
    <t>第二章　斎藤一という男</t>
  </si>
  <si>
    <t>0x00e1c3e4</t>
  </si>
  <si>
    <t>第三章　壬生狼</t>
  </si>
  <si>
    <t>0x00e1c3f4</t>
  </si>
  <si>
    <t>第四章　共闘</t>
  </si>
  <si>
    <t>0x00e1c404</t>
  </si>
  <si>
    <t>第五章　鉄の掟</t>
  </si>
  <si>
    <t>0x00e1c414</t>
  </si>
  <si>
    <t>第六章　池田屋事件</t>
  </si>
  <si>
    <t>0x00e1c42c</t>
  </si>
  <si>
    <t>第七章　二人の龍馬</t>
  </si>
  <si>
    <t>0x00e1c444</t>
  </si>
  <si>
    <t>第八章　狂犬吼える</t>
  </si>
  <si>
    <t>0x00e1c45c</t>
  </si>
  <si>
    <t>第九章　喧嘩の花道</t>
  </si>
  <si>
    <t>0x00e1c474</t>
  </si>
  <si>
    <t>第十章　正体</t>
  </si>
  <si>
    <t>0x00e1c484</t>
  </si>
  <si>
    <t>第十一章　大博打</t>
  </si>
  <si>
    <t>0x00e1c49c</t>
  </si>
  <si>
    <t>第十二章　京炎上</t>
  </si>
  <si>
    <t>0x00e1c4b4</t>
  </si>
  <si>
    <t>第十三章　龍馬暗殺</t>
  </si>
  <si>
    <t>0x00e1c4cc</t>
  </si>
  <si>
    <t>最終章　夜明け</t>
  </si>
  <si>
    <t>0x00e1c4dc</t>
  </si>
  <si>
    <t>完</t>
  </si>
  <si>
    <t>0x00e1c520</t>
  </si>
  <si>
    <t>%sを手に入れた</t>
  </si>
  <si>
    <t>0x00e1c538</t>
  </si>
  <si>
    <t>%sを失った</t>
  </si>
  <si>
    <t>0x00e1c550</t>
  </si>
  <si>
    <t>体力が回復した</t>
  </si>
  <si>
    <t>0x00e1c568</t>
  </si>
  <si>
    <t>た</t>
  </si>
  <si>
    <t>0x00e1c570</t>
  </si>
  <si>
    <t>経験値 : %s</t>
  </si>
  <si>
    <t>0x00e1c59c</t>
  </si>
  <si>
    <t>0x00e1c5bc</t>
  </si>
  <si>
    <t>装備</t>
  </si>
  <si>
    <t>0x00e1c5c8</t>
  </si>
  <si>
    <t>持ち物がいっぱいです</t>
  </si>
  <si>
    <t>0x00e1c5e8</t>
  </si>
  <si>
    <t>幕末漫遊中</t>
  </si>
  <si>
    <t>0x00e1c600</t>
  </si>
  <si>
    <t>自由気ままに探索するか。[n]行きたい所に行き、やりたいことをしよう。</t>
  </si>
  <si>
    <t>0x00e1c648</t>
  </si>
  <si>
    <t>自由気ままに探索しよか。[n]行きたい所に行き、やりたいことをしよう。</t>
  </si>
  <si>
    <t>0x00e1c690</t>
  </si>
  <si>
    <t>自由気ままに探索しよっと。[n]行きたい所に行って、やりたいことをやろう。</t>
  </si>
  <si>
    <t>0x00e1c6f0</t>
  </si>
  <si>
    <t>●%s[n]　総プレイ時間 %d時間%02d分 /[n]　レベル %02d / 経験値 %d /[n]　所持金 %s / 賭け点 %d点[n]●バトルダンジョン[n]　解決任務 %d件 / 隊士カード %d枚[n]●アナザーライフ[n]　作物 %d種 / 魚 %d種 / 料理 %d品 / 納品 %d品</t>
  </si>
  <si>
    <t>0x00e1c7c8</t>
  </si>
  <si>
    <t>品</t>
  </si>
  <si>
    <t>0x00e1c7d4</t>
  </si>
  <si>
    <t>クリアデータ</t>
  </si>
  <si>
    <t>0x00e1c7f8</t>
  </si>
  <si>
    <t>売る</t>
  </si>
  <si>
    <t>0x00e1c800</t>
  </si>
  <si>
    <t>食べる</t>
  </si>
  <si>
    <t>0x00e1c808</t>
  </si>
  <si>
    <t>換える</t>
  </si>
  <si>
    <t>0x00e1c810</t>
  </si>
  <si>
    <t>拡大</t>
  </si>
  <si>
    <t>0x00e1c818</t>
  </si>
  <si>
    <t>縮小</t>
  </si>
  <si>
    <t>0x00e1c820</t>
  </si>
  <si>
    <t>使う</t>
  </si>
  <si>
    <t>0x00e1c828</t>
  </si>
  <si>
    <t>捨てる</t>
  </si>
  <si>
    <t>0x00e1c830</t>
  </si>
  <si>
    <t>確定</t>
  </si>
  <si>
    <t>0x00e1c838</t>
  </si>
  <si>
    <t>見る</t>
  </si>
  <si>
    <t>0x00e1c840</t>
  </si>
  <si>
    <t>貴重品</t>
  </si>
  <si>
    <t>0x00e1c848</t>
  </si>
  <si>
    <t>持ち物</t>
  </si>
  <si>
    <t>0x00e1c850</t>
  </si>
  <si>
    <t>一覧</t>
  </si>
  <si>
    <t>0x00e1c858</t>
  </si>
  <si>
    <t>外す</t>
  </si>
  <si>
    <t>0x00e1c860</t>
  </si>
  <si>
    <t>買う</t>
  </si>
  <si>
    <t>0x00e1c868</t>
  </si>
  <si>
    <t>確認</t>
  </si>
  <si>
    <t>0x00e1c870</t>
  </si>
  <si>
    <t>並べる</t>
  </si>
  <si>
    <t>0x00e1c878</t>
  </si>
  <si>
    <t>移す</t>
  </si>
  <si>
    <t>0x00e1c880</t>
  </si>
  <si>
    <t>京全図</t>
  </si>
  <si>
    <t>0x00e1c888</t>
  </si>
  <si>
    <t>完全武装</t>
  </si>
  <si>
    <t>0x00e1c898</t>
  </si>
  <si>
    <t>切り替え</t>
  </si>
  <si>
    <t>0x00e1c8a8</t>
  </si>
  <si>
    <t>並び替え</t>
  </si>
  <si>
    <t>0x00e1c8b8</t>
  </si>
  <si>
    <t>標準表示</t>
  </si>
  <si>
    <t>0x00e1c8c8</t>
  </si>
  <si>
    <t>降順表示</t>
  </si>
  <si>
    <t>0x00e1c8d8</t>
  </si>
  <si>
    <t>昇順表示</t>
  </si>
  <si>
    <t>0x00e1c8e8</t>
  </si>
  <si>
    <t>道具</t>
  </si>
  <si>
    <t>0x00e1c8f0</t>
  </si>
  <si>
    <t>逃がす</t>
  </si>
  <si>
    <t>0x00e1c8f8</t>
  </si>
  <si>
    <t>所持道具</t>
  </si>
  <si>
    <t>0x00e1c908</t>
  </si>
  <si>
    <t>整理</t>
  </si>
  <si>
    <t>0x00e1c910</t>
  </si>
  <si>
    <t>選択</t>
  </si>
  <si>
    <t>0x00e1c918</t>
  </si>
  <si>
    <t>詳細</t>
  </si>
  <si>
    <t>0x00e1c920</t>
  </si>
  <si>
    <t>能力確認</t>
  </si>
  <si>
    <t>0x00e1c930</t>
  </si>
  <si>
    <t>能力強化</t>
  </si>
  <si>
    <t>0x00e1c940</t>
  </si>
  <si>
    <t>アイテム</t>
  </si>
  <si>
    <t>0x00e1c950</t>
  </si>
  <si>
    <t>マップ選択</t>
  </si>
  <si>
    <t>0x00e1c960</t>
  </si>
  <si>
    <t>必要素材</t>
  </si>
  <si>
    <t>0x00e1c970</t>
  </si>
  <si>
    <t>全再生</t>
  </si>
  <si>
    <t>0x00e1c978</t>
  </si>
  <si>
    <t>回転</t>
  </si>
  <si>
    <t>0x00e1c980</t>
  </si>
  <si>
    <t>主人公</t>
  </si>
  <si>
    <t>0x00e1c988</t>
  </si>
  <si>
    <t>倉庫</t>
  </si>
  <si>
    <t>0x00e1c994</t>
  </si>
  <si>
    <t>自動整理</t>
  </si>
  <si>
    <t>0x00e1c9a4</t>
  </si>
  <si>
    <t>全選択</t>
  </si>
  <si>
    <t>0x00e1c9ac</t>
  </si>
  <si>
    <t>返信</t>
  </si>
  <si>
    <t>0x00e1c9b4</t>
  </si>
  <si>
    <t>施設詳細</t>
  </si>
  <si>
    <t>0x00e1c9c4</t>
  </si>
  <si>
    <t>目的地設定</t>
  </si>
  <si>
    <t>0x00e1c9d4</t>
  </si>
  <si>
    <t>ポーズメニュー</t>
  </si>
  <si>
    <t>0x00e1c9e4</t>
  </si>
  <si>
    <t>マップ</t>
  </si>
  <si>
    <t>0x00e1cac8</t>
  </si>
  <si>
    <t>装備なし</t>
  </si>
  <si>
    <t>0x00e1caf4</t>
  </si>
  <si>
    <t>階</t>
  </si>
  <si>
    <t>0x00e1cb00</t>
  </si>
  <si>
    <t>アイテムを倉庫に送りました。</t>
  </si>
  <si>
    <t>0x00e1cb20</t>
  </si>
  <si>
    <t>一部のアイテムは個数が限界のため送れませんでした。</t>
  </si>
  <si>
    <t>0x00e1cb58</t>
  </si>
  <si>
    <t>武器の倉庫に空きがありません。整理をして下さい。</t>
  </si>
  <si>
    <t>0x00e1cba0</t>
  </si>
  <si>
    <t>0x00e1cba8</t>
  </si>
  <si>
    <t>&lt;Sign:6&gt;や&lt;Sign:4&gt;で能力タブを切り替えられます</t>
  </si>
  <si>
    <t>0x00e1cbd8</t>
  </si>
  <si>
    <t>&lt;Sign:6&gt;と&lt;Sign:4&gt;でアイテムと武器を切り替えられます</t>
  </si>
  <si>
    <t>0x00e1cc24</t>
  </si>
  <si>
    <t>野</t>
  </si>
  <si>
    <t>0x00e1cc28</t>
  </si>
  <si>
    <t>町</t>
  </si>
  <si>
    <t>0x00e1cc2c</t>
  </si>
  <si>
    <t>街</t>
  </si>
  <si>
    <t>0x00e1cc30</t>
  </si>
  <si>
    <t>堀</t>
  </si>
  <si>
    <t>0x00e1cc34</t>
  </si>
  <si>
    <t>0x00e1cc3c</t>
  </si>
  <si>
    <t>&lt;Sign:0&gt;次へ</t>
  </si>
  <si>
    <t>0x00e1cc54</t>
  </si>
  <si>
    <t>み</t>
  </si>
  <si>
    <t>0x00e1cc64</t>
  </si>
  <si>
    <t>必須</t>
  </si>
  <si>
    <t>0x00e1cc6c</t>
  </si>
  <si>
    <t>ケア</t>
  </si>
  <si>
    <t>0x00e1cc74</t>
  </si>
  <si>
    <t>ミッション</t>
  </si>
  <si>
    <t>0x00e1ccc4</t>
  </si>
  <si>
    <t>野盗</t>
  </si>
  <si>
    <t>0x00e1cccc</t>
  </si>
  <si>
    <t>無法者</t>
  </si>
  <si>
    <t>0x00e1ccd4</t>
  </si>
  <si>
    <t>ならず者</t>
  </si>
  <si>
    <t>0x00e1cce4</t>
  </si>
  <si>
    <t>黄金衆</t>
  </si>
  <si>
    <t>0x00e1ccec</t>
  </si>
  <si>
    <t>御陵衛士</t>
  </si>
  <si>
    <t>0x00e1ccfc</t>
  </si>
  <si>
    <t>新選組</t>
  </si>
  <si>
    <t>0x00e1cd04</t>
  </si>
  <si>
    <t>京都見廻組</t>
  </si>
  <si>
    <t>0x00e1cd38</t>
  </si>
  <si>
    <t>再開</t>
  </si>
  <si>
    <t>0x00e1cd48</t>
  </si>
  <si>
    <t>スキップ</t>
  </si>
  <si>
    <t>0x00e1cd60</t>
  </si>
  <si>
    <t>メニューへ</t>
  </si>
  <si>
    <t>0x00e1cd78</t>
  </si>
  <si>
    <t>最大連撃数</t>
  </si>
  <si>
    <t>0x00e1cd88</t>
  </si>
  <si>
    <t>数</t>
  </si>
  <si>
    <t>0x00e1cd94</t>
  </si>
  <si>
    <t>0x00e1cd9c</t>
  </si>
  <si>
    <t>ジ</t>
  </si>
  <si>
    <t>0x00e1cda4</t>
  </si>
  <si>
    <t>ン</t>
  </si>
  <si>
    <t>0x00e1cdb0</t>
  </si>
  <si>
    <t>ヒートアクション</t>
  </si>
  <si>
    <t>0x00e1cdc8</t>
  </si>
  <si>
    <t>破</t>
  </si>
  <si>
    <t>0x00e1cdd4</t>
  </si>
  <si>
    <t>何も入っていなかった</t>
  </si>
  <si>
    <t>0x00e1cdf4</t>
  </si>
  <si>
    <t>持ち物を使用しますか？</t>
  </si>
  <si>
    <t>0x00e1ce0c</t>
  </si>
  <si>
    <t>持ち物を捨てますか？</t>
  </si>
  <si>
    <t>0x00e1ce24</t>
  </si>
  <si>
    <t>セーブしますか？</t>
  </si>
  <si>
    <t>0x00e1ce3c</t>
  </si>
  <si>
    <t>難易度を一時的に初級にしますか？</t>
  </si>
  <si>
    <t>0x00e1ce64</t>
  </si>
  <si>
    <t>本当に初級にしてもよろしいですか？</t>
  </si>
  <si>
    <t>0x00e1ce8c</t>
  </si>
  <si>
    <t>所持武器リストに空きがありません。[n]アイテムボックスに移動する武器を選択してください。</t>
  </si>
  <si>
    <t>0x00e1cee4</t>
  </si>
  <si>
    <t>アイテムリストに空きがありません。[n]アイテムボックスに移動するアイテムを選択してください。</t>
  </si>
  <si>
    <t>0x00e1cf44</t>
  </si>
  <si>
    <t>アイテムを選択していませんがよろしいですか？</t>
  </si>
  <si>
    <t>0x00e1cf74</t>
  </si>
  <si>
    <t>本当によろしいですか？</t>
  </si>
  <si>
    <t>0x00e1cf8c</t>
  </si>
  <si>
    <t>アイテム整理を完了しますか？</t>
  </si>
  <si>
    <t>0x00e1cfac</t>
  </si>
  <si>
    <t>目的地を設定しますか？</t>
  </si>
  <si>
    <t>0x00e1cfc4</t>
  </si>
  <si>
    <t>目的地を解除しますか？</t>
  </si>
  <si>
    <t>0x00e1cfdc</t>
  </si>
  <si>
    <t>タイトルへ戻りますか？</t>
  </si>
  <si>
    <t>0x00e1cff4</t>
  </si>
  <si>
    <t>中断しますか？</t>
  </si>
  <si>
    <t>0x00e1d004</t>
  </si>
  <si>
    <t>セーブしていないデータは消えてしまいますが、[n]本当によろしいですか？</t>
  </si>
  <si>
    <t>0x00e1d04c</t>
  </si>
  <si>
    <t>本当に中断してもよろしいですか？</t>
  </si>
  <si>
    <t>0x00e1d074</t>
  </si>
  <si>
    <t>この称号でよろしいですか？</t>
  </si>
  <si>
    <t>0x00e1d094</t>
  </si>
  <si>
    <t>注文依頼を中止します。よろしいですか？[n]（渡した品物は取り消されます）</t>
  </si>
  <si>
    <t>0x00e1d0dc</t>
  </si>
  <si>
    <t>将棋は一勝負５点です。[n]　支払いますか？</t>
  </si>
  <si>
    <t>0x00e1d104</t>
  </si>
  <si>
    <t>PlayStationVita側のセーブデータを[n]サーバー上にアップロードして、[n]上書き保存してもよろしいですか？</t>
  </si>
  <si>
    <t>0x00e1d16c</t>
  </si>
  <si>
    <t>PlayStationVita側のセーブデータを[n]サーバー上のセーブデータで[n]上書き保存してもよろしいですか？</t>
  </si>
  <si>
    <t>0x00e1d1cc</t>
  </si>
  <si>
    <t>PlayStation3側のセーブデータを[n]サーバー上にアップロードして、[n]上書き保存してもよろしいですか？</t>
  </si>
  <si>
    <t>0x00e1d22c</t>
  </si>
  <si>
    <t>PlayStation4側のセーブデータを[n]サーバー上にアップロードして、[n]上書き保存してもよろしいですか？</t>
  </si>
  <si>
    <t>0x00e1d28c</t>
  </si>
  <si>
    <t>サーバー側のセーブデータの方が主人公の[n]レベル（経験値）が高いですが、このまま本当に[n]アップロードして上書き保存してもよろしいですか？</t>
  </si>
  <si>
    <t>0x00e1d314</t>
  </si>
  <si>
    <t>サーバー側のセーブデータの方が[n]総プレイ時間が長いですが、このまま本当に[n]アップロードして上書き保存してもよろしいですか？</t>
  </si>
  <si>
    <t>0x00e1d394</t>
  </si>
  <si>
    <t>サーバー側のセーブデータの方が主人公の[n]レベル（経験値）が低いですが、このまま本当に[n]ダウンロードして上書き保存してもよろしいですか？</t>
  </si>
  <si>
    <t>0x00e1d41c</t>
  </si>
  <si>
    <t>サーバー側のセーブデータの方が[n]総プレイ時間が短いですが、このまま本当に[n]ダウンロードして上書き保存してもよろしいですか？</t>
  </si>
  <si>
    <t>0x00e1d49c</t>
  </si>
  <si>
    <t>連戦しますか？</t>
  </si>
  <si>
    <t>0x00e1d4ac</t>
  </si>
  <si>
    <t>薪割りを終了しますか？</t>
  </si>
  <si>
    <t>0x00e1d4c4</t>
  </si>
  <si>
    <t>かかし屋敷をやめますか？</t>
  </si>
  <si>
    <t>0x00e1d4e4</t>
  </si>
  <si>
    <t>体力は全回復されていますが、使用しますか？</t>
  </si>
  <si>
    <t>0x00e1d514</t>
  </si>
  <si>
    <t>ヒートは全回復されていますが、使用しますか？</t>
  </si>
  <si>
    <t>0x00e1d544</t>
  </si>
  <si>
    <t>体力とヒートは全回復されていますが、使用しますか？</t>
  </si>
  <si>
    <t>0x00e1d57c</t>
  </si>
  <si>
    <t>メインメニューへ戻りますか？</t>
  </si>
  <si>
    <t>0x00e1d59c</t>
  </si>
  <si>
    <t>屯所に戻りますか？</t>
  </si>
  <si>
    <t>0x00e1d5b4</t>
  </si>
  <si>
    <t>かかし屋敷メニューに戻りますか？</t>
  </si>
  <si>
    <t>0x00e1d5dc</t>
  </si>
  <si>
    <t>究極闘技メニューに戻りますか？</t>
  </si>
  <si>
    <t>0x00e1d5fc</t>
  </si>
  <si>
    <t>このニックネームでよろしいですか？</t>
  </si>
  <si>
    <t>0x00e1d628</t>
  </si>
  <si>
    <t>今は使う必要がありません。</t>
  </si>
  <si>
    <t>0x00e1d648</t>
  </si>
  <si>
    <t>ここでは使えません。</t>
  </si>
  <si>
    <t>0x00e1d660</t>
  </si>
  <si>
    <t>これは捨てられません。</t>
  </si>
  <si>
    <t>0x00e1d678</t>
  </si>
  <si>
    <t>装備中なので捨てられません。</t>
  </si>
  <si>
    <t>0x00e1d698</t>
  </si>
  <si>
    <t>この主人公では装備できません。</t>
  </si>
  <si>
    <t>0x00e1d6b8</t>
  </si>
  <si>
    <t>アイテムボックスの個数が限界です。</t>
  </si>
  <si>
    <t>0x00e1d6e0</t>
  </si>
  <si>
    <t>通常武器は空にして下さい。</t>
  </si>
  <si>
    <t>0x00e1d700</t>
  </si>
  <si>
    <t>装備スキルがありません。</t>
  </si>
  <si>
    <t>0x00e1d720</t>
  </si>
  <si>
    <t>は使用出来ません。</t>
  </si>
  <si>
    <t>0x00e1d738</t>
  </si>
  <si>
    <t>権利が無いため装備することが出来ません。</t>
  </si>
  <si>
    <t>0x00e1d768</t>
  </si>
  <si>
    <t>装備を変更できません。</t>
  </si>
  <si>
    <t>0x00e1d780</t>
  </si>
  <si>
    <t>これは移動できません。</t>
  </si>
  <si>
    <t>0x00e1d798</t>
  </si>
  <si>
    <t>アップロードが無事に完了しました。</t>
  </si>
  <si>
    <t>0x00e1d7c0</t>
  </si>
  <si>
    <t>ダウンロードが無事に完了しました。</t>
  </si>
  <si>
    <t>0x00e1d7e8</t>
  </si>
  <si>
    <t>ダウンロードできませんでした。[n]サーバーにセーブデータが[n]アップロードされていません。</t>
  </si>
  <si>
    <t>0x00e1d840</t>
  </si>
  <si>
    <t>アップロード中です。[n]電源を切らないようにしてください。[n]データが破損する可能性があります。</t>
  </si>
  <si>
    <t>0x00e1d8a0</t>
  </si>
  <si>
    <t>ダウンロード中です。[n]電源を切らないようにしてください。[n]データが破損する可能性があります。</t>
  </si>
  <si>
    <t>0x00e1d900</t>
  </si>
  <si>
    <t>通信が切断されたため[n]アップロードに失敗しました。</t>
  </si>
  <si>
    <t>0x00e1d938</t>
  </si>
  <si>
    <t>通信が切断されたため[n]ダウンロードに失敗しました。</t>
  </si>
  <si>
    <t>0x00e1d970</t>
  </si>
  <si>
    <t>ポイントが足りません。</t>
  </si>
  <si>
    <t>0x00e1d988</t>
  </si>
  <si>
    <t>前回、通信対戦の途中で切断されてしまったため[n]%sの番付得点から、%s点減点されました。[n]以下のような点に気をつけて、遊ぶようにして下さい。[n]・できるだけ通信状況のいい環境でプレイして下さい。[n]・充電池切れや誤操作による電源切れに注意して下さい。[n]・意図的に電源や通信を切らないようにして下さい。</t>
  </si>
  <si>
    <t>0x00e1daa8</t>
  </si>
  <si>
    <t>「PSN」からサインアウトしました。[n]　アップロードを使用できません。</t>
  </si>
  <si>
    <t>0x00e1daf0</t>
  </si>
  <si>
    <t>「PSN」からサインアウトしました。[n]　ダウンロードを使用できません。</t>
  </si>
  <si>
    <t>0x00e1db38</t>
  </si>
  <si>
    <t>サーバーデータを確認中です。[n]電源を切らないようにしてください。[n]データが破損する可能性があります。</t>
  </si>
  <si>
    <t>0x00e1dba0</t>
  </si>
  <si>
    <t>通信をキャンセルしました。</t>
  </si>
  <si>
    <t>0x00e1dc28</t>
  </si>
  <si>
    <t>報酬</t>
  </si>
  <si>
    <t>0x00e1dc38</t>
  </si>
  <si>
    <t>属性弾を装填</t>
  </si>
  <si>
    <t>0x00e1dc48</t>
  </si>
  <si>
    <t>解除</t>
  </si>
  <si>
    <t>0x00e1dc5c</t>
  </si>
  <si>
    <t>バトル中は難易度を変更することができません。</t>
  </si>
  <si>
    <t>0x00e1dc94</t>
  </si>
  <si>
    <t>前回、通信対戦の途中で切断されてしまったため[n]%sの番付得点から、%d点減点されました。[n]以下のような点に気をつけて、遊ぶようにして下さい。</t>
  </si>
  <si>
    <t>0x00e1dd30</t>
  </si>
  <si>
    <t>・できるだけ通信状況のいい環境でプレイして下さい。[n]・誤操作による電源切れや通信切断に注意して下さい。[n]・意図的に電源や通信を切らないようにして下さい。</t>
  </si>
  <si>
    <t>0x00e1ddd0</t>
  </si>
  <si>
    <t>おいちょかぶ</t>
  </si>
  <si>
    <t>0x00e1ddf8</t>
  </si>
  <si>
    <t>今隠れても見つかってしまう！</t>
  </si>
  <si>
    <t>0x00e1de20</t>
  </si>
  <si>
    <t>アナザーライフ</t>
  </si>
  <si>
    <t>0x00e1de34</t>
  </si>
  <si>
    <t>STARTボタン</t>
  </si>
  <si>
    <t>0x00e1de50</t>
  </si>
  <si>
    <t>0x00e1de64</t>
  </si>
  <si>
    <t>作付計画を立てる</t>
  </si>
  <si>
    <t>0x00e1de7c</t>
  </si>
  <si>
    <t>一括収穫する</t>
  </si>
  <si>
    <t>0x00e1de8c</t>
  </si>
  <si>
    <t>肥やしを撒く</t>
  </si>
  <si>
    <t>0x00e1de9c</t>
  </si>
  <si>
    <t>作付計画リセット</t>
  </si>
  <si>
    <t>0x00e1dec8</t>
  </si>
  <si>
    <t>作付計画をリセットしますか？</t>
  </si>
  <si>
    <t>0x00e1def0</t>
  </si>
  <si>
    <t>作付計画がリセットされますがよろしいですか？</t>
  </si>
  <si>
    <t>0x00e1df28</t>
  </si>
  <si>
    <t>し</t>
  </si>
  <si>
    <t>0x00e1df2c</t>
  </si>
  <si>
    <t>岡っ引きかかし</t>
  </si>
  <si>
    <t>0x00e1df3c</t>
  </si>
  <si>
    <t>町奉行かかし</t>
  </si>
  <si>
    <t>0x00e1df4c</t>
  </si>
  <si>
    <t>老中かかし</t>
  </si>
  <si>
    <t>0x00e1df5c</t>
  </si>
  <si>
    <t>将軍かかし</t>
  </si>
  <si>
    <t>0x00e1df84</t>
  </si>
  <si>
    <t>食害をちょっとだけ防ぐかかし。</t>
  </si>
  <si>
    <t>0x00e1dfa4</t>
  </si>
  <si>
    <t>少しだけ食害を防ぐかかし。</t>
  </si>
  <si>
    <t>0x00e1dfc4</t>
  </si>
  <si>
    <t>ある程度食害を防ぐかかし。</t>
  </si>
  <si>
    <t>0x00e1dfe4</t>
  </si>
  <si>
    <t>かなり食害を防いでくれる[n]かかし。</t>
  </si>
  <si>
    <t>0x00e1e00c</t>
  </si>
  <si>
    <t>完璧に食害を防ぐ最強かかし。</t>
  </si>
  <si>
    <t>0x00e1e044</t>
  </si>
  <si>
    <t>作付面積</t>
  </si>
  <si>
    <t>0x00e1e054</t>
  </si>
  <si>
    <t>栽培速度</t>
  </si>
  <si>
    <t>0x00e1e064</t>
  </si>
  <si>
    <t>豊作確率</t>
  </si>
  <si>
    <t>0x00e1e084</t>
  </si>
  <si>
    <t>作付</t>
  </si>
  <si>
    <t>0x00e1e09c</t>
  </si>
  <si>
    <t>置く</t>
  </si>
  <si>
    <t>0x00e1e0ac</t>
  </si>
  <si>
    <t>す</t>
  </si>
  <si>
    <t>0x00e1e0b4</t>
  </si>
  <si>
    <t>削除</t>
  </si>
  <si>
    <t>0x00e1e0c4</t>
  </si>
  <si>
    <t>戻す</t>
  </si>
  <si>
    <t>0x00e1e0d4</t>
  </si>
  <si>
    <t>取止め</t>
  </si>
  <si>
    <t>0x00e1e0e4</t>
  </si>
  <si>
    <t>必要区画</t>
  </si>
  <si>
    <t>0x00e1e0f4</t>
  </si>
  <si>
    <t>収穫期待数</t>
  </si>
  <si>
    <t>0x00e1e114</t>
  </si>
  <si>
    <t>普通</t>
  </si>
  <si>
    <t>0x00e1e11c</t>
  </si>
  <si>
    <t>速い</t>
  </si>
  <si>
    <t>0x00e1e124</t>
  </si>
  <si>
    <t>遅い</t>
  </si>
  <si>
    <t>0x00e1e13c</t>
  </si>
  <si>
    <t>害獣の被害にあった…</t>
  </si>
  <si>
    <t>0x00e1e15c</t>
  </si>
  <si>
    <t>収穫できる作物がありません。</t>
  </si>
  <si>
    <t>0x00e1e184</t>
  </si>
  <si>
    <t>%s %d%s収穫した！</t>
  </si>
  <si>
    <t>0x00e1e1a4</t>
  </si>
  <si>
    <t>%s %d%sか……[n]%d%s食われてしまったな……</t>
  </si>
  <si>
    <t>0x00e1e1d4</t>
  </si>
  <si>
    <t>%s %d%sか、まずまずだな……</t>
  </si>
  <si>
    <t>0x00e1e1f4</t>
  </si>
  <si>
    <t>%s %d%s！豊作だな。</t>
  </si>
  <si>
    <t>0x00e1e20c</t>
  </si>
  <si>
    <t>なんと%s %d%s！大豊作だな。</t>
  </si>
  <si>
    <t>0x00e1e23c</t>
  </si>
  <si>
    <t>%sを撒きますか？[n]（所持数%d%s）</t>
  </si>
  <si>
    <t>0x00e1e25c</t>
  </si>
  <si>
    <t>%sがありません。</t>
  </si>
  <si>
    <t>0x00e1e274</t>
  </si>
  <si>
    <t>撒いたばかりなので今は使えません。</t>
  </si>
  <si>
    <t>0x00e1e2ac</t>
  </si>
  <si>
    <t>気まぐれ作付</t>
  </si>
  <si>
    <t>0x00e1e384</t>
  </si>
  <si>
    <t>セーブ</t>
  </si>
  <si>
    <t>0x00e1e38c</t>
  </si>
  <si>
    <t>動</t>
  </si>
  <si>
    <t>0x00e1e39c</t>
  </si>
  <si>
    <t>ト</t>
  </si>
  <si>
    <t>0x00e1e3a4</t>
  </si>
  <si>
    <t>え</t>
  </si>
  <si>
    <t>0x00e1e3a8</t>
  </si>
  <si>
    <t>グ</t>
  </si>
  <si>
    <t>0x00e1e3cc</t>
  </si>
  <si>
    <t>0x00e1e3d8</t>
  </si>
  <si>
    <t>0x00e1e3e8</t>
  </si>
  <si>
    <t>0x00e1e3f0</t>
  </si>
  <si>
    <t>0x00e1e3f8</t>
  </si>
  <si>
    <t>0x00e1e458</t>
  </si>
  <si>
    <t>合計</t>
  </si>
  <si>
    <t>0x00e1e464</t>
  </si>
  <si>
    <t>ババ</t>
  </si>
  <si>
    <t>0x00e1e474</t>
  </si>
  <si>
    <t>今日も遊んでくれて、どうもありがとうございます。[n]ご褒美の賭け点を手に入れましょう！</t>
  </si>
  <si>
    <t>0x00e1e4cc</t>
  </si>
  <si>
    <t>好きな札を選んで、めくっていってください。[n]ババをめくってしまうと、そこでゲーム終了です。</t>
  </si>
  <si>
    <t>0x00e1e52c</t>
  </si>
  <si>
    <t>「%s」の札だったので、%d点加算です。[n]次の札を選んでください。</t>
  </si>
  <si>
    <t>0x00e1e56c</t>
  </si>
  <si>
    <t>いきなりババをめくってしまいました！[n]残念ですが、1枚目でゲーム終了です。</t>
  </si>
  <si>
    <t>0x00e1e5bc</t>
  </si>
  <si>
    <t>残念でした。[n]ババをめくったので、ここでゲーム終了です。</t>
  </si>
  <si>
    <t>0x00e1e5f4</t>
  </si>
  <si>
    <t>おめでとうございます！[n]最後までババをめくらずに終わりました！</t>
  </si>
  <si>
    <t>0x00e1e650</t>
  </si>
  <si>
    <t>残念無念報酬</t>
  </si>
  <si>
    <t>0x00e1e660</t>
  </si>
  <si>
    <t>%d枚成功報酬</t>
  </si>
  <si>
    <t>0x00e1e670</t>
  </si>
  <si>
    <t>完璧達成報酬</t>
  </si>
  <si>
    <t>0x00e1e690</t>
  </si>
  <si>
    <t>%d枚目をめくれ！</t>
  </si>
  <si>
    <t>0x00e1e6a8</t>
  </si>
  <si>
    <t>%d枚目で失敗……</t>
  </si>
  <si>
    <t>0x00e1e6c0</t>
  </si>
  <si>
    <t>大成功！</t>
  </si>
  <si>
    <t>0x00e1e6e8</t>
  </si>
  <si>
    <t>書</t>
  </si>
  <si>
    <t>0x00e1e6ec</t>
  </si>
  <si>
    <t>金</t>
  </si>
  <si>
    <t>0x00e1e718</t>
  </si>
  <si>
    <t>0x00e1e720</t>
  </si>
  <si>
    <t>0x00e1e728</t>
  </si>
  <si>
    <t>む</t>
  </si>
  <si>
    <t>0x00e1e738</t>
  </si>
  <si>
    <t>う</t>
  </si>
  <si>
    <t>0x00e1e748</t>
  </si>
  <si>
    <t>プ</t>
  </si>
  <si>
    <t>0x00e1e754</t>
  </si>
  <si>
    <t>0x00e1e764</t>
  </si>
  <si>
    <t>0x00e1e7a0</t>
  </si>
  <si>
    <t>法</t>
  </si>
  <si>
    <t>0x00e1e7a8</t>
  </si>
  <si>
    <t>0x00e1e7e8</t>
  </si>
  <si>
    <t>ｵ</t>
  </si>
  <si>
    <t>0x00e1e7f0</t>
  </si>
  <si>
    <t>0x00e1e7f8</t>
  </si>
  <si>
    <t>0x00e1e818</t>
  </si>
  <si>
    <t>0x00e1e820</t>
  </si>
  <si>
    <t>やめる</t>
  </si>
  <si>
    <t>0x00e1e82c</t>
  </si>
  <si>
    <t>0x00e1e834</t>
  </si>
  <si>
    <t>配当</t>
  </si>
  <si>
    <t>0x00e1e83c</t>
  </si>
  <si>
    <t>獲得</t>
  </si>
  <si>
    <t>0x00e1e858</t>
  </si>
  <si>
    <t>0x00e1e85c</t>
  </si>
  <si>
    <t>0x00e1e860</t>
  </si>
  <si>
    <t>0x00e1e88c</t>
  </si>
  <si>
    <t>ル</t>
  </si>
  <si>
    <t>0x00e1e894</t>
  </si>
  <si>
    <t>覧</t>
  </si>
  <si>
    <t>0x00e1e8a4</t>
  </si>
  <si>
    <t>ハ</t>
  </si>
  <si>
    <t>0x00e1e8ac</t>
  </si>
  <si>
    <t>ム</t>
  </si>
  <si>
    <t>0x00e1e8b4</t>
  </si>
  <si>
    <t>0x00e1e8c8</t>
  </si>
  <si>
    <t>テキサスホールデム</t>
  </si>
  <si>
    <t>0x00e1e8e0</t>
  </si>
  <si>
    <t>パイナップルホールデム</t>
  </si>
  <si>
    <t>0x00e1e8f8</t>
  </si>
  <si>
    <t>オマハホールデム</t>
  </si>
  <si>
    <t>0x00e1e910</t>
  </si>
  <si>
    <t>試遊練習</t>
  </si>
  <si>
    <t>0x00e1e934</t>
  </si>
  <si>
    <t>最初に２枚配られて[n]手札２枚と共有札５枚から[n]任意の５枚を使って、役を作り、勝負します。</t>
  </si>
  <si>
    <t>0x00e1e98c</t>
  </si>
  <si>
    <t>最初に３枚配られて、そこから不要な１枚を捨て[n]手札２枚と共有札５枚から[n]任意の５枚を使って、役を作り、勝負します。</t>
  </si>
  <si>
    <t>0x00e1ea04</t>
  </si>
  <si>
    <t>最初に４枚配られて、手札４札と共有札５枚から[n]任意の手札２枚と共有札３枚を使って[n]役を作り、勝負します。</t>
  </si>
  <si>
    <t>0x00e1ea6c</t>
  </si>
  <si>
    <t>各ポーカーゲームの遊び方を[n]実際のプレイも交えて、練習します。</t>
  </si>
  <si>
    <t>0x00e1eac0</t>
  </si>
  <si>
    <t>テキサス試遊練習</t>
  </si>
  <si>
    <t>0x00e1ead8</t>
  </si>
  <si>
    <t>パイナップル試遊練習</t>
  </si>
  <si>
    <t>0x00e1eaf0</t>
  </si>
  <si>
    <t>オマハ試遊練習</t>
  </si>
  <si>
    <t>0x00e1eb10</t>
  </si>
  <si>
    <t>テキサスホールデムの遊び方を[n]実際のプレイも交えて、練習します。</t>
  </si>
  <si>
    <t>0x00e1eb50</t>
  </si>
  <si>
    <t>パイナップルホールデムの遊び方を[n]実際のプレイも交えて、練習します。</t>
  </si>
  <si>
    <t>0x00e1eb98</t>
  </si>
  <si>
    <t>オマハホールデムの遊び方を[n]実際のプレイも交えて、練習します。</t>
  </si>
  <si>
    <t>0x00e1ebe8</t>
  </si>
  <si>
    <t>真剣勝負だ！</t>
  </si>
  <si>
    <t>0x00e1ebf8</t>
  </si>
  <si>
    <t>運がいいね</t>
  </si>
  <si>
    <t>0x00e1ec08</t>
  </si>
  <si>
    <t>早くしてよ</t>
  </si>
  <si>
    <t>0x00e1ec18</t>
  </si>
  <si>
    <t>ガッカリ…</t>
  </si>
  <si>
    <t>0x00e1ec28</t>
  </si>
  <si>
    <t>まさか…!?</t>
  </si>
  <si>
    <t>0x00e1ec38</t>
  </si>
  <si>
    <t>ダメだ、こりゃ！</t>
  </si>
  <si>
    <t>0x00e1ec50</t>
  </si>
  <si>
    <t>バラバラだよ…</t>
  </si>
  <si>
    <t>0x00e1ec60</t>
  </si>
  <si>
    <t>これじゃ勝てないか…</t>
  </si>
  <si>
    <t>0x00e1ec78</t>
  </si>
  <si>
    <t>これは勝ち確定かも…</t>
  </si>
  <si>
    <t>0x00e1ec90</t>
  </si>
  <si>
    <t>もっと上げるよ！</t>
  </si>
  <si>
    <t>0x00e1eca8</t>
  </si>
  <si>
    <t>付き合ってみるか…</t>
  </si>
  <si>
    <t>0x00e1ecc0</t>
  </si>
  <si>
    <t>降りようかな…</t>
  </si>
  <si>
    <t>0x00e1ecd0</t>
  </si>
  <si>
    <t>この勝負は降りる…</t>
  </si>
  <si>
    <t>0x00e1ece8</t>
  </si>
  <si>
    <t>あははははは！</t>
  </si>
  <si>
    <t>0x00e1ecf8</t>
  </si>
  <si>
    <t>メラメラ！（怒）</t>
  </si>
  <si>
    <t>0x00e1ed10</t>
  </si>
  <si>
    <t>しくしく…（涙）</t>
  </si>
  <si>
    <t>0x00e1ed28</t>
  </si>
  <si>
    <t>ドキドキ…</t>
  </si>
  <si>
    <t>0x00e1ed38</t>
  </si>
  <si>
    <t>わーい♪</t>
  </si>
  <si>
    <t>0x00e1ed48</t>
  </si>
  <si>
    <t>やられた！</t>
  </si>
  <si>
    <t>0x00e1ed58</t>
  </si>
  <si>
    <t>絶好調！</t>
  </si>
  <si>
    <t>0x00e1ed68</t>
  </si>
  <si>
    <t>失敗したなぁ…</t>
  </si>
  <si>
    <t>0x00e1ed78</t>
  </si>
  <si>
    <t>おつかれさま！</t>
  </si>
  <si>
    <t>0x00e1ed88</t>
  </si>
  <si>
    <t>楽しかった〜！</t>
  </si>
  <si>
    <t>0x00e1ed98</t>
  </si>
  <si>
    <t>くやしいなぁ…</t>
  </si>
  <si>
    <t>0x00e1eda8</t>
  </si>
  <si>
    <t>次こそは勝つ！</t>
  </si>
  <si>
    <t>0x00e1ee40</t>
  </si>
  <si>
    <t>あと</t>
  </si>
  <si>
    <t>0x00e1ee4c</t>
  </si>
  <si>
    <t>０</t>
  </si>
  <si>
    <t>0x00e1ee54</t>
  </si>
  <si>
    <t>１</t>
  </si>
  <si>
    <t>0x00e1ee5c</t>
  </si>
  <si>
    <t>２</t>
  </si>
  <si>
    <t>0x00e1ee64</t>
  </si>
  <si>
    <t>３</t>
  </si>
  <si>
    <t>0x00e1ee6c</t>
  </si>
  <si>
    <t>４</t>
  </si>
  <si>
    <t>0x00e1ee74</t>
  </si>
  <si>
    <t>５</t>
  </si>
  <si>
    <t>0x00e1ee7c</t>
  </si>
  <si>
    <t>６</t>
  </si>
  <si>
    <t>0x00e1ee84</t>
  </si>
  <si>
    <t>７</t>
  </si>
  <si>
    <t>0x00e1ee8c</t>
  </si>
  <si>
    <t>８</t>
  </si>
  <si>
    <t>0x00e1ee94</t>
  </si>
  <si>
    <t>９</t>
  </si>
  <si>
    <t>0x00e1eec8</t>
  </si>
  <si>
    <t>0x00e1eed8</t>
  </si>
  <si>
    <t>未勝利</t>
  </si>
  <si>
    <t>0x00e1eee8</t>
  </si>
  <si>
    <t>勝利</t>
  </si>
  <si>
    <t>0x00e1eef8</t>
  </si>
  <si>
    <t>エレキナマズ</t>
  </si>
  <si>
    <t>0x00e1ef08</t>
  </si>
  <si>
    <t>サケ</t>
  </si>
  <si>
    <t>0x00e1ef10</t>
  </si>
  <si>
    <t>スッポン</t>
  </si>
  <si>
    <t>0x00e1ef20</t>
  </si>
  <si>
    <t>ウナギ</t>
  </si>
  <si>
    <t>0x00e1ef28</t>
  </si>
  <si>
    <t>アユ</t>
  </si>
  <si>
    <t>0x00e1ef6c</t>
  </si>
  <si>
    <t>マダイ</t>
  </si>
  <si>
    <t>0x00e1ef74</t>
  </si>
  <si>
    <t>クルマエビ</t>
  </si>
  <si>
    <t>0x00e1ef84</t>
  </si>
  <si>
    <t>0x00e1ef8c</t>
  </si>
  <si>
    <t>トラフグ</t>
  </si>
  <si>
    <t>0x00e1ef9c</t>
  </si>
  <si>
    <t>シラス</t>
  </si>
  <si>
    <t>0x00e1efec</t>
  </si>
  <si>
    <t>初釣丸</t>
  </si>
  <si>
    <t>0x00e1eff4</t>
  </si>
  <si>
    <t>淡水丸</t>
  </si>
  <si>
    <t>0x00e1effc</t>
  </si>
  <si>
    <t>釣大河</t>
  </si>
  <si>
    <t>0x00e1f004</t>
  </si>
  <si>
    <t>海丸</t>
  </si>
  <si>
    <t>0x00e1f00c</t>
  </si>
  <si>
    <t>大海王</t>
  </si>
  <si>
    <t>0x00e1f014</t>
  </si>
  <si>
    <t>超釣神</t>
  </si>
  <si>
    <t>0x00e1f038</t>
  </si>
  <si>
    <t>宇治川</t>
  </si>
  <si>
    <t>0x00e1f040</t>
  </si>
  <si>
    <t>鴨川</t>
  </si>
  <si>
    <t>0x00e1f048</t>
  </si>
  <si>
    <t>漁礁の磯</t>
  </si>
  <si>
    <t>0x00e1f058</t>
  </si>
  <si>
    <t>東沖</t>
  </si>
  <si>
    <t>0x00e1f074</t>
  </si>
  <si>
    <t>撒き餌</t>
  </si>
  <si>
    <t>0x00e1f080</t>
  </si>
  <si>
    <t>投入</t>
  </si>
  <si>
    <t>0x00e1f088</t>
  </si>
  <si>
    <t>釣具</t>
  </si>
  <si>
    <t>0x00e1f0a4</t>
  </si>
  <si>
    <t>淡水魚食いつき</t>
  </si>
  <si>
    <t>0x00e1f0b4</t>
  </si>
  <si>
    <t>海水魚食いつき</t>
  </si>
  <si>
    <t>0x00e1f0c4</t>
  </si>
  <si>
    <t>飛距離</t>
  </si>
  <si>
    <t>0x00e1f0cc</t>
  </si>
  <si>
    <t>アタリの感度</t>
  </si>
  <si>
    <t>0x00e1f0f0</t>
  </si>
  <si>
    <t>海でも川でも使える、初心者用の釣具。[n]性能はあまりよくない。</t>
  </si>
  <si>
    <t>0x00e1f130</t>
  </si>
  <si>
    <t>川釣りに適した釣り道具。[n]川魚のアタリがとりやすく、反応も良い。</t>
  </si>
  <si>
    <t>0x00e1f170</t>
  </si>
  <si>
    <t>川釣りに最も適した釣り道具。[n]川魚の反応も優れ、アワセるのが簡単。[n]また遠くまで投げられる。</t>
  </si>
  <si>
    <t>0x00e1f1d0</t>
  </si>
  <si>
    <t>海釣りに適した釣り道具。[n]海魚のアタリがとりやすく、反応も良い。</t>
  </si>
  <si>
    <t>0x00e1f210</t>
  </si>
  <si>
    <t>海釣りに最も適した釣り道具。[n]海魚の反応も優れ、アワセるのが簡単。[n]また遠くまで投げられる。</t>
  </si>
  <si>
    <t>0x00e1f270</t>
  </si>
  <si>
    <t>海でも川でも使える最高性能の釣具。[n]魚のアタリの感度も最高。[n]飛距離も最も遠くまで投げられる。</t>
  </si>
  <si>
    <t>0x00e1f2f4</t>
  </si>
  <si>
    <t>竿を上げる</t>
  </si>
  <si>
    <t>0x00e1f30c</t>
  </si>
  <si>
    <t>アワセる</t>
  </si>
  <si>
    <t>0x00e1f324</t>
  </si>
  <si>
    <t>%d尺%d寸</t>
  </si>
  <si>
    <t>0x00e1f33c</t>
  </si>
  <si>
    <t>高級撒き餌</t>
  </si>
  <si>
    <t>0x00e1f34c</t>
  </si>
  <si>
    <t>特選撒き餌</t>
  </si>
  <si>
    <t>0x00e1f35c</t>
  </si>
  <si>
    <t>究極撒き餌</t>
  </si>
  <si>
    <t>0x00e1f388</t>
  </si>
  <si>
    <t>混戦の予感がします。</t>
  </si>
  <si>
    <t>0x00e1f3a0</t>
  </si>
  <si>
    <t>２強の戦いになりそうです。</t>
  </si>
  <si>
    <t>0x00e1f3c0</t>
  </si>
  <si>
    <t>さてどんな結末になるでしょうか？</t>
  </si>
  <si>
    <t>0x00e1f3f8</t>
  </si>
  <si>
    <t>短距離王者がいよいよ決まります。</t>
  </si>
  <si>
    <t>0x00e1f428</t>
  </si>
  <si>
    <t>さあ、ここに中距離最強が決まります。</t>
  </si>
  <si>
    <t>0x00e1f458</t>
  </si>
  <si>
    <t>長距離で最も強い鳥はどの鳥か？</t>
  </si>
  <si>
    <t>0x00e1f480</t>
  </si>
  <si>
    <t>この競争に勝った鳥は栄光の鶏冠を与えられます。</t>
  </si>
  <si>
    <t>0x00e1f4b8</t>
  </si>
  <si>
    <t>この競争に勝った鳥は鳳凰と呼ばれます。</t>
  </si>
  <si>
    <t>0x00e1f4e8</t>
  </si>
  <si>
    <t>日本一の栄冠はどの鳥に輝くのか？[n]鳥の中の鳥がいよいよ決定。</t>
  </si>
  <si>
    <t>0x00e1f52c</t>
  </si>
  <si>
    <t>急遽特別競走が開催されます。[n]選ばれた２羽による一騎打ち戦です。</t>
  </si>
  <si>
    <t>0x00e1f570</t>
  </si>
  <si>
    <t>短距離一般競争</t>
  </si>
  <si>
    <t>0x00e1f580</t>
  </si>
  <si>
    <t>中距離一般競争</t>
  </si>
  <si>
    <t>0x00e1f590</t>
  </si>
  <si>
    <t>長距離一般競争</t>
  </si>
  <si>
    <t>0x00e1f5b0</t>
  </si>
  <si>
    <t>短距離[n]一般競争</t>
  </si>
  <si>
    <t>0x00e1f5c0</t>
  </si>
  <si>
    <t>中距離[n]一般競争</t>
  </si>
  <si>
    <t>0x00e1f5d0</t>
  </si>
  <si>
    <t>長距離[n]一般競争</t>
  </si>
  <si>
    <t>0x00e1f5ec</t>
  </si>
  <si>
    <t>%s対%s</t>
  </si>
  <si>
    <t>0x00e1f5fc</t>
  </si>
  <si>
    <t>骸短距離王冠前哨戦</t>
  </si>
  <si>
    <t>0x00e1f614</t>
  </si>
  <si>
    <t>骸中距離王冠前哨戦</t>
  </si>
  <si>
    <t>0x00e1f62c</t>
  </si>
  <si>
    <t>骸長距離王冠前哨戦</t>
  </si>
  <si>
    <t>0x00e1f644</t>
  </si>
  <si>
    <t>銀鶏杯</t>
  </si>
  <si>
    <t>0x00e1f64c</t>
  </si>
  <si>
    <t>金鶏杯</t>
  </si>
  <si>
    <t>0x00e1f654</t>
  </si>
  <si>
    <t>鴨川記念</t>
  </si>
  <si>
    <t>0x00e1f664</t>
  </si>
  <si>
    <t>骸記念</t>
  </si>
  <si>
    <t>0x00e1f66c</t>
  </si>
  <si>
    <t>骸短距離王冠</t>
  </si>
  <si>
    <t>0x00e1f67c</t>
  </si>
  <si>
    <t>骸中距離王冠</t>
  </si>
  <si>
    <t>0x00e1f68c</t>
  </si>
  <si>
    <t>骸長距離王冠</t>
  </si>
  <si>
    <t>0x00e1f69c</t>
  </si>
  <si>
    <t>骸大鶏冠</t>
  </si>
  <si>
    <t>0x00e1f6ac</t>
  </si>
  <si>
    <t>鳳凰賞</t>
  </si>
  <si>
    <t>0x00e1f6b4</t>
  </si>
  <si>
    <t>日本優鶏</t>
  </si>
  <si>
    <t>0x00e1f6c4</t>
  </si>
  <si>
    <t>一騎打ち戦</t>
  </si>
  <si>
    <t>0x00e1f710</t>
  </si>
  <si>
    <t>骸短距離[n]王冠前哨戦</t>
  </si>
  <si>
    <t>0x00e1f728</t>
  </si>
  <si>
    <t>骸中距離[n]王冠前哨戦</t>
  </si>
  <si>
    <t>0x00e1f740</t>
  </si>
  <si>
    <t>骸長距離王[n]冠前哨戦</t>
  </si>
  <si>
    <t>0x00e1f758</t>
  </si>
  <si>
    <t>骸短距離[n]王冠</t>
  </si>
  <si>
    <t>0x00e1f768</t>
  </si>
  <si>
    <t>骸中距離[n]王冠</t>
  </si>
  <si>
    <t>0x00e1f778</t>
  </si>
  <si>
    <t>骸長距離[n]王冠</t>
  </si>
  <si>
    <t>0x00e1f7c4</t>
  </si>
  <si>
    <t>各羽、態勢整いました。</t>
  </si>
  <si>
    <t>0x00e1f7dc</t>
  </si>
  <si>
    <t>準備が整いました。</t>
  </si>
  <si>
    <t>0x00e1f800</t>
  </si>
  <si>
    <t>各羽きれいな出足！</t>
  </si>
  <si>
    <t>0x00e1f818</t>
  </si>
  <si>
    <t>出遅れた！%s</t>
  </si>
  <si>
    <t>0x00e1f828</t>
  </si>
  <si>
    <t>良い出足！%s</t>
  </si>
  <si>
    <t>0x00e1f838</t>
  </si>
  <si>
    <t>現在先頭は%s</t>
  </si>
  <si>
    <t>0x00e1f848</t>
  </si>
  <si>
    <t>先頭は横一線！</t>
  </si>
  <si>
    <t>0x00e1f858</t>
  </si>
  <si>
    <t>一気に出た！%s</t>
  </si>
  <si>
    <t>0x00e1f884</t>
  </si>
  <si>
    <t>%s一歩先行</t>
  </si>
  <si>
    <t>0x00e1f894</t>
  </si>
  <si>
    <t>%s後方から一気に来たー！</t>
  </si>
  <si>
    <t>0x00e1f8b4</t>
  </si>
  <si>
    <t>%s逃げてる！</t>
  </si>
  <si>
    <t>0x00e1f8c4</t>
  </si>
  <si>
    <t>各羽一斉に終点になだれ込んだー</t>
  </si>
  <si>
    <t>0x00e1f8e4</t>
  </si>
  <si>
    <t>これはかなり混戦だ！</t>
  </si>
  <si>
    <t>0x00e1f914</t>
  </si>
  <si>
    <t>大健闘！%s</t>
  </si>
  <si>
    <t>0x00e1f924</t>
  </si>
  <si>
    <t>期待通りです！%s</t>
  </si>
  <si>
    <t>0x00e1f93c</t>
  </si>
  <si>
    <t>これは予想外！%s</t>
  </si>
  <si>
    <t>0x00e1f954</t>
  </si>
  <si>
    <t>やはり強い！%s</t>
  </si>
  <si>
    <t>0x00e1f964</t>
  </si>
  <si>
    <t>１着%s[n]２着%s</t>
  </si>
  <si>
    <t>0x00e1f98c</t>
  </si>
  <si>
    <t>鳥券購入</t>
  </si>
  <si>
    <t>0x00e1f99c</t>
  </si>
  <si>
    <t>競争開始</t>
  </si>
  <si>
    <t>0x00e1f9ac</t>
  </si>
  <si>
    <t>競争予定を見る</t>
  </si>
  <si>
    <t>0x00e1f9bc</t>
  </si>
  <si>
    <t>競鶏をやめる</t>
  </si>
  <si>
    <t>0x00e1f9e0</t>
  </si>
  <si>
    <t>単勝購入</t>
  </si>
  <si>
    <t>0x00e1f9f0</t>
  </si>
  <si>
    <t>鳥連購入</t>
  </si>
  <si>
    <t>0x00e1fa00</t>
  </si>
  <si>
    <t>鳥単購入</t>
  </si>
  <si>
    <t>0x00e1fa10</t>
  </si>
  <si>
    <t>配当一覧から購入</t>
  </si>
  <si>
    <t>0x00e1fa28</t>
  </si>
  <si>
    <t>購入鳥券確認</t>
  </si>
  <si>
    <t>0x00e1fa38</t>
  </si>
  <si>
    <t>購入終了</t>
  </si>
  <si>
    <t>0x00e1fa64</t>
  </si>
  <si>
    <t>競争開始まで</t>
  </si>
  <si>
    <t>0x00e1fa74</t>
  </si>
  <si>
    <t>秒</t>
  </si>
  <si>
    <t>0x00e1fa8c</t>
  </si>
  <si>
    <t>一</t>
  </si>
  <si>
    <t>0x00e1fa94</t>
  </si>
  <si>
    <t>二</t>
  </si>
  <si>
    <t>0x00e1fa9c</t>
  </si>
  <si>
    <t>三</t>
  </si>
  <si>
    <t>0x00e1faa4</t>
  </si>
  <si>
    <t>四</t>
  </si>
  <si>
    <t>0x00e1faac</t>
  </si>
  <si>
    <t>五</t>
  </si>
  <si>
    <t>0x00e1fb1c</t>
  </si>
  <si>
    <t>木札で鳥券を購入します。</t>
  </si>
  <si>
    <t>0x00e1fb3c</t>
  </si>
  <si>
    <t>競争を開始します。</t>
  </si>
  <si>
    <t>0x00e1fb54</t>
  </si>
  <si>
    <t>今後開催される競争の予定を確認できます。</t>
  </si>
  <si>
    <t>0x00e1fb84</t>
  </si>
  <si>
    <t>競鶏を終了します。</t>
  </si>
  <si>
    <t>0x00e1fb9c</t>
  </si>
  <si>
    <t>１着の鶏を予想する鳥券を購入します。</t>
  </si>
  <si>
    <t>0x00e1fbc4</t>
  </si>
  <si>
    <t>着順に関係なく１着２着を予想する鳥券を購入します。</t>
  </si>
  <si>
    <t>0x00e1fbfc</t>
  </si>
  <si>
    <t>着順を予想する鳥券を購入します。[n]最大５着まで予想することができます。</t>
  </si>
  <si>
    <t>0x00e1fc44</t>
  </si>
  <si>
    <t>配当一覧から鳥券を購入します。</t>
  </si>
  <si>
    <t>0x00e1fc64</t>
  </si>
  <si>
    <t>購入済みの鳥券を確認できます。</t>
  </si>
  <si>
    <t>0x00e1fc84</t>
  </si>
  <si>
    <t>鳥券の購入を終了します。</t>
  </si>
  <si>
    <t>0x00e1fca4</t>
  </si>
  <si>
    <t>１着の鶏のみ予想します。[n]購入する鶏を選んで左右で賭け点を増減します。[n]「確定」で購入、&lt;Sign:C&gt;ボタンで取り消します。</t>
  </si>
  <si>
    <t>0x00e1fd1c</t>
  </si>
  <si>
    <t>着順に関係なく１着２着を予想します。[n]１羽目の鶏を&lt;Sign:D&gt;ボタンで選んでください。</t>
  </si>
  <si>
    <t>0x00e1fd74</t>
  </si>
  <si>
    <t>２羽目の鶏を選んで左右で賭け点を増減します。[n]「確定」で購入、&lt;Sign:C&gt;ボタンで取り消します。</t>
  </si>
  <si>
    <t>0x00e1fdd4</t>
  </si>
  <si>
    <t>着順を予想する鳥券を購入します。[n]１着予想の鶏を&lt;Sign:D&gt;ボタンで選んでください。</t>
  </si>
  <si>
    <t>0x00e1fe24</t>
  </si>
  <si>
    <t>２着予想の鶏を選んで左右で賭け点を増減します。[n]&lt;Sign:D&gt;ボタンで更に多くの順着を予想できます。[n]「確定」で購入、&lt;Sign:C&gt;ボタンで取り消します。</t>
  </si>
  <si>
    <t>0x00e1feb4</t>
  </si>
  <si>
    <t>３着予想の鶏を選んで左右で賭け点を増減します。[n]&lt;Sign:D&gt;ボタンで更に多くの順着を予想できます。[n]「確定」で購入、&lt;Sign:C&gt;ボタンで取り消します。</t>
  </si>
  <si>
    <t>0x00e1ff44</t>
  </si>
  <si>
    <t>４着予想の鶏を選んで左右で賭け点を増減します。[n]&lt;Sign:D&gt;ボタンで更に多くの順着を予想できます。[n]「確定」で購入、&lt;Sign:C&gt;ボタンで取り消します。</t>
  </si>
  <si>
    <t>0x00e1ffd4</t>
  </si>
  <si>
    <t>左右で賭け点を増減します。「確定」で購入、&lt;Sign:C&gt;ボタンで取り消します。</t>
  </si>
  <si>
    <t>0x00e20024</t>
  </si>
  <si>
    <t xml:space="preserve">購入したい配当を選んで&lt;Sign:D&gt;ボタンを押してください。[n]◎は購入済みです。&lt;Sign:6&gt;、&lt;Sign:4&gt;ボタンで表示を切り替えます。 </t>
  </si>
  <si>
    <t>0x00e200a4</t>
  </si>
  <si>
    <t>左右で賭け点を増減します。[n]&lt;Sign:D&gt;ボタンで購入、&lt;Sign:C&gt;ボタンで取り消します。</t>
  </si>
  <si>
    <t>0x00e200f4</t>
  </si>
  <si>
    <t>購入済みの鳥券です。</t>
  </si>
  <si>
    <t>0x00e2010c</t>
  </si>
  <si>
    <t>現在開催中、出走鳥決定の競争は、[n]&lt;Sign:1&gt;ボタンで詳細を見ることができます。</t>
  </si>
  <si>
    <t>0x00e2015c</t>
  </si>
  <si>
    <t>現在開催中の出走鳥です。</t>
  </si>
  <si>
    <t>0x00e2017c</t>
  </si>
  <si>
    <t>次回競走の出走鳥です</t>
  </si>
  <si>
    <t>0x00e20194</t>
  </si>
  <si>
    <t>次々回競走の出走鳥です。</t>
  </si>
  <si>
    <t>0x00e201b4</t>
  </si>
  <si>
    <t>急遽特別競走が開催されます。[n]選ばれた２羽による一騎討ち戦です。</t>
  </si>
  <si>
    <t>0x00e2025c</t>
  </si>
  <si>
    <t>詳細表示</t>
  </si>
  <si>
    <t>0x00e20274</t>
  </si>
  <si>
    <t>表示切替</t>
  </si>
  <si>
    <t>0x00e2028c</t>
  </si>
  <si>
    <t>視点切り替え</t>
  </si>
  <si>
    <t>0x00e202a4</t>
  </si>
  <si>
    <t>飜</t>
  </si>
  <si>
    <t>0x00e202ac</t>
  </si>
  <si>
    <t>符</t>
  </si>
  <si>
    <t>0x00e202b8</t>
  </si>
  <si>
    <t>ラ</t>
  </si>
  <si>
    <t>0x00e202bc</t>
  </si>
  <si>
    <t>棒</t>
  </si>
  <si>
    <t>0x00e202d4</t>
  </si>
  <si>
    <t>0x00e202ec</t>
  </si>
  <si>
    <t>0x00e202f0</t>
  </si>
  <si>
    <t>0x00e202fc</t>
  </si>
  <si>
    <t>識</t>
  </si>
  <si>
    <t>0x00e2030c</t>
  </si>
  <si>
    <t>0x00e20318</t>
  </si>
  <si>
    <t>弱卓で勝負</t>
  </si>
  <si>
    <t>0x00e20328</t>
  </si>
  <si>
    <t>中卓で勝負</t>
  </si>
  <si>
    <t>0x00e20338</t>
  </si>
  <si>
    <t>強卓で勝負</t>
  </si>
  <si>
    <t>0x00e20348</t>
  </si>
  <si>
    <t>慶応麻雀杯 昇龍戦に挑戦</t>
  </si>
  <si>
    <t>0x00e20370</t>
  </si>
  <si>
    <t>対戦相手を選んでください。[n]弱い対戦相手たちと勝負します。</t>
  </si>
  <si>
    <t>0x00e203b0</t>
  </si>
  <si>
    <t>対戦相手を選んでください。[n]普通の強さの対戦相手たちと勝負します。</t>
  </si>
  <si>
    <t>0x00e203f8</t>
  </si>
  <si>
    <t>対戦相手を選んでください。[n]強い対戦相手たちと勝負します。</t>
  </si>
  <si>
    <t>0x00e20438</t>
  </si>
  <si>
    <t>いろいろな対戦相手と勝負して[n]昇龍戦の頂点を目指してください。[n]参加料は５００点で１回払えば、次回からは無料です。</t>
  </si>
  <si>
    <t>0x00e204b0</t>
  </si>
  <si>
    <t>いろいろな対戦相手と勝負して[n]昇龍戦の頂点を目指してください。[n]５００点以上貯めてください。</t>
  </si>
  <si>
    <t>0x00e20510</t>
  </si>
  <si>
    <t>いろいろな対戦相手と勝負して[n]昇龍戦の頂点を目指してください。</t>
  </si>
  <si>
    <t>0x00e20584</t>
  </si>
  <si>
    <t>0x00e205a0</t>
  </si>
  <si>
    <t>槓</t>
  </si>
  <si>
    <t>0x00e205ac</t>
  </si>
  <si>
    <t>和</t>
  </si>
  <si>
    <t>0x00e205b0</t>
  </si>
  <si>
    <t>打</t>
  </si>
  <si>
    <t>0x00e205c4</t>
  </si>
  <si>
    <t>局</t>
  </si>
  <si>
    <t>0x00e205c8</t>
  </si>
  <si>
    <t>0x00e205cc</t>
  </si>
  <si>
    <t>0x00e205d0</t>
  </si>
  <si>
    <t>0x00e205d4</t>
  </si>
  <si>
    <t>0x00e205d8</t>
  </si>
  <si>
    <t>0x00e205dc</t>
  </si>
  <si>
    <t>0x00e205e0</t>
  </si>
  <si>
    <t>0x00e205e4</t>
  </si>
  <si>
    <t>0x00e205e8</t>
  </si>
  <si>
    <t>0x00e205ec</t>
  </si>
  <si>
    <t>0x00e205f0</t>
  </si>
  <si>
    <t>0x00e205f4</t>
  </si>
  <si>
    <t>0x00e205f8</t>
  </si>
  <si>
    <t>0x00e205fc</t>
  </si>
  <si>
    <t>0x00e20600</t>
  </si>
  <si>
    <t>0x00e2060c</t>
  </si>
  <si>
    <t>満</t>
  </si>
  <si>
    <t>0x00e20614</t>
  </si>
  <si>
    <t>0x00e20624</t>
  </si>
  <si>
    <t>0x00e20658</t>
  </si>
  <si>
    <t>0x00e2065c</t>
  </si>
  <si>
    <t>0x00e20660</t>
  </si>
  <si>
    <t>0x00e20664</t>
  </si>
  <si>
    <t>0x00e20668</t>
  </si>
  <si>
    <t>白</t>
  </si>
  <si>
    <t>0x00e20670</t>
  </si>
  <si>
    <t>發</t>
  </si>
  <si>
    <t>0x00e20678</t>
  </si>
  <si>
    <t>中</t>
  </si>
  <si>
    <t>0x00e20688</t>
  </si>
  <si>
    <t>口</t>
  </si>
  <si>
    <t>0x00e206b4</t>
  </si>
  <si>
    <t>頭</t>
  </si>
  <si>
    <t>0x00e206c0</t>
  </si>
  <si>
    <t>0x00e206c4</t>
  </si>
  <si>
    <t>刻</t>
  </si>
  <si>
    <t>0x00e206c8</t>
  </si>
  <si>
    <t>0x00e206cc</t>
  </si>
  <si>
    <t>子</t>
  </si>
  <si>
    <t>0x00e206d0</t>
  </si>
  <si>
    <t>0x00e206e4</t>
  </si>
  <si>
    <t>元</t>
  </si>
  <si>
    <t>0x00e206e8</t>
  </si>
  <si>
    <t>直</t>
  </si>
  <si>
    <t>0x00e206f4</t>
  </si>
  <si>
    <t>色</t>
  </si>
  <si>
    <t>0x00e206f8</t>
  </si>
  <si>
    <t>0x00e206fc</t>
  </si>
  <si>
    <t>0x00e20700</t>
  </si>
  <si>
    <t>0x00e20704</t>
  </si>
  <si>
    <t>0x00e20714</t>
  </si>
  <si>
    <t>0x00e20718</t>
  </si>
  <si>
    <t>騎</t>
  </si>
  <si>
    <t>0x00e20720</t>
  </si>
  <si>
    <t>0x00e20724</t>
  </si>
  <si>
    <t>0x00e20728</t>
  </si>
  <si>
    <t>喜</t>
  </si>
  <si>
    <t>0x00e2072c</t>
  </si>
  <si>
    <t>0x00e20730</t>
  </si>
  <si>
    <t>0x00e20758</t>
  </si>
  <si>
    <t>輪</t>
  </si>
  <si>
    <t>0x00e20770</t>
  </si>
  <si>
    <t>0x00e20778</t>
  </si>
  <si>
    <t>0x00e20798</t>
  </si>
  <si>
    <t>ぁ</t>
  </si>
  <si>
    <t>0x00e207b4</t>
  </si>
  <si>
    <t>0x00e207c0</t>
  </si>
  <si>
    <t>0x00e207e0</t>
  </si>
  <si>
    <t>！</t>
  </si>
  <si>
    <t>0x00e207f0</t>
  </si>
  <si>
    <t>0x00e20800</t>
  </si>
  <si>
    <t>0x00e2080c</t>
  </si>
  <si>
    <t>0x00e20818</t>
  </si>
  <si>
    <t>0x00e20824</t>
  </si>
  <si>
    <t>0x00e2082c</t>
  </si>
  <si>
    <t>0x00e20840</t>
  </si>
  <si>
    <t>0x00e20864</t>
  </si>
  <si>
    <t>0x00e20878</t>
  </si>
  <si>
    <t>ぇ</t>
  </si>
  <si>
    <t>0x00e2088c</t>
  </si>
  <si>
    <t>0x00e20894</t>
  </si>
  <si>
    <t>0x00e208c0</t>
  </si>
  <si>
    <t>0x00e208cc</t>
  </si>
  <si>
    <t>わ</t>
  </si>
  <si>
    <t>0x00e208d4</t>
  </si>
  <si>
    <t>0x00e208dc</t>
  </si>
  <si>
    <t>0x00e208f4</t>
  </si>
  <si>
    <t>0x00e20900</t>
  </si>
  <si>
    <t>0x00e20908</t>
  </si>
  <si>
    <t>0x00e20918</t>
  </si>
  <si>
    <t>0x00e20924</t>
  </si>
  <si>
    <t>〜</t>
  </si>
  <si>
    <t>0x00e20938</t>
  </si>
  <si>
    <t>0x00e2095c</t>
  </si>
  <si>
    <t>0x00e2099c</t>
  </si>
  <si>
    <t>0x00e209b0</t>
  </si>
  <si>
    <t>0x00e209b4</t>
  </si>
  <si>
    <t>0x00e209c0</t>
  </si>
  <si>
    <t>0x00e209c4</t>
  </si>
  <si>
    <t>裕</t>
  </si>
  <si>
    <t>0x00e209d4</t>
  </si>
  <si>
    <t>0x00e209dc</t>
  </si>
  <si>
    <t>0x00e209e4</t>
  </si>
  <si>
    <t>0x00e20a08</t>
  </si>
  <si>
    <t>0x00e20a10</t>
  </si>
  <si>
    <t>0x00e20a18</t>
  </si>
  <si>
    <t>0x00e20a24</t>
  </si>
  <si>
    <t>0x00e20a2c</t>
  </si>
  <si>
    <t>0x00e20a38</t>
  </si>
  <si>
    <t>0x00e20a44</t>
  </si>
  <si>
    <t>0x00e20a50</t>
  </si>
  <si>
    <t>0x00e20a54</t>
  </si>
  <si>
    <t>0x00e20a74</t>
  </si>
  <si>
    <t>0x00e20a7c</t>
  </si>
  <si>
    <t>0x00e20a8c</t>
  </si>
  <si>
    <t>0x00e20a90</t>
  </si>
  <si>
    <t>0x00e20aa0</t>
  </si>
  <si>
    <t>0x00e20aa4</t>
  </si>
  <si>
    <t>0x00e20aa8</t>
  </si>
  <si>
    <t>0x00e20abc</t>
  </si>
  <si>
    <t>0x00e20ac8</t>
  </si>
  <si>
    <t>0x00e20ae0</t>
  </si>
  <si>
    <t>0x00e20aec</t>
  </si>
  <si>
    <t>0x00e20af8</t>
  </si>
  <si>
    <t>0x00e20b08</t>
  </si>
  <si>
    <t>0x00e20b10</t>
  </si>
  <si>
    <t>0x00e20b18</t>
  </si>
  <si>
    <t>0x00e20b1c</t>
  </si>
  <si>
    <t>0x00e20b28</t>
  </si>
  <si>
    <t>0x00e20b30</t>
  </si>
  <si>
    <t>0x00e20b48</t>
  </si>
  <si>
    <t>0x00e20b58</t>
  </si>
  <si>
    <t>0x00e20b5c</t>
  </si>
  <si>
    <t>0x00e20b60</t>
  </si>
  <si>
    <t>0x00e20b78</t>
  </si>
  <si>
    <t>0x00e20b80</t>
  </si>
  <si>
    <t>0x00e20ba4</t>
  </si>
  <si>
    <t>0x00e20ba8</t>
  </si>
  <si>
    <t>0x00e20bb4</t>
  </si>
  <si>
    <t>0x00e20bc0</t>
  </si>
  <si>
    <t>0x00e20bc4</t>
  </si>
  <si>
    <t>0x00e20bcc</t>
  </si>
  <si>
    <t>0x00e20bd4</t>
  </si>
  <si>
    <t>0x00e20bec</t>
  </si>
  <si>
    <t>0x00e20bf0</t>
  </si>
  <si>
    <t>0x00e20c10</t>
  </si>
  <si>
    <t>0x00e20c14</t>
  </si>
  <si>
    <t>0x00e20c18</t>
  </si>
  <si>
    <t>ょ</t>
  </si>
  <si>
    <t>0x00e20c1c</t>
  </si>
  <si>
    <t>0x00e20c20</t>
  </si>
  <si>
    <t>0x00e20c30</t>
  </si>
  <si>
    <t>0x00e20c3c</t>
  </si>
  <si>
    <t>0x00e20c58</t>
  </si>
  <si>
    <t>0x00e20c84</t>
  </si>
  <si>
    <t>0x00e20c8c</t>
  </si>
  <si>
    <t>0x00e20c94</t>
  </si>
  <si>
    <t>負</t>
  </si>
  <si>
    <t>0x00e20c98</t>
  </si>
  <si>
    <t>0x00e20c9c</t>
  </si>
  <si>
    <t>0x00e20cb8</t>
  </si>
  <si>
    <t>0x00e20cbc</t>
  </si>
  <si>
    <t>0x00e20cc0</t>
  </si>
  <si>
    <t>0x00e20ccc</t>
  </si>
  <si>
    <t>だ</t>
  </si>
  <si>
    <t>0x00e20cd0</t>
  </si>
  <si>
    <t>0x00e20cdc</t>
  </si>
  <si>
    <t>0x00e20cec</t>
  </si>
  <si>
    <t>0x00e20cf8</t>
  </si>
  <si>
    <t>0x00e20d04</t>
  </si>
  <si>
    <t>0x00e20d08</t>
  </si>
  <si>
    <t>0x00e20d1c</t>
  </si>
  <si>
    <t>0x00e20d20</t>
  </si>
  <si>
    <t>0x00e20d24</t>
  </si>
  <si>
    <t>0x00e20d2c</t>
  </si>
  <si>
    <t>0x00e20d30</t>
  </si>
  <si>
    <t>0x00e20d34</t>
  </si>
  <si>
    <t>0x00e20d3c</t>
  </si>
  <si>
    <t>0x00e20d40</t>
  </si>
  <si>
    <t>0x00e20d48</t>
  </si>
  <si>
    <t>0x00e20d4c</t>
  </si>
  <si>
    <t>0x00e20d58</t>
  </si>
  <si>
    <t>0x00e20d7c</t>
  </si>
  <si>
    <t>0x00e20d8c</t>
  </si>
  <si>
    <t>0x00e20da0</t>
  </si>
  <si>
    <t>0x00e20da8</t>
  </si>
  <si>
    <t>0x00e20dac</t>
  </si>
  <si>
    <t>ぜ</t>
  </si>
  <si>
    <t>0x00e20db8</t>
  </si>
  <si>
    <t>0x00e20dc8</t>
  </si>
  <si>
    <t>0x00e20ddc</t>
  </si>
  <si>
    <t>0x00e20de8</t>
  </si>
  <si>
    <t>0x00e20df8</t>
  </si>
  <si>
    <t>0x00e20e08</t>
  </si>
  <si>
    <t>ヘ</t>
  </si>
  <si>
    <t>0x00e20e40</t>
  </si>
  <si>
    <t>0x00e20e58</t>
  </si>
  <si>
    <t>ぞ</t>
  </si>
  <si>
    <t>0x00e20e5c</t>
  </si>
  <si>
    <t>0x00e20e64</t>
  </si>
  <si>
    <t>0x00e20e70</t>
  </si>
  <si>
    <t>0x00e20e84</t>
  </si>
  <si>
    <t>0x00e20e94</t>
  </si>
  <si>
    <t>0x00e20e98</t>
  </si>
  <si>
    <t>0x00e20ea4</t>
  </si>
  <si>
    <t>0x00e20eb0</t>
  </si>
  <si>
    <t>0x00e20ec0</t>
  </si>
  <si>
    <t>0x00e20ec8</t>
  </si>
  <si>
    <t>0x00e20ed0</t>
  </si>
  <si>
    <t>0x00e20ed4</t>
  </si>
  <si>
    <t>0x00e20ee8</t>
  </si>
  <si>
    <t>0x00e20ef8</t>
  </si>
  <si>
    <t>ら</t>
  </si>
  <si>
    <t>0x00e20f00</t>
  </si>
  <si>
    <t>0x00e20f04</t>
  </si>
  <si>
    <t>0x00e20f0c</t>
  </si>
  <si>
    <t>0x00e20f14</t>
  </si>
  <si>
    <t>0x00e20f30</t>
  </si>
  <si>
    <t>0x00e20f40</t>
  </si>
  <si>
    <t>0x00e20f48</t>
  </si>
  <si>
    <t>0x00e20f50</t>
  </si>
  <si>
    <t>0x00e20f58</t>
  </si>
  <si>
    <t>0x00e20f60</t>
  </si>
  <si>
    <t>0x00e20f6c</t>
  </si>
  <si>
    <t>0x00e20f74</t>
  </si>
  <si>
    <t>0x00e20f7c</t>
  </si>
  <si>
    <t>0x00e20f84</t>
  </si>
  <si>
    <t>0x00e20f88</t>
  </si>
  <si>
    <t>0x00e20f98</t>
  </si>
  <si>
    <t>0x00e20fa0</t>
  </si>
  <si>
    <t>0x00e20fa8</t>
  </si>
  <si>
    <t>0x00e20fb8</t>
  </si>
  <si>
    <t>0x00e20fc4</t>
  </si>
  <si>
    <t>0x00e20fd0</t>
  </si>
  <si>
    <t>0x00e20fd8</t>
  </si>
  <si>
    <t>0x00e20fe8</t>
  </si>
  <si>
    <t>0x00e20ffc</t>
  </si>
  <si>
    <t>0x00e21004</t>
  </si>
  <si>
    <t>0x00e21008</t>
  </si>
  <si>
    <t>0x00e21014</t>
  </si>
  <si>
    <t>0x00e21020</t>
  </si>
  <si>
    <t>0x00e21024</t>
  </si>
  <si>
    <t>0x00e21030</t>
  </si>
  <si>
    <t>0x00e21034</t>
  </si>
  <si>
    <t>0x00e2103c</t>
  </si>
  <si>
    <t>0x00e21040</t>
  </si>
  <si>
    <t>0x00e21044</t>
  </si>
  <si>
    <t>0x00e21054</t>
  </si>
  <si>
    <t>0x00e21060</t>
  </si>
  <si>
    <t>0x00e21074</t>
  </si>
  <si>
    <t>0x00e21098</t>
  </si>
  <si>
    <t>0x00e210a0</t>
  </si>
  <si>
    <t>0x00e210a4</t>
  </si>
  <si>
    <t>0x00e210c4</t>
  </si>
  <si>
    <t>0x00e210d0</t>
  </si>
  <si>
    <t>0x00e210dc</t>
  </si>
  <si>
    <t>0x00e210f4</t>
  </si>
  <si>
    <t>ぉ</t>
  </si>
  <si>
    <t>0x00e210f8</t>
  </si>
  <si>
    <t>0x00e21100</t>
  </si>
  <si>
    <t>0x00e21104</t>
  </si>
  <si>
    <t>0x00e21108</t>
  </si>
  <si>
    <t>0x00e21110</t>
  </si>
  <si>
    <t>0x00e21120</t>
  </si>
  <si>
    <t>0x00e2112c</t>
  </si>
  <si>
    <t>0x00e21134</t>
  </si>
  <si>
    <t>0x00e2113c</t>
  </si>
  <si>
    <t>0x00e21144</t>
  </si>
  <si>
    <t>0x00e21154</t>
  </si>
  <si>
    <t>0x00e2115c</t>
  </si>
  <si>
    <t>0x00e21160</t>
  </si>
  <si>
    <t>0x00e21188</t>
  </si>
  <si>
    <t>0x00e2118c</t>
  </si>
  <si>
    <t>0x00e211c4</t>
  </si>
  <si>
    <t>0x00e211cc</t>
  </si>
  <si>
    <t>0x00e211d8</t>
  </si>
  <si>
    <t>0x00e211e4</t>
  </si>
  <si>
    <t>0x00e211ec</t>
  </si>
  <si>
    <t>0x00e21210</t>
  </si>
  <si>
    <t>0x00e2121c</t>
  </si>
  <si>
    <t>0x00e2122c</t>
  </si>
  <si>
    <t>0x00e21230</t>
  </si>
  <si>
    <t>0x00e21240</t>
  </si>
  <si>
    <t>0x00e2124c</t>
  </si>
  <si>
    <t>0x00e2125c</t>
  </si>
  <si>
    <t>0x00e21264</t>
  </si>
  <si>
    <t>0x00e21284</t>
  </si>
  <si>
    <t>0x00e212dc</t>
  </si>
  <si>
    <t>0x00e212e8</t>
  </si>
  <si>
    <t>0x00e2131c</t>
  </si>
  <si>
    <t>郎</t>
  </si>
  <si>
    <t>0x00e21338</t>
  </si>
  <si>
    <t>0x00e21340</t>
  </si>
  <si>
    <t>重</t>
  </si>
  <si>
    <t>0x00e21348</t>
  </si>
  <si>
    <t>0x00e2135c</t>
  </si>
  <si>
    <t>雪</t>
  </si>
  <si>
    <t>0x00e21370</t>
  </si>
  <si>
    <t>春</t>
  </si>
  <si>
    <t>0x00e21384</t>
  </si>
  <si>
    <t>駿</t>
  </si>
  <si>
    <t>0x00e213a0</t>
  </si>
  <si>
    <t>八</t>
  </si>
  <si>
    <t>0x00e213a8</t>
  </si>
  <si>
    <t>徹</t>
  </si>
  <si>
    <t>0x00e213b0</t>
  </si>
  <si>
    <t>忠</t>
  </si>
  <si>
    <t>0x00e213c0</t>
  </si>
  <si>
    <t>慶</t>
  </si>
  <si>
    <t>0x00e213cc</t>
  </si>
  <si>
    <t>治</t>
  </si>
  <si>
    <t>0x00e213d4</t>
  </si>
  <si>
    <t>彦</t>
  </si>
  <si>
    <t>0x00e213e0</t>
  </si>
  <si>
    <t>蔵</t>
  </si>
  <si>
    <t>0x00e213ec</t>
  </si>
  <si>
    <t>吉</t>
  </si>
  <si>
    <t>0x00e213f4</t>
  </si>
  <si>
    <t>沖田総司</t>
  </si>
  <si>
    <t>0x00e21404</t>
  </si>
  <si>
    <t>永倉新八</t>
  </si>
  <si>
    <t>0x00e21414</t>
  </si>
  <si>
    <t>桂小五郎</t>
  </si>
  <si>
    <t>0x00e21424</t>
  </si>
  <si>
    <t>西郷吉之助</t>
  </si>
  <si>
    <t>0x00e21438</t>
  </si>
  <si>
    <t>これは来たかも！</t>
  </si>
  <si>
    <t>0x00e21450</t>
  </si>
  <si>
    <t>これはないよな…</t>
  </si>
  <si>
    <t>0x00e21468</t>
  </si>
  <si>
    <t>鳴くか…</t>
  </si>
  <si>
    <t>0x00e21478</t>
  </si>
  <si>
    <t>まだ揃わないなぁ</t>
  </si>
  <si>
    <t>0x00e21490</t>
  </si>
  <si>
    <t>リーチするかな…</t>
  </si>
  <si>
    <t>0x00e214a8</t>
  </si>
  <si>
    <t>ツモしたい…</t>
  </si>
  <si>
    <t>0x00e214b8</t>
  </si>
  <si>
    <t>ロンしちゃうよ！</t>
  </si>
  <si>
    <t>0x00e21554</t>
  </si>
  <si>
    <t>楽曲</t>
  </si>
  <si>
    <t>0x00e21564</t>
  </si>
  <si>
    <t>難易度</t>
  </si>
  <si>
    <t>0x00e21574</t>
  </si>
  <si>
    <t>最高点</t>
  </si>
  <si>
    <t>0x00e21584</t>
  </si>
  <si>
    <t>最多連続成功数</t>
  </si>
  <si>
    <t>0x00e2159c</t>
  </si>
  <si>
    <t>総合評価</t>
  </si>
  <si>
    <t>0x00e215bc</t>
  </si>
  <si>
    <t>入力</t>
  </si>
  <si>
    <t>0x00e215cc</t>
  </si>
  <si>
    <t>吹雪小唄</t>
  </si>
  <si>
    <t>0x00e215dc</t>
  </si>
  <si>
    <t>さむらい演舞</t>
  </si>
  <si>
    <t>0x00e215ec</t>
  </si>
  <si>
    <t>鼓動</t>
  </si>
  <si>
    <t>0x00e21604</t>
  </si>
  <si>
    <t>宴会などで庶民の間で古くから歌い踊られている小唄。[n]大人から子供まで気軽に楽しめる、舞踊の入口的存在の楽曲。</t>
  </si>
  <si>
    <t>0x00e21674</t>
  </si>
  <si>
    <t>京で流行中の「さむらい音頭」を演舞用に仕立て直した楽曲。[n]音頭の楽しさと舞踊の優雅さが同時に堪能できる。</t>
  </si>
  <si>
    <t>0x00e216dc</t>
  </si>
  <si>
    <t>戦う男の情熱や生命の輝きを表現した楽曲。[n]上品さの中にも、他の楽曲にはない「熱さ」が感じ取れる。</t>
  </si>
  <si>
    <t>0x00e21748</t>
  </si>
  <si>
    <t>初心者</t>
  </si>
  <si>
    <t>0x00e21750</t>
  </si>
  <si>
    <t>一般</t>
  </si>
  <si>
    <t>0x00e21758</t>
  </si>
  <si>
    <t>上級者</t>
  </si>
  <si>
    <t>0x00e21774</t>
  </si>
  <si>
    <t>入門</t>
  </si>
  <si>
    <t>0x00e2177c</t>
  </si>
  <si>
    <t>本格</t>
  </si>
  <si>
    <t>0x00e21790</t>
  </si>
  <si>
    <t>なし</t>
  </si>
  <si>
    <t>0x00e217a4</t>
  </si>
  <si>
    <t>論外</t>
  </si>
  <si>
    <t>0x00e217ac</t>
  </si>
  <si>
    <t>三流</t>
  </si>
  <si>
    <t>0x00e217b4</t>
  </si>
  <si>
    <t>二流</t>
  </si>
  <si>
    <t>0x00e217bc</t>
  </si>
  <si>
    <t>一流</t>
  </si>
  <si>
    <t>0x00e217c4</t>
  </si>
  <si>
    <t>舞踊神</t>
  </si>
  <si>
    <t>0x00e21860</t>
  </si>
  <si>
    <t>試練踏破１</t>
  </si>
  <si>
    <t>0x00e21870</t>
  </si>
  <si>
    <t>試練踏破２</t>
  </si>
  <si>
    <t>0x00e21880</t>
  </si>
  <si>
    <t>試練踏破３</t>
  </si>
  <si>
    <t>0x00e21890</t>
  </si>
  <si>
    <t>試練踏破４</t>
  </si>
  <si>
    <t>0x00e218a0</t>
  </si>
  <si>
    <t>試練踏破５</t>
  </si>
  <si>
    <t>0x00e218b0</t>
  </si>
  <si>
    <t>試練踏破６</t>
  </si>
  <si>
    <t>0x00e218c0</t>
  </si>
  <si>
    <t>試練踏破７</t>
  </si>
  <si>
    <t>0x00e218d0</t>
  </si>
  <si>
    <t>試練踏破８</t>
  </si>
  <si>
    <t>0x00e218e0</t>
  </si>
  <si>
    <t>試練踏破９</t>
  </si>
  <si>
    <t>0x00e218f0</t>
  </si>
  <si>
    <t>試練踏破１０</t>
  </si>
  <si>
    <t>0x00e21900</t>
  </si>
  <si>
    <t>試練踏破最終</t>
  </si>
  <si>
    <t>0x00e21940</t>
  </si>
  <si>
    <t>どの試練に挑戦するか選んでください。</t>
  </si>
  <si>
    <t>0x00e21984</t>
  </si>
  <si>
    <t>0x00e21990</t>
  </si>
  <si>
    <t>0x00e21998</t>
  </si>
  <si>
    <t>ｷ</t>
  </si>
  <si>
    <t>0x00e2199c</t>
  </si>
  <si>
    <t>0x00e219ac</t>
  </si>
  <si>
    <t>0x00e219b0</t>
  </si>
  <si>
    <t>0x00e219b4</t>
  </si>
  <si>
    <t>0x00e219c4</t>
  </si>
  <si>
    <t>0x00e219d0</t>
  </si>
  <si>
    <t>0x00e219dc</t>
  </si>
  <si>
    <t>イ</t>
  </si>
  <si>
    <t>0x00e219f0</t>
  </si>
  <si>
    <t>0x00e21a00</t>
  </si>
  <si>
    <t>0x00e21a08</t>
  </si>
  <si>
    <t>0x00e21a14</t>
  </si>
  <si>
    <t>0x00e21a18</t>
  </si>
  <si>
    <t>0x00e21a1c</t>
  </si>
  <si>
    <t>0x00e21a34</t>
  </si>
  <si>
    <t>ルール説明</t>
  </si>
  <si>
    <t>0x00e21a58</t>
  </si>
  <si>
    <t>待った</t>
  </si>
  <si>
    <t>0x00e21a88</t>
  </si>
  <si>
    <t>手</t>
  </si>
  <si>
    <t>0x00e21a90</t>
  </si>
  <si>
    <t>棋風</t>
  </si>
  <si>
    <t>0x00e21a98</t>
  </si>
  <si>
    <t>手加減</t>
  </si>
  <si>
    <t>0x00e21aa0</t>
  </si>
  <si>
    <t>[n]誰と対局しますか？</t>
  </si>
  <si>
    <t>0x00e21ab8</t>
  </si>
  <si>
    <t>[n]どの踏破を選びますか？</t>
  </si>
  <si>
    <t>0x00e21ad0</t>
  </si>
  <si>
    <t>[n]この相手でよろしいですか？</t>
  </si>
  <si>
    <t>0x00e21b08</t>
  </si>
  <si>
    <t>十兵衛</t>
  </si>
  <si>
    <t>0x00e21b10</t>
  </si>
  <si>
    <t>耕作</t>
  </si>
  <si>
    <t>0x00e21b18</t>
  </si>
  <si>
    <t>九太郎</t>
  </si>
  <si>
    <t>0x00e21b20</t>
  </si>
  <si>
    <t>与市</t>
  </si>
  <si>
    <t>0x00e21b28</t>
  </si>
  <si>
    <t>喜多八</t>
  </si>
  <si>
    <t>0x00e21b30</t>
  </si>
  <si>
    <t>正吉</t>
  </si>
  <si>
    <t>0x00e21b38</t>
  </si>
  <si>
    <t>伝七</t>
  </si>
  <si>
    <t>0x00e21b40</t>
  </si>
  <si>
    <t>才蔵</t>
  </si>
  <si>
    <t>0x00e21b48</t>
  </si>
  <si>
    <t>熊六</t>
  </si>
  <si>
    <t>0x00e21b50</t>
  </si>
  <si>
    <t>小源太</t>
  </si>
  <si>
    <t>0x00e21b58</t>
  </si>
  <si>
    <t>五衛門</t>
  </si>
  <si>
    <t>0x00e21b60</t>
  </si>
  <si>
    <t>佐助</t>
  </si>
  <si>
    <t>0x00e21b68</t>
  </si>
  <si>
    <t>光四郎</t>
  </si>
  <si>
    <t>0x00e21b70</t>
  </si>
  <si>
    <t>健心</t>
  </si>
  <si>
    <t>0x00e21b78</t>
  </si>
  <si>
    <t>三郎太</t>
  </si>
  <si>
    <t>0x00e21b80</t>
  </si>
  <si>
    <t>国松</t>
  </si>
  <si>
    <t>0x00e21b88</t>
  </si>
  <si>
    <t>弥二郎</t>
  </si>
  <si>
    <t>0x00e21b90</t>
  </si>
  <si>
    <t>鶴平</t>
  </si>
  <si>
    <t>0x00e21b98</t>
  </si>
  <si>
    <t>一之助</t>
  </si>
  <si>
    <t>0x00e21ba0</t>
  </si>
  <si>
    <t>亀吉</t>
  </si>
  <si>
    <t>0x00e21ba8</t>
  </si>
  <si>
    <t>格之進</t>
  </si>
  <si>
    <t>0x00e21bb0</t>
  </si>
  <si>
    <t>右門</t>
  </si>
  <si>
    <t>0x00e21bb8</t>
  </si>
  <si>
    <t>村正</t>
  </si>
  <si>
    <t>0x00e21bc0</t>
  </si>
  <si>
    <t>助三郎</t>
  </si>
  <si>
    <t>0x00e21bc8</t>
  </si>
  <si>
    <t>金剛</t>
  </si>
  <si>
    <t>0x00e21bd0</t>
  </si>
  <si>
    <t>左京</t>
  </si>
  <si>
    <t>0x00e21bd8</t>
  </si>
  <si>
    <t>虎鉄</t>
  </si>
  <si>
    <t>0x00e21be0</t>
  </si>
  <si>
    <t>鬼丸</t>
  </si>
  <si>
    <t>0x00e21be8</t>
  </si>
  <si>
    <t>黒雲斎</t>
  </si>
  <si>
    <t>0x00e21bf0</t>
  </si>
  <si>
    <t>鴉天狗</t>
  </si>
  <si>
    <t>0x00e21bf8</t>
  </si>
  <si>
    <t>御子神</t>
  </si>
  <si>
    <t>0x00e21c80</t>
  </si>
  <si>
    <t>気まぐれな初心者</t>
  </si>
  <si>
    <t>0x00e21c98</t>
  </si>
  <si>
    <t>積極的に攻めるが弱い</t>
  </si>
  <si>
    <t>0x00e21cb0</t>
  </si>
  <si>
    <t>守りを固めるが遅い</t>
  </si>
  <si>
    <t>0x00e21cc8</t>
  </si>
  <si>
    <t>強引な攻めをしてくる</t>
  </si>
  <si>
    <t>0x00e21ce0</t>
  </si>
  <si>
    <t>攻守の調和は良い</t>
  </si>
  <si>
    <t>0x00e21cf8</t>
  </si>
  <si>
    <t>囲いを作ることを優先する</t>
  </si>
  <si>
    <t>0x00e21d18</t>
  </si>
  <si>
    <t>中央突破を狙う</t>
  </si>
  <si>
    <t>0x00e21d28</t>
  </si>
  <si>
    <t>堅実な守りを見せる</t>
  </si>
  <si>
    <t>0x00e21d40</t>
  </si>
  <si>
    <t>臨機応変な指し筋</t>
  </si>
  <si>
    <t>0x00e21d58</t>
  </si>
  <si>
    <t>長期戦に持ち込もうとする</t>
  </si>
  <si>
    <t>0x00e21d78</t>
  </si>
  <si>
    <t>強さにムラが多い</t>
  </si>
  <si>
    <t>0x00e21d90</t>
  </si>
  <si>
    <t>冷静な攻撃を見せる</t>
  </si>
  <si>
    <t>0x00e21da8</t>
  </si>
  <si>
    <t>大駒で積極的に攻める</t>
  </si>
  <si>
    <t>0x00e21dc0</t>
  </si>
  <si>
    <t>飛車の使い方が特徴的</t>
  </si>
  <si>
    <t>0x00e21dd8</t>
  </si>
  <si>
    <t>攻守の調和の取れた指し手</t>
  </si>
  <si>
    <t>0x00e21df8</t>
  </si>
  <si>
    <t>反撃に長ける</t>
  </si>
  <si>
    <t>0x00e21e08</t>
  </si>
  <si>
    <t>鋭い飛車を操る</t>
  </si>
  <si>
    <t>0x00e21e18</t>
  </si>
  <si>
    <t>実力はあるが気まぐれ</t>
  </si>
  <si>
    <t>0x00e21e30</t>
  </si>
  <si>
    <t>慎重に守りを固める</t>
  </si>
  <si>
    <t>0x00e21e48</t>
  </si>
  <si>
    <t>からめ手に長ける</t>
  </si>
  <si>
    <t>0x00e21e60</t>
  </si>
  <si>
    <t>堅実に攻守をこなす</t>
  </si>
  <si>
    <t>0x00e21e78</t>
  </si>
  <si>
    <t>苛烈に攻め立ててくる</t>
  </si>
  <si>
    <t>0x00e21e90</t>
  </si>
  <si>
    <t>受けに定評がある</t>
  </si>
  <si>
    <t>0x00e21ea8</t>
  </si>
  <si>
    <t>戦略の幅が広い</t>
  </si>
  <si>
    <t>0x00e21eb8</t>
  </si>
  <si>
    <t>失策をしない攻めの名手</t>
  </si>
  <si>
    <t>0x00e21ed0</t>
  </si>
  <si>
    <t>鋭い速攻を仕掛ける</t>
  </si>
  <si>
    <t>0x00e21ee8</t>
  </si>
  <si>
    <t>多様な守りの型の使い手</t>
  </si>
  <si>
    <t>0x00e21f00</t>
  </si>
  <si>
    <t>中飛車好きの古豪</t>
  </si>
  <si>
    <t>0x00e21f18</t>
  </si>
  <si>
    <t>緻密な攻めを見せる</t>
  </si>
  <si>
    <t>0x00e21f30</t>
  </si>
  <si>
    <t>万能型の指し手</t>
  </si>
  <si>
    <t>0x00e21f40</t>
  </si>
  <si>
    <t>将棋に人生を捧げし者</t>
  </si>
  <si>
    <t>0x00e21fd8</t>
  </si>
  <si>
    <t>対戦ポイント</t>
  </si>
  <si>
    <t>0x00e21fe8</t>
  </si>
  <si>
    <t>待った残回数 ５０×%d</t>
  </si>
  <si>
    <t>0x00e22000</t>
  </si>
  <si>
    <t>超待った未使用</t>
  </si>
  <si>
    <t>0x00e22020</t>
  </si>
  <si>
    <t>順位戦</t>
  </si>
  <si>
    <t>0x00e22028</t>
  </si>
  <si>
    <t>試練踏破</t>
  </si>
  <si>
    <t>0x00e22044</t>
  </si>
  <si>
    <t>いろいろな対戦相手と勝負して[n]順位戦の頂点を目指してください。[n]一勝負５点で遊べます。</t>
  </si>
  <si>
    <t>0x00e2209c</t>
  </si>
  <si>
    <t>特殊な局面から開始される試練に挑戦し[n]相手の王将を取ってください。[n]一勝負５点で遊べます。</t>
  </si>
  <si>
    <t>0x00e220fc</t>
  </si>
  <si>
    <t>いろいろな対戦相手と勝負して[n]順位戦の頂点を目指してください。[n]あなたが新しい将棋王なので、賭け点不要で遊べます。</t>
  </si>
  <si>
    <t>0x00e22174</t>
  </si>
  <si>
    <t>特殊な局面から開始される試練に挑戦し[n]相手の王将を取ってください。[n]あなたが新しい将棋王なので、賭け点不要で遊べます。</t>
  </si>
  <si>
    <t>0x00e221ec</t>
  </si>
  <si>
    <t>賭け点が足りないので遊べません。[n]５点以上貯めてください。</t>
  </si>
  <si>
    <t>0x00e22248</t>
  </si>
  <si>
    <t>0x00e22250</t>
  </si>
  <si>
    <t>0x00e22260</t>
  </si>
  <si>
    <t>そう来たか！</t>
  </si>
  <si>
    <t>0x00e22270</t>
  </si>
  <si>
    <t>その手は予想通り！</t>
  </si>
  <si>
    <t>0x00e22288</t>
  </si>
  <si>
    <t>厳しいなぁ…</t>
  </si>
  <si>
    <t>0x00e22298</t>
  </si>
  <si>
    <t>手駒がほしい</t>
  </si>
  <si>
    <t>0x00e222a8</t>
  </si>
  <si>
    <t>そう指すのか!?</t>
  </si>
  <si>
    <t>0x00e222b8</t>
  </si>
  <si>
    <t>そこに打つのか!?</t>
  </si>
  <si>
    <t>0x00e222d0</t>
  </si>
  <si>
    <t>成ろうか成るまいか…</t>
  </si>
  <si>
    <t>0x00e222e8</t>
  </si>
  <si>
    <t>攻めるか守るか…</t>
  </si>
  <si>
    <t>0x00e22384</t>
  </si>
  <si>
    <t>十兵衛　　十級</t>
  </si>
  <si>
    <t>0x00e22394</t>
  </si>
  <si>
    <t>耕作　　　十級</t>
  </si>
  <si>
    <t>0x00e223a4</t>
  </si>
  <si>
    <t>九太郎　　九級</t>
  </si>
  <si>
    <t>0x00e223b4</t>
  </si>
  <si>
    <t>与市　　　九級</t>
  </si>
  <si>
    <t>0x00e223c4</t>
  </si>
  <si>
    <t>喜多八　　八級</t>
  </si>
  <si>
    <t>0x00e223d4</t>
  </si>
  <si>
    <t>正吉　　　八級</t>
  </si>
  <si>
    <t>0x00e223e4</t>
  </si>
  <si>
    <t>伝七　　　七級</t>
  </si>
  <si>
    <t>0x00e223f4</t>
  </si>
  <si>
    <t>才蔵　　　七級</t>
  </si>
  <si>
    <t>0x00e22404</t>
  </si>
  <si>
    <t>熊六　　　六級</t>
  </si>
  <si>
    <t>0x00e22414</t>
  </si>
  <si>
    <t>小源太　　六級</t>
  </si>
  <si>
    <t>0x00e22424</t>
  </si>
  <si>
    <t>五衛門　　五級</t>
  </si>
  <si>
    <t>0x00e22434</t>
  </si>
  <si>
    <t>佐助　　　五級</t>
  </si>
  <si>
    <t>0x00e22444</t>
  </si>
  <si>
    <t>光四郎　　四級</t>
  </si>
  <si>
    <t>0x00e22454</t>
  </si>
  <si>
    <t>健心　　　四級</t>
  </si>
  <si>
    <t>0x00e22464</t>
  </si>
  <si>
    <t>三郎太　　三級</t>
  </si>
  <si>
    <t>0x00e22474</t>
  </si>
  <si>
    <t>国松　　　三級</t>
  </si>
  <si>
    <t>0x00e22484</t>
  </si>
  <si>
    <t>弥二郎　　二級</t>
  </si>
  <si>
    <t>0x00e22494</t>
  </si>
  <si>
    <t>鶴平　　　二級</t>
  </si>
  <si>
    <t>0x00e224a4</t>
  </si>
  <si>
    <t>一之助　　一級</t>
  </si>
  <si>
    <t>0x00e224b4</t>
  </si>
  <si>
    <t>亀吉　　　一級</t>
  </si>
  <si>
    <t>0x00e224c4</t>
  </si>
  <si>
    <t>格之進　　初段</t>
  </si>
  <si>
    <t>0x00e224d4</t>
  </si>
  <si>
    <t>右門　　　二段</t>
  </si>
  <si>
    <t>0x00e224e4</t>
  </si>
  <si>
    <t>村正　　　三段</t>
  </si>
  <si>
    <t>0x00e224f4</t>
  </si>
  <si>
    <t>助三郎　　四段</t>
  </si>
  <si>
    <t>0x00e22504</t>
  </si>
  <si>
    <t>金剛　　　五段</t>
  </si>
  <si>
    <t>0x00e22514</t>
  </si>
  <si>
    <t>左京　　　六段</t>
  </si>
  <si>
    <t>0x00e22524</t>
  </si>
  <si>
    <t>虎鉄　　　七段</t>
  </si>
  <si>
    <t>0x00e22534</t>
  </si>
  <si>
    <t>鬼丸　　　八段</t>
  </si>
  <si>
    <t>0x00e22544</t>
  </si>
  <si>
    <t>黒雲斎　　九段</t>
  </si>
  <si>
    <t>0x00e22554</t>
  </si>
  <si>
    <t>鴉天狗　最上段</t>
  </si>
  <si>
    <t>0x00e22564</t>
  </si>
  <si>
    <t>御子神　将棋王</t>
  </si>
  <si>
    <t>0x00e225fc</t>
  </si>
  <si>
    <t>長治</t>
  </si>
  <si>
    <t>0x00e22604</t>
  </si>
  <si>
    <t>風来坊の政</t>
  </si>
  <si>
    <t>0x00e22614</t>
  </si>
  <si>
    <t>嵐山の金時</t>
  </si>
  <si>
    <t>0x00e22624</t>
  </si>
  <si>
    <t>胸熱な勘蔵</t>
  </si>
  <si>
    <t>0x00e22634</t>
  </si>
  <si>
    <t>富豪の銭八</t>
  </si>
  <si>
    <t>0x00e22644</t>
  </si>
  <si>
    <t>死に神の市</t>
  </si>
  <si>
    <t>0x00e22654</t>
  </si>
  <si>
    <t>根暗な尚助</t>
  </si>
  <si>
    <t>0x00e22664</t>
  </si>
  <si>
    <t>欲張り五郎</t>
  </si>
  <si>
    <t>0x00e22674</t>
  </si>
  <si>
    <t>強運の大吉</t>
  </si>
  <si>
    <t>0x00e22684</t>
  </si>
  <si>
    <t>金なし忠太</t>
  </si>
  <si>
    <t>0x00e22694</t>
  </si>
  <si>
    <t>謎の博徒　壱</t>
  </si>
  <si>
    <t>0x00e226a4</t>
  </si>
  <si>
    <t>謎の博徒　弐</t>
  </si>
  <si>
    <t>0x00e226b4</t>
  </si>
  <si>
    <t>謎の博徒　参</t>
  </si>
  <si>
    <t>0x00e226c8</t>
  </si>
  <si>
    <t>目</t>
  </si>
  <si>
    <t>0x00e226cc</t>
  </si>
  <si>
    <t>0x00e226d0</t>
  </si>
  <si>
    <t>0x00e226dc</t>
  </si>
  <si>
    <t>0x00e226f0</t>
  </si>
  <si>
    <t>丁</t>
  </si>
  <si>
    <t>0x00e226f8</t>
  </si>
  <si>
    <t>半</t>
  </si>
  <si>
    <t>0x00e22700</t>
  </si>
  <si>
    <t>想</t>
  </si>
  <si>
    <t>0x00e22704</t>
  </si>
  <si>
    <t>0x00e22708</t>
  </si>
  <si>
    <t>け</t>
  </si>
  <si>
    <t>0x00e22758</t>
  </si>
  <si>
    <t>0x00e22768</t>
  </si>
  <si>
    <t>表</t>
  </si>
  <si>
    <t>0x00e22770</t>
  </si>
  <si>
    <t>程々の佐吉</t>
  </si>
  <si>
    <t>0x00e22780</t>
  </si>
  <si>
    <t>ぶっ込み徹</t>
  </si>
  <si>
    <t>0x00e22790</t>
  </si>
  <si>
    <t>黙りの達三</t>
  </si>
  <si>
    <t>0x00e227a0</t>
  </si>
  <si>
    <t>暇潰し花道</t>
  </si>
  <si>
    <t>0x00e227b0</t>
  </si>
  <si>
    <t>稲光の八郎</t>
  </si>
  <si>
    <t>0x00e227c0</t>
  </si>
  <si>
    <t>悪運の大政</t>
  </si>
  <si>
    <t>0x00e227d0</t>
  </si>
  <si>
    <t>腑抜けの雄</t>
  </si>
  <si>
    <t>0x00e227e0</t>
  </si>
  <si>
    <t>直感牛之助</t>
  </si>
  <si>
    <t>0x00e227f0</t>
  </si>
  <si>
    <t>天才剣志郎</t>
  </si>
  <si>
    <t>0x00e22800</t>
  </si>
  <si>
    <t>遊び人の銀</t>
  </si>
  <si>
    <t>0x00e22810</t>
  </si>
  <si>
    <t>強欲な清次</t>
  </si>
  <si>
    <t>0x00e22864</t>
  </si>
  <si>
    <t>0x00e2287c</t>
  </si>
  <si>
    <t>酒</t>
  </si>
  <si>
    <t>0x00e228a8</t>
  </si>
  <si>
    <t>0x00e228cc</t>
  </si>
  <si>
    <t>旬</t>
  </si>
  <si>
    <t>0x00e228e4</t>
  </si>
  <si>
    <t>0x00e228f0</t>
  </si>
  <si>
    <t>0x00e228fc</t>
  </si>
  <si>
    <t>0x00e2291c</t>
  </si>
  <si>
    <t>0x00e22934</t>
  </si>
  <si>
    <t>0x00e22948</t>
  </si>
  <si>
    <t>始</t>
  </si>
  <si>
    <t>0x00e22954</t>
  </si>
  <si>
    <t>設定の変更</t>
  </si>
  <si>
    <t>0x00e22978</t>
  </si>
  <si>
    <t>認</t>
  </si>
  <si>
    <t>0x00e22984</t>
  </si>
  <si>
    <t>示</t>
  </si>
  <si>
    <t>0x00e2299c</t>
  </si>
  <si>
    <t>0x00e229bc</t>
  </si>
  <si>
    <t>0x00e229c8</t>
  </si>
  <si>
    <t>六</t>
  </si>
  <si>
    <t>0x00e229d0</t>
  </si>
  <si>
    <t>七</t>
  </si>
  <si>
    <t>0x00e229d8</t>
  </si>
  <si>
    <t>0x00e229e0</t>
  </si>
  <si>
    <t>九</t>
  </si>
  <si>
    <t>0x00e229e8</t>
  </si>
  <si>
    <t>十</t>
  </si>
  <si>
    <t>0x00e229fc</t>
  </si>
  <si>
    <t>0x00e22a18</t>
  </si>
  <si>
    <t>ド</t>
  </si>
  <si>
    <t>0x00e22a30</t>
  </si>
  <si>
    <t>0x00e22a38</t>
  </si>
  <si>
    <t>0x00e22a44</t>
  </si>
  <si>
    <t>他</t>
  </si>
  <si>
    <t>0x00e22a4c</t>
  </si>
  <si>
    <t>可</t>
  </si>
  <si>
    <t>0x00e22a54</t>
  </si>
  <si>
    <t>済</t>
  </si>
  <si>
    <t>0x00e22a68</t>
  </si>
  <si>
    <t>0x00e22a74</t>
  </si>
  <si>
    <t>0x00e22a7c</t>
  </si>
  <si>
    <t>する</t>
  </si>
  <si>
    <t>0x00e22a88</t>
  </si>
  <si>
    <t>しない</t>
  </si>
  <si>
    <t>0x00e22a94</t>
  </si>
  <si>
    <t>0x00e22a9c</t>
  </si>
  <si>
    <t>最上級</t>
  </si>
  <si>
    <t>0x00e22ab8</t>
  </si>
  <si>
    <t>初級で遊ぶには、最低２００点必要です。[n]対戦相手との得点差×１０点がやり取りされます。</t>
  </si>
  <si>
    <t>0x00e22b10</t>
  </si>
  <si>
    <t>中級で遊ぶには、最低８００点必要です。[n]対戦相手との得点差×１０点がやり取りされます。</t>
  </si>
  <si>
    <t>0x00e22b68</t>
  </si>
  <si>
    <t>上級で遊ぶには、最低１４００点必要です。[n]対戦相手との得点差×１０点がやり取りされます。</t>
  </si>
  <si>
    <t>0x00e22bc0</t>
  </si>
  <si>
    <t>最上級で遊ぶには、最低２０００点必要です。[n]対戦相手との得点差×１００点がやり取りされます。</t>
  </si>
  <si>
    <t>0x00e22c20</t>
  </si>
  <si>
    <t>賭け点が足りないので遊べません。[n]２００点以上貯めてください。</t>
  </si>
  <si>
    <t>0x00e22c60</t>
  </si>
  <si>
    <t>賭け点が足りないので遊べません。[n]８００点以上貯めてください。</t>
  </si>
  <si>
    <t>0x00e22ca0</t>
  </si>
  <si>
    <t>賭け点が足りないので遊べません。[n]１４００点以上貯めてください。</t>
  </si>
  <si>
    <t>0x00e22ce0</t>
  </si>
  <si>
    <t>賭け点が足りないので遊べません。[n]２０００点以上貯めてください。</t>
  </si>
  <si>
    <t>0x00e22d40</t>
  </si>
  <si>
    <t>0x00e22d48</t>
  </si>
  <si>
    <t>いい札が来ますように</t>
  </si>
  <si>
    <t>0x00e22d60</t>
  </si>
  <si>
    <t>いい札がないな…</t>
  </si>
  <si>
    <t>0x00e22d78</t>
  </si>
  <si>
    <t>いい役できたよ！</t>
  </si>
  <si>
    <t>0x00e22d90</t>
  </si>
  <si>
    <t>いい役ができない…</t>
  </si>
  <si>
    <t>0x00e22da8</t>
  </si>
  <si>
    <t>コイ！</t>
  </si>
  <si>
    <t>0x00e22db0</t>
  </si>
  <si>
    <t>ここから逆転だ！</t>
  </si>
  <si>
    <t>0x00e22dc8</t>
  </si>
  <si>
    <t>こいするか…</t>
  </si>
  <si>
    <t>0x00e22dd8</t>
  </si>
  <si>
    <t>やめるか…</t>
  </si>
  <si>
    <t>0x00e22e74</t>
  </si>
  <si>
    <t>もう１枚</t>
  </si>
  <si>
    <t>0x00e22eb0</t>
  </si>
  <si>
    <t>もう１枚！</t>
  </si>
  <si>
    <t>0x00e22ec0</t>
  </si>
  <si>
    <t>３枚で勝負！</t>
  </si>
  <si>
    <t>0x00e22ed0</t>
  </si>
  <si>
    <t>勝負だ！</t>
  </si>
  <si>
    <t>0x00e22ef0</t>
  </si>
  <si>
    <t>ゲームをはじめる</t>
  </si>
  <si>
    <t>0x00e22f18</t>
  </si>
  <si>
    <t>勝負する</t>
  </si>
  <si>
    <t>0x00e22f34</t>
  </si>
  <si>
    <t>もう一度勝負</t>
  </si>
  <si>
    <t>0x00e22f50</t>
  </si>
  <si>
    <t>初心太助</t>
  </si>
  <si>
    <t>0x00e22f60</t>
  </si>
  <si>
    <t>煩悩の凡太</t>
  </si>
  <si>
    <t>0x00e22f70</t>
  </si>
  <si>
    <t>新入り新伍</t>
  </si>
  <si>
    <t>0x00e22f90</t>
  </si>
  <si>
    <t>お気楽桂治</t>
  </si>
  <si>
    <t>0x00e22fa0</t>
  </si>
  <si>
    <t>強引な権三</t>
  </si>
  <si>
    <t>0x00e22fb0</t>
  </si>
  <si>
    <t>肩こり甚平</t>
  </si>
  <si>
    <t>0x00e22fd0</t>
  </si>
  <si>
    <t>嵐の又三郎</t>
  </si>
  <si>
    <t>0x00e22fe0</t>
  </si>
  <si>
    <t>霊感与作</t>
  </si>
  <si>
    <t>0x00e22ff0</t>
  </si>
  <si>
    <t>謎の株主</t>
  </si>
  <si>
    <t>0x00e23010</t>
  </si>
  <si>
    <t>プレイヤーが親です。</t>
  </si>
  <si>
    <t>0x00e23028</t>
  </si>
  <si>
    <t>賭ける場所を選択してください。</t>
  </si>
  <si>
    <t>0x00e23048</t>
  </si>
  <si>
    <t>賭け点を決定してください。</t>
  </si>
  <si>
    <t>0x00e23068</t>
  </si>
  <si>
    <t>他のプレイヤーが賭ける場所を選択しています。</t>
  </si>
  <si>
    <t>0x00e23098</t>
  </si>
  <si>
    <t>勝負する相手を選択してください。</t>
  </si>
  <si>
    <t>0x00e230c0</t>
  </si>
  <si>
    <t>この手で勝負します。</t>
  </si>
  <si>
    <t>0x00e230d8</t>
  </si>
  <si>
    <t>親が勝負しています。</t>
  </si>
  <si>
    <t>0x00e230f0</t>
  </si>
  <si>
    <t>持ち点がないので、終了します。</t>
  </si>
  <si>
    <t>0x00e23110</t>
  </si>
  <si>
    <t>所持賭け点がなくなった参加者が出ましたので今回の勝負はここで終了となります。</t>
  </si>
  <si>
    <t>0x00e23188</t>
  </si>
  <si>
    <t>賭け点	%d点</t>
  </si>
  <si>
    <t>0x00e23198</t>
  </si>
  <si>
    <t>結果	%d点</t>
  </si>
  <si>
    <t>0x00e231b8</t>
  </si>
  <si>
    <t>ドシッピン</t>
  </si>
  <si>
    <t>0x00e231c8</t>
  </si>
  <si>
    <t>シロクの逃げ</t>
  </si>
  <si>
    <t>0x00e231d8</t>
  </si>
  <si>
    <t>札の種類</t>
  </si>
  <si>
    <t>0x00e231fc</t>
  </si>
  <si>
    <t>用</t>
  </si>
  <si>
    <t>0x00e23204</t>
  </si>
  <si>
    <t>シロクの逃げで勝負を降ります。</t>
  </si>
  <si>
    <t>0x00e2322c</t>
  </si>
  <si>
    <t>賭け点の同額を獲得しました。</t>
  </si>
  <si>
    <t>0x00e2324c</t>
  </si>
  <si>
    <t>シッピンで勝ったので賭け点の２倍を獲得しました。</t>
  </si>
  <si>
    <t>0x00e23284</t>
  </si>
  <si>
    <t>クッピンで勝ったので賭け点の２倍を獲得しました。</t>
  </si>
  <si>
    <t>0x00e232bc</t>
  </si>
  <si>
    <t>アラシで勝ったので賭け点の３倍を獲得しました。</t>
  </si>
  <si>
    <t>0x00e232ec</t>
  </si>
  <si>
    <t>ドシッピンで勝ったので賭け点の２０倍を獲得しました。</t>
  </si>
  <si>
    <t>0x00e2333c</t>
  </si>
  <si>
    <t>賭け点を失いました。</t>
  </si>
  <si>
    <t>0x00e23354</t>
  </si>
  <si>
    <t>シッピンに負けたので賭け点の２倍を失いました。</t>
  </si>
  <si>
    <t>0x00e23384</t>
  </si>
  <si>
    <t>クッピンに負けたので賭け点の２倍を失いました。</t>
  </si>
  <si>
    <t>0x00e233b4</t>
  </si>
  <si>
    <t>アラシに負けたので賭け点の３倍を失いました。</t>
  </si>
  <si>
    <t>0x00e233e4</t>
  </si>
  <si>
    <t>ドシッピンに負けたので賭け点の２０倍を失いました。</t>
  </si>
  <si>
    <t>0x00e23434</t>
  </si>
  <si>
    <t>0x00e23444</t>
  </si>
  <si>
    <t>0x00e23448</t>
  </si>
  <si>
    <t>0x00e2344c</t>
  </si>
  <si>
    <t>0x00e23458</t>
  </si>
  <si>
    <t>0x00e23464</t>
  </si>
  <si>
    <t>収支がプラスなので持ち点が増えました。</t>
  </si>
  <si>
    <t>0x00e2348c</t>
  </si>
  <si>
    <t>収支がマイナスなので持ち点が減りました。</t>
  </si>
  <si>
    <t>0x00e234bc</t>
  </si>
  <si>
    <t>収支が０なので増減はありません。</t>
  </si>
  <si>
    <t>0x00e234f4</t>
  </si>
  <si>
    <t>0x00e23508</t>
  </si>
  <si>
    <t>初級で遊ぶには、最低１００点必要です。[n]一度に賭けられる賭け点の上限は１００点までです。</t>
  </si>
  <si>
    <t>0x00e23560</t>
  </si>
  <si>
    <t>中級で遊ぶには、最低５００点必要です。[n]一度に賭けられる賭け点の上限は５００点までです。</t>
  </si>
  <si>
    <t>0x00e235b8</t>
  </si>
  <si>
    <t>上級で遊ぶには、最低１０００点必要です。[n]一度に賭けられる賭け点の上限は１０００点までです。</t>
  </si>
  <si>
    <t>0x00e23618</t>
  </si>
  <si>
    <t>賭け点が足りないので遊べません。[n]１００点以上貯めてください。</t>
  </si>
  <si>
    <t>0x00e23658</t>
  </si>
  <si>
    <t>賭け点が足りないので遊べません。[n]５００点以上貯めてください。</t>
  </si>
  <si>
    <t>0x00e23698</t>
  </si>
  <si>
    <t>賭け点が足りないので遊べません。[n]１０００点以上貯めてください。</t>
  </si>
  <si>
    <t>0x00e236f0</t>
  </si>
  <si>
    <t>もう一枚引くかな…</t>
  </si>
  <si>
    <t>0x00e23708</t>
  </si>
  <si>
    <t>これで勝負か…</t>
  </si>
  <si>
    <t>0x00e23718</t>
  </si>
  <si>
    <t>ブタになりませんように</t>
  </si>
  <si>
    <t>0x00e23730</t>
  </si>
  <si>
    <t>オイチョか、カブで！</t>
  </si>
  <si>
    <t>0x00e23748</t>
  </si>
  <si>
    <t>シッピン狙うしかないな</t>
  </si>
  <si>
    <t>0x00e23760</t>
  </si>
  <si>
    <t>クッピン狙うしかないな</t>
  </si>
  <si>
    <t>0x00e23778</t>
  </si>
  <si>
    <t>アラシが来るのか!?</t>
  </si>
  <si>
    <t>0x00e23814</t>
  </si>
  <si>
    <t>応対客数</t>
  </si>
  <si>
    <t>0x00e23824</t>
  </si>
  <si>
    <t>最大連続数</t>
  </si>
  <si>
    <t>0x00e23834</t>
  </si>
  <si>
    <t>総売り上げ</t>
  </si>
  <si>
    <t>0x00e23844</t>
  </si>
  <si>
    <t>総評</t>
  </si>
  <si>
    <t>0x00e23860</t>
  </si>
  <si>
    <t>神</t>
  </si>
  <si>
    <t>0x00e23868</t>
  </si>
  <si>
    <t>優</t>
  </si>
  <si>
    <t>0x00e23870</t>
  </si>
  <si>
    <t>良</t>
  </si>
  <si>
    <t>0x00e23878</t>
  </si>
  <si>
    <t>0x00e23880</t>
  </si>
  <si>
    <t>不可</t>
  </si>
  <si>
    <t>0x00e238a4</t>
  </si>
  <si>
    <t>0x00e238b0</t>
  </si>
  <si>
    <t>0x00e238c0</t>
  </si>
  <si>
    <t>手紙</t>
  </si>
  <si>
    <t>0x00e238c8</t>
  </si>
  <si>
    <t>精進目録</t>
  </si>
  <si>
    <t>0x00e238d8</t>
  </si>
  <si>
    <t>サブストーリー</t>
  </si>
  <si>
    <t>0x00e238ec</t>
  </si>
  <si>
    <t>図</t>
  </si>
  <si>
    <t>0x00e238f4</t>
  </si>
  <si>
    <t>用語説明</t>
  </si>
  <si>
    <t>0x00e23904</t>
  </si>
  <si>
    <t>備忘録</t>
  </si>
  <si>
    <t>0x00e2390c</t>
  </si>
  <si>
    <t>セーブ／設定</t>
  </si>
  <si>
    <t>0x00e2391c</t>
  </si>
  <si>
    <t>随伴隊士</t>
  </si>
  <si>
    <t>0x00e2392c</t>
  </si>
  <si>
    <t>農業詳細</t>
  </si>
  <si>
    <t>0x00e2393c</t>
  </si>
  <si>
    <t>料理詳細</t>
  </si>
  <si>
    <t>0x00e23994</t>
  </si>
  <si>
    <t>能力強化できます</t>
  </si>
  <si>
    <t>0x00e239b4</t>
  </si>
  <si>
    <t>所持数順</t>
  </si>
  <si>
    <t>0x00e239d0</t>
  </si>
  <si>
    <t>経験値が上がった</t>
  </si>
  <si>
    <t>0x00e239e8</t>
  </si>
  <si>
    <t>%sの経験値が上がった</t>
  </si>
  <si>
    <t>0x00e23a30</t>
  </si>
  <si>
    <t>徳を獲得した</t>
  </si>
  <si>
    <t>0x00e23a48</t>
  </si>
  <si>
    <t>所持品</t>
  </si>
  <si>
    <t>0x00e23a50</t>
  </si>
  <si>
    <t>農作物</t>
  </si>
  <si>
    <t>0x00e23a58</t>
  </si>
  <si>
    <t>魚類</t>
  </si>
  <si>
    <t>0x00e23a60</t>
  </si>
  <si>
    <t>装備素材</t>
  </si>
  <si>
    <t>0x00e23a88</t>
  </si>
  <si>
    <t>装備武器</t>
  </si>
  <si>
    <t>0x00e23aa0</t>
  </si>
  <si>
    <t>装備防具</t>
  </si>
  <si>
    <t>0x00e23ab8</t>
  </si>
  <si>
    <t>所持武器</t>
  </si>
  <si>
    <t>0x00e23ac8</t>
  </si>
  <si>
    <t>所持防具</t>
  </si>
  <si>
    <t>0x00e23ae4</t>
  </si>
  <si>
    <t>刀</t>
  </si>
  <si>
    <t>0x00e23aec</t>
  </si>
  <si>
    <t>特殊武器</t>
  </si>
  <si>
    <t>0x00e23afc</t>
  </si>
  <si>
    <t>銃</t>
  </si>
  <si>
    <t>0x00e23b04</t>
  </si>
  <si>
    <t>弾丸</t>
  </si>
  <si>
    <t>0x00e23b0c</t>
  </si>
  <si>
    <t>鉢巻</t>
  </si>
  <si>
    <t>0x00e23b14</t>
  </si>
  <si>
    <t>胸当て</t>
  </si>
  <si>
    <t>0x00e23b1c</t>
  </si>
  <si>
    <t>籠手</t>
  </si>
  <si>
    <t>0x00e23b44</t>
  </si>
  <si>
    <t>攻撃力</t>
  </si>
  <si>
    <t>0x00e23b54</t>
  </si>
  <si>
    <t>防御力</t>
  </si>
  <si>
    <t>0x00e23b64</t>
  </si>
  <si>
    <t>希少度</t>
  </si>
  <si>
    <t>0x00e23b6c</t>
  </si>
  <si>
    <t>格</t>
  </si>
  <si>
    <t>0x00e23b80</t>
  </si>
  <si>
    <t>で選択中の武具の強化素材を確認することができます。</t>
  </si>
  <si>
    <t>0x00e23bcc</t>
  </si>
  <si>
    <t>基本操作</t>
  </si>
  <si>
    <t>0x00e23bdc</t>
  </si>
  <si>
    <t>特殊技</t>
  </si>
  <si>
    <t>0x00e23be4</t>
  </si>
  <si>
    <t>格闘の型</t>
  </si>
  <si>
    <t>0x00e23bf4</t>
  </si>
  <si>
    <t>一刀の型</t>
  </si>
  <si>
    <t>0x00e23c04</t>
  </si>
  <si>
    <t>乱舞の型</t>
  </si>
  <si>
    <t>0x00e23c14</t>
  </si>
  <si>
    <t>短銃の型</t>
  </si>
  <si>
    <t>0x00e23c5c</t>
  </si>
  <si>
    <t>現在は習得できません。</t>
  </si>
  <si>
    <t>0x00e23c7c</t>
  </si>
  <si>
    <t>持ち物を使用出来ませんでした。</t>
  </si>
  <si>
    <t>0x00e23c9c</t>
  </si>
  <si>
    <t>装填出来ませんでした。</t>
  </si>
  <si>
    <t>0x00e23cb4</t>
  </si>
  <si>
    <t>持ち物を捨てる事が出来ませんでした。</t>
  </si>
  <si>
    <t>0x00e23ce0</t>
  </si>
  <si>
    <t>受信メール</t>
  </si>
  <si>
    <t>0x00e23cf8</t>
  </si>
  <si>
    <t>メール</t>
  </si>
  <si>
    <t>0x00e23d08</t>
  </si>
  <si>
    <t>飲食店</t>
  </si>
  <si>
    <t>0x00e23d10</t>
  </si>
  <si>
    <t>販売店</t>
  </si>
  <si>
    <t>0x00e23d18</t>
  </si>
  <si>
    <t>プレイスポット</t>
  </si>
  <si>
    <t>0x00e23d28</t>
  </si>
  <si>
    <t>シナリオ</t>
  </si>
  <si>
    <t>0x00e23d38</t>
  </si>
  <si>
    <t>修行</t>
  </si>
  <si>
    <t>0x00e23d40</t>
  </si>
  <si>
    <t>設定した目的地</t>
  </si>
  <si>
    <t>0x00e23d54</t>
  </si>
  <si>
    <t>うどん屋</t>
  </si>
  <si>
    <t>0x00e23d64</t>
  </si>
  <si>
    <t>蕎麦屋</t>
  </si>
  <si>
    <t>0x00e23d6c</t>
  </si>
  <si>
    <t>たこ焼き屋</t>
  </si>
  <si>
    <t>0x00e23d7c</t>
  </si>
  <si>
    <t>はなこ</t>
  </si>
  <si>
    <t>0x00e23d84</t>
  </si>
  <si>
    <t>居酒屋</t>
  </si>
  <si>
    <t>0x00e23d8c</t>
  </si>
  <si>
    <t>茶屋</t>
  </si>
  <si>
    <t>0x00e23d94</t>
  </si>
  <si>
    <t>魚屋</t>
  </si>
  <si>
    <t>0x00e23d9c</t>
  </si>
  <si>
    <t>釜飯屋</t>
  </si>
  <si>
    <t>0x00e23da4</t>
  </si>
  <si>
    <t>飯屋1</t>
  </si>
  <si>
    <t>0x00e23dac</t>
  </si>
  <si>
    <t>飯屋2</t>
  </si>
  <si>
    <t>0x00e23db4</t>
  </si>
  <si>
    <t>八百屋</t>
  </si>
  <si>
    <t>0x00e23dbc</t>
  </si>
  <si>
    <t>神社1</t>
  </si>
  <si>
    <t>0x00e23dc4</t>
  </si>
  <si>
    <t>神社2</t>
  </si>
  <si>
    <t>0x00e23dcc</t>
  </si>
  <si>
    <t>師匠2</t>
  </si>
  <si>
    <t>0x00e23dd4</t>
  </si>
  <si>
    <t>師匠1</t>
  </si>
  <si>
    <t>0x00e23ddc</t>
  </si>
  <si>
    <t>砲丸</t>
  </si>
  <si>
    <t>0x00e23e28</t>
  </si>
  <si>
    <t>0x00e23e2c</t>
  </si>
  <si>
    <t>屋</t>
  </si>
  <si>
    <t>0x00e23e30</t>
  </si>
  <si>
    <t>0x00e23e34</t>
  </si>
  <si>
    <t>師匠</t>
  </si>
  <si>
    <t>0x00e23e44</t>
  </si>
  <si>
    <t>0x00e23e54</t>
  </si>
  <si>
    <t>0x00e23e5c</t>
  </si>
  <si>
    <t>0x00e23e74</t>
  </si>
  <si>
    <t>マップがありません</t>
  </si>
  <si>
    <t>0x00e23e94</t>
  </si>
  <si>
    <t>0x00e23e9c</t>
  </si>
  <si>
    <t>釣り竿</t>
  </si>
  <si>
    <t>0x00e23ea4</t>
  </si>
  <si>
    <t>養鶏所</t>
  </si>
  <si>
    <t>0x00e23eac</t>
  </si>
  <si>
    <t>猫の布団</t>
  </si>
  <si>
    <t>0x00e23ebc</t>
  </si>
  <si>
    <t>犬小屋レベル</t>
  </si>
  <si>
    <t>0x00e23ecc</t>
  </si>
  <si>
    <t>調理器具</t>
  </si>
  <si>
    <t>0x00e23edc</t>
  </si>
  <si>
    <t>内装</t>
  </si>
  <si>
    <t>0x00e23f40</t>
  </si>
  <si>
    <t>－</t>
  </si>
  <si>
    <t>0x00e23f48</t>
  </si>
  <si>
    <t>日</t>
  </si>
  <si>
    <t>0x00e23f50</t>
  </si>
  <si>
    <t>型</t>
  </si>
  <si>
    <t>0x00e23f58</t>
  </si>
  <si>
    <t>0x00e23f60</t>
  </si>
  <si>
    <t>0x00e23f70</t>
  </si>
  <si>
    <t>額</t>
  </si>
  <si>
    <t>0x00e23f80</t>
  </si>
  <si>
    <t>勝</t>
  </si>
  <si>
    <t>0x00e23fa8</t>
  </si>
  <si>
    <t>0x00e23fac</t>
  </si>
  <si>
    <t>0x00e23fb0</t>
  </si>
  <si>
    <t>得</t>
  </si>
  <si>
    <t>0x00e23fd4</t>
  </si>
  <si>
    <t>ミニゲーム</t>
  </si>
  <si>
    <t>0x00e23fe4</t>
  </si>
  <si>
    <t>食事</t>
  </si>
  <si>
    <t>0x00e23fec</t>
  </si>
  <si>
    <t>武器・防具</t>
  </si>
  <si>
    <t>0x00e23ffc</t>
  </si>
  <si>
    <t>お尋ね者</t>
  </si>
  <si>
    <t>0x00e2400c</t>
  </si>
  <si>
    <t>バトルダンジョン</t>
  </si>
  <si>
    <t>0x00e24024</t>
  </si>
  <si>
    <t>場</t>
  </si>
  <si>
    <t>0x00e24054</t>
  </si>
  <si>
    <t>サブストーリーのコンプリートです。[n]</t>
  </si>
  <si>
    <t>0x00e2407c</t>
  </si>
  <si>
    <t>ミニゲームのコンプリートです。[n]各ミニゲームの達成状況を確認できます。</t>
  </si>
  <si>
    <t>0x00e240c4</t>
  </si>
  <si>
    <t>アナザーライフのコンプリートです。</t>
  </si>
  <si>
    <t>0x00e240ec</t>
  </si>
  <si>
    <t>食事のコンプリートです。[n]全ての飲食系店舗メニューを制覇すると達成です。</t>
  </si>
  <si>
    <t>0x00e24134</t>
  </si>
  <si>
    <t xml:space="preserve">ヒートアクションのコンプリートです。[n]全てのヒートアクションを発動させると達成です。 </t>
  </si>
  <si>
    <t>0x00e2418c</t>
  </si>
  <si>
    <t>武器・防具のコンプリートです。</t>
  </si>
  <si>
    <t>0x00e241ac</t>
  </si>
  <si>
    <t>師匠のコンプリートです。[n]各師匠のミッション・修行を全て完了すると達成です。</t>
  </si>
  <si>
    <t>0x00e241fc</t>
  </si>
  <si>
    <t>お尋ね者のコンプリートです。[n]</t>
  </si>
  <si>
    <t>0x00e2421c</t>
  </si>
  <si>
    <t>バトルダンジョンのコンプリートです。</t>
  </si>
  <si>
    <t>0x00e24244</t>
  </si>
  <si>
    <t>闘技場のコンプリートです。</t>
  </si>
  <si>
    <t>0x00e242a0</t>
  </si>
  <si>
    <t>0x00e242a8</t>
  </si>
  <si>
    <t>印</t>
  </si>
  <si>
    <t>0x00e242b8</t>
  </si>
  <si>
    <t>Ｔｉｐｓ表示</t>
  </si>
  <si>
    <t>0x00e242c8</t>
  </si>
  <si>
    <t>おまかせ成長設定</t>
  </si>
  <si>
    <t>0x00e242e0</t>
  </si>
  <si>
    <t>視点操作（縦）</t>
  </si>
  <si>
    <t>0x00e242f0</t>
  </si>
  <si>
    <t>視点操作（横）</t>
  </si>
  <si>
    <t>0x00e24300</t>
  </si>
  <si>
    <t>主観モード視点操作（縦）</t>
  </si>
  <si>
    <t>0x00e24320</t>
  </si>
  <si>
    <t>主観モード視点操作（横）</t>
  </si>
  <si>
    <t>0x00e24340</t>
  </si>
  <si>
    <t>ミニマップ表示</t>
  </si>
  <si>
    <t>0x00e24350</t>
  </si>
  <si>
    <t>ミニマップ表示（上方向）</t>
  </si>
  <si>
    <t>0x00e24370</t>
  </si>
  <si>
    <t>字幕設定</t>
  </si>
  <si>
    <t>0x00e24380</t>
  </si>
  <si>
    <t>用語強調表示設定</t>
  </si>
  <si>
    <t>0x00e24398</t>
  </si>
  <si>
    <t>あらすじ設定</t>
  </si>
  <si>
    <t>0x00e243a8</t>
  </si>
  <si>
    <t>装備武器イベント内変更表示</t>
  </si>
  <si>
    <t>0x00e243c8</t>
  </si>
  <si>
    <t>あらすじのナレーションボイス</t>
  </si>
  <si>
    <t>0x00e243e8</t>
  </si>
  <si>
    <t>画面の明度調整</t>
  </si>
  <si>
    <t>0x00e243f8</t>
  </si>
  <si>
    <t>画面の階調調整</t>
  </si>
  <si>
    <t>0x00e24408</t>
  </si>
  <si>
    <t>２Ｄ表示位置調整</t>
  </si>
  <si>
    <t>0x00e24420</t>
  </si>
  <si>
    <t>フォント設定</t>
  </si>
  <si>
    <t>0x00e24430</t>
  </si>
  <si>
    <t>ライブ配信</t>
  </si>
  <si>
    <t>0x00e24440</t>
  </si>
  <si>
    <t>難易度設定</t>
  </si>
  <si>
    <t>0x00e244a0</t>
  </si>
  <si>
    <t>Ｔｉｐｓの表示量を選択できます。[n]「少なめ」だと必要最低限の情報以外は表示されなくなります。[n]龍が如くシリーズ初プレイの方には「多め」をお勧めします。</t>
  </si>
  <si>
    <t>0x00e24538</t>
  </si>
  <si>
    <t>フリーカメラの縦方向の操作設定です。[n]「順」で右スティックを倒した方向に動きます。[n]</t>
  </si>
  <si>
    <t>0x00e24590</t>
  </si>
  <si>
    <t>フリーカメラの横方向の操作設定です。[n]「順」で右スティックを倒した方向に動きます。[n]</t>
  </si>
  <si>
    <t>0x00e245e8</t>
  </si>
  <si>
    <t>主観モードの縦方向の操作設定です。[n]「順」で右スティックを倒した方向に動きます。[n]</t>
  </si>
  <si>
    <t>0x00e24640</t>
  </si>
  <si>
    <t>主観モードの横方向の操作設定です。[n]「順」で右スティックを倒した方向に動きます。[n]</t>
  </si>
  <si>
    <t>0x00e24698</t>
  </si>
  <si>
    <t>画面左下に表示されるミニマップのあり／なし設定です。</t>
  </si>
  <si>
    <t>0x00e246d0</t>
  </si>
  <si>
    <t>画面左下に表示されるミニマップの設定です。[n]「固定」で地図の上方向が固定、「正面」でカメラの向きに追従します。</t>
  </si>
  <si>
    <t>0x00e24740</t>
  </si>
  <si>
    <t>イベントシーンの字幕のあり／なし設定です。</t>
  </si>
  <si>
    <t>0x00e24770</t>
  </si>
  <si>
    <t>字引き対象の用語を強調表示するかどうかの設定です。</t>
  </si>
  <si>
    <t>0x00e247a8</t>
  </si>
  <si>
    <t>次の章へ行く前に前章のあらすじを[n]再生する／しない設定です。</t>
  </si>
  <si>
    <t>0x00e247e8</t>
  </si>
  <si>
    <t>主人公の装備武器が特殊な形状をしていた場合でも[n]イベントシーン内でそのまま表示するかの[n]する／しない設定です。</t>
  </si>
  <si>
    <t>0x00e24858</t>
  </si>
  <si>
    <t>あらすじのナレーションボイスを変更することができます。</t>
  </si>
  <si>
    <t>0x00e24890</t>
  </si>
  <si>
    <t>カーソルをスライドさせることで、[n]画面の明度を調整できます。</t>
  </si>
  <si>
    <t>0x00e248d0</t>
  </si>
  <si>
    <t>カーソルをスライドさせることで、[n]画面の階調を調整できます。</t>
  </si>
  <si>
    <t>0x00e24910</t>
  </si>
  <si>
    <t>ゲーム中に使用される書体を変更できます。[n]「自動」で映像出力方式に適したフォントが表示されます。[n]</t>
  </si>
  <si>
    <t>0x00e24978</t>
  </si>
  <si>
    <t>難易度を選択できます。</t>
  </si>
  <si>
    <t>0x00e24994</t>
  </si>
  <si>
    <t>インターフェース表示位置を決定してください</t>
  </si>
  <si>
    <t>0x00e249cc</t>
  </si>
  <si>
    <t>順</t>
  </si>
  <si>
    <t>0x00e249d4</t>
  </si>
  <si>
    <t>逆</t>
  </si>
  <si>
    <t>0x00e249e8</t>
  </si>
  <si>
    <t>固定</t>
  </si>
  <si>
    <t>0x00e249f0</t>
  </si>
  <si>
    <t>正面</t>
  </si>
  <si>
    <t>0x00e24a04</t>
  </si>
  <si>
    <t>あり</t>
  </si>
  <si>
    <t>0x00e24a18</t>
  </si>
  <si>
    <t>自動</t>
  </si>
  <si>
    <t>0x00e24a20</t>
  </si>
  <si>
    <t>明朝体</t>
  </si>
  <si>
    <t>0x00e24a28</t>
  </si>
  <si>
    <t>ゴシック体</t>
  </si>
  <si>
    <t>0x00e24a50</t>
  </si>
  <si>
    <t>少なめ</t>
  </si>
  <si>
    <t>0x00e24a58</t>
  </si>
  <si>
    <t>多め</t>
  </si>
  <si>
    <t>0x00e24a70</t>
  </si>
  <si>
    <t>本編の設定</t>
  </si>
  <si>
    <t>0x00e24a80</t>
  </si>
  <si>
    <t>松原忠治</t>
  </si>
  <si>
    <t>0x00e24a90</t>
  </si>
  <si>
    <t>井上源三郎</t>
  </si>
  <si>
    <t>0x00e24aa0</t>
  </si>
  <si>
    <t>原田左之助</t>
  </si>
  <si>
    <t>0x00e24ab0</t>
  </si>
  <si>
    <t>岡田以蔵</t>
  </si>
  <si>
    <t>0x00e24ac0</t>
  </si>
  <si>
    <t>中岡慎太郎</t>
  </si>
  <si>
    <t>0x00e24ad0</t>
  </si>
  <si>
    <t>お登勢</t>
  </si>
  <si>
    <t>0x00e24ad8</t>
  </si>
  <si>
    <t>佐々木只三郎</t>
  </si>
  <si>
    <t>0x00e24ae8</t>
  </si>
  <si>
    <t>幾松</t>
  </si>
  <si>
    <t>0x00e24b2c</t>
  </si>
  <si>
    <t>&lt;Sign:D&gt;入力を行うと、詳細説明が表示されます。</t>
  </si>
  <si>
    <t>0x00e24b64</t>
  </si>
  <si>
    <t>&lt;Sign:C&gt;入力を行うと、詳細説明表示を閉じます。[n]方向キーや左スティックの左右を入力することで、[n]説明表示内容の変更ができます。</t>
  </si>
  <si>
    <t>0x00e24bec</t>
  </si>
  <si>
    <t>再挑戦</t>
  </si>
  <si>
    <t>0x00e24bf4</t>
  </si>
  <si>
    <t>ロードして再挑戦</t>
  </si>
  <si>
    <t>0x00e24c0c</t>
  </si>
  <si>
    <t>直前のチェックポイントから再挑戦</t>
  </si>
  <si>
    <t>0x00e24c34</t>
  </si>
  <si>
    <t>ゲームを終了する</t>
  </si>
  <si>
    <t>0x00e24c4c</t>
  </si>
  <si>
    <t>メインメニューに戻る</t>
  </si>
  <si>
    <t>0x00e24c64</t>
  </si>
  <si>
    <t>究極闘技メニューに戻る</t>
  </si>
  <si>
    <t>0x00e24c98</t>
  </si>
  <si>
    <t>0x00e24ca4</t>
  </si>
  <si>
    <t>0x00e24cb4</t>
  </si>
  <si>
    <t>術</t>
  </si>
  <si>
    <t>0x00e24cb8</t>
  </si>
  <si>
    <t>0x00e24cc4</t>
  </si>
  <si>
    <t>0x00e24ccc</t>
  </si>
  <si>
    <t>登録ネットショップ</t>
  </si>
  <si>
    <t>0x00e24ce4</t>
  </si>
  <si>
    <t>未開封の手紙</t>
  </si>
  <si>
    <t>0x00e24cf4</t>
  </si>
  <si>
    <t>%d/%d店</t>
  </si>
  <si>
    <t>0x00e24cfc</t>
  </si>
  <si>
    <t>%d通</t>
  </si>
  <si>
    <t>0x00e24d18</t>
  </si>
  <si>
    <t>部</t>
  </si>
  <si>
    <t>0x00e24d1c</t>
  </si>
  <si>
    <t>0x00e24d28</t>
  </si>
  <si>
    <t>0x00e24d2c</t>
  </si>
  <si>
    <t>0x00e24d30</t>
  </si>
  <si>
    <t>0x00e24d34</t>
  </si>
  <si>
    <t>0x00e24d3c</t>
  </si>
  <si>
    <t>コンプリート達成率</t>
  </si>
  <si>
    <t>0x00e24d60</t>
  </si>
  <si>
    <t>街の噂</t>
  </si>
  <si>
    <t>0x00e24d68</t>
  </si>
  <si>
    <t>%d項目</t>
  </si>
  <si>
    <t>0x00e24d84</t>
  </si>
  <si>
    <t>体力</t>
  </si>
  <si>
    <t>0x00e24d8c</t>
  </si>
  <si>
    <t>闘気</t>
  </si>
  <si>
    <t>0x00e24d94</t>
  </si>
  <si>
    <t>格闘攻撃力</t>
  </si>
  <si>
    <t>0x00e24da4</t>
  </si>
  <si>
    <t>一刀攻撃力</t>
  </si>
  <si>
    <t>0x00e24db4</t>
  </si>
  <si>
    <t>短銃攻撃力</t>
  </si>
  <si>
    <t>0x00e24dc4</t>
  </si>
  <si>
    <t>乱舞攻撃力</t>
  </si>
  <si>
    <t>0x00e24dd8</t>
  </si>
  <si>
    <t>格闘の魂球</t>
  </si>
  <si>
    <t>0x00e24de8</t>
  </si>
  <si>
    <t>一刀の魂球</t>
  </si>
  <si>
    <t>0x00e24df8</t>
  </si>
  <si>
    <t>短銃の魂球</t>
  </si>
  <si>
    <t>0x00e24e08</t>
  </si>
  <si>
    <t>乱舞の魂球</t>
  </si>
  <si>
    <t>0x00e24e18</t>
  </si>
  <si>
    <t>修練の魂球</t>
  </si>
  <si>
    <t>0x00e24e40</t>
  </si>
  <si>
    <t>%sと入れ替えを行いますか？</t>
  </si>
  <si>
    <t>0x00e24e68</t>
  </si>
  <si>
    <t>あ</t>
  </si>
  <si>
    <t>0x00e24e70</t>
  </si>
  <si>
    <t>さ</t>
  </si>
  <si>
    <t>0x00e24e78</t>
  </si>
  <si>
    <t>0x00e24e80</t>
  </si>
  <si>
    <t>ま</t>
  </si>
  <si>
    <t>0x00e24e88</t>
  </si>
  <si>
    <t>0x00e24e90</t>
  </si>
  <si>
    <t>0x00e24ec4</t>
  </si>
  <si>
    <t>達成項目数</t>
  </si>
  <si>
    <t>0x00e24ed4</t>
  </si>
  <si>
    <t>達成済み</t>
  </si>
  <si>
    <t>0x00e24efc</t>
  </si>
  <si>
    <t>人物解説</t>
  </si>
  <si>
    <t>0x00e24f0c</t>
  </si>
  <si>
    <t>用語解説</t>
  </si>
  <si>
    <t>0x00e24f2c</t>
  </si>
  <si>
    <t>野盗の洞窟</t>
  </si>
  <si>
    <t>0x00e24f3c</t>
  </si>
  <si>
    <t>義賊の廃鉱</t>
  </si>
  <si>
    <t>0x00e24f4c</t>
  </si>
  <si>
    <t>豊臣家残党</t>
  </si>
  <si>
    <t>0x00e24f6c</t>
  </si>
  <si>
    <t>農業</t>
  </si>
  <si>
    <t>0x00e24f78</t>
  </si>
  <si>
    <t>料理</t>
  </si>
  <si>
    <t>0x00e24f80</t>
  </si>
  <si>
    <t>行商</t>
  </si>
  <si>
    <t>0x00e24f88</t>
  </si>
  <si>
    <t>ペット</t>
  </si>
  <si>
    <t>0x00e24f90</t>
  </si>
  <si>
    <t>遥との交流</t>
  </si>
  <si>
    <t>0x00e24fbc</t>
  </si>
  <si>
    <t>累計取引金額</t>
  </si>
  <si>
    <t>0x00e24fd4</t>
  </si>
  <si>
    <t>プレイ時間</t>
  </si>
  <si>
    <t>0x00e24fec</t>
  </si>
  <si>
    <t>育成可能野菜数</t>
  </si>
  <si>
    <t>0x00e24ffc</t>
  </si>
  <si>
    <t>釣った魚の種類</t>
  </si>
  <si>
    <t>0x00e2500c</t>
  </si>
  <si>
    <t>料理できたレシピ数</t>
  </si>
  <si>
    <t>0x00e25024</t>
  </si>
  <si>
    <t>成約取引数</t>
  </si>
  <si>
    <t>0x00e25048</t>
  </si>
  <si>
    <t>ロード</t>
  </si>
  <si>
    <t>0x00e25050</t>
  </si>
  <si>
    <t>設定</t>
  </si>
  <si>
    <t>0x00e25058</t>
  </si>
  <si>
    <t>タイトルに戻る</t>
  </si>
  <si>
    <t>0x00e2507c</t>
  </si>
  <si>
    <t>初期設備</t>
  </si>
  <si>
    <t>0x00e2508c</t>
  </si>
  <si>
    <t>豪華</t>
  </si>
  <si>
    <t>0x00e25094</t>
  </si>
  <si>
    <t>超豪華</t>
  </si>
  <si>
    <t>0x00e250b0</t>
  </si>
  <si>
    <t>不便</t>
  </si>
  <si>
    <t>0x00e250b8</t>
  </si>
  <si>
    <t>料理好き</t>
  </si>
  <si>
    <t>0x00e250c8</t>
  </si>
  <si>
    <t>万能</t>
  </si>
  <si>
    <t>0x00e250e4</t>
  </si>
  <si>
    <t>伍長能力</t>
  </si>
  <si>
    <t>0x00e250f4</t>
  </si>
  <si>
    <t>隊士能力</t>
  </si>
  <si>
    <t>0x00e25110</t>
  </si>
  <si>
    <t>屯所に戻る</t>
  </si>
  <si>
    <t>0x00e25128</t>
  </si>
  <si>
    <t>必要素材情報</t>
  </si>
  <si>
    <t>0x00e25138</t>
  </si>
  <si>
    <t>必要数</t>
  </si>
  <si>
    <t>0x00e25140</t>
  </si>
  <si>
    <t>所持数</t>
  </si>
  <si>
    <t>0x00e25148</t>
  </si>
  <si>
    <t>鍛錬素材</t>
  </si>
  <si>
    <t>0x00e25158</t>
  </si>
  <si>
    <t>格上げ素材</t>
  </si>
  <si>
    <t>0x00e25168</t>
  </si>
  <si>
    <t>作成可能武具と素材</t>
  </si>
  <si>
    <t>0x00e2519c</t>
  </si>
  <si>
    <t>累計取引金額が１００両以上で達成です。</t>
  </si>
  <si>
    <t>0x00e251cc</t>
  </si>
  <si>
    <t>「%s」の封印が解かれました。</t>
  </si>
  <si>
    <t>0x00e251f4</t>
  </si>
  <si>
    <t>全てのペットを飼って、世話をしてやると達成です。</t>
  </si>
  <si>
    <t>0x00e25234</t>
  </si>
  <si>
    <t>全ての種類の魚を釣れば達成です。</t>
  </si>
  <si>
    <t>0x00e25264</t>
  </si>
  <si>
    <t>特殊</t>
  </si>
  <si>
    <t>0x00e2526c</t>
  </si>
  <si>
    <t>防具</t>
  </si>
  <si>
    <t>0x00e2528c</t>
  </si>
  <si>
    <t>&lt;Sign:1&gt;表示切替 &lt;Sign:D&gt;決定 &lt;Sign:C&gt;戻る</t>
  </si>
  <si>
    <t>0x00e252c4</t>
  </si>
  <si>
    <t>攻撃力 %d</t>
  </si>
  <si>
    <t>0x00e252dc</t>
  </si>
  <si>
    <t>防御力 %d</t>
  </si>
  <si>
    <t>0x00e252f4</t>
  </si>
  <si>
    <t>無料</t>
  </si>
  <si>
    <t>0x00e25314</t>
  </si>
  <si>
    <t>&lt;Sign:C&gt;視線リセット</t>
  </si>
  <si>
    <t>0x00e2532c</t>
  </si>
  <si>
    <t>&lt;Sign:29&gt;視線移動</t>
  </si>
  <si>
    <t>0x00e25358</t>
  </si>
  <si>
    <t>送り先も一杯です。捨ててもよろしいですか？</t>
  </si>
  <si>
    <t>0x00e25390</t>
  </si>
  <si>
    <t>%s を捨てました</t>
  </si>
  <si>
    <t>0x00e253b4</t>
  </si>
  <si>
    <t>（与えられそうなものを持っていないな……）</t>
  </si>
  <si>
    <t>0x00e253ec</t>
  </si>
  <si>
    <t>（何か精がつくものでもやろうか……）</t>
  </si>
  <si>
    <t>0x00e2541c</t>
  </si>
  <si>
    <t>本当に与えても良いですか？</t>
  </si>
  <si>
    <t>0x00e25444</t>
  </si>
  <si>
    <t>（食えそうなものを持っていないな……）</t>
  </si>
  <si>
    <t>0x00e25474</t>
  </si>
  <si>
    <t>（何を食おうか……）</t>
  </si>
  <si>
    <t>0x00e25494</t>
  </si>
  <si>
    <t>本当に食べても良いですか？</t>
  </si>
  <si>
    <t>0x00e254bc</t>
  </si>
  <si>
    <t>能力使用</t>
  </si>
  <si>
    <t>0x00e254d4</t>
  </si>
  <si>
    <t>部隊の編成を行います。</t>
  </si>
  <si>
    <t>0x00e254ec</t>
  </si>
  <si>
    <t>部隊を率いて出兵します。</t>
  </si>
  <si>
    <t>0x00e2550c</t>
  </si>
  <si>
    <t>お金で募兵します。</t>
  </si>
  <si>
    <t>0x00e25524</t>
  </si>
  <si>
    <t>所持品の変更をします。</t>
  </si>
  <si>
    <t>0x00e2553c</t>
  </si>
  <si>
    <t>遊び方の説明を見ることができます。</t>
  </si>
  <si>
    <t>0x00e25564</t>
  </si>
  <si>
    <t>バトルダンジョンを終了します。</t>
  </si>
  <si>
    <t>0x00e255a0</t>
  </si>
  <si>
    <t>入れ替え</t>
  </si>
  <si>
    <t>0x00e255b0</t>
  </si>
  <si>
    <t>強化合成</t>
  </si>
  <si>
    <t>0x00e255c0</t>
  </si>
  <si>
    <t>転生</t>
  </si>
  <si>
    <t>0x00e255c8</t>
  </si>
  <si>
    <t>部隊から外す</t>
  </si>
  <si>
    <t>0x00e255d8</t>
  </si>
  <si>
    <t>除籍</t>
  </si>
  <si>
    <t>0x00e255fc</t>
  </si>
  <si>
    <t>１０両</t>
  </si>
  <si>
    <t>0x00e25604</t>
  </si>
  <si>
    <t>５両</t>
  </si>
  <si>
    <t>0x00e2560c</t>
  </si>
  <si>
    <t>１両</t>
  </si>
  <si>
    <t>0x00e25614</t>
  </si>
  <si>
    <t>５０００文</t>
  </si>
  <si>
    <t>0x00e25644</t>
  </si>
  <si>
    <t>%s使って募兵します。</t>
  </si>
  <si>
    <t>0x00e25664</t>
  </si>
  <si>
    <t>これ以上隊士を保有できません。</t>
  </si>
  <si>
    <t>0x00e2568c</t>
  </si>
  <si>
    <t>部隊を選択してください。</t>
  </si>
  <si>
    <t>0x00e256b4</t>
  </si>
  <si>
    <t>隊士を選択してください。</t>
  </si>
  <si>
    <t>0x00e256dc</t>
  </si>
  <si>
    <t>入れ替えたい隊士を選択してください。</t>
  </si>
  <si>
    <t>0x00e2570c</t>
  </si>
  <si>
    <t>隊士を入れ替えます。</t>
  </si>
  <si>
    <t>0x00e25724</t>
  </si>
  <si>
    <t>隊士の強化を行います。</t>
  </si>
  <si>
    <t>0x00e2573c</t>
  </si>
  <si>
    <t>隊士の要望を聞いて、更なる進化をさせます。</t>
  </si>
  <si>
    <t>0x00e2576c</t>
  </si>
  <si>
    <t>部隊から外します。</t>
  </si>
  <si>
    <t>0x00e25784</t>
  </si>
  <si>
    <t>メニューを閉じます。</t>
  </si>
  <si>
    <t>0x00e2579c</t>
  </si>
  <si>
    <t>隊士を除籍します。</t>
  </si>
  <si>
    <t>0x00e257d0</t>
  </si>
  <si>
    <t>この隊士を三番隊に加えますか？</t>
  </si>
  <si>
    <t>0x00e257f8</t>
  </si>
  <si>
    <t>　　たび重なる任務失敗で、隊長への不満を募らせているようです。</t>
  </si>
  <si>
    <t>0x00e25838</t>
  </si>
  <si>
    <t>　　やや忠誠心に欠ける所があり、隊長の能力に不満を持っているようです。</t>
  </si>
  <si>
    <t>0x00e25880</t>
  </si>
  <si>
    <t>　　前向きに任務に取り組む忠誠心を持ち、頑張っているようです。</t>
  </si>
  <si>
    <t>0x00e258c0</t>
  </si>
  <si>
    <t>　　忠誠心に満ち、次の任務を楽しみにしているようです。</t>
  </si>
  <si>
    <t>0x00e258f8</t>
  </si>
  <si>
    <t>　　隊長への忠誠心に満ち溢れ、次の任務を心待ちにしているようです。</t>
  </si>
  <si>
    <t>0x00e25964</t>
  </si>
  <si>
    <t>出兵先を選択してください。</t>
  </si>
  <si>
    <t>0x00e2598c</t>
  </si>
  <si>
    <t>任務を選択してください。</t>
  </si>
  <si>
    <t>0x00e259b4</t>
  </si>
  <si>
    <t>一覧を見る</t>
  </si>
  <si>
    <t>0x00e259cc</t>
  </si>
  <si>
    <t>出兵先情報を見る</t>
  </si>
  <si>
    <t>0x00e259ec</t>
  </si>
  <si>
    <t>強化合成開始</t>
  </si>
  <si>
    <t>0x00e25a04</t>
  </si>
  <si>
    <t>強化合成を開始しますか？</t>
  </si>
  <si>
    <t>0x00e25a2c</t>
  </si>
  <si>
    <t>あと&lt;Color:5&gt;%d人&lt;Color:Default&gt;選択することができます。</t>
  </si>
  <si>
    <t>0x00e25a74</t>
  </si>
  <si>
    <t>隊士一覧</t>
  </si>
  <si>
    <t>0x00e25a8c</t>
  </si>
  <si>
    <t>詳細を見たい隊士を選択してください。</t>
  </si>
  <si>
    <t>0x00e25abc</t>
  </si>
  <si>
    <t>0x00e25ac8</t>
  </si>
  <si>
    <t>これ以上隊士を保有できないため、[n]入隊希望者を受け付けませんでした</t>
  </si>
  <si>
    <t>0x00e25b18</t>
  </si>
  <si>
    <t>？？？</t>
  </si>
  <si>
    <t>0x00e25b28</t>
  </si>
  <si>
    <t>戦果報告を終了する</t>
  </si>
  <si>
    <t>0x00e25b48</t>
  </si>
  <si>
    <t>体力追加</t>
  </si>
  <si>
    <t>0x00e25b60</t>
  </si>
  <si>
    <t>忠誠心が%s増えました。　</t>
  </si>
  <si>
    <t>0x00e25b80</t>
  </si>
  <si>
    <t>忠誠心が%s減りました。　</t>
  </si>
  <si>
    <t>0x00e25bac</t>
  </si>
  <si>
    <t>経験値を%s取得しました。　</t>
  </si>
  <si>
    <t>0x00e25bd4</t>
  </si>
  <si>
    <t>体力が%sから%sに増加しました。　</t>
  </si>
  <si>
    <t>0x00e25c04</t>
  </si>
  <si>
    <t>充填速度が%sから%sに増加しました。　</t>
  </si>
  <si>
    <t>0x00e25c34</t>
  </si>
  <si>
    <t>能力練度が%s上がりました。　</t>
  </si>
  <si>
    <t>0x00e25c5c</t>
  </si>
  <si>
    <t>さらなる成長をするために、希少度が%s以上の%sを欲しがっています。　</t>
  </si>
  <si>
    <t>0x00e25cac</t>
  </si>
  <si>
    <t>さらなる成長をするために、%sを欲しがっています。　</t>
  </si>
  <si>
    <t>0x00e25cec</t>
  </si>
  <si>
    <t>この隊士は脱走中です。行方不明ですが、京のどこかに身を潜めているようです。</t>
  </si>
  <si>
    <t>0x00e25d44</t>
  </si>
  <si>
    <t>伍長がいないため出兵できません</t>
  </si>
  <si>
    <t>0x00e25d64</t>
  </si>
  <si>
    <t>この任務は攻撃隊士以外は出兵できません</t>
  </si>
  <si>
    <t>0x00e25d8c</t>
  </si>
  <si>
    <t>この任務は守備隊士以外は出兵できません</t>
  </si>
  <si>
    <t>0x00e25db4</t>
  </si>
  <si>
    <t>この任務は衛生隊士以外は出兵できません</t>
  </si>
  <si>
    <t>0x00e25ddc</t>
  </si>
  <si>
    <t>この任務は刀隊士以外は出兵できません</t>
  </si>
  <si>
    <t>0x00e25e04</t>
  </si>
  <si>
    <t>この任務は槍隊士以外は出兵できません</t>
  </si>
  <si>
    <t>0x00e25e2c</t>
  </si>
  <si>
    <t>この任務は銃隊士以外は出兵できません</t>
  </si>
  <si>
    <t>0x00e25e74</t>
  </si>
  <si>
    <t>？？？？？？</t>
  </si>
  <si>
    <t>0x00e25e8c</t>
  </si>
  <si>
    <t>隊士獲得状況</t>
  </si>
  <si>
    <t>0x00e25ea8</t>
  </si>
  <si>
    <t>隊士を同行させて任務を開始した場合、[n]画面右側に同行した隊士が表示されます。</t>
  </si>
  <si>
    <t>0x00e25ef8</t>
  </si>
  <si>
    <t>任務開始時に隊士たちの体力の合計値に応じて[n]斎藤隊長に体力が加算されます。</t>
  </si>
  <si>
    <t>0x00e25f48</t>
  </si>
  <si>
    <t>野盗は強者ぞろいです。[n]返り討ちにならないように、がんばりましょう。</t>
  </si>
  <si>
    <t>0x00e25f90</t>
  </si>
  <si>
    <t>隊士の能力は上図の充填ゲージが満タンになると[n]&lt;Sign:7&gt;+方向キーで使用できます。</t>
  </si>
  <si>
    <t>0x00e25fe0</t>
  </si>
  <si>
    <t>充填速度は、隊士の充填速度と[n]斎藤隊長の戦い方の結果で決まります。[n]隊士を成長させることはもちろん、[n]上手な戦い方をすることで隊士の士気が高まり[n]能力を使用するまでの時間を短縮できます。</t>
  </si>
  <si>
    <t>0x00e26098</t>
  </si>
  <si>
    <t>それでは早速[n]&lt;Sign:7&gt;+&lt;Sign:43&gt;で成田五郎の[n]隊士能力を使用してみましょう。</t>
  </si>
  <si>
    <t>0x00e260e8</t>
  </si>
  <si>
    <t>いま、成田五郎の能力が発動しました。[n]この能力は「体力を回復する」効果が[n]あるので、一定時間その恩恵を受けられます。</t>
  </si>
  <si>
    <t>0x00e26160</t>
  </si>
  <si>
    <t>この能力効果の残り時間は、画面右にある[n]隊士の充填ゲージで確認することができます。[n]充填されたゲージが無くなったら、効果終了です。</t>
  </si>
  <si>
    <t>0x00e261e8</t>
  </si>
  <si>
    <t>能力の発動を自動的に行うように隊士に指示する[n]事もできますが、どうしますか？[n][n] &lt;Sign:D&gt;隊士にまかせる    &lt;Sign:C&gt;自分で発動する</t>
  </si>
  <si>
    <t>0x00e26268</t>
  </si>
  <si>
    <t>この設定は、受付から変更できるので、[n]変えたくなったら受付に話しかけて下さい。</t>
  </si>
  <si>
    <t>0x00e262b8</t>
  </si>
  <si>
    <t>それでは、引き続き敵を倒しながら[n]先へ進みましょう。</t>
  </si>
  <si>
    <t>0x00e262f0</t>
  </si>
  <si>
    <t>扉の中には、開くための仕掛けがある扉があります。[n]先へ進むためには、その仕掛けを見つけて[n]扉を開けましょう。</t>
  </si>
  <si>
    <t>0x00e26360</t>
  </si>
  <si>
    <t>扉の先には、進むべき道や、[n]武器を鍛えるために必要な素材や高価な品物が[n]入った箱が置いてあることもあります。</t>
  </si>
  <si>
    <t>0x00e263d0</t>
  </si>
  <si>
    <t>手に入れた素材や品物は隊長の物になるので、[n]扉は積極的に開けていきましょう。</t>
  </si>
  <si>
    <t>0x00e26420</t>
  </si>
  <si>
    <t>これで基本的な教習は終了となります。[n]この洞窟の親玉を見つけ出して、殲滅して下さい。</t>
  </si>
  <si>
    <t>0x00e264b4</t>
  </si>
  <si>
    <t>教習�　随伴隊士</t>
  </si>
  <si>
    <t>0x00e264cc</t>
  </si>
  <si>
    <t>教習�　隊士の恩恵</t>
  </si>
  <si>
    <t>0x00e264e4</t>
  </si>
  <si>
    <t>教習�　敵は強者ぞろい</t>
  </si>
  <si>
    <t>0x00e264fc</t>
  </si>
  <si>
    <t>教習�　能力の使用</t>
  </si>
  <si>
    <t>0x00e26514</t>
  </si>
  <si>
    <t>教習�　能力の発動</t>
  </si>
  <si>
    <t>0x00e2652c</t>
  </si>
  <si>
    <t>教習�　能力の効果時間</t>
  </si>
  <si>
    <t>0x00e26544</t>
  </si>
  <si>
    <t>教習�　おまかせ能力発動</t>
  </si>
  <si>
    <t>0x00e26564</t>
  </si>
  <si>
    <t>教習�　討伐</t>
  </si>
  <si>
    <t>0x00e26574</t>
  </si>
  <si>
    <t>教習�　仕掛け</t>
  </si>
  <si>
    <t>0x00e26584</t>
  </si>
  <si>
    <t>教習　終了</t>
  </si>
  <si>
    <t>0x00e2660c</t>
  </si>
  <si>
    <t>防御</t>
  </si>
  <si>
    <t>0x00e26614</t>
  </si>
  <si>
    <t>衛生</t>
  </si>
  <si>
    <t>0x00e2661c</t>
  </si>
  <si>
    <t>応援</t>
  </si>
  <si>
    <t>0x00e26624</t>
  </si>
  <si>
    <t>支援</t>
  </si>
  <si>
    <t>0x00e26644</t>
  </si>
  <si>
    <t>度重なる任務失敗によって忠誠心がなくなり[n]脱走した隊士がいるようです</t>
  </si>
  <si>
    <t>0x00e26690</t>
  </si>
  <si>
    <t>武器を与えて転生させますが[n]よろしいですか？</t>
  </si>
  <si>
    <t>0x00e266c4</t>
  </si>
  <si>
    <t>おまかせ能力を有効にしますか？</t>
  </si>
  <si>
    <t>0x00e266ec</t>
  </si>
  <si>
    <t>部隊から外します。よろしいですか？</t>
  </si>
  <si>
    <t>0x00e26714</t>
  </si>
  <si>
    <t>除籍します。よろしいですか？</t>
  </si>
  <si>
    <t>0x00e26740</t>
  </si>
  <si>
    <t>頭巾の男</t>
  </si>
  <si>
    <t>0x00e2676c</t>
  </si>
  <si>
    <t>部隊一覧</t>
  </si>
  <si>
    <t>0x00e26784</t>
  </si>
  <si>
    <t>能力詳細</t>
  </si>
  <si>
    <t>0x00e2679c</t>
  </si>
  <si>
    <t>転生に必要な武器がありません</t>
  </si>
  <si>
    <t>0x00e267c4</t>
  </si>
  <si>
    <t>隊士名簿</t>
  </si>
  <si>
    <t>0x00e267dc</t>
  </si>
  <si>
    <t>隊士概要</t>
  </si>
  <si>
    <t>0x00e267f4</t>
  </si>
  <si>
    <t>槍</t>
  </si>
  <si>
    <t>0x00e2680c</t>
  </si>
  <si>
    <t>最初からゲームを始めます。&lt;Color:5&gt;『龍が如く 維新！ 無料アプリ for PlayStationVita』の[n]データを引き継ぐには「ダウンロード」したデータを「続きから」で選択してください。&lt;Color:Default&gt;</t>
  </si>
  <si>
    <t>0x00e268cc</t>
  </si>
  <si>
    <t>セーブした続きからゲームを始めます。</t>
  </si>
  <si>
    <t>0x00e268f4</t>
  </si>
  <si>
    <t>『龍が如く 維新！ 無料アプリ for PlayStationVita』[n]または PlayStation4版と進行状況を共有します。</t>
  </si>
  <si>
    <t>0x00e2695c</t>
  </si>
  <si>
    <t>麻雀、将棋、こいこい、おいちょかぶ、ポーカーの[n]５種類のミニゲームをネットワーク対戦で遊べます。</t>
  </si>
  <si>
    <t>0x00e269bc</t>
  </si>
  <si>
    <t>メインストーリーのシナリオに関係なく[n]自由に幕末の世界を探索できます。</t>
  </si>
  <si>
    <t>0x00e26a04</t>
  </si>
  <si>
    <t>闘いを極めし者だけが挑戦できるモードです。[n]全ての闘いを制覇すると、珍しい道具が手に入ります。</t>
  </si>
  <si>
    <t>0x00e26a64</t>
  </si>
  <si>
    <t xml:space="preserve">ネットワークに関する情報を確認できます。            </t>
  </si>
  <si>
    <t>0x00e26a9c</t>
  </si>
  <si>
    <t>一度観たイベントシーンを鑑賞できます。</t>
  </si>
  <si>
    <t>0x00e26ac4</t>
  </si>
  <si>
    <t>各種設定項目を変更できます。[n]</t>
  </si>
  <si>
    <t>0x00e26b10</t>
  </si>
  <si>
    <t>PlayStation3側のセーブデータを[n]ネットワーク上に保存します。</t>
  </si>
  <si>
    <t>0x00e26b50</t>
  </si>
  <si>
    <t>PlayStation4側のセーブデータを[n]ネットワーク上に保存します。</t>
  </si>
  <si>
    <t>0x00e26b90</t>
  </si>
  <si>
    <t>PlayStationVita側のセーブデータを[n]ネットワーク上に保存します。</t>
  </si>
  <si>
    <t>0x00e26bd0</t>
  </si>
  <si>
    <t>ネットワーク上に保存されたセーブデータを[n]ダウンロードして、進行状況を共有します。</t>
  </si>
  <si>
    <t>0x00e26c4c</t>
  </si>
  <si>
    <t>0x00e26c58</t>
  </si>
  <si>
    <t>PlayStationPlusに加入していません。[n]メインメニュー画面へ戻ります。</t>
  </si>
  <si>
    <t>0x00e26ca4</t>
  </si>
  <si>
    <t>PlayStationPlusの認証中に[n]通信エラーが発生しました。[n]メインメニュー画面へ戻ります。</t>
  </si>
  <si>
    <t>0x00e26d0c</t>
  </si>
  <si>
    <t>クリアデータ使用で最初から</t>
  </si>
  <si>
    <t>0x00e26d2c</t>
  </si>
  <si>
    <t>クリアデータを使わず最初から</t>
  </si>
  <si>
    <t>0x00e26d58</t>
  </si>
  <si>
    <t xml:space="preserve">クリアデータの能力、アイテム、所持金を引き継いで                     [n]新たに最初からゲームを始めます。                     </t>
  </si>
  <si>
    <t>0x00e26dd8</t>
  </si>
  <si>
    <t>クリアデータは使わずに、完全な初期状態で[n]新たに最初からゲームを始めます。</t>
  </si>
  <si>
    <t>0x00e26e38</t>
  </si>
  <si>
    <t>達人級</t>
  </si>
  <si>
    <t>0x00e26e54</t>
  </si>
  <si>
    <t>アクションゲームが苦手な方や、[n]「龍が如く」シリーズ初心者の方におすすめです。</t>
  </si>
  <si>
    <t>0x00e26ea4</t>
  </si>
  <si>
    <t>標準的な難易度です。</t>
  </si>
  <si>
    <t>0x00e26ebc</t>
  </si>
  <si>
    <t>アクションに自信のある方におすすめです。</t>
  </si>
  <si>
    <t>0x00e26eec</t>
  </si>
  <si>
    <t>ゲームオーバー時に再挑戦できません。[n]このゲームを極めたい方のみ挑戦してください。[n]</t>
  </si>
  <si>
    <t>0x00e26f58</t>
  </si>
  <si>
    <t>アップロード</t>
  </si>
  <si>
    <t>0x00e26f68</t>
  </si>
  <si>
    <t>ダウンロード</t>
  </si>
  <si>
    <t>0x00e26f90</t>
  </si>
  <si>
    <t>クリアデータ使用で始める</t>
  </si>
  <si>
    <t>0x00e26fb0</t>
  </si>
  <si>
    <t>クリアデータを使わず始める</t>
  </si>
  <si>
    <t>0x00e26fdc</t>
  </si>
  <si>
    <t xml:space="preserve">クリアデータの全要素を引き継いだ状態で                     [n]シナリオに関係なく、自由に世界を探索できます。                     </t>
  </si>
  <si>
    <t>0x00e2705c</t>
  </si>
  <si>
    <t xml:space="preserve">完全な初期状態からゲームを始めます。                     [n]シナリオに関係なく、自由に世界を探索できます。                     </t>
  </si>
  <si>
    <t>0x00e270ec</t>
  </si>
  <si>
    <t>歴</t>
  </si>
  <si>
    <t>0x00e270f0</t>
  </si>
  <si>
    <t>ダウンロード履歴</t>
  </si>
  <si>
    <t>0x00e27120</t>
  </si>
  <si>
    <t>成果一覧</t>
  </si>
  <si>
    <t>0x00e27140</t>
  </si>
  <si>
    <t>完全達成</t>
  </si>
  <si>
    <t>0x00e27158</t>
  </si>
  <si>
    <t>体</t>
  </si>
  <si>
    <t>0x00e27164</t>
  </si>
  <si>
    <t>プレイ中の難易度</t>
  </si>
  <si>
    <t>0x00e2717c</t>
  </si>
  <si>
    <t>コンティニュー回数</t>
  </si>
  <si>
    <t>0x00e27194</t>
  </si>
  <si>
    <t>クリア時のレベル</t>
  </si>
  <si>
    <t>0x00e271ac</t>
  </si>
  <si>
    <t>精進目録達成数</t>
  </si>
  <si>
    <t>0x00e271bc</t>
  </si>
  <si>
    <t>獲得隊士カード数</t>
  </si>
  <si>
    <t>0x00e271d4</t>
  </si>
  <si>
    <t>コンプリートトータル</t>
  </si>
  <si>
    <t>0x00e2720c</t>
  </si>
  <si>
    <t>%sを手に入れた。</t>
  </si>
  <si>
    <t>0x00e27224</t>
  </si>
  <si>
    <t>%sを入手できるようになりました。</t>
  </si>
  <si>
    <t>0x00e27260</t>
  </si>
  <si>
    <t xml:space="preserve"> クリア後モードとして、[n][n]幕末漫遊[n]究極闘技[n][n]がメニューに追加されました。</t>
  </si>
  <si>
    <t>0x00e272b0</t>
  </si>
  <si>
    <t>難易度設定に達人級が追加されました。</t>
  </si>
  <si>
    <t>0x00e272e4</t>
  </si>
  <si>
    <t>「クリアデータ使用で最初から」または、[n]「幕末漫遊」でゲームを開始すると[n]「占いの店　ナオミの館」で受け取ることができます。</t>
  </si>
  <si>
    <t>0x00e27364</t>
  </si>
  <si>
    <t>「クリアデータ使用で最初から」または、「幕末漫遊」でゲームを開始すると[n]寺田屋にいる宇都宮から「%s」を入手することができます。</t>
  </si>
  <si>
    <t>0x00e273f0</t>
  </si>
  <si>
    <t>%s　%sが選べるようになりました。</t>
  </si>
  <si>
    <t>0x00e27420</t>
  </si>
  <si>
    <t>最強</t>
  </si>
  <si>
    <t>0x00e27428</t>
  </si>
  <si>
    <t>最弱</t>
  </si>
  <si>
    <t>0x00e2743c</t>
  </si>
  <si>
    <t>ＮＥＴＷＯＲＫサービスについて</t>
  </si>
  <si>
    <t>0x00e2745c</t>
  </si>
  <si>
    <t>手動アップデート</t>
  </si>
  <si>
    <t>0x00e27484</t>
  </si>
  <si>
    <t>0x00e2748c</t>
  </si>
  <si>
    <t>ワイヤレスコントローラを２個接続してください</t>
  </si>
  <si>
    <t>0x00e274c4</t>
  </si>
  <si>
    <t>ネットワークを使用することで利用できるコンテンツについて確認できます。</t>
  </si>
  <si>
    <t>0x00e2750c</t>
  </si>
  <si>
    <t>追加されたコンテンツの情報を確認できます。</t>
  </si>
  <si>
    <t>0x00e2753c</t>
  </si>
  <si>
    <t>ネットワークに接続されている本体は自動アップデー[n]ト致しますが、途中切断された等、失敗した場合に、[n]こちらから手動でアップデートを行うことができます。</t>
  </si>
  <si>
    <t>0x00e275f4</t>
  </si>
  <si>
    <t>&lt;Sign:D&gt;同意する</t>
  </si>
  <si>
    <t>0x00e2760c</t>
  </si>
  <si>
    <t>&lt;Sign:C&gt;同意しない</t>
  </si>
  <si>
    <t>0x00e27630</t>
  </si>
  <si>
    <t>択</t>
  </si>
  <si>
    <t>0x00e2763c</t>
  </si>
  <si>
    <t>0x00e2764c</t>
  </si>
  <si>
    <t>0x00e27660</t>
  </si>
  <si>
    <t>0x00e2769c</t>
  </si>
  <si>
    <t>0x00e276c8</t>
  </si>
  <si>
    <t>0x00e276cc</t>
  </si>
  <si>
    <t>0x00e276d4</t>
  </si>
  <si>
    <t>0x00e276dc</t>
  </si>
  <si>
    <t>0x00e276e8</t>
  </si>
  <si>
    <t>0x00e276f8</t>
  </si>
  <si>
    <t>0x00e27700</t>
  </si>
  <si>
    <t>0x00e27710</t>
  </si>
  <si>
    <t>オンラインで遊ぶ</t>
  </si>
  <si>
    <t>0x00e27728</t>
  </si>
  <si>
    <t>１人で遊ぶ</t>
  </si>
  <si>
    <t>0x00e27744</t>
  </si>
  <si>
    <t>麻雀、こいこい、おいちょかぶ、ポーカー、将棋[n]５種類のミニゲームをオンライン対戦で遊びます。</t>
  </si>
  <si>
    <t>0x00e277a4</t>
  </si>
  <si>
    <t>麻雀、こいこい、おいちょかぶ、ポーカー、将棋[n]５種類のミニゲームを１人だけで遊びます。</t>
  </si>
  <si>
    <t>0x00e2781c</t>
  </si>
  <si>
    <t>麻雀牌を使い、順番に牌を引いていき[n]役作りの早さと役の強さで勝負します。</t>
  </si>
  <si>
    <t>0x00e27864</t>
  </si>
  <si>
    <t>将棋駒を使い、交互に手駒を動かして[n]どちらが先に相手の王将を取るかで勝負します。</t>
  </si>
  <si>
    <t>0x00e278b4</t>
  </si>
  <si>
    <t>花札を使い、絵合わせを行って役を作っていき[n]勝負します。</t>
  </si>
  <si>
    <t>0x00e278ec</t>
  </si>
  <si>
    <t>株札または花札を使い、手札が２〜３枚配られて[n]その合計数値の下一桁で勝負します。</t>
  </si>
  <si>
    <t>0x00e2793c</t>
  </si>
  <si>
    <t>異国の遊び札を使い、５枚の札の組み合わせを考えて[n]役の強さで勝負します。</t>
  </si>
  <si>
    <t>0x00e27998</t>
  </si>
  <si>
    <t>高賭け点</t>
  </si>
  <si>
    <t>0x00e279a8</t>
  </si>
  <si>
    <t>低賭け点</t>
  </si>
  <si>
    <t>0x00e279c4</t>
  </si>
  <si>
    <t>一勝負</t>
  </si>
  <si>
    <t>0x00e279d4</t>
  </si>
  <si>
    <t>賭け点２５０点を点棒２５０００点と交換して遊びます。</t>
  </si>
  <si>
    <t>0x00e27a0c</t>
  </si>
  <si>
    <t>賭け点２５点を点棒２５０００点と交換して遊びます。</t>
  </si>
  <si>
    <t>0x00e27a44</t>
  </si>
  <si>
    <t>賭け点が足りないので遊べません。[n]２５０点以上貯めてください。</t>
  </si>
  <si>
    <t>0x00e27a84</t>
  </si>
  <si>
    <t>賭け点が足りないので遊べません。[n]２５点以上貯めてください。</t>
  </si>
  <si>
    <t>0x00e27ad4</t>
  </si>
  <si>
    <t>一勝負５点で遊べます。</t>
  </si>
  <si>
    <t>0x00e27af8</t>
  </si>
  <si>
    <t>オンライン対戦のこいこいは３回勝負になります。[n]対戦相手との得点差×１００点がやり取りされます。[n]高賭け点で遊ぶには、最低２０００点必要です。</t>
  </si>
  <si>
    <t>0x00e27b88</t>
  </si>
  <si>
    <t>オンライン対戦のこいこいは３回勝負になります。[n]対戦相手との得点差×１０点がやり取りされます。[n]低賭け点で遊ぶには、最低２００点必要です。</t>
  </si>
  <si>
    <t>0x00e27c2c</t>
  </si>
  <si>
    <t>オンライン対戦のおいちょかぶは４回勝負になります。[n]一度に賭けられる賭け点の上限は１０００点までです。[n]高賭け点で遊ぶには、最低４０００点必要です。</t>
  </si>
  <si>
    <t>0x00e27cc4</t>
  </si>
  <si>
    <t>オンライン対戦のおいちょかぶは４回勝負になります。[n]一度に賭けられる賭け点の上限は１００点までです。[n]低賭け点で遊ぶには、最低４００点必要です。</t>
  </si>
  <si>
    <t>0x00e27d54</t>
  </si>
  <si>
    <t>賭け点が足りないので遊べません。[n]４０００点以上貯めてください。</t>
  </si>
  <si>
    <t>0x00e27d94</t>
  </si>
  <si>
    <t>賭け点が足りないので遊べません。[n]４００点以上貯めてください。</t>
  </si>
  <si>
    <t>0x00e27de8</t>
  </si>
  <si>
    <t>高賭け点で遊ぶには、最低４０００点必要です。[n]テキサスホールデムで遊び、最低ＢＥＴ数は[n]１〜２ラウンドが５０点、３〜４ラウンドが１００点です。</t>
  </si>
  <si>
    <t>0x00e27e78</t>
  </si>
  <si>
    <t>低賭け点で遊ぶには、最低４００点必要です。[n]テキサスホールデムで遊び、最低ＢＥＴ数は[n]１〜２ラウンドが５点、３〜４ラウンドが１０点です。</t>
  </si>
  <si>
    <t>0x00e27f14</t>
  </si>
  <si>
    <t>一度に賭けられる賭け点の上限は１０００点までです。[n]高賭け点で遊ぶには、最低１０００点必要です。</t>
  </si>
  <si>
    <t>0x00e27f74</t>
  </si>
  <si>
    <t>一度に賭けられる賭け点の上限は１００点までです。[n]低賭け点で遊ぶには、最低１００点必要です。</t>
  </si>
  <si>
    <t>0x00e27fe4</t>
  </si>
  <si>
    <t>高賭け点で遊ぶには、最低１０００点必要です。</t>
  </si>
  <si>
    <t>0x00e28014</t>
  </si>
  <si>
    <t>低賭け点で遊ぶには、最低１００点必要です。</t>
  </si>
  <si>
    <t>0x00e280dc</t>
  </si>
  <si>
    <t>所</t>
  </si>
  <si>
    <t>0x00e280e4</t>
  </si>
  <si>
    <t>0x00e280f0</t>
  </si>
  <si>
    <t>賭け点交換</t>
  </si>
  <si>
    <t>0x00e28100</t>
  </si>
  <si>
    <t>お金で購入</t>
  </si>
  <si>
    <t>0x00e2811c</t>
  </si>
  <si>
    <t>賭け点をお持ちでしたら、[n]いろいろな景品、またはお金と交換しまっせ。</t>
  </si>
  <si>
    <t>0x00e28164</t>
  </si>
  <si>
    <t>お金をお持ちでしたら、[n]いろいろな景品、または賭け点と交換しまっせ。</t>
  </si>
  <si>
    <t>0x00e281b4</t>
  </si>
  <si>
    <t>サーバーからセーブデータをダウンロードして、[n]PlayStation3、またはPlayStation4と[n]PlayStationVita間で、進行状況を共有します。[n]アップロードとダウンロードは同じオンラインIDで[n]「PSN」にサインインしてください。[n][n]&lt;Color:5&gt;サーバーからダウンロードしたセーブデータを保存すると[n]ストーリーの進行状況やクリア状況は、[n]ダウンロードしたセーブデータのものに上書きされます。[n][n]ゲームをクリアした後であっても、[n]サーバーからダウンロードしたセーブデータが[n]ゲームクリア前の状態の場合、ストーリー進行や[n]クリア状況などが過去に戻り、やり直しになるため[n]セーブデータの新旧には十分ご注意ください。</t>
  </si>
  <si>
    <t>0x00e283fc</t>
  </si>
  <si>
    <t>セーブデータをサーバーへアップロードして、[n]PlayStation3、またはPlayStation4と[n]PlayStationVita間で、進行状況を共有します。[n]アップロードとダウンロードは同じオンラインIDで[n]「PSN」にサインインしてください。</t>
  </si>
  <si>
    <t>0x00e284d4</t>
  </si>
  <si>
    <t>総プレイ時間</t>
  </si>
  <si>
    <t>0x00e284e4</t>
  </si>
  <si>
    <t>レベル</t>
  </si>
  <si>
    <t>0x00e284ec</t>
  </si>
  <si>
    <t>経験値</t>
  </si>
  <si>
    <t>0x00e284f4</t>
  </si>
  <si>
    <t>解決した任務数</t>
  </si>
  <si>
    <t>0x00e28504</t>
  </si>
  <si>
    <t>隊士カード数</t>
  </si>
  <si>
    <t>0x00e28514</t>
  </si>
  <si>
    <t>栽培した作物の種類</t>
  </si>
  <si>
    <t>0x00e2852c</t>
  </si>
  <si>
    <t>釣り上げた魚の種類</t>
  </si>
  <si>
    <t>0x00e28544</t>
  </si>
  <si>
    <t>完成済みの料理品数</t>
  </si>
  <si>
    <t>0x00e2855c</t>
  </si>
  <si>
    <t>納品済みの品物数</t>
  </si>
  <si>
    <t>0x00e285d0</t>
  </si>
  <si>
    <t>ペアレンタルロックが設定されているため[n]オンラインサービスを利用できません。</t>
  </si>
  <si>
    <t>0x00e28624</t>
  </si>
  <si>
    <t>アイテムなし</t>
  </si>
  <si>
    <t>0x00e2863c</t>
  </si>
  <si>
    <t>%2d位</t>
  </si>
  <si>
    <t>0x00e28644</t>
  </si>
  <si>
    <t>%4d点</t>
  </si>
  <si>
    <t>0x00e28654</t>
  </si>
  <si>
    <t>%8d個</t>
  </si>
  <si>
    <t>0x00e2865c</t>
  </si>
  <si>
    <t>%d両%04d文</t>
  </si>
  <si>
    <t>0x00e2866c</t>
  </si>
  <si>
    <t>%2d勝</t>
  </si>
  <si>
    <t>0x00e28674</t>
  </si>
  <si>
    <t>%2d連勝</t>
  </si>
  <si>
    <t>0x00e2867c</t>
  </si>
  <si>
    <t>%3.2f倍</t>
  </si>
  <si>
    <t>0x00e2869c</t>
  </si>
  <si>
    <t>%d連撃</t>
  </si>
  <si>
    <t>0x00e286a4</t>
  </si>
  <si>
    <t>%d人撃破</t>
  </si>
  <si>
    <t>0x00e286b4</t>
  </si>
  <si>
    <t>%3d回</t>
  </si>
  <si>
    <t>0x00e286bc</t>
  </si>
  <si>
    <t>%4d人</t>
  </si>
  <si>
    <t>0x00e286c4</t>
  </si>
  <si>
    <t>%3d戦%3d勝%3d敗</t>
  </si>
  <si>
    <t>0x00e286d4</t>
  </si>
  <si>
    <t>勝率%3d％</t>
  </si>
  <si>
    <t>0x00e286e4</t>
  </si>
  <si>
    <t>%4d文</t>
  </si>
  <si>
    <t>0x00e286ec</t>
  </si>
  <si>
    <t>×%d倍</t>
  </si>
  <si>
    <t>0x00e286f4</t>
  </si>
  <si>
    <t>%d万%04d個</t>
  </si>
  <si>
    <t>0x00e28704</t>
  </si>
  <si>
    <t>%d戦%3d勝%3d敗</t>
  </si>
  <si>
    <t>0x00e28768</t>
  </si>
  <si>
    <t>獲得闘玉</t>
  </si>
  <si>
    <t>0x00e28778</t>
  </si>
  <si>
    <t>獲得賞金</t>
  </si>
  <si>
    <t>0x00e28794</t>
  </si>
  <si>
    <t>%3d人中%3d人撃破</t>
  </si>
  <si>
    <t>0x00e287b4</t>
  </si>
  <si>
    <t>%2d戦%2d勝%2d敗</t>
  </si>
  <si>
    <t>0x00e287c8</t>
  </si>
  <si>
    <t>特別報酬</t>
  </si>
  <si>
    <t>0x00e287d8</t>
  </si>
  <si>
    <t>番付得点合計</t>
  </si>
  <si>
    <t>0x00e287e8</t>
  </si>
  <si>
    <t>踏破時間</t>
  </si>
  <si>
    <t>0x00e287f8</t>
  </si>
  <si>
    <t>残り体力</t>
  </si>
  <si>
    <t>0x00e28808</t>
  </si>
  <si>
    <t>撃破人数</t>
  </si>
  <si>
    <t>0x00e28818</t>
  </si>
  <si>
    <t>最終評価</t>
  </si>
  <si>
    <t>0x00e28828</t>
  </si>
  <si>
    <t>基本報酬</t>
  </si>
  <si>
    <t>0x00e28838</t>
  </si>
  <si>
    <t>連勝ボーナス</t>
  </si>
  <si>
    <t>0x00e28870</t>
  </si>
  <si>
    <t>辻斬り侍</t>
  </si>
  <si>
    <t>0x00e28880</t>
  </si>
  <si>
    <t>剣豪</t>
  </si>
  <si>
    <t>0x00e288c0</t>
  </si>
  <si>
    <t>詳細を見る</t>
  </si>
  <si>
    <t>0x00e288d8</t>
  </si>
  <si>
    <t>参加回数</t>
  </si>
  <si>
    <t>0x00e288e8</t>
  </si>
  <si>
    <t>順位点</t>
  </si>
  <si>
    <t>0x00e288f0</t>
  </si>
  <si>
    <t>斬った人数</t>
  </si>
  <si>
    <t>0x00e28900</t>
  </si>
  <si>
    <t>達成回数</t>
  </si>
  <si>
    <t>0x00e28910</t>
  </si>
  <si>
    <t>総合戦績</t>
  </si>
  <si>
    <t>0x00e28920</t>
  </si>
  <si>
    <t>頂点の座　死守回数</t>
  </si>
  <si>
    <t>0x00e28938</t>
  </si>
  <si>
    <t>武器王座決定戦優勝回数</t>
  </si>
  <si>
    <t>0x00e28970</t>
  </si>
  <si>
    <t>参加者</t>
  </si>
  <si>
    <t>0x00e28980</t>
  </si>
  <si>
    <t>一回戦</t>
  </si>
  <si>
    <t>0x00e28988</t>
  </si>
  <si>
    <t>二回戦</t>
  </si>
  <si>
    <t>0x00e28990</t>
  </si>
  <si>
    <t>三回戦</t>
  </si>
  <si>
    <t>0x00e28998</t>
  </si>
  <si>
    <t>四回戦</t>
  </si>
  <si>
    <t>0x00e289a0</t>
  </si>
  <si>
    <t>五回戦</t>
  </si>
  <si>
    <t>0x00e289c0</t>
  </si>
  <si>
    <t>京にいる強者達が集まり[n]「強者の宴」が解放されました</t>
  </si>
  <si>
    <t>0x00e28a08</t>
  </si>
  <si>
    <t>新入り配信者</t>
  </si>
  <si>
    <t>0x00e28a18</t>
  </si>
  <si>
    <t>駆け出し配信者</t>
  </si>
  <si>
    <t>0x00e28a28</t>
  </si>
  <si>
    <t>中堅配信者</t>
  </si>
  <si>
    <t>0x00e28a38</t>
  </si>
  <si>
    <t>人気配信者</t>
  </si>
  <si>
    <t>0x00e28a48</t>
  </si>
  <si>
    <t>豪傑の配信者</t>
  </si>
  <si>
    <t>0x00e28a58</t>
  </si>
  <si>
    <t>百戦錬磨の配信者</t>
  </si>
  <si>
    <t>0x00e28a70</t>
  </si>
  <si>
    <t>一騎当千の配信者</t>
  </si>
  <si>
    <t>0x00e28a88</t>
  </si>
  <si>
    <t>天下の配信者</t>
  </si>
  <si>
    <t>0x00e28a98</t>
  </si>
  <si>
    <t>究極の配信者</t>
  </si>
  <si>
    <t>0x00e28aa8</t>
  </si>
  <si>
    <t>伝説の配信者</t>
  </si>
  <si>
    <t>0x00e28ae4</t>
  </si>
  <si>
    <t>血に飢えた猛者たちが集まる闘技の場[n]戦いに飢えた者達はこちらへ！</t>
  </si>
  <si>
    <t>0x00e28b24</t>
  </si>
  <si>
    <t>闘玉を各種商品と交換することができます。</t>
  </si>
  <si>
    <t>0x00e28b54</t>
  </si>
  <si>
    <t>闘技場に出場している猛者たちの情報を見ることができます。</t>
  </si>
  <si>
    <t>0x00e28b94</t>
  </si>
  <si>
    <t>闘技場４つの掟です。</t>
  </si>
  <si>
    <t>0x00e28bc0</t>
  </si>
  <si>
    <t>五人との勝ち抜き戦を行います。[n]連勝するたびに獲得できる闘玉と賞金が増えます。</t>
  </si>
  <si>
    <t>0x00e28c10</t>
  </si>
  <si>
    <t>鍛えぬいた体とたった一つの武器を持って、迫りくる百人の刺客を撃退せよ！　[n]目指せ、百人斬りの称号！！</t>
  </si>
  <si>
    <t>0x00e28c80</t>
  </si>
  <si>
    <t>闘技場に訪れた者がまず初めに挑戦する闘い。[n]賞金　三百文　　闘玉　五十個</t>
  </si>
  <si>
    <t>0x00e28cc8</t>
  </si>
  <si>
    <t>洗礼を終えた者が己の技や武器を試す、試練の闘い。[n]賞金　三百文　　闘玉　五十個</t>
  </si>
  <si>
    <t>0x00e28d18</t>
  </si>
  <si>
    <t>独自の武器を持った者たちの闘い。　鬼の面を被った男に注意せよ。[n]賞金　千文　　闘玉　二百個</t>
  </si>
  <si>
    <t>0x00e28d78</t>
  </si>
  <si>
    <t>武器を持たない者たちが集まった闘い。　顔に痣がある男に注意せよ。[n]賞金　二千五百文　　闘玉　百個</t>
  </si>
  <si>
    <t>0x00e28dd8</t>
  </si>
  <si>
    <t>刀に狂った者たちの宴。　大太刀の一撃に注意せよ。[n]賞金　二千文　　闘玉　二百個</t>
  </si>
  <si>
    <t>0x00e28e28</t>
  </si>
  <si>
    <t>銃を極めた者たちが集う宴。　属性弾を撃つ者たちに注意せよ。[n]賞金　二千文　　闘玉　二百個</t>
  </si>
  <si>
    <t>0x00e28e80</t>
  </si>
  <si>
    <t>京にいる猛者たちが集まった、最強を決める闘い。[n]賞金　五千文　　闘玉　三百個　[n]※京にいる猛者たちと出会うと解放されます。</t>
  </si>
  <si>
    <t>0x00e28f00</t>
  </si>
  <si>
    <t>京にいる猛者たちが集まった、最強を決める闘い。[n]賞金　五千文　　闘玉　三百個</t>
  </si>
  <si>
    <t>0x00e28f70</t>
  </si>
  <si>
    <t>百人斬りに挑戦する武器を選択してください。</t>
  </si>
  <si>
    <t>0x00e28fb8</t>
  </si>
  <si>
    <t>経験値%s</t>
  </si>
  <si>
    <t>0x00e28fd0</t>
  </si>
  <si>
    <t>闘技場ポイント%s</t>
  </si>
  <si>
    <t>0x00e28ff0</t>
  </si>
  <si>
    <t>洗礼の間</t>
  </si>
  <si>
    <t>0x00e29000</t>
  </si>
  <si>
    <t>試練の間</t>
  </si>
  <si>
    <t>0x00e29010</t>
  </si>
  <si>
    <t>我流武器戦</t>
  </si>
  <si>
    <t>0x00e29020</t>
  </si>
  <si>
    <t>無手組戦</t>
  </si>
  <si>
    <t>0x00e29030</t>
  </si>
  <si>
    <t>狂剣の宴</t>
  </si>
  <si>
    <t>0x00e29040</t>
  </si>
  <si>
    <t>銃撃の宴</t>
  </si>
  <si>
    <t>0x00e29050</t>
  </si>
  <si>
    <t>強者の宴</t>
  </si>
  <si>
    <t>0x00e29080</t>
  </si>
  <si>
    <t>名前</t>
  </si>
  <si>
    <t>0x00e29088</t>
  </si>
  <si>
    <t>0x00e29094</t>
  </si>
  <si>
    <t>素材</t>
  </si>
  <si>
    <t>0x00e2909c</t>
  </si>
  <si>
    <t>情報</t>
  </si>
  <si>
    <t>0x00e290bc</t>
  </si>
  <si>
    <t>試合を始めますか？</t>
  </si>
  <si>
    <t>0x00e290d4</t>
  </si>
  <si>
    <t>試合を開始する</t>
  </si>
  <si>
    <t>0x00e290e4</t>
  </si>
  <si>
    <t>次の試合へ</t>
  </si>
  <si>
    <t>0x00e2a33c</t>
  </si>
  <si>
    <t>笘</t>
  </si>
  <si>
    <t>0x00e2a530</t>
  </si>
  <si>
    <t>通常</t>
  </si>
  <si>
    <t>0x00e2a538</t>
  </si>
  <si>
    <t>農作</t>
  </si>
  <si>
    <t>0x00e2a540</t>
  </si>
  <si>
    <t>0x00e2a54c</t>
  </si>
  <si>
    <t>武器(剣)</t>
  </si>
  <si>
    <t>0x00e2a55c</t>
  </si>
  <si>
    <t>武器(特)</t>
  </si>
  <si>
    <t>0x00e2a56c</t>
  </si>
  <si>
    <t>武器(銃)</t>
  </si>
  <si>
    <t>0x00e2a57c</t>
  </si>
  <si>
    <t>武器(弾)</t>
  </si>
  <si>
    <t>0x00e2a58c</t>
  </si>
  <si>
    <t>防具(頭)</t>
  </si>
  <si>
    <t>0x00e2a59c</t>
  </si>
  <si>
    <t>防具(胴)</t>
  </si>
  <si>
    <t>0x00e2a5ac</t>
  </si>
  <si>
    <t>防具(腕)</t>
  </si>
  <si>
    <t>0x00e2a5bc</t>
  </si>
  <si>
    <t>重要</t>
  </si>
  <si>
    <t>0x00e2a5f8</t>
  </si>
  <si>
    <t>弾</t>
  </si>
  <si>
    <t>0x00e2a5fc</t>
  </si>
  <si>
    <t>特</t>
  </si>
  <si>
    <t>0x00e2a600</t>
  </si>
  <si>
    <t>0x00e2a604</t>
  </si>
  <si>
    <t>0x00e2a608</t>
  </si>
  <si>
    <t>んんんんんんんんを</t>
  </si>
  <si>
    <t>0x00e2a620</t>
  </si>
  <si>
    <t>んんんんんんんんん</t>
  </si>
  <si>
    <t>0x00e2a638</t>
  </si>
  <si>
    <t>0x00e2a640</t>
  </si>
  <si>
    <t>胴</t>
  </si>
  <si>
    <t>0x00e2a648</t>
  </si>
  <si>
    <t>飾</t>
  </si>
  <si>
    <t>0x00e2a6e4</t>
  </si>
  <si>
    <t>腕</t>
  </si>
  <si>
    <t>0x00e2a6e8</t>
  </si>
  <si>
    <t>0x00e19c94</t>
  </si>
  <si>
    <t>0x00e19cb8</t>
  </si>
  <si>
    <t>0x00e19cd0</t>
  </si>
  <si>
    <t>0x00e19ce8</t>
  </si>
  <si>
    <t>0x00e19d10</t>
  </si>
  <si>
    <t>0x00e19d20</t>
  </si>
  <si>
    <t>0x00e19d40</t>
  </si>
  <si>
    <t>0x00e19d5c</t>
  </si>
  <si>
    <t>0x00e19d6c</t>
  </si>
  <si>
    <t>0x00e19d7c</t>
  </si>
  <si>
    <t>0x00e19d9c</t>
  </si>
  <si>
    <t>0x00e19dbc</t>
  </si>
  <si>
    <t>0x00e19dcc</t>
  </si>
  <si>
    <t>0x00e19df4</t>
  </si>
  <si>
    <t>0x00e19e04</t>
  </si>
  <si>
    <t>0x00e19e14</t>
  </si>
  <si>
    <t>0x00e19e24</t>
  </si>
  <si>
    <t>0x00e19e6c</t>
  </si>
  <si>
    <t>0x00e19e7c</t>
  </si>
  <si>
    <t>0x00e19eb0</t>
  </si>
  <si>
    <t>0x00e19ec8</t>
  </si>
  <si>
    <t>0x00e19ed0</t>
  </si>
  <si>
    <t>0x00e19ed8</t>
  </si>
  <si>
    <t>0x00e19ee0</t>
  </si>
  <si>
    <t>0x00e19ee8</t>
  </si>
  <si>
    <t>0x00e19ef0</t>
  </si>
  <si>
    <t>0x00e19f20</t>
  </si>
  <si>
    <t>0x00e19f40</t>
  </si>
  <si>
    <t>0x00e19f7c</t>
  </si>
  <si>
    <t>0x00e19f8c</t>
  </si>
  <si>
    <t>0x00e19fa4</t>
  </si>
  <si>
    <t>0x00e19fb4</t>
  </si>
  <si>
    <t>0x00e1a004</t>
  </si>
  <si>
    <t>0x00e1a030</t>
  </si>
  <si>
    <t>0x00e1a040</t>
  </si>
  <si>
    <t>0x00e1a050</t>
  </si>
  <si>
    <t>0x00e1a070</t>
  </si>
  <si>
    <t>0x00e1a088</t>
  </si>
  <si>
    <t>0x00e1a098</t>
  </si>
  <si>
    <t>0x00e1a0a8</t>
  </si>
  <si>
    <t>0x00e1a0b8</t>
  </si>
  <si>
    <t>0x00e1a0c8</t>
  </si>
  <si>
    <t>0x00e1a0d8</t>
  </si>
  <si>
    <t>0x00e1a0e8</t>
  </si>
  <si>
    <t>0x00e1a124</t>
  </si>
  <si>
    <t>0x00e1a14c</t>
  </si>
  <si>
    <t>0x00e1a164</t>
  </si>
  <si>
    <t>0x00e1a18c</t>
  </si>
  <si>
    <t>0x00e1a194</t>
  </si>
  <si>
    <t>0x00e1a1ac</t>
  </si>
  <si>
    <t>0x00e1a1c0</t>
  </si>
  <si>
    <t>0x00e1a1d0</t>
  </si>
  <si>
    <t>0x00e1a1e0</t>
  </si>
  <si>
    <t>0x00e1a1f0</t>
  </si>
  <si>
    <t>0x00e1a208</t>
  </si>
  <si>
    <t>0x00e1a218</t>
  </si>
  <si>
    <t>0x00e1a228</t>
  </si>
  <si>
    <t>0x00e1a258</t>
  </si>
  <si>
    <t>0x00e1a2a0</t>
  </si>
  <si>
    <t>0x00e1a2b0</t>
  </si>
  <si>
    <t>0x00e1a2d0</t>
  </si>
  <si>
    <t>0x00e1a2e0</t>
  </si>
  <si>
    <t>0x00e1a338</t>
  </si>
  <si>
    <t>0x00e1a348</t>
  </si>
  <si>
    <t>0x00e1a378</t>
  </si>
  <si>
    <t>0x00e1a398</t>
  </si>
  <si>
    <t>0x00e1a3a8</t>
  </si>
  <si>
    <t>0x00e1a3d8</t>
  </si>
  <si>
    <t>0x00e1a3f0</t>
  </si>
  <si>
    <t>0x00e1a430</t>
  </si>
  <si>
    <t>0x00e1a460</t>
  </si>
  <si>
    <t>0x00e1a4a0</t>
  </si>
  <si>
    <t>0x00e1a4b8</t>
  </si>
  <si>
    <t>0x00e1a5cc</t>
  </si>
  <si>
    <t>0x00e1a5e0</t>
  </si>
  <si>
    <t>0x00e1a5f0</t>
  </si>
  <si>
    <t>0x00e1a634</t>
  </si>
  <si>
    <t>0x00e1a690</t>
  </si>
  <si>
    <t>0x00e1a728</t>
  </si>
  <si>
    <t>0x00e1a78c</t>
  </si>
  <si>
    <t>0x00e1a794</t>
  </si>
  <si>
    <t>0x00e1a798</t>
  </si>
  <si>
    <t>0x00e1a7b8</t>
  </si>
  <si>
    <t>0x00e1a7c8</t>
  </si>
  <si>
    <t>0x00e1a7d8</t>
  </si>
  <si>
    <t>0x00e1a7e8</t>
  </si>
  <si>
    <t>0x00e1a7f8</t>
  </si>
  <si>
    <t>0x00e1a808</t>
  </si>
  <si>
    <t>0x00e1a844</t>
  </si>
  <si>
    <t>0x00e1a84c</t>
  </si>
  <si>
    <t>0x00e1a85c</t>
  </si>
  <si>
    <t>0x00e1a86c</t>
  </si>
  <si>
    <t>0x00e1a87c</t>
  </si>
  <si>
    <t>0x00e1a8c8</t>
  </si>
  <si>
    <t>0x00e1a8d8</t>
  </si>
  <si>
    <t>0x00e1a8e8</t>
  </si>
  <si>
    <t>0x00e1a8f8</t>
  </si>
  <si>
    <t>0x00e1a900</t>
  </si>
  <si>
    <t>0x00e1a924</t>
  </si>
  <si>
    <t>0x00e1a934</t>
  </si>
  <si>
    <t>0x00e1a94c</t>
  </si>
  <si>
    <t>0x00e1a9bc</t>
  </si>
  <si>
    <t>0x00e1a9dc</t>
  </si>
  <si>
    <t>0x00e1a9fc</t>
  </si>
  <si>
    <t>0x00e1aa04</t>
  </si>
  <si>
    <t>0x00e1aa0c</t>
  </si>
  <si>
    <t>0x00e1aa18</t>
  </si>
  <si>
    <t>0x00e1aa34</t>
  </si>
  <si>
    <t>0x00e1aa4c</t>
  </si>
  <si>
    <t>0x00e1aa68</t>
  </si>
  <si>
    <t>0x00e1aa78</t>
  </si>
  <si>
    <t>0x00e1aa80</t>
  </si>
  <si>
    <t>0x00e1aa88</t>
  </si>
  <si>
    <t>0x00e1aa9c</t>
  </si>
  <si>
    <t>0x00e1aaa4</t>
  </si>
  <si>
    <t>0x00e1aaac</t>
  </si>
  <si>
    <t>0x00e1aabc</t>
  </si>
  <si>
    <t>0x00e1aac8</t>
  </si>
  <si>
    <t>0x00e1ab5c</t>
  </si>
  <si>
    <t>0x00e1ab70</t>
  </si>
  <si>
    <t>0x00e1ab74</t>
  </si>
  <si>
    <t>0x00e1ab7c</t>
  </si>
  <si>
    <t>0x00e1ab94</t>
  </si>
  <si>
    <t>0x00e1ab98</t>
  </si>
  <si>
    <t>0x00e1aba0</t>
  </si>
  <si>
    <t>0x00e1abac</t>
  </si>
  <si>
    <t>0x00e1abb4</t>
  </si>
  <si>
    <t>0x00e1abc0</t>
  </si>
  <si>
    <t>0x00e1abc4</t>
  </si>
  <si>
    <t>0x00e1abc8</t>
  </si>
  <si>
    <t>0x00e1abd0</t>
  </si>
  <si>
    <t>0x00e1abd4</t>
  </si>
  <si>
    <t>0x00e1abd8</t>
  </si>
  <si>
    <t>0x00e1abe4</t>
  </si>
  <si>
    <t>0x00e1abec</t>
  </si>
  <si>
    <t>0x00e1abf8</t>
  </si>
  <si>
    <t>0x00e1ac98</t>
  </si>
  <si>
    <t>0x00e1aca0</t>
  </si>
  <si>
    <t>0x00e1aca8</t>
  </si>
  <si>
    <t>0x00e1acb0</t>
  </si>
  <si>
    <t>0x00e1ad38</t>
  </si>
  <si>
    <t>0x00e1ad3c</t>
  </si>
  <si>
    <t>0x00e1ad6c</t>
  </si>
  <si>
    <t>0x00e1ad94</t>
  </si>
  <si>
    <t>0x00e1ada0</t>
  </si>
  <si>
    <t>0x00e1adac</t>
  </si>
  <si>
    <t>0x00e1adb4</t>
  </si>
  <si>
    <t>0x00e1adc0</t>
  </si>
  <si>
    <t>0x00e1adcc</t>
  </si>
  <si>
    <t>0x00e1add4</t>
  </si>
  <si>
    <t>0x00e1adf8</t>
  </si>
  <si>
    <t>0x00e1adfc</t>
  </si>
  <si>
    <t>0x00e1ae1c</t>
  </si>
  <si>
    <t>0x00e1ae24</t>
  </si>
  <si>
    <t>0x00e1ae44</t>
  </si>
  <si>
    <t>0x00e1ae58</t>
  </si>
  <si>
    <t>0x00e1ae60</t>
  </si>
  <si>
    <t>0x00e1ae70</t>
  </si>
  <si>
    <t>0x00e1ae80</t>
  </si>
  <si>
    <t>0x00e1ae84</t>
  </si>
  <si>
    <t>0x00e1ae8c</t>
  </si>
  <si>
    <t>0x00e1ae98</t>
  </si>
  <si>
    <t>0x00e1aeb0</t>
  </si>
  <si>
    <t>0x00e1aec0</t>
  </si>
  <si>
    <t>0x00e1aec8</t>
  </si>
  <si>
    <t>0x00e1aed0</t>
  </si>
  <si>
    <t>0x00e1aef8</t>
  </si>
  <si>
    <t>0x00e1af10</t>
  </si>
  <si>
    <t>0x00e1af20</t>
  </si>
  <si>
    <t>0x00e1af28</t>
  </si>
  <si>
    <t>0x00e1af38</t>
  </si>
  <si>
    <t>0x00e1af58</t>
  </si>
  <si>
    <t>0x00e1af60</t>
  </si>
  <si>
    <t>0x00e1af68</t>
  </si>
  <si>
    <t>0x00e1af80</t>
  </si>
  <si>
    <t>0x00e1b008</t>
  </si>
  <si>
    <t>0x00e1b010</t>
  </si>
  <si>
    <t>0x00e1b020</t>
  </si>
  <si>
    <t>0x00e1b030</t>
  </si>
  <si>
    <t>0x00e1b040</t>
  </si>
  <si>
    <t>0x00e1b050</t>
  </si>
  <si>
    <t>0x00e1b080</t>
  </si>
  <si>
    <t>0x00e1b0e4</t>
  </si>
  <si>
    <t>0x00e1b0ec</t>
  </si>
  <si>
    <t>0x00e1b0f4</t>
  </si>
  <si>
    <t>0x00e1b104</t>
  </si>
  <si>
    <t>0x00e1b10c</t>
  </si>
  <si>
    <t>0x00e1b11c</t>
  </si>
  <si>
    <t>0x00e1b12c</t>
  </si>
  <si>
    <t>0x00e1b134</t>
  </si>
  <si>
    <t>0x00e1b13c</t>
  </si>
  <si>
    <t>0x00e1b14c</t>
  </si>
  <si>
    <t>0x00e1b188</t>
  </si>
  <si>
    <t>0x00e1b190</t>
  </si>
  <si>
    <t>0x00e1b198</t>
  </si>
  <si>
    <t>0x00e1b1a0</t>
  </si>
  <si>
    <t>0x00e1b1a8</t>
  </si>
  <si>
    <t>0x00e1b1b0</t>
  </si>
  <si>
    <t>0x00e1b1b8</t>
  </si>
  <si>
    <t>0x00e1b1c0</t>
  </si>
  <si>
    <t>0x00e1b1c8</t>
  </si>
  <si>
    <t>0x00e1b1d0</t>
  </si>
  <si>
    <t>0x00e1b1d8</t>
  </si>
  <si>
    <t>0x00e1b1e0</t>
  </si>
  <si>
    <t>0x00e1b1e8</t>
  </si>
  <si>
    <t>0x00e1b1f0</t>
  </si>
  <si>
    <t>0x00e1b1f8</t>
  </si>
  <si>
    <t>0x00e1b244</t>
  </si>
  <si>
    <t>0x00e1b24c</t>
  </si>
  <si>
    <t>0x00e1b254</t>
  </si>
  <si>
    <t>0x00e1b25c</t>
  </si>
  <si>
    <t>0x00e1b264</t>
  </si>
  <si>
    <t>0x00e1b26c</t>
  </si>
  <si>
    <t>0x00e1b274</t>
  </si>
  <si>
    <t>0x00e1b27c</t>
  </si>
  <si>
    <t>0x00e1b284</t>
  </si>
  <si>
    <t>0x00e1b28c</t>
  </si>
  <si>
    <t>0x00e1b2c0</t>
  </si>
  <si>
    <t>0x00e1b2d0</t>
  </si>
  <si>
    <t>0x00e1b2d8</t>
  </si>
  <si>
    <t>0x00e1b2e0</t>
  </si>
  <si>
    <t>0x00e1b2e8</t>
  </si>
  <si>
    <t>0x00e1b2f0</t>
  </si>
  <si>
    <t>0x00e1b2f8</t>
  </si>
  <si>
    <t>0x00e1b300</t>
  </si>
  <si>
    <t>0x00e1b308</t>
  </si>
  <si>
    <t>0x00e1b310</t>
  </si>
  <si>
    <t>0x00e1b318</t>
  </si>
  <si>
    <t>0x00e1b320</t>
  </si>
  <si>
    <t>0x00e1b328</t>
  </si>
  <si>
    <t>0x00e1b330</t>
  </si>
  <si>
    <t>0x00e1b338</t>
  </si>
  <si>
    <t>0x00e1b38c</t>
  </si>
  <si>
    <t>0x00e1b394</t>
  </si>
  <si>
    <t>0x00e1b39c</t>
  </si>
  <si>
    <t>0x00e1b3a4</t>
  </si>
  <si>
    <t>0x00e1b3ac</t>
  </si>
  <si>
    <t>0x00e1b3b4</t>
  </si>
  <si>
    <t>0x00e1b3bc</t>
  </si>
  <si>
    <t>0x00e1b3c4</t>
  </si>
  <si>
    <t>0x00e1b3cc</t>
  </si>
  <si>
    <t>0x00e1b3d4</t>
  </si>
  <si>
    <t>0x00e1b408</t>
  </si>
  <si>
    <t>0x00e1b410</t>
  </si>
  <si>
    <t>0x00e1b420</t>
  </si>
  <si>
    <t>0x00e1b430</t>
  </si>
  <si>
    <t>0x00e1b438</t>
  </si>
  <si>
    <t>0x00e1b440</t>
  </si>
  <si>
    <t>0x00e1b448</t>
  </si>
  <si>
    <t>0x00e1b450</t>
  </si>
  <si>
    <t>0x00e1b458</t>
  </si>
  <si>
    <t>0x00e1b460</t>
  </si>
  <si>
    <t>0x00e1b470</t>
  </si>
  <si>
    <t>0x00e1b478</t>
  </si>
  <si>
    <t>0x00e1b4fc</t>
  </si>
  <si>
    <t>0x00e1b504</t>
  </si>
  <si>
    <t>0x00e1b50c</t>
  </si>
  <si>
    <t>0x00e1b514</t>
  </si>
  <si>
    <t>0x00e1b51c</t>
  </si>
  <si>
    <t>0x00e1b524</t>
  </si>
  <si>
    <t>0x00e1b52c</t>
  </si>
  <si>
    <t>0x00e1b534</t>
  </si>
  <si>
    <t>0x00e1b53c</t>
  </si>
  <si>
    <t>0x00e1b544</t>
  </si>
  <si>
    <t>0x00e1b578</t>
  </si>
  <si>
    <t>0x00e1b580</t>
  </si>
  <si>
    <t>0x00e1b588</t>
  </si>
  <si>
    <t>0x00e1b590</t>
  </si>
  <si>
    <t>0x00e1b598</t>
  </si>
  <si>
    <t>0x00e1b5a8</t>
  </si>
  <si>
    <t>0x00e1b5b0</t>
  </si>
  <si>
    <t>0x00e1b5b8</t>
  </si>
  <si>
    <t>0x00e1b5c0</t>
  </si>
  <si>
    <t>0x00e1b5c8</t>
  </si>
  <si>
    <t>0x00e1b5d0</t>
  </si>
  <si>
    <t>0x00e1b5d8</t>
  </si>
  <si>
    <t>0x00e1b5e0</t>
  </si>
  <si>
    <t>0x00e1b5e8</t>
  </si>
  <si>
    <t>0x00e1b5f0</t>
  </si>
  <si>
    <t>0x00e1b644</t>
  </si>
  <si>
    <t>0x00e1b64c</t>
  </si>
  <si>
    <t>0x00e1b654</t>
  </si>
  <si>
    <t>0x00e1b65c</t>
  </si>
  <si>
    <t>0x00e1b664</t>
  </si>
  <si>
    <t>0x00e1b66c</t>
  </si>
  <si>
    <t>0x00e1b674</t>
  </si>
  <si>
    <t>0x00e1b67c</t>
  </si>
  <si>
    <t>0x00e1b684</t>
  </si>
  <si>
    <t>0x00e1b68c</t>
  </si>
  <si>
    <t>0x00e1b6c0</t>
  </si>
  <si>
    <t>0x00e1b6c8</t>
  </si>
  <si>
    <t>0x00e1b6d0</t>
  </si>
  <si>
    <t>0x00e1b6d8</t>
  </si>
  <si>
    <t>0x00e1b6e0</t>
  </si>
  <si>
    <t>0x00e1b6e8</t>
  </si>
  <si>
    <t>0x00e1b6f0</t>
  </si>
  <si>
    <t>0x00e1b6f8</t>
  </si>
  <si>
    <t>0x00e1b700</t>
  </si>
  <si>
    <t>0x00e1b708</t>
  </si>
  <si>
    <t>0x00e1b710</t>
  </si>
  <si>
    <t>0x00e1b718</t>
  </si>
  <si>
    <t>0x00e1b720</t>
  </si>
  <si>
    <t>0x00e1b728</t>
  </si>
  <si>
    <t>0x00e1b730</t>
  </si>
  <si>
    <t>0x00e1b7e0</t>
  </si>
  <si>
    <t>0x00e1b838</t>
  </si>
  <si>
    <t>0x00e1b858</t>
  </si>
  <si>
    <t>0x00e1b870</t>
  </si>
  <si>
    <t>0x00e1b964</t>
  </si>
  <si>
    <t>0x00e1b96c</t>
  </si>
  <si>
    <t>0x00e1b974</t>
  </si>
  <si>
    <t>0x00e1b97c</t>
  </si>
  <si>
    <t>0x00e1b984</t>
  </si>
  <si>
    <t>0x00e1b98c</t>
  </si>
  <si>
    <t>0x00e1b994</t>
  </si>
  <si>
    <t>0x00e1b99c</t>
  </si>
  <si>
    <t>0x00e1b9ac</t>
  </si>
  <si>
    <t>0x00e1b9b4</t>
  </si>
  <si>
    <t>0x00e1b9bc</t>
  </si>
  <si>
    <t>0x00e1b9c4</t>
  </si>
  <si>
    <t>0x00e1b9cc</t>
  </si>
  <si>
    <t>0x00e1b9d4</t>
  </si>
  <si>
    <t>0x00e1b9dc</t>
  </si>
  <si>
    <t>0x00e1ba24</t>
  </si>
  <si>
    <t>0x00e1bb08</t>
  </si>
  <si>
    <t>0x00e1bb10</t>
  </si>
  <si>
    <t>0x00e1bb18</t>
  </si>
  <si>
    <t>0x00e1bb20</t>
  </si>
  <si>
    <t>0x00e1bb28</t>
  </si>
  <si>
    <t>0x00e1bb30</t>
  </si>
  <si>
    <t>0x00e1bb38</t>
  </si>
  <si>
    <t>0x00e1bb40</t>
  </si>
  <si>
    <t>0x00e1bb48</t>
  </si>
  <si>
    <t>0x00e1bb50</t>
  </si>
  <si>
    <t>0x00e1bb58</t>
  </si>
  <si>
    <t>0x00e1bb60</t>
  </si>
  <si>
    <t>0x00e1bb68</t>
  </si>
  <si>
    <t>0x00e1bb70</t>
  </si>
  <si>
    <t>0x00e1bb78</t>
  </si>
  <si>
    <t>0x00e1bb80</t>
  </si>
  <si>
    <t>0x00e1bbfc</t>
  </si>
  <si>
    <t>0x00e1bc3c</t>
  </si>
  <si>
    <t>0x00e1bc5c</t>
  </si>
  <si>
    <t>0x00e1bca8</t>
  </si>
  <si>
    <t>0x00e1bcc0</t>
  </si>
  <si>
    <t>0x00e1bce0</t>
  </si>
  <si>
    <t>0x00e1bd30</t>
  </si>
  <si>
    <t>0x00e1bd80</t>
  </si>
  <si>
    <t>0x00e1bdc8</t>
  </si>
  <si>
    <t>0x00e1be08</t>
  </si>
  <si>
    <t>0x00e1be8c</t>
  </si>
  <si>
    <t>0x00e1be94</t>
  </si>
  <si>
    <t>0x00e1beac</t>
  </si>
  <si>
    <t>0x00e1bef4</t>
  </si>
  <si>
    <t>0x00e1bf38</t>
  </si>
  <si>
    <t>0x00e1bfb4</t>
  </si>
  <si>
    <t>0x00e1bff0</t>
  </si>
  <si>
    <t>0x00e1c02c</t>
  </si>
  <si>
    <t>0x00e1c0a4</t>
  </si>
  <si>
    <t>0x00e1c0b4</t>
  </si>
  <si>
    <t>0x00e1c0d0</t>
  </si>
  <si>
    <t>0x00e1c0d8</t>
  </si>
  <si>
    <t>0x00e1c0e0</t>
  </si>
  <si>
    <t>0x00e1c0fc</t>
  </si>
  <si>
    <t>0x00e1c11c</t>
  </si>
  <si>
    <t>0x00e1c14c</t>
  </si>
  <si>
    <t>0x00e1c174</t>
  </si>
  <si>
    <t>0x00e1c1a4</t>
  </si>
  <si>
    <t>0x00e1c1ac</t>
  </si>
  <si>
    <t>0x00e1c1bc</t>
  </si>
  <si>
    <t>0x00e1c1c4</t>
  </si>
  <si>
    <t>0x00e1c1e8</t>
  </si>
  <si>
    <t>0x00e1c238</t>
  </si>
  <si>
    <t>0x00e1c2c0</t>
  </si>
  <si>
    <t>0x00e1c2ec</t>
  </si>
  <si>
    <t>0x00e1c334</t>
  </si>
  <si>
    <t>0x00e1c34c</t>
  </si>
  <si>
    <t>0x00e1c364</t>
  </si>
  <si>
    <t>0x00e1c374</t>
  </si>
  <si>
    <t>0x00e1c384</t>
  </si>
  <si>
    <t>0x00e1c394</t>
  </si>
  <si>
    <t>0x00e1c3ac</t>
  </si>
  <si>
    <t>0x00e1c3c4</t>
  </si>
  <si>
    <t>0x00e1c3dc</t>
  </si>
  <si>
    <t>0x00e1c41c</t>
  </si>
  <si>
    <t>0x00e1c434</t>
  </si>
  <si>
    <t>0x00e1c44c</t>
  </si>
  <si>
    <t>0x00e1c4a0</t>
  </si>
  <si>
    <t>0x00e1c4b8</t>
  </si>
  <si>
    <t>0x00e1c4d0</t>
  </si>
  <si>
    <t>0x00e1c4e8</t>
  </si>
  <si>
    <t>0x00e1c4f0</t>
  </si>
  <si>
    <t>0x00e1c51c</t>
  </si>
  <si>
    <t>0x00e1c53c</t>
  </si>
  <si>
    <t>0x00e1c548</t>
  </si>
  <si>
    <t>0x00e1c580</t>
  </si>
  <si>
    <t>0x00e1c610</t>
  </si>
  <si>
    <t>0x00e1c670</t>
  </si>
  <si>
    <t>0x00e1c748</t>
  </si>
  <si>
    <t>0x00e1c754</t>
  </si>
  <si>
    <t>0x00e1c778</t>
  </si>
  <si>
    <t>0x00e1c780</t>
  </si>
  <si>
    <t>0x00e1c788</t>
  </si>
  <si>
    <t>0x00e1c790</t>
  </si>
  <si>
    <t>0x00e1c798</t>
  </si>
  <si>
    <t>0x00e1c7a0</t>
  </si>
  <si>
    <t>0x00e1c7a8</t>
  </si>
  <si>
    <t>0x00e1c7b0</t>
  </si>
  <si>
    <t>0x00e1c7b8</t>
  </si>
  <si>
    <t>0x00e1c7c0</t>
  </si>
  <si>
    <t>0x00e1c7d0</t>
  </si>
  <si>
    <t>0x00e1c7d8</t>
  </si>
  <si>
    <t>0x00e1c7e0</t>
  </si>
  <si>
    <t>0x00e1c7e8</t>
  </si>
  <si>
    <t>0x00e1c7f0</t>
  </si>
  <si>
    <t>0x00e1c890</t>
  </si>
  <si>
    <t>0x00e1c8a0</t>
  </si>
  <si>
    <t>0x00e1c8b0</t>
  </si>
  <si>
    <t>0x00e1c8c0</t>
  </si>
  <si>
    <t>0x00e1c8d0</t>
  </si>
  <si>
    <t>0x00e1c8e0</t>
  </si>
  <si>
    <t>0x00e1c900</t>
  </si>
  <si>
    <t>0x00e1c914</t>
  </si>
  <si>
    <t>0x00e1c924</t>
  </si>
  <si>
    <t>0x00e1c92c</t>
  </si>
  <si>
    <t>0x00e1c934</t>
  </si>
  <si>
    <t>0x00e1c944</t>
  </si>
  <si>
    <t>0x00e1c954</t>
  </si>
  <si>
    <t>0x00e1c964</t>
  </si>
  <si>
    <t>0x00e1ca48</t>
  </si>
  <si>
    <t>0x00e1ca74</t>
  </si>
  <si>
    <t>0x00e1ca80</t>
  </si>
  <si>
    <t>0x00e1caa0</t>
  </si>
  <si>
    <t>0x00e1cad8</t>
  </si>
  <si>
    <t>0x00e1cb28</t>
  </si>
  <si>
    <t>0x00e1cba4</t>
  </si>
  <si>
    <t>0x00e1cbac</t>
  </si>
  <si>
    <t>0x00e1cbb0</t>
  </si>
  <si>
    <t>0x00e1cbb4</t>
  </si>
  <si>
    <t>0x00e1cbbc</t>
  </si>
  <si>
    <t>0x00e1cbd4</t>
  </si>
  <si>
    <t>0x00e1cbe4</t>
  </si>
  <si>
    <t>0x00e1cbec</t>
  </si>
  <si>
    <t>0x00e1cbf4</t>
  </si>
  <si>
    <t>0x00e1cc44</t>
  </si>
  <si>
    <t>0x00e1cc4c</t>
  </si>
  <si>
    <t>0x00e1cc7c</t>
  </si>
  <si>
    <t>0x00e1cc84</t>
  </si>
  <si>
    <t>0x00e1ccb8</t>
  </si>
  <si>
    <t>0x00e1ccc8</t>
  </si>
  <si>
    <t>0x00e1cce0</t>
  </si>
  <si>
    <t>0x00e1ccf8</t>
  </si>
  <si>
    <t>0x00e1cd08</t>
  </si>
  <si>
    <t>0x00e1cd14</t>
  </si>
  <si>
    <t>0x00e1cd1c</t>
  </si>
  <si>
    <t>0x00e1cd24</t>
  </si>
  <si>
    <t>0x00e1cd30</t>
  </si>
  <si>
    <t>0x00e1cd54</t>
  </si>
  <si>
    <t>0x00e1cd74</t>
  </si>
  <si>
    <t>0x00e1cd8c</t>
  </si>
  <si>
    <t>0x00e1cdbc</t>
  </si>
  <si>
    <t>0x00e1cde4</t>
  </si>
  <si>
    <t>0x00e1cec4</t>
  </si>
  <si>
    <t>0x00e1cef4</t>
  </si>
  <si>
    <t>0x00e1cf0c</t>
  </si>
  <si>
    <t>0x00e1cf2c</t>
  </si>
  <si>
    <t>0x00e1cf5c</t>
  </si>
  <si>
    <t>0x00e1cf84</t>
  </si>
  <si>
    <t>0x00e1cfcc</t>
  </si>
  <si>
    <t>0x00e1d014</t>
  </si>
  <si>
    <t>0x00e1d05c</t>
  </si>
  <si>
    <t>0x00e1d084</t>
  </si>
  <si>
    <t>0x00e1d0ec</t>
  </si>
  <si>
    <t>0x00e1d14c</t>
  </si>
  <si>
    <t>0x00e1d1ac</t>
  </si>
  <si>
    <t>0x00e1d20c</t>
  </si>
  <si>
    <t>0x00e1d294</t>
  </si>
  <si>
    <t>0x00e1d39c</t>
  </si>
  <si>
    <t>0x00e1d42c</t>
  </si>
  <si>
    <t>0x00e1d444</t>
  </si>
  <si>
    <t>0x00e1d464</t>
  </si>
  <si>
    <t>0x00e1d494</t>
  </si>
  <si>
    <t>0x00e1d4fc</t>
  </si>
  <si>
    <t>0x00e1d51c</t>
  </si>
  <si>
    <t>0x00e1d534</t>
  </si>
  <si>
    <t>0x00e1d55c</t>
  </si>
  <si>
    <t>0x00e1d5a8</t>
  </si>
  <si>
    <t>0x00e1d5c8</t>
  </si>
  <si>
    <t>0x00e1d5e0</t>
  </si>
  <si>
    <t>0x00e1d5f8</t>
  </si>
  <si>
    <t>0x00e1d618</t>
  </si>
  <si>
    <t>0x00e1d638</t>
  </si>
  <si>
    <t>0x00e1d680</t>
  </si>
  <si>
    <t>0x00e1d6a0</t>
  </si>
  <si>
    <t>0x00e1d6e8</t>
  </si>
  <si>
    <t>0x00e1d718</t>
  </si>
  <si>
    <t>0x00e1d740</t>
  </si>
  <si>
    <t>0x00e1d820</t>
  </si>
  <si>
    <t>0x00e1d880</t>
  </si>
  <si>
    <t>0x00e1d8b8</t>
  </si>
  <si>
    <t>0x00e1d8f0</t>
  </si>
  <si>
    <t>0x00e1d908</t>
  </si>
  <si>
    <t>0x00e1da28</t>
  </si>
  <si>
    <t>0x00e1da70</t>
  </si>
  <si>
    <t>0x00e1dab8</t>
  </si>
  <si>
    <t>0x00e1db20</t>
  </si>
  <si>
    <t>0x00e1dba8</t>
  </si>
  <si>
    <t>0x00e1dbb8</t>
  </si>
  <si>
    <t>0x00e1dbc8</t>
  </si>
  <si>
    <t>0x00e1dbdc</t>
  </si>
  <si>
    <t>0x00e1dc14</t>
  </si>
  <si>
    <t>0x00e1dcb0</t>
  </si>
  <si>
    <t>0x00e1dd50</t>
  </si>
  <si>
    <t>0x00e1dd78</t>
  </si>
  <si>
    <t>0x00e1dda0</t>
  </si>
  <si>
    <t>0x00e1ddb4</t>
  </si>
  <si>
    <t>0x00e1dde4</t>
  </si>
  <si>
    <t>0x00e1ddfc</t>
  </si>
  <si>
    <t>0x00e1de0c</t>
  </si>
  <si>
    <t>0x00e1de1c</t>
  </si>
  <si>
    <t>0x00e1de48</t>
  </si>
  <si>
    <t>0x00e1de70</t>
  </si>
  <si>
    <t>0x00e1dea8</t>
  </si>
  <si>
    <t>0x00e1deac</t>
  </si>
  <si>
    <t>0x00e1debc</t>
  </si>
  <si>
    <t>0x00e1decc</t>
  </si>
  <si>
    <t>0x00e1dedc</t>
  </si>
  <si>
    <t>0x00e1df04</t>
  </si>
  <si>
    <t>0x00e1df24</t>
  </si>
  <si>
    <t>0x00e1df44</t>
  </si>
  <si>
    <t>0x00e1df64</t>
  </si>
  <si>
    <t>0x00e1df8c</t>
  </si>
  <si>
    <t>0x00e1dfd4</t>
  </si>
  <si>
    <t>0x00e1e004</t>
  </si>
  <si>
    <t>0x00e1e01c</t>
  </si>
  <si>
    <t>0x00e1e02c</t>
  </si>
  <si>
    <t>0x00e1e034</t>
  </si>
  <si>
    <t>0x00e1e074</t>
  </si>
  <si>
    <t>0x00e1e094</t>
  </si>
  <si>
    <t>0x00e1e0a4</t>
  </si>
  <si>
    <t>0x00e1e0bc</t>
  </si>
  <si>
    <t>0x00e1e0dc</t>
  </si>
  <si>
    <t>0x00e1e104</t>
  </si>
  <si>
    <t>0x00e1e154</t>
  </si>
  <si>
    <t>0x00e1e174</t>
  </si>
  <si>
    <t>0x00e1e18c</t>
  </si>
  <si>
    <t>0x00e1e1bc</t>
  </si>
  <si>
    <t>0x00e1e1dc</t>
  </si>
  <si>
    <t>0x00e1e22c</t>
  </si>
  <si>
    <t>0x00e1e304</t>
  </si>
  <si>
    <t>0x00e1e30c</t>
  </si>
  <si>
    <t>0x00e1e31c</t>
  </si>
  <si>
    <t>0x00e1e324</t>
  </si>
  <si>
    <t>0x00e1e328</t>
  </si>
  <si>
    <t>0x00e1e34c</t>
  </si>
  <si>
    <t>0x00e1e358</t>
  </si>
  <si>
    <t>0x00e1e368</t>
  </si>
  <si>
    <t>0x00e1e370</t>
  </si>
  <si>
    <t>0x00e1e378</t>
  </si>
  <si>
    <t>0x00e1e3e4</t>
  </si>
  <si>
    <t>0x00e1e3f4</t>
  </si>
  <si>
    <t>0x00e1e44c</t>
  </si>
  <si>
    <t>0x00e1e4ac</t>
  </si>
  <si>
    <t>0x00e1e4ec</t>
  </si>
  <si>
    <t>0x00e1e53c</t>
  </si>
  <si>
    <t>0x00e1e574</t>
  </si>
  <si>
    <t>0x00e1e5d0</t>
  </si>
  <si>
    <t>0x00e1e5e0</t>
  </si>
  <si>
    <t>0x00e1e5f0</t>
  </si>
  <si>
    <t>0x00e1e610</t>
  </si>
  <si>
    <t>0x00e1e628</t>
  </si>
  <si>
    <t>0x00e1e640</t>
  </si>
  <si>
    <t>0x00e1e668</t>
  </si>
  <si>
    <t>0x00e1e66c</t>
  </si>
  <si>
    <t>0x00e1e698</t>
  </si>
  <si>
    <t>0x00e1e6a0</t>
  </si>
  <si>
    <t>0x00e1e6b8</t>
  </si>
  <si>
    <t>0x00e1e6c8</t>
  </si>
  <si>
    <t>0x00e1e6d4</t>
  </si>
  <si>
    <t>0x00e1e6e4</t>
  </si>
  <si>
    <t>0x00e1e768</t>
  </si>
  <si>
    <t>0x00e1e770</t>
  </si>
  <si>
    <t>0x00e1e778</t>
  </si>
  <si>
    <t>0x00e1e798</t>
  </si>
  <si>
    <t>0x00e1e7ac</t>
  </si>
  <si>
    <t>0x00e1e7b4</t>
  </si>
  <si>
    <t>0x00e1e7bc</t>
  </si>
  <si>
    <t>0x00e1e7d8</t>
  </si>
  <si>
    <t>0x00e1e7dc</t>
  </si>
  <si>
    <t>0x00e1e7e0</t>
  </si>
  <si>
    <t>0x00e1e80c</t>
  </si>
  <si>
    <t>0x00e1e814</t>
  </si>
  <si>
    <t>0x00e1e824</t>
  </si>
  <si>
    <t>0x00e1e848</t>
  </si>
  <si>
    <t>0x00e1e878</t>
  </si>
  <si>
    <t>0x00e1e890</t>
  </si>
  <si>
    <t>0x00e1e90c</t>
  </si>
  <si>
    <t>0x00e1e984</t>
  </si>
  <si>
    <t>0x00e1e9ec</t>
  </si>
  <si>
    <t>0x00e1ea40</t>
  </si>
  <si>
    <t>0x00e1ea58</t>
  </si>
  <si>
    <t>0x00e1ea70</t>
  </si>
  <si>
    <t>0x00e1ea90</t>
  </si>
  <si>
    <t>0x00e1ead0</t>
  </si>
  <si>
    <t>0x00e1eb18</t>
  </si>
  <si>
    <t>0x00e1eb68</t>
  </si>
  <si>
    <t>0x00e1eb78</t>
  </si>
  <si>
    <t>0x00e1eb88</t>
  </si>
  <si>
    <t>0x00e1eba8</t>
  </si>
  <si>
    <t>0x00e1ebb8</t>
  </si>
  <si>
    <t>0x00e1ebd0</t>
  </si>
  <si>
    <t>0x00e1ebe0</t>
  </si>
  <si>
    <t>0x00e1ec10</t>
  </si>
  <si>
    <t>0x00e1ec40</t>
  </si>
  <si>
    <t>0x00e1ec68</t>
  </si>
  <si>
    <t>0x00e1ecb8</t>
  </si>
  <si>
    <t>0x00e1ecc8</t>
  </si>
  <si>
    <t>0x00e1ecd8</t>
  </si>
  <si>
    <t>0x00e1ed08</t>
  </si>
  <si>
    <t>0x00e1ed18</t>
  </si>
  <si>
    <t>0x00e1edc0</t>
  </si>
  <si>
    <t>0x00e1edcc</t>
  </si>
  <si>
    <t>0x00e1edd4</t>
  </si>
  <si>
    <t>0x00e1eddc</t>
  </si>
  <si>
    <t>0x00e1ede4</t>
  </si>
  <si>
    <t>0x00e1edec</t>
  </si>
  <si>
    <t>0x00e1edf4</t>
  </si>
  <si>
    <t>0x00e1edfc</t>
  </si>
  <si>
    <t>0x00e1ee04</t>
  </si>
  <si>
    <t>0x00e1ee0c</t>
  </si>
  <si>
    <t>0x00e1ee14</t>
  </si>
  <si>
    <t>0x00e1ee48</t>
  </si>
  <si>
    <t>0x00e1ee58</t>
  </si>
  <si>
    <t>0x00e1ee68</t>
  </si>
  <si>
    <t>0x00e1ee78</t>
  </si>
  <si>
    <t>0x00e1ee88</t>
  </si>
  <si>
    <t>0x00e1ee90</t>
  </si>
  <si>
    <t>0x00e1eea0</t>
  </si>
  <si>
    <t>0x00e1eea8</t>
  </si>
  <si>
    <t>0x00e1eeec</t>
  </si>
  <si>
    <t>0x00e1eef4</t>
  </si>
  <si>
    <t>0x00e1ef04</t>
  </si>
  <si>
    <t>0x00e1ef0c</t>
  </si>
  <si>
    <t>0x00e1ef1c</t>
  </si>
  <si>
    <t>0x00e1ef7c</t>
  </si>
  <si>
    <t>0x00e1ef94</t>
  </si>
  <si>
    <t>0x00e1efb8</t>
  </si>
  <si>
    <t>0x00e1efc0</t>
  </si>
  <si>
    <t>0x00e1efc8</t>
  </si>
  <si>
    <t>0x00e1efd8</t>
  </si>
  <si>
    <t>0x00e1f000</t>
  </si>
  <si>
    <t>0x00e1f008</t>
  </si>
  <si>
    <t>0x00e1f024</t>
  </si>
  <si>
    <t>0x00e1f034</t>
  </si>
  <si>
    <t>0x00e1f044</t>
  </si>
  <si>
    <t>0x00e1f04c</t>
  </si>
  <si>
    <t>0x00e1f070</t>
  </si>
  <si>
    <t>0x00e1f0b0</t>
  </si>
  <si>
    <t>0x00e1f150</t>
  </si>
  <si>
    <t>0x00e1f190</t>
  </si>
  <si>
    <t>0x00e1f1f0</t>
  </si>
  <si>
    <t>0x00e1f274</t>
  </si>
  <si>
    <t>0x00e1f28c</t>
  </si>
  <si>
    <t>0x00e1f2a4</t>
  </si>
  <si>
    <t>0x00e1f2bc</t>
  </si>
  <si>
    <t>0x00e1f2cc</t>
  </si>
  <si>
    <t>0x00e1f2dc</t>
  </si>
  <si>
    <t>0x00e1f308</t>
  </si>
  <si>
    <t>0x00e1f320</t>
  </si>
  <si>
    <t>0x00e1f340</t>
  </si>
  <si>
    <t>0x00e1f378</t>
  </si>
  <si>
    <t>0x00e1f3a8</t>
  </si>
  <si>
    <t>0x00e1f3d8</t>
  </si>
  <si>
    <t>0x00e1f400</t>
  </si>
  <si>
    <t>0x00e1f438</t>
  </si>
  <si>
    <t>0x00e1f468</t>
  </si>
  <si>
    <t>0x00e1f4ac</t>
  </si>
  <si>
    <t>0x00e1f4f0</t>
  </si>
  <si>
    <t>0x00e1f500</t>
  </si>
  <si>
    <t>0x00e1f510</t>
  </si>
  <si>
    <t>0x00e1f530</t>
  </si>
  <si>
    <t>0x00e1f540</t>
  </si>
  <si>
    <t>0x00e1f550</t>
  </si>
  <si>
    <t>0x00e1f56c</t>
  </si>
  <si>
    <t>0x00e1f57c</t>
  </si>
  <si>
    <t>0x00e1f594</t>
  </si>
  <si>
    <t>0x00e1f5ac</t>
  </si>
  <si>
    <t>0x00e1f5c4</t>
  </si>
  <si>
    <t>0x00e1f5cc</t>
  </si>
  <si>
    <t>0x00e1f5d4</t>
  </si>
  <si>
    <t>0x00e1f5e4</t>
  </si>
  <si>
    <t>0x00e1f60c</t>
  </si>
  <si>
    <t>0x00e1f61c</t>
  </si>
  <si>
    <t>0x00e1f634</t>
  </si>
  <si>
    <t>0x00e1f690</t>
  </si>
  <si>
    <t>0x00e1f6a8</t>
  </si>
  <si>
    <t>0x00e1f6c0</t>
  </si>
  <si>
    <t>0x00e1f6d8</t>
  </si>
  <si>
    <t>0x00e1f6e8</t>
  </si>
  <si>
    <t>0x00e1f6f8</t>
  </si>
  <si>
    <t>0x00e1f744</t>
  </si>
  <si>
    <t>0x00e1f75c</t>
  </si>
  <si>
    <t>0x00e1f780</t>
  </si>
  <si>
    <t>0x00e1f798</t>
  </si>
  <si>
    <t>0x00e1f7a8</t>
  </si>
  <si>
    <t>0x00e1f7b8</t>
  </si>
  <si>
    <t>0x00e1f7c8</t>
  </si>
  <si>
    <t>0x00e1f7d8</t>
  </si>
  <si>
    <t>0x00e1f804</t>
  </si>
  <si>
    <t>0x00e1f814</t>
  </si>
  <si>
    <t>0x00e1f834</t>
  </si>
  <si>
    <t>0x00e1f844</t>
  </si>
  <si>
    <t>0x00e1f864</t>
  </si>
  <si>
    <t>0x00e1f8a4</t>
  </si>
  <si>
    <t>0x00e1f8bc</t>
  </si>
  <si>
    <t>0x00e1f8d4</t>
  </si>
  <si>
    <t>0x00e1f90c</t>
  </si>
  <si>
    <t>0x00e1f91c</t>
  </si>
  <si>
    <t>0x00e1f92c</t>
  </si>
  <si>
    <t>0x00e1f960</t>
  </si>
  <si>
    <t>0x00e1f970</t>
  </si>
  <si>
    <t>0x00e1f980</t>
  </si>
  <si>
    <t>0x00e1f990</t>
  </si>
  <si>
    <t>0x00e1f9a8</t>
  </si>
  <si>
    <t>0x00e1f9b8</t>
  </si>
  <si>
    <t>0x00e1f9e4</t>
  </si>
  <si>
    <t>0x00e1f9f4</t>
  </si>
  <si>
    <t>0x00e1fa0c</t>
  </si>
  <si>
    <t>0x00e1fa14</t>
  </si>
  <si>
    <t>0x00e1fa1c</t>
  </si>
  <si>
    <t>0x00e1fa24</t>
  </si>
  <si>
    <t>0x00e1fa2c</t>
  </si>
  <si>
    <t>0x00e1fabc</t>
  </si>
  <si>
    <t>0x00e1fad4</t>
  </si>
  <si>
    <t>0x00e1fb04</t>
  </si>
  <si>
    <t>0x00e1fb44</t>
  </si>
  <si>
    <t>0x00e1fb7c</t>
  </si>
  <si>
    <t>0x00e1fbe4</t>
  </si>
  <si>
    <t>0x00e1fc04</t>
  </si>
  <si>
    <t>0x00e1fc24</t>
  </si>
  <si>
    <t>0x00e1fc9c</t>
  </si>
  <si>
    <t>0x00e1fcf4</t>
  </si>
  <si>
    <t>0x00e1fd54</t>
  </si>
  <si>
    <t>0x00e1fda4</t>
  </si>
  <si>
    <t>0x00e1fe34</t>
  </si>
  <si>
    <t>0x00e1fec4</t>
  </si>
  <si>
    <t>0x00e1ff54</t>
  </si>
  <si>
    <t>0x00e1ffa4</t>
  </si>
  <si>
    <t>0x00e20074</t>
  </si>
  <si>
    <t>0x00e2008c</t>
  </si>
  <si>
    <t>0x00e200dc</t>
  </si>
  <si>
    <t>0x00e200fc</t>
  </si>
  <si>
    <t>0x00e20114</t>
  </si>
  <si>
    <t>0x00e20134</t>
  </si>
  <si>
    <t>0x00e201dc</t>
  </si>
  <si>
    <t>0x00e201f4</t>
  </si>
  <si>
    <t>0x00e2020c</t>
  </si>
  <si>
    <t>0x00e20224</t>
  </si>
  <si>
    <t>0x00e2022c</t>
  </si>
  <si>
    <t>0x00e20238</t>
  </si>
  <si>
    <t>0x00e2023c</t>
  </si>
  <si>
    <t>0x00e20254</t>
  </si>
  <si>
    <t>0x00e2026c</t>
  </si>
  <si>
    <t>0x00e20270</t>
  </si>
  <si>
    <t>0x00e2027c</t>
  </si>
  <si>
    <t>0x00e20298</t>
  </si>
  <si>
    <t>0x00e202a8</t>
  </si>
  <si>
    <t>0x00e202c8</t>
  </si>
  <si>
    <t>0x00e20330</t>
  </si>
  <si>
    <t>0x00e20378</t>
  </si>
  <si>
    <t>0x00e203b8</t>
  </si>
  <si>
    <t>0x00e20430</t>
  </si>
  <si>
    <t>0x00e20490</t>
  </si>
  <si>
    <t>0x00e20504</t>
  </si>
  <si>
    <t>0x00e20520</t>
  </si>
  <si>
    <t>0x00e2052c</t>
  </si>
  <si>
    <t>0x00e20530</t>
  </si>
  <si>
    <t>0x00e20544</t>
  </si>
  <si>
    <t>0x00e20548</t>
  </si>
  <si>
    <t>0x00e2054c</t>
  </si>
  <si>
    <t>0x00e20550</t>
  </si>
  <si>
    <t>0x00e20554</t>
  </si>
  <si>
    <t>0x00e20558</t>
  </si>
  <si>
    <t>0x00e2055c</t>
  </si>
  <si>
    <t>0x00e20560</t>
  </si>
  <si>
    <t>0x00e20564</t>
  </si>
  <si>
    <t>0x00e20568</t>
  </si>
  <si>
    <t>0x00e2056c</t>
  </si>
  <si>
    <t>0x00e20570</t>
  </si>
  <si>
    <t>0x00e20574</t>
  </si>
  <si>
    <t>0x00e20578</t>
  </si>
  <si>
    <t>0x00e2057c</t>
  </si>
  <si>
    <t>0x00e20580</t>
  </si>
  <si>
    <t>0x00e2058c</t>
  </si>
  <si>
    <t>0x00e20594</t>
  </si>
  <si>
    <t>0x00e205a4</t>
  </si>
  <si>
    <t>0x00e20608</t>
  </si>
  <si>
    <t>0x00e20634</t>
  </si>
  <si>
    <t>0x00e20640</t>
  </si>
  <si>
    <t>0x00e20644</t>
  </si>
  <si>
    <t>0x00e20648</t>
  </si>
  <si>
    <t>0x00e2064c</t>
  </si>
  <si>
    <t>0x00e20650</t>
  </si>
  <si>
    <t>0x00e20674</t>
  </si>
  <si>
    <t>0x00e2067c</t>
  </si>
  <si>
    <t>0x00e20680</t>
  </si>
  <si>
    <t>0x00e20684</t>
  </si>
  <si>
    <t>0x00e20694</t>
  </si>
  <si>
    <t>0x00e20698</t>
  </si>
  <si>
    <t>0x00e206a0</t>
  </si>
  <si>
    <t>0x00e206a4</t>
  </si>
  <si>
    <t>0x00e206a8</t>
  </si>
  <si>
    <t>0x00e206ac</t>
  </si>
  <si>
    <t>0x00e206b0</t>
  </si>
  <si>
    <t>0x00e206d8</t>
  </si>
  <si>
    <t>0x00e206f0</t>
  </si>
  <si>
    <t>0x00e20734</t>
  </si>
  <si>
    <t>0x00e20740</t>
  </si>
  <si>
    <t>0x00e20760</t>
  </si>
  <si>
    <t>0x00e20780</t>
  </si>
  <si>
    <t>0x00e2078c</t>
  </si>
  <si>
    <t>0x00e207a4</t>
  </si>
  <si>
    <t>0x00e207ac</t>
  </si>
  <si>
    <t>0x00e207e4</t>
  </si>
  <si>
    <t>0x00e207f8</t>
  </si>
  <si>
    <t>0x00e20814</t>
  </si>
  <si>
    <t>0x00e2084c</t>
  </si>
  <si>
    <t>0x00e20854</t>
  </si>
  <si>
    <t>0x00e2085c</t>
  </si>
  <si>
    <t>0x00e20874</t>
  </si>
  <si>
    <t>0x00e20880</t>
  </si>
  <si>
    <t>0x00e20888</t>
  </si>
  <si>
    <t>0x00e20898</t>
  </si>
  <si>
    <t>0x00e208a4</t>
  </si>
  <si>
    <t>0x00e208b8</t>
  </si>
  <si>
    <t>0x00e2091c</t>
  </si>
  <si>
    <t>0x00e20930</t>
  </si>
  <si>
    <t>0x00e20934</t>
  </si>
  <si>
    <t>0x00e20940</t>
  </si>
  <si>
    <t>0x00e20944</t>
  </si>
  <si>
    <t>0x00e20954</t>
  </si>
  <si>
    <t>0x00e20964</t>
  </si>
  <si>
    <t>0x00e20988</t>
  </si>
  <si>
    <t>0x00e20990</t>
  </si>
  <si>
    <t>0x00e20998</t>
  </si>
  <si>
    <t>0x00e209a4</t>
  </si>
  <si>
    <t>0x00e209ac</t>
  </si>
  <si>
    <t>0x00e209b8</t>
  </si>
  <si>
    <t>0x00e209d0</t>
  </si>
  <si>
    <t>0x00e209f4</t>
  </si>
  <si>
    <t>0x00e209fc</t>
  </si>
  <si>
    <t>0x00e20a0c</t>
  </si>
  <si>
    <t>0x00e20a20</t>
  </si>
  <si>
    <t>0x00e20a28</t>
  </si>
  <si>
    <t>0x00e20a3c</t>
  </si>
  <si>
    <t>0x00e20a48</t>
  </si>
  <si>
    <t>0x00e20a60</t>
  </si>
  <si>
    <t>0x00e20a6c</t>
  </si>
  <si>
    <t>0x00e20a78</t>
  </si>
  <si>
    <t>0x00e20a88</t>
  </si>
  <si>
    <t>0x00e20a98</t>
  </si>
  <si>
    <t>0x00e20a9c</t>
  </si>
  <si>
    <t>0x00e20ab0</t>
  </si>
  <si>
    <t>0x00e20ad8</t>
  </si>
  <si>
    <t>0x00e20adc</t>
  </si>
  <si>
    <t>0x00e20b00</t>
  </si>
  <si>
    <t>0x00e20b24</t>
  </si>
  <si>
    <t>0x00e20b34</t>
  </si>
  <si>
    <t>0x00e20b40</t>
  </si>
  <si>
    <t>0x00e20b44</t>
  </si>
  <si>
    <t>0x00e20b4c</t>
  </si>
  <si>
    <t>0x00e20b54</t>
  </si>
  <si>
    <t>0x00e20b6c</t>
  </si>
  <si>
    <t>0x00e20b70</t>
  </si>
  <si>
    <t>0x00e20b90</t>
  </si>
  <si>
    <t>0x00e20b94</t>
  </si>
  <si>
    <t>0x00e20b98</t>
  </si>
  <si>
    <t>0x00e20b9c</t>
  </si>
  <si>
    <t>0x00e20ba0</t>
  </si>
  <si>
    <t>0x00e20bb0</t>
  </si>
  <si>
    <t>0x00e20bbc</t>
  </si>
  <si>
    <t>0x00e20bd8</t>
  </si>
  <si>
    <t>0x00e20c04</t>
  </si>
  <si>
    <t>0x00e20c0c</t>
  </si>
  <si>
    <t>0x00e20c38</t>
  </si>
  <si>
    <t>0x00e20c40</t>
  </si>
  <si>
    <t>0x00e20c4c</t>
  </si>
  <si>
    <t>0x00e20c50</t>
  </si>
  <si>
    <t>0x00e20c5c</t>
  </si>
  <si>
    <t>0x00e20c6c</t>
  </si>
  <si>
    <t>0x00e20c78</t>
  </si>
  <si>
    <t>0x00e20c88</t>
  </si>
  <si>
    <t>0x00e20ca0</t>
  </si>
  <si>
    <t>0x00e20ca4</t>
  </si>
  <si>
    <t>0x00e20cac</t>
  </si>
  <si>
    <t>0x00e20cb0</t>
  </si>
  <si>
    <t>0x00e20cb4</t>
  </si>
  <si>
    <t>0x00e20cc8</t>
  </si>
  <si>
    <t>0x00e20cd8</t>
  </si>
  <si>
    <t>0x00e20cfc</t>
  </si>
  <si>
    <t>0x00e20d0c</t>
  </si>
  <si>
    <t>0x00e20d28</t>
  </si>
  <si>
    <t>0x00e20d38</t>
  </si>
  <si>
    <t>0x00e20d5c</t>
  </si>
  <si>
    <t>0x00e20d68</t>
  </si>
  <si>
    <t>0x00e20d78</t>
  </si>
  <si>
    <t>0x00e20d88</t>
  </si>
  <si>
    <t>0x00e20dc0</t>
  </si>
  <si>
    <t>0x00e20dd8</t>
  </si>
  <si>
    <t>0x00e20de4</t>
  </si>
  <si>
    <t>0x00e20df0</t>
  </si>
  <si>
    <t>0x00e20e04</t>
  </si>
  <si>
    <t>0x00e20e14</t>
  </si>
  <si>
    <t>0x00e20e18</t>
  </si>
  <si>
    <t>0x00e20e24</t>
  </si>
  <si>
    <t>0x00e20e30</t>
  </si>
  <si>
    <t>0x00e20e48</t>
  </si>
  <si>
    <t>0x00e20e50</t>
  </si>
  <si>
    <t>0x00e20e54</t>
  </si>
  <si>
    <t>0x00e20e68</t>
  </si>
  <si>
    <t>0x00e20e78</t>
  </si>
  <si>
    <t>0x00e20e80</t>
  </si>
  <si>
    <t>0x00e20e8c</t>
  </si>
  <si>
    <t>0x00e20ed8</t>
  </si>
  <si>
    <t>0x00e20ee0</t>
  </si>
  <si>
    <t>0x00e20eec</t>
  </si>
  <si>
    <t>0x00e20ef4</t>
  </si>
  <si>
    <t>0x00e20efc</t>
  </si>
  <si>
    <t>0x00e20f08</t>
  </si>
  <si>
    <t>0x00e20f18</t>
  </si>
  <si>
    <t>0x00e20f20</t>
  </si>
  <si>
    <t>0x00e20f28</t>
  </si>
  <si>
    <t>0x00e20f38</t>
  </si>
  <si>
    <t>0x00e20f44</t>
  </si>
  <si>
    <t>0x00e20f68</t>
  </si>
  <si>
    <t>0x00e20f94</t>
  </si>
  <si>
    <t>0x00e20fa4</t>
  </si>
  <si>
    <t>0x00e20fb0</t>
  </si>
  <si>
    <t>0x00e20fb4</t>
  </si>
  <si>
    <t>0x00e20fbc</t>
  </si>
  <si>
    <t>0x00e20fc0</t>
  </si>
  <si>
    <t>0x00e20fd4</t>
  </si>
  <si>
    <t>0x00e20fe0</t>
  </si>
  <si>
    <t>0x00e20ff4</t>
  </si>
  <si>
    <t>0x00e21018</t>
  </si>
  <si>
    <t>0x00e21050</t>
  </si>
  <si>
    <t>0x00e2105c</t>
  </si>
  <si>
    <t>0x00e21078</t>
  </si>
  <si>
    <t>0x00e21080</t>
  </si>
  <si>
    <t>0x00e21084</t>
  </si>
  <si>
    <t>0x00e21088</t>
  </si>
  <si>
    <t>0x00e21090</t>
  </si>
  <si>
    <t>0x00e210ac</t>
  </si>
  <si>
    <t>0x00e210b4</t>
  </si>
  <si>
    <t>0x00e210bc</t>
  </si>
  <si>
    <t>0x00e210d4</t>
  </si>
  <si>
    <t>0x00e210e0</t>
  </si>
  <si>
    <t>0x00e2110c</t>
  </si>
  <si>
    <t>0x00e2114c</t>
  </si>
  <si>
    <t>0x00e21158</t>
  </si>
  <si>
    <t>0x00e21164</t>
  </si>
  <si>
    <t>0x00e2116c</t>
  </si>
  <si>
    <t>0x00e21190</t>
  </si>
  <si>
    <t>0x00e2119c</t>
  </si>
  <si>
    <t>0x00e211ac</t>
  </si>
  <si>
    <t>0x00e211b0</t>
  </si>
  <si>
    <t>0x00e211c0</t>
  </si>
  <si>
    <t>0x00e211dc</t>
  </si>
  <si>
    <t>0x00e21204</t>
  </si>
  <si>
    <t>0x00e21268</t>
  </si>
  <si>
    <t>0x00e2129c</t>
  </si>
  <si>
    <t>0x00e212b8</t>
  </si>
  <si>
    <t>0x00e212c0</t>
  </si>
  <si>
    <t>0x00e212c8</t>
  </si>
  <si>
    <t>0x00e212f0</t>
  </si>
  <si>
    <t>0x00e21304</t>
  </si>
  <si>
    <t>0x00e21320</t>
  </si>
  <si>
    <t>0x00e21328</t>
  </si>
  <si>
    <t>0x00e21330</t>
  </si>
  <si>
    <t>0x00e2134c</t>
  </si>
  <si>
    <t>0x00e21354</t>
  </si>
  <si>
    <t>0x00e21360</t>
  </si>
  <si>
    <t>0x00e2136c</t>
  </si>
  <si>
    <t>0x00e21374</t>
  </si>
  <si>
    <t>0x00e21394</t>
  </si>
  <si>
    <t>0x00e213a4</t>
  </si>
  <si>
    <t>0x00e213b8</t>
  </si>
  <si>
    <t>0x00e213d0</t>
  </si>
  <si>
    <t>0x00e213e8</t>
  </si>
  <si>
    <t>0x00e213f8</t>
  </si>
  <si>
    <t>0x00e21410</t>
  </si>
  <si>
    <t>0x00e21428</t>
  </si>
  <si>
    <t>0x00e214d4</t>
  </si>
  <si>
    <t>0x00e214e4</t>
  </si>
  <si>
    <t>0x00e214f4</t>
  </si>
  <si>
    <t>0x00e21504</t>
  </si>
  <si>
    <t>0x00e2151c</t>
  </si>
  <si>
    <t>0x00e2153c</t>
  </si>
  <si>
    <t>0x00e2154c</t>
  </si>
  <si>
    <t>0x00e2155c</t>
  </si>
  <si>
    <t>0x00e2156c</t>
  </si>
  <si>
    <t>0x00e215f4</t>
  </si>
  <si>
    <t>0x00e2165c</t>
  </si>
  <si>
    <t>0x00e216c8</t>
  </si>
  <si>
    <t>0x00e216d0</t>
  </si>
  <si>
    <t>0x00e216d8</t>
  </si>
  <si>
    <t>0x00e216f4</t>
  </si>
  <si>
    <t>0x00e216fc</t>
  </si>
  <si>
    <t>0x00e21710</t>
  </si>
  <si>
    <t>0x00e21724</t>
  </si>
  <si>
    <t>0x00e2172c</t>
  </si>
  <si>
    <t>0x00e21734</t>
  </si>
  <si>
    <t>0x00e2173c</t>
  </si>
  <si>
    <t>0x00e21744</t>
  </si>
  <si>
    <t>0x00e217e0</t>
  </si>
  <si>
    <t>0x00e217f0</t>
  </si>
  <si>
    <t>0x00e21800</t>
  </si>
  <si>
    <t>0x00e21810</t>
  </si>
  <si>
    <t>0x00e21820</t>
  </si>
  <si>
    <t>0x00e21830</t>
  </si>
  <si>
    <t>0x00e21840</t>
  </si>
  <si>
    <t>0x00e21850</t>
  </si>
  <si>
    <t>0x00e21904</t>
  </si>
  <si>
    <t>0x00e21910</t>
  </si>
  <si>
    <t>0x00e21918</t>
  </si>
  <si>
    <t>0x00e2191c</t>
  </si>
  <si>
    <t>0x00e2192c</t>
  </si>
  <si>
    <t>0x00e21930</t>
  </si>
  <si>
    <t>0x00e21934</t>
  </si>
  <si>
    <t>0x00e21944</t>
  </si>
  <si>
    <t>0x00e21950</t>
  </si>
  <si>
    <t>0x00e2195c</t>
  </si>
  <si>
    <t>0x00e21970</t>
  </si>
  <si>
    <t>0x00e21980</t>
  </si>
  <si>
    <t>0x00e21988</t>
  </si>
  <si>
    <t>0x00e21994</t>
  </si>
  <si>
    <t>0x00e219d8</t>
  </si>
  <si>
    <t>0x00e21a10</t>
  </si>
  <si>
    <t>0x00e21a20</t>
  </si>
  <si>
    <t>0x00e21a38</t>
  </si>
  <si>
    <t>0x00e21a50</t>
  </si>
  <si>
    <t>0x00e21aa8</t>
  </si>
  <si>
    <t>0x00e21ab0</t>
  </si>
  <si>
    <t>0x00e21ac0</t>
  </si>
  <si>
    <t>0x00e21ac8</t>
  </si>
  <si>
    <t>0x00e21ad8</t>
  </si>
  <si>
    <t>0x00e21ae0</t>
  </si>
  <si>
    <t>0x00e21ae8</t>
  </si>
  <si>
    <t>0x00e21af0</t>
  </si>
  <si>
    <t>0x00e21af8</t>
  </si>
  <si>
    <t>0x00e21b00</t>
  </si>
  <si>
    <t>0x00e21c00</t>
  </si>
  <si>
    <t>0x00e21c18</t>
  </si>
  <si>
    <t>0x00e21c30</t>
  </si>
  <si>
    <t>0x00e21c48</t>
  </si>
  <si>
    <t>0x00e21c60</t>
  </si>
  <si>
    <t>0x00e21c78</t>
  </si>
  <si>
    <t>0x00e21ca8</t>
  </si>
  <si>
    <t>0x00e21cc0</t>
  </si>
  <si>
    <t>0x00e21cd8</t>
  </si>
  <si>
    <t>0x00e21d10</t>
  </si>
  <si>
    <t>0x00e21d88</t>
  </si>
  <si>
    <t>0x00e21d98</t>
  </si>
  <si>
    <t>0x00e21db0</t>
  </si>
  <si>
    <t>0x00e21dc8</t>
  </si>
  <si>
    <t>0x00e21de0</t>
  </si>
  <si>
    <t>0x00e21e10</t>
  </si>
  <si>
    <t>0x00e21e28</t>
  </si>
  <si>
    <t>0x00e21e38</t>
  </si>
  <si>
    <t>0x00e21e50</t>
  </si>
  <si>
    <t>0x00e21e68</t>
  </si>
  <si>
    <t>0x00e21e80</t>
  </si>
  <si>
    <t>0x00e21e98</t>
  </si>
  <si>
    <t>0x00e21eb0</t>
  </si>
  <si>
    <t>0x00e21ec0</t>
  </si>
  <si>
    <t>0x00e21f58</t>
  </si>
  <si>
    <t>0x00e21f68</t>
  </si>
  <si>
    <t>0x00e21f80</t>
  </si>
  <si>
    <t>0x00e21fa0</t>
  </si>
  <si>
    <t>0x00e21fa8</t>
  </si>
  <si>
    <t>0x00e21fc4</t>
  </si>
  <si>
    <t>0x00e2201c</t>
  </si>
  <si>
    <t>0x00e2207c</t>
  </si>
  <si>
    <t>0x00e220f4</t>
  </si>
  <si>
    <t>0x00e2216c</t>
  </si>
  <si>
    <t>0x00e221c8</t>
  </si>
  <si>
    <t>0x00e221d0</t>
  </si>
  <si>
    <t>0x00e221e0</t>
  </si>
  <si>
    <t>0x00e221f0</t>
  </si>
  <si>
    <t>0x00e22208</t>
  </si>
  <si>
    <t>0x00e22218</t>
  </si>
  <si>
    <t>0x00e22228</t>
  </si>
  <si>
    <t>0x00e22238</t>
  </si>
  <si>
    <t>0x00e22268</t>
  </si>
  <si>
    <t>0x00e22304</t>
  </si>
  <si>
    <t>0x00e22314</t>
  </si>
  <si>
    <t>0x00e22324</t>
  </si>
  <si>
    <t>0x00e22334</t>
  </si>
  <si>
    <t>0x00e22344</t>
  </si>
  <si>
    <t>0x00e22354</t>
  </si>
  <si>
    <t>0x00e22364</t>
  </si>
  <si>
    <t>0x00e22374</t>
  </si>
  <si>
    <t>0x00e2257c</t>
  </si>
  <si>
    <t>0x00e22584</t>
  </si>
  <si>
    <t>0x00e22594</t>
  </si>
  <si>
    <t>0x00e225a4</t>
  </si>
  <si>
    <t>0x00e225b4</t>
  </si>
  <si>
    <t>0x00e225c4</t>
  </si>
  <si>
    <t>0x00e225d4</t>
  </si>
  <si>
    <t>0x00e225e4</t>
  </si>
  <si>
    <t>0x00e225f4</t>
  </si>
  <si>
    <t>0x00e22648</t>
  </si>
  <si>
    <t>0x00e2264c</t>
  </si>
  <si>
    <t>0x00e22650</t>
  </si>
  <si>
    <t>0x00e2265c</t>
  </si>
  <si>
    <t>0x00e22670</t>
  </si>
  <si>
    <t>0x00e22678</t>
  </si>
  <si>
    <t>0x00e22680</t>
  </si>
  <si>
    <t>0x00e22688</t>
  </si>
  <si>
    <t>0x00e226d8</t>
  </si>
  <si>
    <t>0x00e226e8</t>
  </si>
  <si>
    <t>0x00e22710</t>
  </si>
  <si>
    <t>0x00e22720</t>
  </si>
  <si>
    <t>0x00e22730</t>
  </si>
  <si>
    <t>0x00e22740</t>
  </si>
  <si>
    <t>0x00e22750</t>
  </si>
  <si>
    <t>0x00e22760</t>
  </si>
  <si>
    <t>0x00e227e4</t>
  </si>
  <si>
    <t>0x00e227fc</t>
  </si>
  <si>
    <t>0x00e22828</t>
  </si>
  <si>
    <t>0x00e2284c</t>
  </si>
  <si>
    <t>0x00e22870</t>
  </si>
  <si>
    <t>0x00e2289c</t>
  </si>
  <si>
    <t>0x00e228b4</t>
  </si>
  <si>
    <t>0x00e228c8</t>
  </si>
  <si>
    <t>0x00e228d4</t>
  </si>
  <si>
    <t>0x00e228f8</t>
  </si>
  <si>
    <t>0x00e22904</t>
  </si>
  <si>
    <t>0x00e2293c</t>
  </si>
  <si>
    <t>0x00e22950</t>
  </si>
  <si>
    <t>0x00e22958</t>
  </si>
  <si>
    <t>0x00e22960</t>
  </si>
  <si>
    <t>0x00e22968</t>
  </si>
  <si>
    <t>0x00e2297c</t>
  </si>
  <si>
    <t>0x00e22998</t>
  </si>
  <si>
    <t>0x00e229b0</t>
  </si>
  <si>
    <t>0x00e229b8</t>
  </si>
  <si>
    <t>0x00e229c4</t>
  </si>
  <si>
    <t>0x00e229cc</t>
  </si>
  <si>
    <t>0x00e229d4</t>
  </si>
  <si>
    <t>0x00e229f4</t>
  </si>
  <si>
    <t>0x00e22a08</t>
  </si>
  <si>
    <t>0x00e22a14</t>
  </si>
  <si>
    <t>0x00e22a1c</t>
  </si>
  <si>
    <t>0x00e22a90</t>
  </si>
  <si>
    <t>0x00e22ae8</t>
  </si>
  <si>
    <t>0x00e22b40</t>
  </si>
  <si>
    <t>0x00e22ba0</t>
  </si>
  <si>
    <t>0x00e22be0</t>
  </si>
  <si>
    <t>0x00e22cc0</t>
  </si>
  <si>
    <t>0x00e22cc8</t>
  </si>
  <si>
    <t>0x00e22cf8</t>
  </si>
  <si>
    <t>0x00e22d10</t>
  </si>
  <si>
    <t>0x00e22d28</t>
  </si>
  <si>
    <t>0x00e22d30</t>
  </si>
  <si>
    <t>0x00e22d58</t>
  </si>
  <si>
    <t>0x00e22df4</t>
  </si>
  <si>
    <t>0x00e22e30</t>
  </si>
  <si>
    <t>0x00e22e40</t>
  </si>
  <si>
    <t>0x00e22e50</t>
  </si>
  <si>
    <t>0x00e22e70</t>
  </si>
  <si>
    <t>0x00e22e98</t>
  </si>
  <si>
    <t>0x00e22eb4</t>
  </si>
  <si>
    <t>0x00e22ee0</t>
  </si>
  <si>
    <t>0x00e22f10</t>
  </si>
  <si>
    <t>0x00e22f20</t>
  </si>
  <si>
    <t>0x00e22f30</t>
  </si>
  <si>
    <t>0x00e22fa8</t>
  </si>
  <si>
    <t>0x00e22fc8</t>
  </si>
  <si>
    <t>0x00e22fe8</t>
  </si>
  <si>
    <t>0x00e23018</t>
  </si>
  <si>
    <t>0x00e23040</t>
  </si>
  <si>
    <t>0x00e23058</t>
  </si>
  <si>
    <t>0x00e23070</t>
  </si>
  <si>
    <t>0x00e23090</t>
  </si>
  <si>
    <t>0x00e23108</t>
  </si>
  <si>
    <t>0x00e23118</t>
  </si>
  <si>
    <t>0x00e23138</t>
  </si>
  <si>
    <t>0x00e23148</t>
  </si>
  <si>
    <t>0x00e23158</t>
  </si>
  <si>
    <t>0x00e2317c</t>
  </si>
  <si>
    <t>0x00e23184</t>
  </si>
  <si>
    <t>0x00e231ac</t>
  </si>
  <si>
    <t>0x00e231cc</t>
  </si>
  <si>
    <t>0x00e2323c</t>
  </si>
  <si>
    <t>0x00e2326c</t>
  </si>
  <si>
    <t>0x00e232d4</t>
  </si>
  <si>
    <t>0x00e23304</t>
  </si>
  <si>
    <t>0x00e23334</t>
  </si>
  <si>
    <t>0x00e23364</t>
  </si>
  <si>
    <t>0x00e233c4</t>
  </si>
  <si>
    <t>0x00e233c8</t>
  </si>
  <si>
    <t>0x00e233cc</t>
  </si>
  <si>
    <t>0x00e233d8</t>
  </si>
  <si>
    <t>0x00e2340c</t>
  </si>
  <si>
    <t>0x00e2343c</t>
  </si>
  <si>
    <t>0x00e23474</t>
  </si>
  <si>
    <t>0x00e23488</t>
  </si>
  <si>
    <t>0x00e234e0</t>
  </si>
  <si>
    <t>0x00e23538</t>
  </si>
  <si>
    <t>0x00e23598</t>
  </si>
  <si>
    <t>0x00e235d8</t>
  </si>
  <si>
    <t>0x00e23670</t>
  </si>
  <si>
    <t>0x00e23688</t>
  </si>
  <si>
    <t>0x00e236b0</t>
  </si>
  <si>
    <t>0x00e236c8</t>
  </si>
  <si>
    <t>0x00e236e0</t>
  </si>
  <si>
    <t>0x00e236f8</t>
  </si>
  <si>
    <t>0x00e23794</t>
  </si>
  <si>
    <t>0x00e237a4</t>
  </si>
  <si>
    <t>0x00e237b4</t>
  </si>
  <si>
    <t>0x00e237c4</t>
  </si>
  <si>
    <t>0x00e237e0</t>
  </si>
  <si>
    <t>0x00e237e8</t>
  </si>
  <si>
    <t>0x00e237f0</t>
  </si>
  <si>
    <t>0x00e237f8</t>
  </si>
  <si>
    <t>0x00e23800</t>
  </si>
  <si>
    <t>0x00e23830</t>
  </si>
  <si>
    <t>0x00e23840</t>
  </si>
  <si>
    <t>0x00e23848</t>
  </si>
  <si>
    <t>0x00e23858</t>
  </si>
  <si>
    <t>0x00e2386c</t>
  </si>
  <si>
    <t>0x00e23874</t>
  </si>
  <si>
    <t>0x00e23884</t>
  </si>
  <si>
    <t>0x00e2388c</t>
  </si>
  <si>
    <t>0x00e2389c</t>
  </si>
  <si>
    <t>0x00e238ac</t>
  </si>
  <si>
    <t>0x00e238bc</t>
  </si>
  <si>
    <t>0x00e23914</t>
  </si>
  <si>
    <t>0x00e23934</t>
  </si>
  <si>
    <t>0x00e23950</t>
  </si>
  <si>
    <t>0x00e23968</t>
  </si>
  <si>
    <t>0x00e239b0</t>
  </si>
  <si>
    <t>0x00e239c8</t>
  </si>
  <si>
    <t>0x00e239d8</t>
  </si>
  <si>
    <t>0x00e239e0</t>
  </si>
  <si>
    <t>0x00e23a08</t>
  </si>
  <si>
    <t>0x00e23a20</t>
  </si>
  <si>
    <t>0x00e23a38</t>
  </si>
  <si>
    <t>0x00e23a64</t>
  </si>
  <si>
    <t>0x00e23a6c</t>
  </si>
  <si>
    <t>0x00e23a7c</t>
  </si>
  <si>
    <t>0x00e23a84</t>
  </si>
  <si>
    <t>0x00e23a8c</t>
  </si>
  <si>
    <t>0x00e23a94</t>
  </si>
  <si>
    <t>0x00e23a9c</t>
  </si>
  <si>
    <t>0x00e23ac4</t>
  </si>
  <si>
    <t>0x00e23ad4</t>
  </si>
  <si>
    <t>0x00e23b00</t>
  </si>
  <si>
    <t>0x00e23b4c</t>
  </si>
  <si>
    <t>0x00e23b5c</t>
  </si>
  <si>
    <t>0x00e23b74</t>
  </si>
  <si>
    <t>0x00e23b84</t>
  </si>
  <si>
    <t>0x00e23b94</t>
  </si>
  <si>
    <t>0x00e23bfc</t>
  </si>
  <si>
    <t>0x00e23c1c</t>
  </si>
  <si>
    <t>0x00e23c34</t>
  </si>
  <si>
    <t>0x00e23c60</t>
  </si>
  <si>
    <t>0x00e23c78</t>
  </si>
  <si>
    <t>0x00e23c88</t>
  </si>
  <si>
    <t>0x00e23c90</t>
  </si>
  <si>
    <t>0x00e23c98</t>
  </si>
  <si>
    <t>0x00e23ca8</t>
  </si>
  <si>
    <t>0x00e23cb8</t>
  </si>
  <si>
    <t>0x00e23cc0</t>
  </si>
  <si>
    <t>0x00e23cd4</t>
  </si>
  <si>
    <t>0x00e23ce4</t>
  </si>
  <si>
    <t>0x00e23cec</t>
  </si>
  <si>
    <t>0x00e23cfc</t>
  </si>
  <si>
    <t>0x00e23d04</t>
  </si>
  <si>
    <t>0x00e23d0c</t>
  </si>
  <si>
    <t>0x00e23d14</t>
  </si>
  <si>
    <t>0x00e23d1c</t>
  </si>
  <si>
    <t>0x00e23d24</t>
  </si>
  <si>
    <t>0x00e23d2c</t>
  </si>
  <si>
    <t>0x00e23d34</t>
  </si>
  <si>
    <t>0x00e23d3c</t>
  </si>
  <si>
    <t>0x00e23d44</t>
  </si>
  <si>
    <t>0x00e23d4c</t>
  </si>
  <si>
    <t>0x00e23d5c</t>
  </si>
  <si>
    <t>0x00e23da8</t>
  </si>
  <si>
    <t>0x00e23db0</t>
  </si>
  <si>
    <t>0x00e23df4</t>
  </si>
  <si>
    <t>0x00e23e14</t>
  </si>
  <si>
    <t>0x00e23e1c</t>
  </si>
  <si>
    <t>0x00e23e24</t>
  </si>
  <si>
    <t>0x00e23e3c</t>
  </si>
  <si>
    <t>0x00e23e4c</t>
  </si>
  <si>
    <t>0x00e23ec0</t>
  </si>
  <si>
    <t>0x00e23ec8</t>
  </si>
  <si>
    <t>0x00e23ed0</t>
  </si>
  <si>
    <t>0x00e23ed8</t>
  </si>
  <si>
    <t>0x00e23ee0</t>
  </si>
  <si>
    <t>0x00e23ef0</t>
  </si>
  <si>
    <t>0x00e23f00</t>
  </si>
  <si>
    <t>0x00e23f28</t>
  </si>
  <si>
    <t>0x00e23f2c</t>
  </si>
  <si>
    <t>0x00e23f30</t>
  </si>
  <si>
    <t>0x00e23f54</t>
  </si>
  <si>
    <t>0x00e23f64</t>
  </si>
  <si>
    <t>0x00e23f6c</t>
  </si>
  <si>
    <t>0x00e23f7c</t>
  </si>
  <si>
    <t>0x00e23f8c</t>
  </si>
  <si>
    <t>0x00e23fa4</t>
  </si>
  <si>
    <t>0x00e24044</t>
  </si>
  <si>
    <t>0x00e2406c</t>
  </si>
  <si>
    <t>0x00e240b4</t>
  </si>
  <si>
    <t>0x00e2410c</t>
  </si>
  <si>
    <t>0x00e2412c</t>
  </si>
  <si>
    <t>0x00e2417c</t>
  </si>
  <si>
    <t>0x00e2419c</t>
  </si>
  <si>
    <t>0x00e241c4</t>
  </si>
  <si>
    <t>0x00e24220</t>
  </si>
  <si>
    <t>0x00e24228</t>
  </si>
  <si>
    <t>0x00e24238</t>
  </si>
  <si>
    <t>0x00e24248</t>
  </si>
  <si>
    <t>0x00e24260</t>
  </si>
  <si>
    <t>0x00e24270</t>
  </si>
  <si>
    <t>0x00e24280</t>
  </si>
  <si>
    <t>0x00e242c0</t>
  </si>
  <si>
    <t>0x00e242d0</t>
  </si>
  <si>
    <t>0x00e24318</t>
  </si>
  <si>
    <t>0x00e24328</t>
  </si>
  <si>
    <t>0x00e24348</t>
  </si>
  <si>
    <t>0x00e24368</t>
  </si>
  <si>
    <t>0x00e24378</t>
  </si>
  <si>
    <t>0x00e24388</t>
  </si>
  <si>
    <t>0x00e243a0</t>
  </si>
  <si>
    <t>0x00e243b0</t>
  </si>
  <si>
    <t>0x00e243c0</t>
  </si>
  <si>
    <t>0x00e244b8</t>
  </si>
  <si>
    <t>0x00e24510</t>
  </si>
  <si>
    <t>0x00e24568</t>
  </si>
  <si>
    <t>0x00e245c0</t>
  </si>
  <si>
    <t>0x00e24618</t>
  </si>
  <si>
    <t>0x00e24650</t>
  </si>
  <si>
    <t>0x00e246c0</t>
  </si>
  <si>
    <t>0x00e246f0</t>
  </si>
  <si>
    <t>0x00e24728</t>
  </si>
  <si>
    <t>0x00e24768</t>
  </si>
  <si>
    <t>0x00e247d8</t>
  </si>
  <si>
    <t>0x00e24810</t>
  </si>
  <si>
    <t>0x00e24850</t>
  </si>
  <si>
    <t>0x00e248f8</t>
  </si>
  <si>
    <t>0x00e24914</t>
  </si>
  <si>
    <t>0x00e2494c</t>
  </si>
  <si>
    <t>0x00e24954</t>
  </si>
  <si>
    <t>0x00e24968</t>
  </si>
  <si>
    <t>0x00e24970</t>
  </si>
  <si>
    <t>0x00e24984</t>
  </si>
  <si>
    <t>0x00e24998</t>
  </si>
  <si>
    <t>0x00e249a0</t>
  </si>
  <si>
    <t>0x00e249a8</t>
  </si>
  <si>
    <t>0x00e249d0</t>
  </si>
  <si>
    <t>0x00e249d8</t>
  </si>
  <si>
    <t>0x00e24a00</t>
  </si>
  <si>
    <t>0x00e24a10</t>
  </si>
  <si>
    <t>0x00e24a30</t>
  </si>
  <si>
    <t>0x00e24a40</t>
  </si>
  <si>
    <t>0x00e24a68</t>
  </si>
  <si>
    <t>0x00e24aac</t>
  </si>
  <si>
    <t>0x00e24ae4</t>
  </si>
  <si>
    <t>0x00e24b6c</t>
  </si>
  <si>
    <t>0x00e24b74</t>
  </si>
  <si>
    <t>0x00e24b8c</t>
  </si>
  <si>
    <t>0x00e24bb4</t>
  </si>
  <si>
    <t>0x00e24bcc</t>
  </si>
  <si>
    <t>0x00e24be4</t>
  </si>
  <si>
    <t>0x00e24c18</t>
  </si>
  <si>
    <t>0x00e24c24</t>
  </si>
  <si>
    <t>0x00e24c38</t>
  </si>
  <si>
    <t>0x00e24c44</t>
  </si>
  <si>
    <t>0x00e24c74</t>
  </si>
  <si>
    <t>0x00e24c7c</t>
  </si>
  <si>
    <t>0x00e24c9c</t>
  </si>
  <si>
    <t>0x00e24ca8</t>
  </si>
  <si>
    <t>0x00e24cac</t>
  </si>
  <si>
    <t>0x00e24cb0</t>
  </si>
  <si>
    <t>0x00e24cbc</t>
  </si>
  <si>
    <t>0x00e24ce0</t>
  </si>
  <si>
    <t>0x00e24ce8</t>
  </si>
  <si>
    <t>0x00e24d04</t>
  </si>
  <si>
    <t>0x00e24d0c</t>
  </si>
  <si>
    <t>0x00e24d14</t>
  </si>
  <si>
    <t>0x00e24d24</t>
  </si>
  <si>
    <t>0x00e24d44</t>
  </si>
  <si>
    <t>0x00e24d58</t>
  </si>
  <si>
    <t>0x00e24d78</t>
  </si>
  <si>
    <t>0x00e24d88</t>
  </si>
  <si>
    <t>0x00e24d98</t>
  </si>
  <si>
    <t>0x00e24dc0</t>
  </si>
  <si>
    <t>0x00e24df0</t>
  </si>
  <si>
    <t>0x00e24e00</t>
  </si>
  <si>
    <t>0x00e24e10</t>
  </si>
  <si>
    <t>0x00e24e44</t>
  </si>
  <si>
    <t>0x00e24e54</t>
  </si>
  <si>
    <t>0x00e24e7c</t>
  </si>
  <si>
    <t>0x00e24e8c</t>
  </si>
  <si>
    <t>0x00e24eac</t>
  </si>
  <si>
    <t>0x00e24ebc</t>
  </si>
  <si>
    <t>0x00e24ecc</t>
  </si>
  <si>
    <t>0x00e24eec</t>
  </si>
  <si>
    <t>0x00e24ef8</t>
  </si>
  <si>
    <t>0x00e24f00</t>
  </si>
  <si>
    <t>0x00e24f08</t>
  </si>
  <si>
    <t>0x00e24f10</t>
  </si>
  <si>
    <t>0x00e24f54</t>
  </si>
  <si>
    <t>0x00e24f7c</t>
  </si>
  <si>
    <t>0x00e24f8c</t>
  </si>
  <si>
    <t>0x00e24fa4</t>
  </si>
  <si>
    <t>0x00e24fc8</t>
  </si>
  <si>
    <t>0x00e24fd0</t>
  </si>
  <si>
    <t>0x00e24fd8</t>
  </si>
  <si>
    <t>0x00e25014</t>
  </si>
  <si>
    <t>0x00e25030</t>
  </si>
  <si>
    <t>0x00e25038</t>
  </si>
  <si>
    <t>0x00e25064</t>
  </si>
  <si>
    <t>0x00e25074</t>
  </si>
  <si>
    <t>0x00e25090</t>
  </si>
  <si>
    <t>0x00e250a8</t>
  </si>
  <si>
    <t>0x00e250c0</t>
  </si>
  <si>
    <t>0x00e250d8</t>
  </si>
  <si>
    <t>0x00e250e8</t>
  </si>
  <si>
    <t>0x00e2511c</t>
  </si>
  <si>
    <t>0x00e2514c</t>
  </si>
  <si>
    <t>0x00e25174</t>
  </si>
  <si>
    <t>0x00e251b4</t>
  </si>
  <si>
    <t>0x00e251e4</t>
  </si>
  <si>
    <t>0x00e251ec</t>
  </si>
  <si>
    <t>0x00e2520c</t>
  </si>
  <si>
    <t>0x00e25244</t>
  </si>
  <si>
    <t>0x00e2525c</t>
  </si>
  <si>
    <t>0x00e25274</t>
  </si>
  <si>
    <t>0x00e25294</t>
  </si>
  <si>
    <t>0x00e252ac</t>
  </si>
  <si>
    <t>0x00e252d8</t>
  </si>
  <si>
    <t>0x00e25310</t>
  </si>
  <si>
    <t>0x00e25334</t>
  </si>
  <si>
    <t>0x00e2536c</t>
  </si>
  <si>
    <t>0x00e2539c</t>
  </si>
  <si>
    <t>0x00e253c4</t>
  </si>
  <si>
    <t>0x00e253f4</t>
  </si>
  <si>
    <t>0x00e25414</t>
  </si>
  <si>
    <t>0x00e2543c</t>
  </si>
  <si>
    <t>0x00e25454</t>
  </si>
  <si>
    <t>0x00e2546c</t>
  </si>
  <si>
    <t>0x00e2548c</t>
  </si>
  <si>
    <t>0x00e254a4</t>
  </si>
  <si>
    <t>0x00e254e4</t>
  </si>
  <si>
    <t>0x00e25520</t>
  </si>
  <si>
    <t>0x00e25530</t>
  </si>
  <si>
    <t>0x00e25540</t>
  </si>
  <si>
    <t>0x00e25548</t>
  </si>
  <si>
    <t>0x00e25558</t>
  </si>
  <si>
    <t>0x00e2557c</t>
  </si>
  <si>
    <t>0x00e25584</t>
  </si>
  <si>
    <t>0x00e2558c</t>
  </si>
  <si>
    <t>0x00e25594</t>
  </si>
  <si>
    <t>0x00e255c4</t>
  </si>
  <si>
    <t>0x00e255e4</t>
  </si>
  <si>
    <t>0x00e25634</t>
  </si>
  <si>
    <t>0x00e2565c</t>
  </si>
  <si>
    <t>0x00e256a4</t>
  </si>
  <si>
    <t>0x00e256bc</t>
  </si>
  <si>
    <t>0x00e256ec</t>
  </si>
  <si>
    <t>0x00e25704</t>
  </si>
  <si>
    <t>0x00e2571c</t>
  </si>
  <si>
    <t>0x00e25750</t>
  </si>
  <si>
    <t>0x00e25778</t>
  </si>
  <si>
    <t>0x00e257b8</t>
  </si>
  <si>
    <t>0x00e25800</t>
  </si>
  <si>
    <t>0x00e25840</t>
  </si>
  <si>
    <t>0x00e25878</t>
  </si>
  <si>
    <t>0x00e258e4</t>
  </si>
  <si>
    <t>0x00e2590c</t>
  </si>
  <si>
    <t>0x00e25934</t>
  </si>
  <si>
    <t>0x00e2594c</t>
  </si>
  <si>
    <t>0x00e2596c</t>
  </si>
  <si>
    <t>0x00e25984</t>
  </si>
  <si>
    <t>0x00e259ac</t>
  </si>
  <si>
    <t>0x00e259f4</t>
  </si>
  <si>
    <t>0x00e25a0c</t>
  </si>
  <si>
    <t>0x00e25a3c</t>
  </si>
  <si>
    <t>0x00e25a48</t>
  </si>
  <si>
    <t>0x00e25a98</t>
  </si>
  <si>
    <t>0x00e25aa8</t>
  </si>
  <si>
    <t>0x00e25ae0</t>
  </si>
  <si>
    <t>0x00e25b00</t>
  </si>
  <si>
    <t>0x00e25b2c</t>
  </si>
  <si>
    <t>0x00e25b54</t>
  </si>
  <si>
    <t>0x00e25b84</t>
  </si>
  <si>
    <t>0x00e25bb4</t>
  </si>
  <si>
    <t>0x00e25bdc</t>
  </si>
  <si>
    <t>0x00e25c2c</t>
  </si>
  <si>
    <t>0x00e25c6c</t>
  </si>
  <si>
    <t>0x00e25cc4</t>
  </si>
  <si>
    <t>0x00e25ce4</t>
  </si>
  <si>
    <t>0x00e25d0c</t>
  </si>
  <si>
    <t>0x00e25d34</t>
  </si>
  <si>
    <t>0x00e25d5c</t>
  </si>
  <si>
    <t>0x00e25d84</t>
  </si>
  <si>
    <t>0x00e25dac</t>
  </si>
  <si>
    <t>0x00e25df4</t>
  </si>
  <si>
    <t>0x00e25e0c</t>
  </si>
  <si>
    <t>0x00e25e28</t>
  </si>
  <si>
    <t>0x00e25e78</t>
  </si>
  <si>
    <t>0x00e25ec8</t>
  </si>
  <si>
    <t>0x00e25f10</t>
  </si>
  <si>
    <t>0x00e25f60</t>
  </si>
  <si>
    <t>0x00e26018</t>
  </si>
  <si>
    <t>0x00e26068</t>
  </si>
  <si>
    <t>0x00e260e0</t>
  </si>
  <si>
    <t>0x00e26168</t>
  </si>
  <si>
    <t>0x00e26238</t>
  </si>
  <si>
    <t>0x00e26270</t>
  </si>
  <si>
    <t>0x00e262e0</t>
  </si>
  <si>
    <t>0x00e26350</t>
  </si>
  <si>
    <t>0x00e263a0</t>
  </si>
  <si>
    <t>0x00e26434</t>
  </si>
  <si>
    <t>0x00e2644c</t>
  </si>
  <si>
    <t>0x00e26464</t>
  </si>
  <si>
    <t>0x00e2647c</t>
  </si>
  <si>
    <t>0x00e26494</t>
  </si>
  <si>
    <t>0x00e264ac</t>
  </si>
  <si>
    <t>0x00e264c4</t>
  </si>
  <si>
    <t>0x00e264f4</t>
  </si>
  <si>
    <t>0x00e26504</t>
  </si>
  <si>
    <t>0x00e2658c</t>
  </si>
  <si>
    <t>0x00e26594</t>
  </si>
  <si>
    <t>0x00e2659c</t>
  </si>
  <si>
    <t>0x00e265a4</t>
  </si>
  <si>
    <t>0x00e265c4</t>
  </si>
  <si>
    <t>0x00e26610</t>
  </si>
  <si>
    <t>0x00e2666c</t>
  </si>
  <si>
    <t>0x00e26694</t>
  </si>
  <si>
    <t>0x00e266c0</t>
  </si>
  <si>
    <t>0x00e26704</t>
  </si>
  <si>
    <t>0x00e2671c</t>
  </si>
  <si>
    <t>0x00e26744</t>
  </si>
  <si>
    <t>0x00e2675c</t>
  </si>
  <si>
    <t>0x00e26774</t>
  </si>
  <si>
    <t>0x00e2678c</t>
  </si>
  <si>
    <t>0x00e2684c</t>
  </si>
  <si>
    <t>0x00e26874</t>
  </si>
  <si>
    <t>0x00e268dc</t>
  </si>
  <si>
    <t>0x00e2693c</t>
  </si>
  <si>
    <t>0x00e26984</t>
  </si>
  <si>
    <t>0x00e269e4</t>
  </si>
  <si>
    <t>0x00e26a1c</t>
  </si>
  <si>
    <t>0x00e26a44</t>
  </si>
  <si>
    <t>0x00e26a90</t>
  </si>
  <si>
    <t>0x00e26ad0</t>
  </si>
  <si>
    <t>0x00e26bcc</t>
  </si>
  <si>
    <t>0x00e26bd8</t>
  </si>
  <si>
    <t>0x00e26c24</t>
  </si>
  <si>
    <t>0x00e26c8c</t>
  </si>
  <si>
    <t>0x00e26cac</t>
  </si>
  <si>
    <t>0x00e26cd8</t>
  </si>
  <si>
    <t>0x00e26db8</t>
  </si>
  <si>
    <t>0x00e26dd4</t>
  </si>
  <si>
    <t>0x00e26e24</t>
  </si>
  <si>
    <t>0x00e26e3c</t>
  </si>
  <si>
    <t>0x00e26e6c</t>
  </si>
  <si>
    <t>0x00e26ed8</t>
  </si>
  <si>
    <t>0x00e26ee8</t>
  </si>
  <si>
    <t>0x00e26f10</t>
  </si>
  <si>
    <t>0x00e26f30</t>
  </si>
  <si>
    <t>0x00e26f5c</t>
  </si>
  <si>
    <t>0x00e2706c</t>
  </si>
  <si>
    <t>0x00e27070</t>
  </si>
  <si>
    <t>0x00e270a0</t>
  </si>
  <si>
    <t>0x00e270c0</t>
  </si>
  <si>
    <t>0x00e270d8</t>
  </si>
  <si>
    <t>0x00e270e4</t>
  </si>
  <si>
    <t>0x00e270fc</t>
  </si>
  <si>
    <t>0x00e27114</t>
  </si>
  <si>
    <t>0x00e2712c</t>
  </si>
  <si>
    <t>0x00e2713c</t>
  </si>
  <si>
    <t>0x00e27154</t>
  </si>
  <si>
    <t>0x00e2718c</t>
  </si>
  <si>
    <t>0x00e271a4</t>
  </si>
  <si>
    <t>0x00e271e0</t>
  </si>
  <si>
    <t>0x00e27230</t>
  </si>
  <si>
    <t>0x00e27264</t>
  </si>
  <si>
    <t>0x00e27370</t>
  </si>
  <si>
    <t>0x00e273a0</t>
  </si>
  <si>
    <t>0x00e273a8</t>
  </si>
  <si>
    <t>0x00e273bc</t>
  </si>
  <si>
    <t>0x00e273dc</t>
  </si>
  <si>
    <t>0x00e27404</t>
  </si>
  <si>
    <t>0x00e2740c</t>
  </si>
  <si>
    <t>0x00e27444</t>
  </si>
  <si>
    <t>0x00e274bc</t>
  </si>
  <si>
    <t>0x00e27574</t>
  </si>
  <si>
    <t>0x00e2758c</t>
  </si>
  <si>
    <t>0x00e275b0</t>
  </si>
  <si>
    <t>0x00e275bc</t>
  </si>
  <si>
    <t>0x00e275cc</t>
  </si>
  <si>
    <t>0x00e275e0</t>
  </si>
  <si>
    <t>0x00e2761c</t>
  </si>
  <si>
    <t>0x00e27648</t>
  </si>
  <si>
    <t>0x00e27654</t>
  </si>
  <si>
    <t>0x00e2765c</t>
  </si>
  <si>
    <t>0x00e27668</t>
  </si>
  <si>
    <t>0x00e27678</t>
  </si>
  <si>
    <t>0x00e27680</t>
  </si>
  <si>
    <t>0x00e27690</t>
  </si>
  <si>
    <t>0x00e276a8</t>
  </si>
  <si>
    <t>0x00e276c4</t>
  </si>
  <si>
    <t>0x00e27724</t>
  </si>
  <si>
    <t>0x00e2779c</t>
  </si>
  <si>
    <t>0x00e277e4</t>
  </si>
  <si>
    <t>0x00e27834</t>
  </si>
  <si>
    <t>0x00e2786c</t>
  </si>
  <si>
    <t>0x00e278bc</t>
  </si>
  <si>
    <t>0x00e27918</t>
  </si>
  <si>
    <t>0x00e27928</t>
  </si>
  <si>
    <t>0x00e27944</t>
  </si>
  <si>
    <t>0x00e27954</t>
  </si>
  <si>
    <t>0x00e2798c</t>
  </si>
  <si>
    <t>0x00e27a04</t>
  </si>
  <si>
    <t>0x00e27a54</t>
  </si>
  <si>
    <t>0x00e27a78</t>
  </si>
  <si>
    <t>0x00e27b08</t>
  </si>
  <si>
    <t>0x00e27bac</t>
  </si>
  <si>
    <t>0x00e27c44</t>
  </si>
  <si>
    <t>0x00e27cd4</t>
  </si>
  <si>
    <t>0x00e27d14</t>
  </si>
  <si>
    <t>0x00e27d68</t>
  </si>
  <si>
    <t>0x00e27df8</t>
  </si>
  <si>
    <t>0x00e27e94</t>
  </si>
  <si>
    <t>0x00e27ef4</t>
  </si>
  <si>
    <t>0x00e27f64</t>
  </si>
  <si>
    <t>0x00e27f94</t>
  </si>
  <si>
    <t>0x00e2805c</t>
  </si>
  <si>
    <t>0x00e28064</t>
  </si>
  <si>
    <t>0x00e28070</t>
  </si>
  <si>
    <t>0x00e28080</t>
  </si>
  <si>
    <t>0x00e2809c</t>
  </si>
  <si>
    <t>0x00e28134</t>
  </si>
  <si>
    <t>0x00e2837c</t>
  </si>
  <si>
    <t>0x00e28454</t>
  </si>
  <si>
    <t>0x00e28464</t>
  </si>
  <si>
    <t>0x00e2846c</t>
  </si>
  <si>
    <t>0x00e28474</t>
  </si>
  <si>
    <t>0x00e28484</t>
  </si>
  <si>
    <t>0x00e28494</t>
  </si>
  <si>
    <t>0x00e284ac</t>
  </si>
  <si>
    <t>0x00e284c4</t>
  </si>
  <si>
    <t>0x00e284dc</t>
  </si>
  <si>
    <t>0x00e28550</t>
  </si>
  <si>
    <t>0x00e285a4</t>
  </si>
  <si>
    <t>0x00e285bc</t>
  </si>
  <si>
    <t>0x00e285c4</t>
  </si>
  <si>
    <t>0x00e285d4</t>
  </si>
  <si>
    <t>0x00e285dc</t>
  </si>
  <si>
    <t>0x00e285ec</t>
  </si>
  <si>
    <t>0x00e285f4</t>
  </si>
  <si>
    <t>0x00e285fc</t>
  </si>
  <si>
    <t>0x00e2861c</t>
  </si>
  <si>
    <t>0x00e28634</t>
  </si>
  <si>
    <t>0x00e28664</t>
  </si>
  <si>
    <t>0x00e28684</t>
  </si>
  <si>
    <t>0x00e286e8</t>
  </si>
  <si>
    <t>0x00e286f8</t>
  </si>
  <si>
    <t>0x00e28714</t>
  </si>
  <si>
    <t>0x00e28734</t>
  </si>
  <si>
    <t>0x00e28748</t>
  </si>
  <si>
    <t>0x00e28758</t>
  </si>
  <si>
    <t>0x00e28788</t>
  </si>
  <si>
    <t>0x00e28798</t>
  </si>
  <si>
    <t>0x00e287a8</t>
  </si>
  <si>
    <t>0x00e287b8</t>
  </si>
  <si>
    <t>0x00e287f0</t>
  </si>
  <si>
    <t>0x00e28800</t>
  </si>
  <si>
    <t>0x00e28840</t>
  </si>
  <si>
    <t>0x00e28858</t>
  </si>
  <si>
    <t>0x00e28868</t>
  </si>
  <si>
    <t>0x00e28890</t>
  </si>
  <si>
    <t>0x00e288a0</t>
  </si>
  <si>
    <t>0x00e288b8</t>
  </si>
  <si>
    <t>0x00e28908</t>
  </si>
  <si>
    <t>0x00e28918</t>
  </si>
  <si>
    <t>0x00e28940</t>
  </si>
  <si>
    <t>0x00e289a8</t>
  </si>
  <si>
    <t>0x00e289b8</t>
  </si>
  <si>
    <t>0x00e289c8</t>
  </si>
  <si>
    <t>0x00e289d8</t>
  </si>
  <si>
    <t>0x00e289f0</t>
  </si>
  <si>
    <t>0x00e28a64</t>
  </si>
  <si>
    <t>0x00e28aa4</t>
  </si>
  <si>
    <t>0x00e28ad4</t>
  </si>
  <si>
    <t>0x00e28b14</t>
  </si>
  <si>
    <t>0x00e28b40</t>
  </si>
  <si>
    <t>0x00e28b90</t>
  </si>
  <si>
    <t>0x00e28c00</t>
  </si>
  <si>
    <t>0x00e28c48</t>
  </si>
  <si>
    <t>0x00e28c98</t>
  </si>
  <si>
    <t>0x00e28cf8</t>
  </si>
  <si>
    <t>0x00e28d58</t>
  </si>
  <si>
    <t>0x00e28da8</t>
  </si>
  <si>
    <t>0x00e28e00</t>
  </si>
  <si>
    <t>0x00e28ef0</t>
  </si>
  <si>
    <t>0x00e28f38</t>
  </si>
  <si>
    <t>0x00e28f50</t>
  </si>
  <si>
    <t>0x00e28f80</t>
  </si>
  <si>
    <t>0x00e28f90</t>
  </si>
  <si>
    <t>0x00e28fa0</t>
  </si>
  <si>
    <t>0x00e28fb0</t>
  </si>
  <si>
    <t>0x00e28fc0</t>
  </si>
  <si>
    <t>0x00e29008</t>
  </si>
  <si>
    <t>0x00e29014</t>
  </si>
  <si>
    <t>0x00e2901c</t>
  </si>
  <si>
    <t>0x00e2903c</t>
  </si>
  <si>
    <t>0x00e29054</t>
  </si>
  <si>
    <t>0x00e29064</t>
  </si>
  <si>
    <t>0x00e2a2bc</t>
  </si>
  <si>
    <t>0x00e2a4b0</t>
  </si>
  <si>
    <t>0x00e2a4b8</t>
  </si>
  <si>
    <t>0x00e2a4c0</t>
  </si>
  <si>
    <t>0x00e2a4cc</t>
  </si>
  <si>
    <t>0x00e2a4dc</t>
  </si>
  <si>
    <t>0x00e2a4ec</t>
  </si>
  <si>
    <t>0x00e2a4fc</t>
  </si>
  <si>
    <t>0x00e2a50c</t>
  </si>
  <si>
    <t>0x00e2a51c</t>
  </si>
  <si>
    <t>0x00e2a52c</t>
  </si>
  <si>
    <t>0x00e2a53c</t>
  </si>
  <si>
    <t>0x00e2a578</t>
  </si>
  <si>
    <t>0x00e2a580</t>
  </si>
  <si>
    <t>0x00e2a584</t>
  </si>
  <si>
    <t>0x00e2a588</t>
  </si>
  <si>
    <t>0x00e2a5a0</t>
  </si>
  <si>
    <t>0x00e2a5b8</t>
  </si>
  <si>
    <t>0x00e2a5c0</t>
  </si>
  <si>
    <t>0x00e2a5c8</t>
  </si>
  <si>
    <t>0x00e2a664</t>
  </si>
  <si>
    <t>0x00e2a668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</si>
</sst>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20"/>
  <sheetViews>
    <sheetView tabSelected="1" workbookViewId="0">
      <selection activeCell="B2" sqref="B2"/>
    </sheetView>
  </sheetViews>
  <sheetFormatPr defaultColWidth="12.625" defaultRowHeight="15" customHeight="1" x14ac:dyDescent="0.2"/>
  <cols>
    <col min="1" max="2" width="16.875" customWidth="1"/>
    <col min="3" max="27" width="7.625" customWidth="1"/>
  </cols>
  <sheetData>
    <row r="1" spans="1:4" x14ac:dyDescent="0.25">
      <c r="A1" s="1" t="s">
        <v>0</v>
      </c>
      <c r="B1" s="1" t="s">
        <v>4036</v>
      </c>
      <c r="C1" s="1" t="s">
        <v>1</v>
      </c>
      <c r="D1" s="1" t="str">
        <f ca="1">IFERROR(__xludf.DUMMYFUNCTION("GoogleTranslate(B1,""ja"",""en"")"),"move on")</f>
        <v>move on</v>
      </c>
    </row>
    <row r="2" spans="1:4" x14ac:dyDescent="0.25">
      <c r="A2" s="1" t="s">
        <v>2</v>
      </c>
      <c r="B2" s="1" t="s">
        <v>4037</v>
      </c>
      <c r="C2" s="1" t="s">
        <v>3</v>
      </c>
      <c r="D2" s="1" t="str">
        <f ca="1">IFERROR(__xludf.DUMMYFUNCTION("GoogleTranslate(B2,""ja"",""en"")"),"Advance: &lt;D Sign&gt;")</f>
        <v>Advance: &lt;D Sign&gt;</v>
      </c>
    </row>
    <row r="3" spans="1:4" x14ac:dyDescent="0.25">
      <c r="A3" s="1" t="s">
        <v>4</v>
      </c>
      <c r="B3" s="1" t="s">
        <v>4038</v>
      </c>
      <c r="C3" s="1" t="s">
        <v>5</v>
      </c>
      <c r="D3" s="1" t="str">
        <f ca="1">IFERROR(__xludf.DUMMYFUNCTION("GoogleTranslate(B3,""ja"",""en"")"),"&lt;Sign: C&gt; Back")</f>
        <v>&lt;Sign: C&gt; Back</v>
      </c>
    </row>
    <row r="4" spans="1:4" x14ac:dyDescent="0.25">
      <c r="A4" s="1" t="s">
        <v>6</v>
      </c>
      <c r="B4" s="1" t="s">
        <v>4039</v>
      </c>
      <c r="C4" s="1" t="s">
        <v>7</v>
      </c>
      <c r="D4" s="1" t="str">
        <f ca="1">IFERROR(__xludf.DUMMYFUNCTION("GoogleTranslate(B4,""ja"",""en"")"),"&lt;Sign: D&gt; decision &lt;Sign: C&gt; Back")</f>
        <v>&lt;Sign: D&gt; decision &lt;Sign: C&gt; Back</v>
      </c>
    </row>
    <row r="5" spans="1:4" x14ac:dyDescent="0.25">
      <c r="A5" s="1" t="s">
        <v>8</v>
      </c>
      <c r="B5" s="1" t="s">
        <v>4040</v>
      </c>
      <c r="C5" s="1" t="s">
        <v>9</v>
      </c>
      <c r="D5" s="1" t="str">
        <f ca="1">IFERROR(__xludf.DUMMYFUNCTION("GoogleTranslate(B5,""ja"",""en"")"),"Circle")</f>
        <v>Circle</v>
      </c>
    </row>
    <row r="6" spans="1:4" x14ac:dyDescent="0.25">
      <c r="A6" s="1" t="s">
        <v>10</v>
      </c>
      <c r="B6" s="1" t="s">
        <v>4041</v>
      </c>
      <c r="C6" s="1" t="s">
        <v>11</v>
      </c>
      <c r="D6" s="1" t="str">
        <f ca="1">IFERROR(__xludf.DUMMYFUNCTION("GoogleTranslate(B6,""ja"",""en"")"),"Sentence")</f>
        <v>Sentence</v>
      </c>
    </row>
    <row r="7" spans="1:4" x14ac:dyDescent="0.25">
      <c r="A7" s="1" t="s">
        <v>12</v>
      </c>
      <c r="B7" s="1" t="s">
        <v>4042</v>
      </c>
      <c r="C7" s="1" t="s">
        <v>13</v>
      </c>
      <c r="D7" s="1" t="str">
        <f ca="1">IFERROR(__xludf.DUMMYFUNCTION("GoogleTranslate(B7,""ja"",""en"")"),"Ten thousand")</f>
        <v>Ten thousand</v>
      </c>
    </row>
    <row r="8" spans="1:4" x14ac:dyDescent="0.25">
      <c r="A8" s="1" t="s">
        <v>14</v>
      </c>
      <c r="B8" s="1" t="s">
        <v>4</v>
      </c>
      <c r="C8" s="1" t="s">
        <v>15</v>
      </c>
      <c r="D8" s="1" t="str">
        <f ca="1">IFERROR(__xludf.DUMMYFUNCTION("GoogleTranslate(B8,""ja"",""en"")"),"Billion")</f>
        <v>Billion</v>
      </c>
    </row>
    <row r="9" spans="1:4" x14ac:dyDescent="0.25">
      <c r="A9" s="1" t="s">
        <v>16</v>
      </c>
      <c r="B9" s="1" t="s">
        <v>4043</v>
      </c>
      <c r="C9" s="1" t="s">
        <v>17</v>
      </c>
      <c r="D9" s="1" t="str">
        <f ca="1">IFERROR(__xludf.DUMMYFUNCTION("GoogleTranslate(B9,""ja"",""en"")"),"point")</f>
        <v>point</v>
      </c>
    </row>
    <row r="10" spans="1:4" x14ac:dyDescent="0.25">
      <c r="A10" s="1" t="s">
        <v>18</v>
      </c>
      <c r="B10" s="1" t="s">
        <v>4044</v>
      </c>
      <c r="C10" s="1" t="s">
        <v>19</v>
      </c>
      <c r="D10" s="1" t="str">
        <f ca="1">IFERROR(__xludf.DUMMYFUNCTION("GoogleTranslate(B10,""ja"",""en"")"),"Sheet")</f>
        <v>Sheet</v>
      </c>
    </row>
    <row r="11" spans="1:4" x14ac:dyDescent="0.25">
      <c r="A11" s="1" t="s">
        <v>20</v>
      </c>
      <c r="B11" s="1" t="s">
        <v>4045</v>
      </c>
      <c r="C11" s="1" t="s">
        <v>21</v>
      </c>
      <c r="D11" s="1" t="str">
        <f ca="1">IFERROR(__xludf.DUMMYFUNCTION("GoogleTranslate(B11,""ja"",""en"")"),"Pieces")</f>
        <v>Pieces</v>
      </c>
    </row>
    <row r="12" spans="1:4" x14ac:dyDescent="0.25">
      <c r="A12" s="1" t="s">
        <v>22</v>
      </c>
      <c r="B12" s="1" t="s">
        <v>4046</v>
      </c>
      <c r="C12" s="1" t="s">
        <v>23</v>
      </c>
      <c r="D12" s="1" t="str">
        <f ca="1">IFERROR(__xludf.DUMMYFUNCTION("GoogleTranslate(B12,""ja"",""en"")"),"Departure")</f>
        <v>Departure</v>
      </c>
    </row>
    <row r="13" spans="1:4" x14ac:dyDescent="0.25">
      <c r="A13" s="1" t="s">
        <v>24</v>
      </c>
      <c r="B13" s="1" t="s">
        <v>4047</v>
      </c>
      <c r="C13" s="1" t="s">
        <v>25</v>
      </c>
      <c r="D13" s="1" t="str">
        <f ca="1">IFERROR(__xludf.DUMMYFUNCTION("GoogleTranslate(B13,""ja"",""en"")"),"Money in hand")</f>
        <v>Money in hand</v>
      </c>
    </row>
    <row r="14" spans="1:4" x14ac:dyDescent="0.25">
      <c r="A14" s="1" t="s">
        <v>26</v>
      </c>
      <c r="B14" s="1" t="s">
        <v>4048</v>
      </c>
      <c r="C14" s="1" t="s">
        <v>27</v>
      </c>
      <c r="D14" s="1" t="str">
        <f ca="1">IFERROR(__xludf.DUMMYFUNCTION("GoogleTranslate(B14,""ja"",""en"")"),"Chip")</f>
        <v>Chip</v>
      </c>
    </row>
    <row r="15" spans="1:4" x14ac:dyDescent="0.25">
      <c r="A15" s="1" t="s">
        <v>28</v>
      </c>
      <c r="B15" s="1" t="s">
        <v>16</v>
      </c>
      <c r="C15" s="1" t="s">
        <v>29</v>
      </c>
      <c r="D15" s="1" t="str">
        <f ca="1">IFERROR(__xludf.DUMMYFUNCTION("GoogleTranslate(B15,""ja"",""en"")"),"You twist")</f>
        <v>You twist</v>
      </c>
    </row>
    <row r="16" spans="1:4" x14ac:dyDescent="0.25">
      <c r="A16" s="1" t="s">
        <v>30</v>
      </c>
      <c r="B16" s="1" t="s">
        <v>4049</v>
      </c>
      <c r="C16" s="1" t="s">
        <v>31</v>
      </c>
      <c r="D16" s="1" t="str">
        <f ca="1">IFERROR(__xludf.DUMMYFUNCTION("GoogleTranslate(B16,""ja"",""en"")"),"Point has")</f>
        <v>Point has</v>
      </c>
    </row>
    <row r="17" spans="1:4" x14ac:dyDescent="0.25">
      <c r="A17" s="1" t="s">
        <v>32</v>
      </c>
      <c r="B17" s="1" t="s">
        <v>4050</v>
      </c>
      <c r="C17" s="1" t="s">
        <v>33</v>
      </c>
      <c r="D17" s="1" t="str">
        <f ca="1">IFERROR(__xludf.DUMMYFUNCTION("GoogleTranslate(B17,""ja"",""en"")"),"闘玉")</f>
        <v>闘玉</v>
      </c>
    </row>
    <row r="18" spans="1:4" x14ac:dyDescent="0.25">
      <c r="A18" s="1" t="s">
        <v>34</v>
      </c>
      <c r="B18" s="1" t="s">
        <v>4051</v>
      </c>
      <c r="C18" s="1" t="s">
        <v>35</v>
      </c>
      <c r="D18" s="1" t="str">
        <f ca="1">IFERROR(__xludf.DUMMYFUNCTION("GoogleTranslate(B18,""ja"",""en"")"),"Fund")</f>
        <v>Fund</v>
      </c>
    </row>
    <row r="19" spans="1:4" x14ac:dyDescent="0.25">
      <c r="A19" s="1" t="s">
        <v>36</v>
      </c>
      <c r="B19" s="1" t="s">
        <v>4052</v>
      </c>
      <c r="C19" s="1" t="s">
        <v>37</v>
      </c>
      <c r="D19" s="1" t="str">
        <f ca="1">IFERROR(__xludf.DUMMYFUNCTION("GoogleTranslate(B19,""ja"",""en"")"),"Dojo funds")</f>
        <v>Dojo funds</v>
      </c>
    </row>
    <row r="20" spans="1:4" x14ac:dyDescent="0.25">
      <c r="A20" s="1" t="s">
        <v>38</v>
      </c>
      <c r="B20" s="1" t="s">
        <v>24</v>
      </c>
      <c r="C20" s="1" t="s">
        <v>39</v>
      </c>
      <c r="D20" s="1" t="str">
        <f ca="1">IFERROR(__xludf.DUMMYFUNCTION("GoogleTranslate(B20,""ja"",""en"")"),"Possession of P")</f>
        <v>Possession of P</v>
      </c>
    </row>
    <row r="21" spans="1:4" ht="15.75" customHeight="1" x14ac:dyDescent="0.25">
      <c r="A21" s="1" t="s">
        <v>40</v>
      </c>
      <c r="B21" s="1" t="s">
        <v>26</v>
      </c>
      <c r="C21" s="1" t="s">
        <v>41</v>
      </c>
      <c r="D21" s="1" t="str">
        <f ca="1">IFERROR(__xludf.DUMMYFUNCTION("GoogleTranslate(B21,""ja"",""en"")"),"Medal")</f>
        <v>Medal</v>
      </c>
    </row>
    <row r="22" spans="1:4" ht="15.75" customHeight="1" x14ac:dyDescent="0.25">
      <c r="A22" s="1" t="s">
        <v>42</v>
      </c>
      <c r="B22" s="1" t="s">
        <v>28</v>
      </c>
      <c r="C22" s="1" t="s">
        <v>43</v>
      </c>
      <c r="D22" s="1" t="str">
        <f ca="1">IFERROR(__xludf.DUMMYFUNCTION("GoogleTranslate(B22,""ja"",""en"")"),"Have ball")</f>
        <v>Have ball</v>
      </c>
    </row>
    <row r="23" spans="1:4" ht="15.75" customHeight="1" x14ac:dyDescent="0.25">
      <c r="A23" s="1" t="s">
        <v>44</v>
      </c>
      <c r="B23" s="1" t="s">
        <v>4053</v>
      </c>
      <c r="C23" s="1" t="s">
        <v>45</v>
      </c>
      <c r="D23" s="1" t="str">
        <f ca="1">IFERROR(__xludf.DUMMYFUNCTION("GoogleTranslate(B23,""ja"",""en"")"),"Acquisition P")</f>
        <v>Acquisition P</v>
      </c>
    </row>
    <row r="24" spans="1:4" ht="15.75" customHeight="1" x14ac:dyDescent="0.25">
      <c r="A24" s="1" t="s">
        <v>46</v>
      </c>
      <c r="B24" s="1" t="s">
        <v>4054</v>
      </c>
      <c r="C24" s="1" t="s">
        <v>47</v>
      </c>
      <c r="D24" s="1" t="str">
        <f ca="1">IFERROR(__xludf.DUMMYFUNCTION("GoogleTranslate(B24,""ja"",""en"")"),"Taxi Pt")</f>
        <v>Taxi Pt</v>
      </c>
    </row>
    <row r="25" spans="1:4" ht="15.75" customHeight="1" x14ac:dyDescent="0.25">
      <c r="A25" s="1" t="s">
        <v>48</v>
      </c>
      <c r="B25" s="1" t="s">
        <v>34</v>
      </c>
      <c r="C25" s="1" t="s">
        <v>49</v>
      </c>
      <c r="D25" s="1" t="str">
        <f ca="1">IFERROR(__xludf.DUMMYFUNCTION("GoogleTranslate(B25,""ja"",""en"")"),"% 2d point")</f>
        <v>% 2d point</v>
      </c>
    </row>
    <row r="26" spans="1:4" ht="15.75" customHeight="1" x14ac:dyDescent="0.25">
      <c r="A26" s="1" t="s">
        <v>50</v>
      </c>
      <c r="B26" s="1" t="s">
        <v>36</v>
      </c>
      <c r="C26" s="1" t="s">
        <v>51</v>
      </c>
      <c r="D26" s="1" t="str">
        <f ca="1">IFERROR(__xludf.DUMMYFUNCTION("GoogleTranslate(B26,""ja"",""en"")"),"Place")</f>
        <v>Place</v>
      </c>
    </row>
    <row r="27" spans="1:4" ht="15.75" customHeight="1" x14ac:dyDescent="0.25">
      <c r="A27" s="1" t="s">
        <v>52</v>
      </c>
      <c r="B27" s="1" t="s">
        <v>4055</v>
      </c>
      <c r="C27" s="1" t="s">
        <v>53</v>
      </c>
      <c r="D27" s="1" t="str">
        <f ca="1">IFERROR(__xludf.DUMMYFUNCTION("GoogleTranslate(B27,""ja"",""en"")"),"Lottery ticket")</f>
        <v>Lottery ticket</v>
      </c>
    </row>
    <row r="28" spans="1:4" ht="15.75" customHeight="1" x14ac:dyDescent="0.25">
      <c r="A28" s="1" t="s">
        <v>54</v>
      </c>
      <c r="B28" s="1" t="s">
        <v>4056</v>
      </c>
      <c r="C28" s="1" t="s">
        <v>55</v>
      </c>
      <c r="D28" s="1" t="str">
        <f ca="1">IFERROR(__xludf.DUMMYFUNCTION("GoogleTranslate(B28,""ja"",""en"")"),"Gion")</f>
        <v>Gion</v>
      </c>
    </row>
    <row r="29" spans="1:4" ht="15.75" customHeight="1" x14ac:dyDescent="0.25">
      <c r="A29" s="1" t="s">
        <v>56</v>
      </c>
      <c r="B29" s="1" t="s">
        <v>4057</v>
      </c>
      <c r="C29" s="1" t="s">
        <v>57</v>
      </c>
      <c r="D29" s="1" t="str">
        <f ca="1">IFERROR(__xludf.DUMMYFUNCTION("GoogleTranslate(B29,""ja"",""en"")"),"In the Lok")</f>
        <v>In the Lok</v>
      </c>
    </row>
    <row r="30" spans="1:4" ht="15.75" customHeight="1" x14ac:dyDescent="0.25">
      <c r="A30" s="1" t="s">
        <v>58</v>
      </c>
      <c r="B30" s="1" t="s">
        <v>4058</v>
      </c>
      <c r="C30" s="1" t="s">
        <v>59</v>
      </c>
      <c r="D30" s="1" t="str">
        <f ca="1">IFERROR(__xludf.DUMMYFUNCTION("GoogleTranslate(B30,""ja"",""en"")"),"Of Kyoto")</f>
        <v>Of Kyoto</v>
      </c>
    </row>
    <row r="31" spans="1:4" ht="15.75" customHeight="1" x14ac:dyDescent="0.25">
      <c r="A31" s="1" t="s">
        <v>60</v>
      </c>
      <c r="B31" s="1" t="s">
        <v>4059</v>
      </c>
      <c r="C31" s="1" t="s">
        <v>61</v>
      </c>
      <c r="D31" s="1" t="str">
        <f ca="1">IFERROR(__xludf.DUMMYFUNCTION("GoogleTranslate(B31,""ja"",""en"")"),"Mukuro Street")</f>
        <v>Mukuro Street</v>
      </c>
    </row>
    <row r="32" spans="1:4" ht="15.75" customHeight="1" x14ac:dyDescent="0.25">
      <c r="A32" s="1" t="s">
        <v>62</v>
      </c>
      <c r="B32" s="1" t="s">
        <v>4060</v>
      </c>
      <c r="C32" s="1" t="s">
        <v>63</v>
      </c>
      <c r="D32" s="1" t="str">
        <f ca="1">IFERROR(__xludf.DUMMYFUNCTION("GoogleTranslate(B32,""ja"",""en"")"),"Fushimi")</f>
        <v>Fushimi</v>
      </c>
    </row>
    <row r="33" spans="1:4" ht="15.75" customHeight="1" x14ac:dyDescent="0.25">
      <c r="A33" s="1" t="s">
        <v>64</v>
      </c>
      <c r="B33" s="1" t="s">
        <v>4061</v>
      </c>
      <c r="C33" s="1" t="s">
        <v>65</v>
      </c>
      <c r="D33" s="1" t="str">
        <f ca="1">IFERROR(__xludf.DUMMYFUNCTION("GoogleTranslate(B33,""ja"",""en"")"),"Tosa")</f>
        <v>Tosa</v>
      </c>
    </row>
    <row r="34" spans="1:4" ht="15.75" customHeight="1" x14ac:dyDescent="0.25">
      <c r="A34" s="1" t="s">
        <v>66</v>
      </c>
      <c r="B34" s="1" t="s">
        <v>4062</v>
      </c>
      <c r="C34" s="1" t="s">
        <v>67</v>
      </c>
      <c r="D34" s="1" t="str">
        <f ca="1">IFERROR(__xludf.DUMMYFUNCTION("GoogleTranslate(B34,""ja"",""en"")"),"Virtue")</f>
        <v>Virtue</v>
      </c>
    </row>
    <row r="35" spans="1:4" ht="15.75" customHeight="1" x14ac:dyDescent="0.25">
      <c r="A35" s="1" t="s">
        <v>68</v>
      </c>
      <c r="B35" s="1" t="s">
        <v>52</v>
      </c>
      <c r="C35" s="1" t="s">
        <v>69</v>
      </c>
      <c r="D35" s="1" t="str">
        <f ca="1">IFERROR(__xludf.DUMMYFUNCTION("GoogleTranslate(B35,""ja"",""en"")"),"type")</f>
        <v>type</v>
      </c>
    </row>
    <row r="36" spans="1:4" ht="15.75" customHeight="1" x14ac:dyDescent="0.25">
      <c r="A36" s="1" t="s">
        <v>70</v>
      </c>
      <c r="B36" s="1" t="s">
        <v>4063</v>
      </c>
      <c r="C36" s="1" t="s">
        <v>71</v>
      </c>
      <c r="D36" s="1" t="str">
        <f ca="1">IFERROR(__xludf.DUMMYFUNCTION("GoogleTranslate(B36,""ja"",""en"")"),"Times")</f>
        <v>Times</v>
      </c>
    </row>
    <row r="37" spans="1:4" ht="15.75" customHeight="1" x14ac:dyDescent="0.25">
      <c r="A37" s="1" t="s">
        <v>72</v>
      </c>
      <c r="B37" s="1" t="s">
        <v>56</v>
      </c>
      <c r="C37" s="1" t="s">
        <v>73</v>
      </c>
      <c r="D37" s="1" t="str">
        <f ca="1">IFERROR(__xludf.DUMMYFUNCTION("GoogleTranslate(B37,""ja"",""en"")"),"Saito")</f>
        <v>Saito</v>
      </c>
    </row>
    <row r="38" spans="1:4" ht="15.75" customHeight="1" x14ac:dyDescent="0.25">
      <c r="A38" s="1" t="s">
        <v>74</v>
      </c>
      <c r="B38" s="1" t="s">
        <v>60</v>
      </c>
      <c r="C38" s="1" t="s">
        <v>75</v>
      </c>
      <c r="D38" s="1" t="str">
        <f ca="1">IFERROR(__xludf.DUMMYFUNCTION("GoogleTranslate(B38,""ja"",""en"")"),"Ryoma")</f>
        <v>Ryoma</v>
      </c>
    </row>
    <row r="39" spans="1:4" ht="15.75" customHeight="1" x14ac:dyDescent="0.25">
      <c r="A39" s="1" t="s">
        <v>76</v>
      </c>
      <c r="B39" s="1" t="s">
        <v>64</v>
      </c>
      <c r="C39" s="1" t="s">
        <v>77</v>
      </c>
      <c r="D39" s="1" t="str">
        <f ca="1">IFERROR(__xludf.DUMMYFUNCTION("GoogleTranslate(B39,""ja"",""en"")"),"Haruka")</f>
        <v>Haruka</v>
      </c>
    </row>
    <row r="40" spans="1:4" ht="15.75" customHeight="1" x14ac:dyDescent="0.25">
      <c r="A40" s="1" t="s">
        <v>78</v>
      </c>
      <c r="B40" s="1" t="s">
        <v>4064</v>
      </c>
      <c r="C40" s="1" t="s">
        <v>79</v>
      </c>
      <c r="D40" s="1" t="str">
        <f ca="1">IFERROR(__xludf.DUMMYFUNCTION("GoogleTranslate(B40,""ja"",""en"")"),"Hajime Saito")</f>
        <v>Hajime Saito</v>
      </c>
    </row>
    <row r="41" spans="1:4" ht="15.75" customHeight="1" x14ac:dyDescent="0.25">
      <c r="A41" s="1" t="s">
        <v>80</v>
      </c>
      <c r="B41" s="1" t="s">
        <v>4065</v>
      </c>
      <c r="C41" s="1" t="s">
        <v>81</v>
      </c>
      <c r="D41" s="1" t="str">
        <f ca="1">IFERROR(__xludf.DUMMYFUNCTION("GoogleTranslate(B41,""ja"",""en"")"),"Ryoma Sakamoto")</f>
        <v>Ryoma Sakamoto</v>
      </c>
    </row>
    <row r="42" spans="1:4" ht="15.75" customHeight="1" x14ac:dyDescent="0.25">
      <c r="A42" s="1" t="s">
        <v>82</v>
      </c>
      <c r="B42" s="1" t="s">
        <v>4066</v>
      </c>
      <c r="C42" s="1" t="s">
        <v>83</v>
      </c>
      <c r="D42" s="1" t="str">
        <f ca="1">IFERROR(__xludf.DUMMYFUNCTION("GoogleTranslate(B42,""ja"",""en"")"),"Haruka Sawamura")</f>
        <v>Haruka Sawamura</v>
      </c>
    </row>
    <row r="43" spans="1:4" ht="15.75" customHeight="1" x14ac:dyDescent="0.25">
      <c r="A43" s="1" t="s">
        <v>84</v>
      </c>
      <c r="B43" s="1" t="s">
        <v>4067</v>
      </c>
      <c r="C43" s="1" t="s">
        <v>85</v>
      </c>
      <c r="D43" s="1" t="str">
        <f ca="1">IFERROR(__xludf.DUMMYFUNCTION("GoogleTranslate(B43,""ja"",""en"")"),"Saito")</f>
        <v>Saito</v>
      </c>
    </row>
    <row r="44" spans="1:4" ht="15.75" customHeight="1" x14ac:dyDescent="0.25">
      <c r="A44" s="1" t="s">
        <v>86</v>
      </c>
      <c r="B44" s="1" t="s">
        <v>74</v>
      </c>
      <c r="C44" s="1" t="s">
        <v>87</v>
      </c>
      <c r="D44" s="1" t="str">
        <f ca="1">IFERROR(__xludf.DUMMYFUNCTION("GoogleTranslate(B44,""ja"",""en"")"),"Saito")</f>
        <v>Saito</v>
      </c>
    </row>
    <row r="45" spans="1:4" ht="15.75" customHeight="1" x14ac:dyDescent="0.25">
      <c r="A45" s="1" t="s">
        <v>88</v>
      </c>
      <c r="B45" s="1" t="s">
        <v>4068</v>
      </c>
      <c r="C45" s="1" t="s">
        <v>89</v>
      </c>
      <c r="D45" s="1" t="str">
        <f ca="1">IFERROR(__xludf.DUMMYFUNCTION("GoogleTranslate(B45,""ja"",""en"")"),"Mosquitoes")</f>
        <v>Mosquitoes</v>
      </c>
    </row>
    <row r="46" spans="1:4" ht="15.75" customHeight="1" x14ac:dyDescent="0.25">
      <c r="A46" s="1" t="s">
        <v>90</v>
      </c>
      <c r="B46" s="1" t="s">
        <v>4069</v>
      </c>
      <c r="C46" s="1" t="s">
        <v>91</v>
      </c>
      <c r="D46" s="1" t="str">
        <f ca="1">IFERROR(__xludf.DUMMYFUNCTION("GoogleTranslate(B46,""ja"",""en"")"),"Land")</f>
        <v>Land</v>
      </c>
    </row>
    <row r="47" spans="1:4" ht="15.75" customHeight="1" x14ac:dyDescent="0.25">
      <c r="A47" s="1" t="s">
        <v>92</v>
      </c>
      <c r="B47" s="1" t="s">
        <v>4070</v>
      </c>
      <c r="C47" s="1" t="s">
        <v>93</v>
      </c>
      <c r="D47" s="1" t="str">
        <f ca="1">IFERROR(__xludf.DUMMYFUNCTION("GoogleTranslate(B47,""ja"",""en"")"),"Kaguya")</f>
        <v>Kaguya</v>
      </c>
    </row>
    <row r="48" spans="1:4" ht="15.75" customHeight="1" x14ac:dyDescent="0.25">
      <c r="A48" s="1" t="s">
        <v>94</v>
      </c>
      <c r="B48" s="1" t="s">
        <v>4071</v>
      </c>
      <c r="C48" s="1" t="s">
        <v>95</v>
      </c>
      <c r="D48" s="1" t="str">
        <f ca="1">IFERROR(__xludf.DUMMYFUNCTION("GoogleTranslate(B48,""ja"",""en"")"),"Honoka")</f>
        <v>Honoka</v>
      </c>
    </row>
    <row r="49" spans="1:4" ht="15.75" customHeight="1" x14ac:dyDescent="0.25">
      <c r="A49" s="1" t="s">
        <v>96</v>
      </c>
      <c r="B49" s="1" t="s">
        <v>86</v>
      </c>
      <c r="C49" s="1" t="s">
        <v>97</v>
      </c>
      <c r="D49" s="1" t="str">
        <f ca="1">IFERROR(__xludf.DUMMYFUNCTION("GoogleTranslate(B49,""ja"",""en"")"),"Shion")</f>
        <v>Shion</v>
      </c>
    </row>
    <row r="50" spans="1:4" ht="15.75" customHeight="1" x14ac:dyDescent="0.25">
      <c r="A50" s="1" t="s">
        <v>98</v>
      </c>
      <c r="B50" s="1" t="s">
        <v>4072</v>
      </c>
      <c r="C50" s="1" t="s">
        <v>99</v>
      </c>
      <c r="D50" s="1" t="str">
        <f ca="1">IFERROR(__xludf.DUMMYFUNCTION("GoogleTranslate(B50,""ja"",""en"")"),"SakuraSaki Hinata")</f>
        <v>SakuraSaki Hinata</v>
      </c>
    </row>
    <row r="51" spans="1:4" ht="15.75" customHeight="1" x14ac:dyDescent="0.25">
      <c r="A51" s="1" t="s">
        <v>100</v>
      </c>
      <c r="B51" s="1" t="s">
        <v>4073</v>
      </c>
      <c r="C51" s="1" t="s">
        <v>101</v>
      </c>
      <c r="D51" s="1" t="str">
        <f ca="1">IFERROR(__xludf.DUMMYFUNCTION("GoogleTranslate(B51,""ja"",""en"")"),"Sunny place")</f>
        <v>Sunny place</v>
      </c>
    </row>
    <row r="52" spans="1:4" ht="15.75" customHeight="1" x14ac:dyDescent="0.25">
      <c r="A52" s="1" t="s">
        <v>102</v>
      </c>
      <c r="B52" s="1" t="s">
        <v>4074</v>
      </c>
      <c r="C52" s="1" t="s">
        <v>103</v>
      </c>
      <c r="D52" s="1" t="str">
        <f ca="1">IFERROR(__xludf.DUMMYFUNCTION("GoogleTranslate(B52,""ja"",""en"")"),"Anzuminami")</f>
        <v>Anzuminami</v>
      </c>
    </row>
    <row r="53" spans="1:4" ht="15.75" customHeight="1" x14ac:dyDescent="0.25">
      <c r="A53" s="1" t="s">
        <v>104</v>
      </c>
      <c r="B53" s="1" t="s">
        <v>4075</v>
      </c>
      <c r="C53" s="1" t="s">
        <v>105</v>
      </c>
      <c r="D53" s="1" t="str">
        <f ca="1">IFERROR(__xludf.DUMMYFUNCTION("GoogleTranslate(B53,""ja"",""en"")"),"Dog")</f>
        <v>Dog</v>
      </c>
    </row>
    <row r="54" spans="1:4" ht="15.75" customHeight="1" x14ac:dyDescent="0.25">
      <c r="A54" s="1" t="s">
        <v>106</v>
      </c>
      <c r="B54" s="1" t="s">
        <v>90</v>
      </c>
      <c r="C54" s="1" t="s">
        <v>107</v>
      </c>
      <c r="D54" s="1" t="str">
        <f ca="1">IFERROR(__xludf.DUMMYFUNCTION("GoogleTranslate(B54,""ja"",""en"")"),"Cat")</f>
        <v>Cat</v>
      </c>
    </row>
    <row r="55" spans="1:4" ht="15.75" customHeight="1" x14ac:dyDescent="0.25">
      <c r="A55" s="1" t="s">
        <v>108</v>
      </c>
      <c r="B55" s="1" t="s">
        <v>4076</v>
      </c>
      <c r="C55" s="1" t="s">
        <v>109</v>
      </c>
      <c r="D55" s="1" t="str">
        <f ca="1">IFERROR(__xludf.DUMMYFUNCTION("GoogleTranslate(B55,""ja"",""en"")"),"The pea")</f>
        <v>The pea</v>
      </c>
    </row>
    <row r="56" spans="1:4" ht="15.75" customHeight="1" x14ac:dyDescent="0.25">
      <c r="A56" s="1" t="s">
        <v>110</v>
      </c>
      <c r="B56" s="1" t="s">
        <v>92</v>
      </c>
      <c r="C56" s="1" t="s">
        <v>111</v>
      </c>
      <c r="D56" s="1" t="str">
        <f ca="1">IFERROR(__xludf.DUMMYFUNCTION("GoogleTranslate(B56,""ja"",""en"")"),"Whey thick")</f>
        <v>Whey thick</v>
      </c>
    </row>
    <row r="57" spans="1:4" ht="15.75" customHeight="1" x14ac:dyDescent="0.25">
      <c r="A57" s="1" t="s">
        <v>112</v>
      </c>
      <c r="B57" s="1" t="s">
        <v>4077</v>
      </c>
      <c r="C57" s="1" t="s">
        <v>113</v>
      </c>
      <c r="D57" s="1" t="str">
        <f ca="1">IFERROR(__xludf.DUMMYFUNCTION("GoogleTranslate(B57,""ja"",""en"")"),"Naotarou")</f>
        <v>Naotarou</v>
      </c>
    </row>
    <row r="58" spans="1:4" ht="15.75" customHeight="1" x14ac:dyDescent="0.25">
      <c r="A58" s="1" t="s">
        <v>114</v>
      </c>
      <c r="B58" s="1" t="s">
        <v>4078</v>
      </c>
      <c r="C58" s="1" t="s">
        <v>115</v>
      </c>
      <c r="D58" s="1" t="str">
        <f ca="1">IFERROR(__xludf.DUMMYFUNCTION("GoogleTranslate(B58,""ja"",""en"")"),"Daikichi")</f>
        <v>Daikichi</v>
      </c>
    </row>
    <row r="59" spans="1:4" ht="15.75" customHeight="1" x14ac:dyDescent="0.25">
      <c r="A59" s="1" t="s">
        <v>116</v>
      </c>
      <c r="B59" s="1" t="s">
        <v>4079</v>
      </c>
      <c r="C59" s="1" t="s">
        <v>117</v>
      </c>
      <c r="D59" s="1" t="str">
        <f ca="1">IFERROR(__xludf.DUMMYFUNCTION("GoogleTranslate(B59,""ja"",""en"")"),"Tuna")</f>
        <v>Tuna</v>
      </c>
    </row>
    <row r="60" spans="1:4" ht="15.75" customHeight="1" x14ac:dyDescent="0.25">
      <c r="A60" s="1" t="s">
        <v>118</v>
      </c>
      <c r="B60" s="1" t="s">
        <v>98</v>
      </c>
      <c r="C60" s="1" t="s">
        <v>119</v>
      </c>
      <c r="D60" s="1" t="str">
        <f ca="1">IFERROR(__xludf.DUMMYFUNCTION("GoogleTranslate(B60,""ja"",""en"")"),"Blown inside")</f>
        <v>Blown inside</v>
      </c>
    </row>
    <row r="61" spans="1:4" ht="15.75" customHeight="1" x14ac:dyDescent="0.25">
      <c r="A61" s="1" t="s">
        <v>120</v>
      </c>
      <c r="B61" s="1" t="s">
        <v>4080</v>
      </c>
      <c r="C61" s="1" t="s">
        <v>121</v>
      </c>
      <c r="D61" s="1" t="str">
        <f ca="1">IFERROR(__xludf.DUMMYFUNCTION("GoogleTranslate(B61,""ja"",""en"")"),"Used ones do not have.")</f>
        <v>Used ones do not have.</v>
      </c>
    </row>
    <row r="62" spans="1:4" ht="15.75" customHeight="1" x14ac:dyDescent="0.25">
      <c r="A62" s="1" t="s">
        <v>122</v>
      </c>
      <c r="B62" s="1" t="s">
        <v>4081</v>
      </c>
      <c r="C62" s="1" t="s">
        <v>123</v>
      </c>
      <c r="D62" s="1" t="str">
        <f ca="1">IFERROR(__xludf.DUMMYFUNCTION("GoogleTranslate(B62,""ja"",""en"")"),"What do you try to use.")</f>
        <v>What do you try to use.</v>
      </c>
    </row>
    <row r="63" spans="1:4" ht="15.75" customHeight="1" x14ac:dyDescent="0.25">
      <c r="A63" s="1" t="s">
        <v>124</v>
      </c>
      <c r="B63" s="1" t="s">
        <v>4082</v>
      </c>
      <c r="C63" s="1" t="s">
        <v>125</v>
      </c>
      <c r="D63" s="1" t="str">
        <f ca="1">IFERROR(__xludf.DUMMYFUNCTION("GoogleTranslate(B63,""ja"",""en"")"),"Are you sure you want using Really?")</f>
        <v>Are you sure you want using Really?</v>
      </c>
    </row>
    <row r="64" spans="1:4" ht="15.75" customHeight="1" x14ac:dyDescent="0.25">
      <c r="A64" s="1" t="s">
        <v>126</v>
      </c>
      <c r="B64" s="1" t="s">
        <v>4083</v>
      </c>
      <c r="C64" s="1" t="s">
        <v>127</v>
      </c>
      <c r="D64" s="1" t="str">
        <f ca="1">IFERROR(__xludf.DUMMYFUNCTION("GoogleTranslate(B64,""ja"",""en"")"),"Betting point")</f>
        <v>Betting point</v>
      </c>
    </row>
    <row r="65" spans="1:4" ht="15.75" customHeight="1" x14ac:dyDescent="0.25">
      <c r="A65" s="1" t="s">
        <v>128</v>
      </c>
      <c r="B65" s="1" t="s">
        <v>4084</v>
      </c>
      <c r="C65" s="1" t="s">
        <v>129</v>
      </c>
      <c r="D65" s="1" t="str">
        <f ca="1">IFERROR(__xludf.DUMMYFUNCTION("GoogleTranslate(B65,""ja"",""en"")"),"Dividend point")</f>
        <v>Dividend point</v>
      </c>
    </row>
    <row r="66" spans="1:4" ht="15.75" customHeight="1" x14ac:dyDescent="0.25">
      <c r="A66" s="1" t="s">
        <v>130</v>
      </c>
      <c r="B66" s="1" t="s">
        <v>4085</v>
      </c>
      <c r="C66" s="1" t="s">
        <v>131</v>
      </c>
      <c r="D66" s="1" t="str">
        <f ca="1">IFERROR(__xludf.DUMMYFUNCTION("GoogleTranslate(B66,""ja"",""en"")"),"payment")</f>
        <v>payment</v>
      </c>
    </row>
    <row r="67" spans="1:4" ht="15.75" customHeight="1" x14ac:dyDescent="0.25">
      <c r="A67" s="1" t="s">
        <v>132</v>
      </c>
      <c r="B67" s="1" t="s">
        <v>4086</v>
      </c>
      <c r="C67" s="1" t="s">
        <v>133</v>
      </c>
      <c r="D67" s="1" t="str">
        <f ca="1">IFERROR(__xludf.DUMMYFUNCTION("GoogleTranslate(B67,""ja"",""en"")"),"nice to meet you")</f>
        <v>nice to meet you</v>
      </c>
    </row>
    <row r="68" spans="1:4" ht="15.75" customHeight="1" x14ac:dyDescent="0.25">
      <c r="A68" s="1" t="s">
        <v>134</v>
      </c>
      <c r="B68" s="1" t="s">
        <v>4087</v>
      </c>
      <c r="C68" s="1" t="s">
        <v>135</v>
      </c>
      <c r="D68" s="1" t="str">
        <f ca="1">IFERROR(__xludf.DUMMYFUNCTION("GoogleTranslate(B68,""ja"",""en"")"),"Your hand softly")</f>
        <v>Your hand softly</v>
      </c>
    </row>
    <row r="69" spans="1:4" ht="15.75" customHeight="1" x14ac:dyDescent="0.25">
      <c r="A69" s="1" t="s">
        <v>136</v>
      </c>
      <c r="B69" s="1" t="s">
        <v>4088</v>
      </c>
      <c r="C69" s="1" t="s">
        <v>137</v>
      </c>
      <c r="D69" s="1" t="str">
        <f ca="1">IFERROR(__xludf.DUMMYFUNCTION("GoogleTranslate(B69,""ja"",""en"")"),"Ikuze to win!")</f>
        <v>Ikuze to win!</v>
      </c>
    </row>
    <row r="70" spans="1:4" ht="15.75" customHeight="1" x14ac:dyDescent="0.25">
      <c r="A70" s="1" t="s">
        <v>138</v>
      </c>
      <c r="B70" s="1" t="s">
        <v>4089</v>
      </c>
      <c r="C70" s="1" t="s">
        <v>139</v>
      </c>
      <c r="D70" s="1" t="str">
        <f ca="1">IFERROR(__xludf.DUMMYFUNCTION("GoogleTranslate(B70,""ja"",""en"")"),"Suddenly one pair!")</f>
        <v>Suddenly one pair!</v>
      </c>
    </row>
    <row r="71" spans="1:4" ht="15.75" customHeight="1" x14ac:dyDescent="0.25">
      <c r="A71" s="1" t="s">
        <v>140</v>
      </c>
      <c r="B71" s="1" t="s">
        <v>4090</v>
      </c>
      <c r="C71" s="1" t="s">
        <v>141</v>
      </c>
      <c r="D71" s="1" t="str">
        <f ca="1">IFERROR(__xludf.DUMMYFUNCTION("GoogleTranslate(B71,""ja"",""en"")"),"Also I met")</f>
        <v>Also I met</v>
      </c>
    </row>
    <row r="72" spans="1:4" ht="15.75" customHeight="1" x14ac:dyDescent="0.25">
      <c r="A72" s="1" t="s">
        <v>142</v>
      </c>
      <c r="B72" s="1" t="s">
        <v>4091</v>
      </c>
      <c r="C72" s="1" t="s">
        <v>143</v>
      </c>
      <c r="D72" s="1" t="str">
        <f ca="1">IFERROR(__xludf.DUMMYFUNCTION("GoogleTranslate(B72,""ja"",""en"")"),"Nice to meet you")</f>
        <v>Nice to meet you</v>
      </c>
    </row>
    <row r="73" spans="1:4" ht="15.75" customHeight="1" x14ac:dyDescent="0.25">
      <c r="A73" s="1" t="s">
        <v>144</v>
      </c>
      <c r="B73" s="1" t="s">
        <v>4092</v>
      </c>
      <c r="C73" s="1" t="s">
        <v>145</v>
      </c>
      <c r="D73" s="1" t="str">
        <f ca="1">IFERROR(__xludf.DUMMYFUNCTION("GoogleTranslate(B73,""ja"",""en"")"),"As you come good bill ...")</f>
        <v>As you come good bill ...</v>
      </c>
    </row>
    <row r="74" spans="1:4" ht="15.75" customHeight="1" x14ac:dyDescent="0.25">
      <c r="A74" s="1" t="s">
        <v>146</v>
      </c>
      <c r="B74" s="1" t="s">
        <v>132</v>
      </c>
      <c r="C74" s="1" t="s">
        <v>147</v>
      </c>
      <c r="D74" s="1" t="str">
        <f ca="1">IFERROR(__xludf.DUMMYFUNCTION("GoogleTranslate(B74,""ja"",""en"")"),"Th-This is…! ?")</f>
        <v>Th-This is…! ?</v>
      </c>
    </row>
    <row r="75" spans="1:4" ht="15.75" customHeight="1" x14ac:dyDescent="0.25">
      <c r="A75" s="1" t="s">
        <v>148</v>
      </c>
      <c r="B75" s="1" t="s">
        <v>4093</v>
      </c>
      <c r="C75" s="1" t="s">
        <v>149</v>
      </c>
      <c r="D75" s="1" t="str">
        <f ca="1">IFERROR(__xludf.DUMMYFUNCTION("GoogleTranslate(B75,""ja"",""en"")"),"It's This win confirmed")</f>
        <v>It's This win confirmed</v>
      </c>
    </row>
    <row r="76" spans="1:4" ht="15.75" customHeight="1" x14ac:dyDescent="0.25">
      <c r="A76" s="1" t="s">
        <v>150</v>
      </c>
      <c r="B76" s="1" t="s">
        <v>138</v>
      </c>
      <c r="C76" s="1" t="s">
        <v>151</v>
      </c>
      <c r="D76" s="1" t="str">
        <f ca="1">IFERROR(__xludf.DUMMYFUNCTION("GoogleTranslate(B76,""ja"",""en"")"),"does not feel like we can win…")</f>
        <v>does not feel like we can win…</v>
      </c>
    </row>
    <row r="77" spans="1:4" ht="15.75" customHeight="1" x14ac:dyDescent="0.25">
      <c r="A77" s="1" t="s">
        <v>152</v>
      </c>
      <c r="B77" s="1" t="s">
        <v>140</v>
      </c>
      <c r="C77" s="1" t="s">
        <v>153</v>
      </c>
      <c r="D77" s="1" t="str">
        <f ca="1">IFERROR(__xludf.DUMMYFUNCTION("GoogleTranslate(B77,""ja"",""en"")"),"It is better that everyone got off")</f>
        <v>It is better that everyone got off</v>
      </c>
    </row>
    <row r="78" spans="1:4" ht="15.75" customHeight="1" x14ac:dyDescent="0.25">
      <c r="A78" s="1" t="s">
        <v>154</v>
      </c>
      <c r="B78" s="1" t="s">
        <v>4094</v>
      </c>
      <c r="C78" s="1" t="s">
        <v>155</v>
      </c>
      <c r="D78" s="1" t="str">
        <f ca="1">IFERROR(__xludf.DUMMYFUNCTION("GoogleTranslate(B78,""ja"",""en"")"),"Luck Naa bad ...")</f>
        <v>Luck Naa bad ...</v>
      </c>
    </row>
    <row r="79" spans="1:4" ht="15.75" customHeight="1" x14ac:dyDescent="0.25">
      <c r="A79" s="1" t="s">
        <v>156</v>
      </c>
      <c r="B79" s="1" t="s">
        <v>4095</v>
      </c>
      <c r="C79" s="1" t="s">
        <v>157</v>
      </c>
      <c r="D79" s="1" t="str">
        <f ca="1">IFERROR(__xludf.DUMMYFUNCTION("GoogleTranslate(B79,""ja"",""en"")"),"Come, come!")</f>
        <v>Come, come!</v>
      </c>
    </row>
    <row r="80" spans="1:4" ht="15.75" customHeight="1" x14ac:dyDescent="0.25">
      <c r="A80" s="1" t="s">
        <v>158</v>
      </c>
      <c r="B80" s="1" t="s">
        <v>146</v>
      </c>
      <c r="C80" s="1" t="s">
        <v>159</v>
      </c>
      <c r="D80" s="1" t="str">
        <f ca="1">IFERROR(__xludf.DUMMYFUNCTION("GoogleTranslate(B80,""ja"",""en"")"),"Let's go carefully ...")</f>
        <v>Let's go carefully ...</v>
      </c>
    </row>
    <row r="81" spans="1:4" ht="15.75" customHeight="1" x14ac:dyDescent="0.25">
      <c r="A81" s="1" t="s">
        <v>160</v>
      </c>
      <c r="B81" s="1" t="s">
        <v>4096</v>
      </c>
      <c r="C81" s="1" t="s">
        <v>161</v>
      </c>
      <c r="D81" s="1" t="str">
        <f ca="1">IFERROR(__xludf.DUMMYFUNCTION("GoogleTranslate(B81,""ja"",""en"")"),"Luck is good!")</f>
        <v>Luck is good!</v>
      </c>
    </row>
    <row r="82" spans="1:4" ht="15.75" customHeight="1" x14ac:dyDescent="0.25">
      <c r="A82" s="1" t="s">
        <v>162</v>
      </c>
      <c r="B82" s="1" t="s">
        <v>4097</v>
      </c>
      <c r="C82" s="1" t="s">
        <v>163</v>
      </c>
      <c r="D82" s="1" t="str">
        <f ca="1">IFERROR(__xludf.DUMMYFUNCTION("GoogleTranslate(B82,""ja"",""en"")"),"Uninspiring")</f>
        <v>Uninspiring</v>
      </c>
    </row>
    <row r="83" spans="1:4" ht="15.75" customHeight="1" x14ac:dyDescent="0.25">
      <c r="A83" s="1" t="s">
        <v>164</v>
      </c>
      <c r="B83" s="1" t="s">
        <v>150</v>
      </c>
      <c r="C83" s="1" t="s">
        <v>165</v>
      </c>
      <c r="D83" s="1" t="str">
        <f ca="1">IFERROR(__xludf.DUMMYFUNCTION("GoogleTranslate(B83,""ja"",""en"")"),"The time being it's wait-and-see")</f>
        <v>The time being it's wait-and-see</v>
      </c>
    </row>
    <row r="84" spans="1:4" ht="15.75" customHeight="1" x14ac:dyDescent="0.25">
      <c r="A84" s="1" t="s">
        <v>166</v>
      </c>
      <c r="B84" s="1" t="s">
        <v>152</v>
      </c>
      <c r="C84" s="1" t="s">
        <v>167</v>
      </c>
      <c r="D84" s="1" t="str">
        <f ca="1">IFERROR(__xludf.DUMMYFUNCTION("GoogleTranslate(B84,""ja"",""en"")"),"Do not you decided early")</f>
        <v>Do not you decided early</v>
      </c>
    </row>
    <row r="85" spans="1:4" ht="15.75" customHeight="1" x14ac:dyDescent="0.25">
      <c r="A85" s="1" t="s">
        <v>168</v>
      </c>
      <c r="B85" s="1" t="s">
        <v>154</v>
      </c>
      <c r="C85" s="1" t="s">
        <v>169</v>
      </c>
      <c r="D85" s="1" t="str">
        <f ca="1">IFERROR(__xludf.DUMMYFUNCTION("GoogleTranslate(B85,""ja"",""en"")"),"Do you bluff!")</f>
        <v>Do you bluff!</v>
      </c>
    </row>
    <row r="86" spans="1:4" ht="15.75" customHeight="1" x14ac:dyDescent="0.25">
      <c r="A86" s="1" t="s">
        <v>170</v>
      </c>
      <c r="B86" s="1" t="s">
        <v>4098</v>
      </c>
      <c r="C86" s="1" t="s">
        <v>171</v>
      </c>
      <c r="D86" s="1" t="str">
        <f ca="1">IFERROR(__xludf.DUMMYFUNCTION("GoogleTranslate(B86,""ja"",""en"")"),"Early scare off!")</f>
        <v>Early scare off!</v>
      </c>
    </row>
    <row r="87" spans="1:4" ht="15.75" customHeight="1" x14ac:dyDescent="0.25">
      <c r="A87" s="1" t="s">
        <v>172</v>
      </c>
      <c r="B87" s="1" t="s">
        <v>4099</v>
      </c>
      <c r="C87" s="1" t="s">
        <v>173</v>
      </c>
      <c r="D87" s="1" t="str">
        <f ca="1">IFERROR(__xludf.DUMMYFUNCTION("GoogleTranslate(B87,""ja"",""en"")"),"A little in trouble ...")</f>
        <v>A little in trouble ...</v>
      </c>
    </row>
    <row r="88" spans="1:4" ht="15.75" customHeight="1" x14ac:dyDescent="0.25">
      <c r="A88" s="1" t="s">
        <v>174</v>
      </c>
      <c r="B88" s="1" t="s">
        <v>162</v>
      </c>
      <c r="C88" s="1" t="s">
        <v>175</v>
      </c>
      <c r="D88" s="1" t="str">
        <f ca="1">IFERROR(__xludf.DUMMYFUNCTION("GoogleTranslate(B88,""ja"",""en"")"),"Run away, but I'm winning")</f>
        <v>Run away, but I'm winning</v>
      </c>
    </row>
    <row r="89" spans="1:4" ht="15.75" customHeight="1" x14ac:dyDescent="0.25">
      <c r="A89" s="1" t="s">
        <v>176</v>
      </c>
      <c r="B89" s="1" t="s">
        <v>4100</v>
      </c>
      <c r="C89" s="1" t="s">
        <v>177</v>
      </c>
      <c r="D89" s="1" t="str">
        <f ca="1">IFERROR(__xludf.DUMMYFUNCTION("GoogleTranslate(B89,""ja"",""en"")"),"Northern ~ Tsu!")</f>
        <v>Northern ~ Tsu!</v>
      </c>
    </row>
    <row r="90" spans="1:4" ht="15.75" customHeight="1" x14ac:dyDescent="0.25">
      <c r="A90" s="1" t="s">
        <v>178</v>
      </c>
      <c r="B90" s="1" t="s">
        <v>166</v>
      </c>
      <c r="C90" s="1" t="s">
        <v>179</v>
      </c>
      <c r="D90" s="1" t="str">
        <f ca="1">IFERROR(__xludf.DUMMYFUNCTION("GoogleTranslate(B90,""ja"",""en"")"),"How nice!")</f>
        <v>How nice!</v>
      </c>
    </row>
    <row r="91" spans="1:4" ht="15.75" customHeight="1" x14ac:dyDescent="0.25">
      <c r="A91" s="1" t="s">
        <v>180</v>
      </c>
      <c r="B91" s="1" t="s">
        <v>4101</v>
      </c>
      <c r="C91" s="1" t="s">
        <v>181</v>
      </c>
      <c r="D91" s="1" t="str">
        <f ca="1">IFERROR(__xludf.DUMMYFUNCTION("GoogleTranslate(B91,""ja"",""en"")"),"Damn!")</f>
        <v>Damn!</v>
      </c>
    </row>
    <row r="92" spans="1:4" ht="15.75" customHeight="1" x14ac:dyDescent="0.25">
      <c r="A92" s="1" t="s">
        <v>182</v>
      </c>
      <c r="B92" s="1" t="s">
        <v>4102</v>
      </c>
      <c r="C92" s="1" t="s">
        <v>183</v>
      </c>
      <c r="D92" s="1" t="str">
        <f ca="1">IFERROR(__xludf.DUMMYFUNCTION("GoogleTranslate(B92,""ja"",""en"")"),"Hooray~!")</f>
        <v>Hooray~!</v>
      </c>
    </row>
    <row r="93" spans="1:4" ht="15.75" customHeight="1" x14ac:dyDescent="0.25">
      <c r="A93" s="1" t="s">
        <v>184</v>
      </c>
      <c r="B93" s="1" t="s">
        <v>170</v>
      </c>
      <c r="C93" s="1" t="s">
        <v>185</v>
      </c>
      <c r="D93" s="1" t="str">
        <f ca="1">IFERROR(__xludf.DUMMYFUNCTION("GoogleTranslate(B93,""ja"",""en"")"),"Unfortunately regret ...")</f>
        <v>Unfortunately regret ...</v>
      </c>
    </row>
    <row r="94" spans="1:4" ht="15.75" customHeight="1" x14ac:dyDescent="0.25">
      <c r="A94" s="1" t="s">
        <v>186</v>
      </c>
      <c r="B94" s="1" t="s">
        <v>172</v>
      </c>
      <c r="C94" s="1" t="s">
        <v>187</v>
      </c>
      <c r="D94" s="1" t="str">
        <f ca="1">IFERROR(__xludf.DUMMYFUNCTION("GoogleTranslate(B94,""ja"",""en"")"),"Planted -")</f>
        <v>Planted -</v>
      </c>
    </row>
    <row r="95" spans="1:4" ht="15.75" customHeight="1" x14ac:dyDescent="0.25">
      <c r="A95" s="1" t="s">
        <v>188</v>
      </c>
      <c r="B95" s="1" t="s">
        <v>4103</v>
      </c>
      <c r="C95" s="1" t="s">
        <v>189</v>
      </c>
      <c r="D95" s="1" t="str">
        <f ca="1">IFERROR(__xludf.DUMMYFUNCTION("GoogleTranslate(B95,""ja"",""en"")"),"Griping ... (tears)")</f>
        <v>Griping ... (tears)</v>
      </c>
    </row>
    <row r="96" spans="1:4" ht="15.75" customHeight="1" x14ac:dyDescent="0.25">
      <c r="A96" s="1" t="s">
        <v>190</v>
      </c>
      <c r="B96" s="1" t="s">
        <v>4104</v>
      </c>
      <c r="C96" s="1" t="s">
        <v>191</v>
      </c>
      <c r="D96" s="1" t="str">
        <f ca="1">IFERROR(__xludf.DUMMYFUNCTION("GoogleTranslate(B96,""ja"",""en"")"),"Tree of surprise peach tree Japanese pepper")</f>
        <v>Tree of surprise peach tree Japanese pepper</v>
      </c>
    </row>
    <row r="97" spans="1:4" ht="15.75" customHeight="1" x14ac:dyDescent="0.25">
      <c r="A97" s="1" t="s">
        <v>192</v>
      </c>
      <c r="B97" s="1" t="s">
        <v>178</v>
      </c>
      <c r="C97" s="1" t="s">
        <v>193</v>
      </c>
      <c r="D97" s="1" t="str">
        <f ca="1">IFERROR(__xludf.DUMMYFUNCTION("GoogleTranslate(B97,""ja"",""en"")"),"It is tough!")</f>
        <v>It is tough!</v>
      </c>
    </row>
    <row r="98" spans="1:4" ht="15.75" customHeight="1" x14ac:dyDescent="0.25">
      <c r="A98" s="1" t="s">
        <v>194</v>
      </c>
      <c r="B98" s="1" t="s">
        <v>180</v>
      </c>
      <c r="C98" s="1" t="s">
        <v>195</v>
      </c>
      <c r="D98" s="1" t="str">
        <f ca="1">IFERROR(__xludf.DUMMYFUNCTION("GoogleTranslate(B98,""ja"",""en"")"),"Akimahengana!")</f>
        <v>Akimahengana!</v>
      </c>
    </row>
    <row r="99" spans="1:4" ht="15.75" customHeight="1" x14ac:dyDescent="0.25">
      <c r="A99" s="1" t="s">
        <v>196</v>
      </c>
      <c r="B99" s="1" t="s">
        <v>4105</v>
      </c>
      <c r="C99" s="1" t="s">
        <v>197</v>
      </c>
      <c r="D99" s="1" t="str">
        <f ca="1">IFERROR(__xludf.DUMMYFUNCTION("GoogleTranslate(B99,""ja"",""en"")"),"Helluva PECO is in!")</f>
        <v>Helluva PECO is in!</v>
      </c>
    </row>
    <row r="100" spans="1:4" ht="15.75" customHeight="1" x14ac:dyDescent="0.25">
      <c r="A100" s="1" t="s">
        <v>198</v>
      </c>
      <c r="B100" s="1" t="s">
        <v>186</v>
      </c>
      <c r="C100" s="1" t="s">
        <v>199</v>
      </c>
      <c r="D100" s="1" t="str">
        <f ca="1">IFERROR(__xludf.DUMMYFUNCTION("GoogleTranslate(B100,""ja"",""en"")"),"It should again descend ...")</f>
        <v>It should again descend ...</v>
      </c>
    </row>
    <row r="101" spans="1:4" ht="15.75" customHeight="1" x14ac:dyDescent="0.25">
      <c r="A101" s="1" t="s">
        <v>200</v>
      </c>
      <c r="B101" s="1" t="s">
        <v>4106</v>
      </c>
      <c r="C101" s="1" t="s">
        <v>201</v>
      </c>
      <c r="D101" s="1" t="str">
        <f ca="1">IFERROR(__xludf.DUMMYFUNCTION("GoogleTranslate(B101,""ja"",""en"")"),"Role could be!")</f>
        <v>Role could be!</v>
      </c>
    </row>
    <row r="102" spans="1:4" ht="15.75" customHeight="1" x14ac:dyDescent="0.25">
      <c r="A102" s="1" t="s">
        <v>202</v>
      </c>
      <c r="B102" s="1" t="s">
        <v>190</v>
      </c>
      <c r="C102" s="1" t="s">
        <v>203</v>
      </c>
      <c r="D102" s="1" t="str">
        <f ca="1">IFERROR(__xludf.DUMMYFUNCTION("GoogleTranslate(B102,""ja"",""en"")"),"Weak we were able to role ...")</f>
        <v>Weak we were able to role ...</v>
      </c>
    </row>
    <row r="103" spans="1:4" ht="15.75" customHeight="1" x14ac:dyDescent="0.25">
      <c r="A103" s="1" t="s">
        <v>204</v>
      </c>
      <c r="B103" s="1" t="s">
        <v>192</v>
      </c>
      <c r="C103" s="1" t="s">
        <v>205</v>
      </c>
      <c r="D103" s="1" t="str">
        <f ca="1">IFERROR(__xludf.DUMMYFUNCTION("GoogleTranslate(B103,""ja"",""en"")"),"I was able to strong role!")</f>
        <v>I was able to strong role!</v>
      </c>
    </row>
    <row r="104" spans="1:4" ht="15.75" customHeight="1" x14ac:dyDescent="0.25">
      <c r="A104" s="1" t="s">
        <v>206</v>
      </c>
      <c r="B104" s="1" t="s">
        <v>4107</v>
      </c>
      <c r="C104" s="1" t="s">
        <v>207</v>
      </c>
      <c r="D104" s="1" t="str">
        <f ca="1">IFERROR(__xludf.DUMMYFUNCTION("GoogleTranslate(B104,""ja"",""en"")"),"Not aligned at all ...")</f>
        <v>Not aligned at all ...</v>
      </c>
    </row>
    <row r="105" spans="1:4" ht="15.75" customHeight="1" x14ac:dyDescent="0.25">
      <c r="A105" s="1" t="s">
        <v>208</v>
      </c>
      <c r="B105" s="1" t="s">
        <v>4108</v>
      </c>
      <c r="C105" s="1" t="s">
        <v>209</v>
      </c>
      <c r="D105" s="1" t="str">
        <f ca="1">IFERROR(__xludf.DUMMYFUNCTION("GoogleTranslate(B105,""ja"",""en"")"),"Ageage ~")</f>
        <v>Ageage ~</v>
      </c>
    </row>
    <row r="106" spans="1:4" ht="15.75" customHeight="1" x14ac:dyDescent="0.25">
      <c r="A106" s="1" t="s">
        <v>210</v>
      </c>
      <c r="B106" s="1" t="s">
        <v>198</v>
      </c>
      <c r="C106" s="1" t="s">
        <v>211</v>
      </c>
      <c r="D106" s="1" t="str">
        <f ca="1">IFERROR(__xludf.DUMMYFUNCTION("GoogleTranslate(B106,""ja"",""en"")"),"The wrong choice ...")</f>
        <v>The wrong choice ...</v>
      </c>
    </row>
    <row r="107" spans="1:4" ht="15.75" customHeight="1" x14ac:dyDescent="0.25">
      <c r="A107" s="1" t="s">
        <v>212</v>
      </c>
      <c r="B107" s="1" t="s">
        <v>4109</v>
      </c>
      <c r="C107" s="1" t="s">
        <v>213</v>
      </c>
      <c r="D107" s="1" t="str">
        <f ca="1">IFERROR(__xludf.DUMMYFUNCTION("GoogleTranslate(B107,""ja"",""en"")"),".")</f>
        <v>.</v>
      </c>
    </row>
    <row r="108" spans="1:4" ht="15.75" customHeight="1" x14ac:dyDescent="0.25">
      <c r="A108" s="1" t="s">
        <v>214</v>
      </c>
      <c r="B108" s="1" t="s">
        <v>4110</v>
      </c>
      <c r="C108" s="1" t="s">
        <v>213</v>
      </c>
      <c r="D108" s="1" t="str">
        <f ca="1">IFERROR(__xludf.DUMMYFUNCTION("GoogleTranslate(B108,""ja"",""en"")"),".")</f>
        <v>.</v>
      </c>
    </row>
    <row r="109" spans="1:4" ht="15.75" customHeight="1" x14ac:dyDescent="0.25">
      <c r="A109" s="1" t="s">
        <v>215</v>
      </c>
      <c r="B109" s="1" t="s">
        <v>4111</v>
      </c>
      <c r="C109" s="1" t="s">
        <v>216</v>
      </c>
      <c r="D109" s="1" t="str">
        <f ca="1">IFERROR(__xludf.DUMMYFUNCTION("GoogleTranslate(B109,""ja"",""en"")"),"?")</f>
        <v>?</v>
      </c>
    </row>
    <row r="110" spans="1:4" ht="15.75" customHeight="1" x14ac:dyDescent="0.25">
      <c r="A110" s="1" t="s">
        <v>217</v>
      </c>
      <c r="B110" s="1" t="s">
        <v>4112</v>
      </c>
      <c r="C110" s="1" t="s">
        <v>213</v>
      </c>
      <c r="D110" s="1" t="str">
        <f ca="1">IFERROR(__xludf.DUMMYFUNCTION("GoogleTranslate(B110,""ja"",""en"")"),".")</f>
        <v>.</v>
      </c>
    </row>
    <row r="111" spans="1:4" ht="15.75" customHeight="1" x14ac:dyDescent="0.25">
      <c r="A111" s="1" t="s">
        <v>218</v>
      </c>
      <c r="B111" s="1" t="s">
        <v>4113</v>
      </c>
      <c r="C111" s="1" t="s">
        <v>71</v>
      </c>
      <c r="D111" s="1" t="str">
        <f ca="1">IFERROR(__xludf.DUMMYFUNCTION("GoogleTranslate(B111,""ja"",""en"")"),"Times")</f>
        <v>Times</v>
      </c>
    </row>
    <row r="112" spans="1:4" ht="15.75" customHeight="1" x14ac:dyDescent="0.25">
      <c r="A112" s="1" t="s">
        <v>219</v>
      </c>
      <c r="B112" s="1" t="s">
        <v>4114</v>
      </c>
      <c r="C112" s="1" t="s">
        <v>220</v>
      </c>
      <c r="D112" s="1" t="str">
        <f ca="1">IFERROR(__xludf.DUMMYFUNCTION("GoogleTranslate(B112,""ja"",""en"")"),"...")</f>
        <v>...</v>
      </c>
    </row>
    <row r="113" spans="1:4" ht="15.75" customHeight="1" x14ac:dyDescent="0.25">
      <c r="A113" s="1" t="s">
        <v>221</v>
      </c>
      <c r="B113" s="1" t="s">
        <v>4115</v>
      </c>
      <c r="C113" s="1" t="s">
        <v>222</v>
      </c>
      <c r="D113" s="1" t="str">
        <f ca="1">IFERROR(__xludf.DUMMYFUNCTION("GoogleTranslate(B113,""ja"",""en"")"),"Time")</f>
        <v>Time</v>
      </c>
    </row>
    <row r="114" spans="1:4" ht="15.75" customHeight="1" x14ac:dyDescent="0.25">
      <c r="A114" s="1" t="s">
        <v>223</v>
      </c>
      <c r="B114" s="1" t="s">
        <v>4116</v>
      </c>
      <c r="C114" s="1" t="s">
        <v>222</v>
      </c>
      <c r="D114" s="1" t="str">
        <f ca="1">IFERROR(__xludf.DUMMYFUNCTION("GoogleTranslate(B114,""ja"",""en"")"),"Time")</f>
        <v>Time</v>
      </c>
    </row>
    <row r="115" spans="1:4" ht="15.75" customHeight="1" x14ac:dyDescent="0.25">
      <c r="A115" s="1" t="s">
        <v>224</v>
      </c>
      <c r="B115" s="1" t="s">
        <v>4117</v>
      </c>
      <c r="C115" s="1" t="s">
        <v>220</v>
      </c>
      <c r="D115" s="1" t="str">
        <f ca="1">IFERROR(__xludf.DUMMYFUNCTION("GoogleTranslate(B115,""ja"",""en"")"),"...")</f>
        <v>...</v>
      </c>
    </row>
    <row r="116" spans="1:4" ht="15.75" customHeight="1" x14ac:dyDescent="0.25">
      <c r="A116" s="1" t="s">
        <v>225</v>
      </c>
      <c r="B116" s="1" t="s">
        <v>219</v>
      </c>
      <c r="C116" s="1" t="s">
        <v>226</v>
      </c>
      <c r="D116" s="1" t="str">
        <f ca="1">IFERROR(__xludf.DUMMYFUNCTION("GoogleTranslate(B116,""ja"",""en"")"),"King Kazunoko")</f>
        <v>King Kazunoko</v>
      </c>
    </row>
    <row r="117" spans="1:4" ht="15.75" customHeight="1" x14ac:dyDescent="0.25">
      <c r="A117" s="1" t="s">
        <v>227</v>
      </c>
      <c r="B117" s="1" t="s">
        <v>4118</v>
      </c>
      <c r="C117" s="1" t="s">
        <v>228</v>
      </c>
      <c r="D117" s="1" t="str">
        <f ca="1">IFERROR(__xludf.DUMMYFUNCTION("GoogleTranslate(B117,""ja"",""en"")"),"Stuffy's")</f>
        <v>Stuffy's</v>
      </c>
    </row>
    <row r="118" spans="1:4" ht="15.75" customHeight="1" x14ac:dyDescent="0.25">
      <c r="A118" s="1" t="s">
        <v>229</v>
      </c>
      <c r="B118" s="1" t="s">
        <v>4119</v>
      </c>
      <c r="C118" s="1" t="s">
        <v>230</v>
      </c>
      <c r="D118" s="1" t="str">
        <f ca="1">IFERROR(__xludf.DUMMYFUNCTION("GoogleTranslate(B118,""ja"",""en"")"),"Akinako")</f>
        <v>Akinako</v>
      </c>
    </row>
    <row r="119" spans="1:4" ht="15.75" customHeight="1" x14ac:dyDescent="0.25">
      <c r="A119" s="1" t="s">
        <v>231</v>
      </c>
      <c r="B119" s="1" t="s">
        <v>4120</v>
      </c>
      <c r="C119" s="1" t="s">
        <v>232</v>
      </c>
      <c r="D119" s="1" t="str">
        <f ca="1">IFERROR(__xludf.DUMMYFUNCTION("GoogleTranslate(B119,""ja"",""en"")"),"In Yade Ya")</f>
        <v>In Yade Ya</v>
      </c>
    </row>
    <row r="120" spans="1:4" ht="15.75" customHeight="1" x14ac:dyDescent="0.25">
      <c r="A120" s="1" t="s">
        <v>233</v>
      </c>
      <c r="B120" s="1" t="s">
        <v>4121</v>
      </c>
      <c r="C120" s="1" t="s">
        <v>234</v>
      </c>
      <c r="D120" s="1" t="str">
        <f ca="1">IFERROR(__xludf.DUMMYFUNCTION("GoogleTranslate(B120,""ja"",""en"")"),"Saxon Colonel")</f>
        <v>Saxon Colonel</v>
      </c>
    </row>
    <row r="121" spans="1:4" ht="15.75" customHeight="1" x14ac:dyDescent="0.25">
      <c r="A121" s="1" t="s">
        <v>235</v>
      </c>
      <c r="B121" s="1" t="s">
        <v>4122</v>
      </c>
      <c r="C121" s="1" t="s">
        <v>236</v>
      </c>
      <c r="D121" s="1" t="str">
        <f ca="1">IFERROR(__xludf.DUMMYFUNCTION("GoogleTranslate(B121,""ja"",""en"")"),"Machine gun humble person")</f>
        <v>Machine gun humble person</v>
      </c>
    </row>
    <row r="122" spans="1:4" ht="15.75" customHeight="1" x14ac:dyDescent="0.25">
      <c r="A122" s="1" t="s">
        <v>237</v>
      </c>
      <c r="B122" s="1" t="s">
        <v>4123</v>
      </c>
      <c r="C122" s="1" t="s">
        <v>238</v>
      </c>
      <c r="D122" s="1" t="str">
        <f ca="1">IFERROR(__xludf.DUMMYFUNCTION("GoogleTranslate(B122,""ja"",""en"")"),"Matsukofu @ Gifu")</f>
        <v>Matsukofu @ Gifu</v>
      </c>
    </row>
    <row r="123" spans="1:4" ht="15.75" customHeight="1" x14ac:dyDescent="0.25">
      <c r="A123" s="1" t="s">
        <v>239</v>
      </c>
      <c r="B123" s="1" t="s">
        <v>224</v>
      </c>
      <c r="C123" s="1" t="s">
        <v>240</v>
      </c>
      <c r="D123" s="1" t="str">
        <f ca="1">IFERROR(__xludf.DUMMYFUNCTION("GoogleTranslate(B123,""ja"",""en"")"),"In and Mom")</f>
        <v>In and Mom</v>
      </c>
    </row>
    <row r="124" spans="1:4" ht="15.75" customHeight="1" x14ac:dyDescent="0.25">
      <c r="A124" s="1" t="s">
        <v>241</v>
      </c>
      <c r="B124" s="1" t="s">
        <v>225</v>
      </c>
      <c r="C124" s="1" t="s">
        <v>242</v>
      </c>
      <c r="D124" s="1" t="str">
        <f ca="1">IFERROR(__xludf.DUMMYFUNCTION("GoogleTranslate(B124,""ja"",""en"")"),"Bashi")</f>
        <v>Bashi</v>
      </c>
    </row>
    <row r="125" spans="1:4" ht="15.75" customHeight="1" x14ac:dyDescent="0.25">
      <c r="A125" s="1" t="s">
        <v>243</v>
      </c>
      <c r="B125" s="1" t="s">
        <v>227</v>
      </c>
      <c r="C125" s="1" t="s">
        <v>244</v>
      </c>
      <c r="D125" s="1" t="str">
        <f ca="1">IFERROR(__xludf.DUMMYFUNCTION("GoogleTranslate(B125,""ja"",""en"")"),"South")</f>
        <v>South</v>
      </c>
    </row>
    <row r="126" spans="1:4" ht="15.75" customHeight="1" x14ac:dyDescent="0.25">
      <c r="A126" s="1" t="s">
        <v>245</v>
      </c>
      <c r="B126" s="1" t="s">
        <v>4124</v>
      </c>
      <c r="C126" s="1" t="s">
        <v>246</v>
      </c>
      <c r="D126" s="1" t="str">
        <f ca="1">IFERROR(__xludf.DUMMYFUNCTION("GoogleTranslate(B126,""ja"",""en"")"),"Obstinacy Sakura")</f>
        <v>Obstinacy Sakura</v>
      </c>
    </row>
    <row r="127" spans="1:4" ht="15.75" customHeight="1" x14ac:dyDescent="0.25">
      <c r="A127" s="1" t="s">
        <v>247</v>
      </c>
      <c r="B127" s="1" t="s">
        <v>4125</v>
      </c>
      <c r="C127" s="1" t="s">
        <v>248</v>
      </c>
      <c r="D127" s="1" t="str">
        <f ca="1">IFERROR(__xludf.DUMMYFUNCTION("GoogleTranslate(B127,""ja"",""en"")"),"Hungry weather")</f>
        <v>Hungry weather</v>
      </c>
    </row>
    <row r="128" spans="1:4" ht="15.75" customHeight="1" x14ac:dyDescent="0.25">
      <c r="A128" s="1" t="s">
        <v>249</v>
      </c>
      <c r="B128" s="1" t="s">
        <v>4126</v>
      </c>
      <c r="C128" s="1" t="s">
        <v>250</v>
      </c>
      <c r="D128" s="1" t="str">
        <f ca="1">IFERROR(__xludf.DUMMYFUNCTION("GoogleTranslate(B128,""ja"",""en"")"),"Ashura Komachi")</f>
        <v>Ashura Komachi</v>
      </c>
    </row>
    <row r="129" spans="1:4" ht="15.75" customHeight="1" x14ac:dyDescent="0.25">
      <c r="A129" s="1" t="s">
        <v>251</v>
      </c>
      <c r="B129" s="1" t="s">
        <v>4127</v>
      </c>
      <c r="C129" s="1" t="s">
        <v>252</v>
      </c>
      <c r="D129" s="1" t="str">
        <f ca="1">IFERROR(__xludf.DUMMYFUNCTION("GoogleTranslate(B129,""ja"",""en"")"),"Samurai Ondo")</f>
        <v>Samurai Ondo</v>
      </c>
    </row>
    <row r="130" spans="1:4" ht="15.75" customHeight="1" x14ac:dyDescent="0.25">
      <c r="A130" s="1" t="s">
        <v>253</v>
      </c>
      <c r="B130" s="1" t="s">
        <v>4128</v>
      </c>
      <c r="C130" s="1" t="s">
        <v>254</v>
      </c>
      <c r="D130" s="1" t="str">
        <f ca="1">IFERROR(__xludf.DUMMYFUNCTION("GoogleTranslate(B130,""ja"",""en"")"),"Shalt decorate the Nishiki in hometown")</f>
        <v>Shalt decorate the Nishiki in hometown</v>
      </c>
    </row>
    <row r="131" spans="1:4" ht="15.75" customHeight="1" x14ac:dyDescent="0.25">
      <c r="A131" s="1" t="s">
        <v>255</v>
      </c>
      <c r="B131" s="1" t="s">
        <v>243</v>
      </c>
      <c r="C131" s="1" t="s">
        <v>256</v>
      </c>
      <c r="D131" s="1" t="str">
        <f ca="1">IFERROR(__xludf.DUMMYFUNCTION("GoogleTranslate(B131,""ja"",""en"")"),"God raised")</f>
        <v>God raised</v>
      </c>
    </row>
    <row r="132" spans="1:4" ht="15.75" customHeight="1" x14ac:dyDescent="0.25">
      <c r="A132" s="1" t="s">
        <v>257</v>
      </c>
      <c r="B132" s="1" t="s">
        <v>4129</v>
      </c>
      <c r="C132" s="1" t="s">
        <v>258</v>
      </c>
      <c r="D132" s="1" t="str">
        <f ca="1">IFERROR(__xludf.DUMMYFUNCTION("GoogleTranslate(B132,""ja"",""en"")"),"Signboard man of our shop")</f>
        <v>Signboard man of our shop</v>
      </c>
    </row>
    <row r="133" spans="1:4" ht="15.75" customHeight="1" x14ac:dyDescent="0.25">
      <c r="A133" s="1" t="s">
        <v>259</v>
      </c>
      <c r="B133" s="1" t="s">
        <v>4130</v>
      </c>
      <c r="C133" s="1" t="s">
        <v>260</v>
      </c>
      <c r="D133" s="1" t="str">
        <f ca="1">IFERROR(__xludf.DUMMYFUNCTION("GoogleTranslate(B133,""ja"",""en"")"),"Man to change the air")</f>
        <v>Man to change the air</v>
      </c>
    </row>
    <row r="134" spans="1:4" ht="15.75" customHeight="1" x14ac:dyDescent="0.25">
      <c r="A134" s="1" t="s">
        <v>261</v>
      </c>
      <c r="B134" s="1" t="s">
        <v>4131</v>
      </c>
      <c r="C134" s="1" t="s">
        <v>262</v>
      </c>
      <c r="D134" s="1" t="str">
        <f ca="1">IFERROR(__xludf.DUMMYFUNCTION("GoogleTranslate(B134,""ja"",""en"")"),"Jug bastard")</f>
        <v>Jug bastard</v>
      </c>
    </row>
    <row r="135" spans="1:4" ht="15.75" customHeight="1" x14ac:dyDescent="0.25">
      <c r="A135" s="1" t="s">
        <v>263</v>
      </c>
      <c r="B135" s="1" t="s">
        <v>4132</v>
      </c>
      <c r="C135" s="1" t="s">
        <v>264</v>
      </c>
      <c r="D135" s="1" t="str">
        <f ca="1">IFERROR(__xludf.DUMMYFUNCTION("GoogleTranslate(B135,""ja"",""en"")"),"Tone deafness")</f>
        <v>Tone deafness</v>
      </c>
    </row>
    <row r="136" spans="1:4" ht="15.75" customHeight="1" x14ac:dyDescent="0.25">
      <c r="A136" s="1" t="s">
        <v>265</v>
      </c>
      <c r="B136" s="1" t="s">
        <v>4133</v>
      </c>
      <c r="C136" s="1" t="s">
        <v>266</v>
      </c>
      <c r="D136" s="1" t="str">
        <f ca="1">IFERROR(__xludf.DUMMYFUNCTION("GoogleTranslate(B136,""ja"",""en"")"),"Not challenge")</f>
        <v>Not challenge</v>
      </c>
    </row>
    <row r="137" spans="1:4" ht="15.75" customHeight="1" x14ac:dyDescent="0.25">
      <c r="A137" s="1" t="s">
        <v>267</v>
      </c>
      <c r="B137" s="1" t="s">
        <v>4134</v>
      </c>
      <c r="C137" s="1" t="s">
        <v>268</v>
      </c>
      <c r="D137" s="1" t="str">
        <f ca="1">IFERROR(__xludf.DUMMYFUNCTION("GoogleTranslate(B137,""ja"",""en"")"),"Safe to sideshow")</f>
        <v>Safe to sideshow</v>
      </c>
    </row>
    <row r="138" spans="1:4" ht="15.75" customHeight="1" x14ac:dyDescent="0.25">
      <c r="A138" s="1" t="s">
        <v>269</v>
      </c>
      <c r="B138" s="1" t="s">
        <v>4135</v>
      </c>
      <c r="C138" s="1" t="s">
        <v>270</v>
      </c>
      <c r="D138" s="1" t="str">
        <f ca="1">IFERROR(__xludf.DUMMYFUNCTION("GoogleTranslate(B138,""ja"",""en"")"),"Passionately sideshow")</f>
        <v>Passionately sideshow</v>
      </c>
    </row>
    <row r="139" spans="1:4" ht="15.75" customHeight="1" x14ac:dyDescent="0.25">
      <c r="A139" s="1" t="s">
        <v>271</v>
      </c>
      <c r="B139" s="1" t="s">
        <v>4136</v>
      </c>
      <c r="C139" s="1" t="s">
        <v>272</v>
      </c>
      <c r="D139" s="1" t="str">
        <f ca="1">IFERROR(__xludf.DUMMYFUNCTION("GoogleTranslate(B139,""ja"",""en"")"),"sing")</f>
        <v>sing</v>
      </c>
    </row>
    <row r="140" spans="1:4" ht="15.75" customHeight="1" x14ac:dyDescent="0.25">
      <c r="A140" s="1" t="s">
        <v>273</v>
      </c>
      <c r="B140" s="1" t="s">
        <v>4137</v>
      </c>
      <c r="C140" s="1" t="s">
        <v>216</v>
      </c>
      <c r="D140" s="1" t="str">
        <f ca="1">IFERROR(__xludf.DUMMYFUNCTION("GoogleTranslate(B140,""ja"",""en"")"),"?")</f>
        <v>?</v>
      </c>
    </row>
    <row r="141" spans="1:4" ht="15.75" customHeight="1" x14ac:dyDescent="0.25">
      <c r="A141" s="1" t="s">
        <v>274</v>
      </c>
      <c r="B141" s="1" t="s">
        <v>4138</v>
      </c>
      <c r="C141" s="1" t="s">
        <v>275</v>
      </c>
      <c r="D141" s="1" t="str">
        <f ca="1">IFERROR(__xludf.DUMMYFUNCTION("GoogleTranslate(B141,""ja"",""en"")"),"? ? ? ? ?")</f>
        <v>? ? ? ? ?</v>
      </c>
    </row>
    <row r="142" spans="1:4" ht="15.75" customHeight="1" x14ac:dyDescent="0.25">
      <c r="A142" s="1" t="s">
        <v>276</v>
      </c>
      <c r="B142" s="1" t="s">
        <v>4139</v>
      </c>
      <c r="C142" s="1" t="s">
        <v>277</v>
      </c>
      <c r="D142" s="1" t="str">
        <f ca="1">IFERROR(__xludf.DUMMYFUNCTION("GoogleTranslate(B142,""ja"",""en"")"),"Tuna")</f>
        <v>Tuna</v>
      </c>
    </row>
    <row r="143" spans="1:4" ht="15.75" customHeight="1" x14ac:dyDescent="0.25">
      <c r="A143" s="1" t="s">
        <v>278</v>
      </c>
      <c r="B143" s="1" t="s">
        <v>4140</v>
      </c>
      <c r="C143" s="1" t="s">
        <v>279</v>
      </c>
      <c r="D143" s="1" t="str">
        <f ca="1">IFERROR(__xludf.DUMMYFUNCTION("GoogleTranslate(B143,""ja"",""en"")"),"squid")</f>
        <v>squid</v>
      </c>
    </row>
    <row r="144" spans="1:4" ht="15.75" customHeight="1" x14ac:dyDescent="0.25">
      <c r="A144" s="1" t="s">
        <v>280</v>
      </c>
      <c r="B144" s="1" t="s">
        <v>4141</v>
      </c>
      <c r="C144" s="1" t="s">
        <v>281</v>
      </c>
      <c r="D144" s="1" t="str">
        <f ca="1">IFERROR(__xludf.DUMMYFUNCTION("GoogleTranslate(B144,""ja"",""en"")"),"Flounder")</f>
        <v>Flounder</v>
      </c>
    </row>
    <row r="145" spans="1:4" ht="15.75" customHeight="1" x14ac:dyDescent="0.25">
      <c r="A145" s="1" t="s">
        <v>282</v>
      </c>
      <c r="B145" s="1" t="s">
        <v>4142</v>
      </c>
      <c r="C145" s="1" t="s">
        <v>283</v>
      </c>
      <c r="D145" s="1" t="str">
        <f ca="1">IFERROR(__xludf.DUMMYFUNCTION("GoogleTranslate(B145,""ja"",""en"")"),"Onikasago")</f>
        <v>Onikasago</v>
      </c>
    </row>
    <row r="146" spans="1:4" ht="15.75" customHeight="1" x14ac:dyDescent="0.25">
      <c r="A146" s="1" t="s">
        <v>284</v>
      </c>
      <c r="B146" s="1" t="s">
        <v>4143</v>
      </c>
      <c r="C146" s="1" t="s">
        <v>285</v>
      </c>
      <c r="D146" s="1" t="str">
        <f ca="1">IFERROR(__xludf.DUMMYFUNCTION("GoogleTranslate(B146,""ja"",""en"")"),"eel")</f>
        <v>eel</v>
      </c>
    </row>
    <row r="147" spans="1:4" ht="15.75" customHeight="1" x14ac:dyDescent="0.25">
      <c r="A147" s="1" t="s">
        <v>286</v>
      </c>
      <c r="B147" s="1" t="s">
        <v>4144</v>
      </c>
      <c r="C147" s="1" t="s">
        <v>287</v>
      </c>
      <c r="D147" s="1" t="str">
        <f ca="1">IFERROR(__xludf.DUMMYFUNCTION("GoogleTranslate(B147,""ja"",""en"")"),"Great White Shark")</f>
        <v>Great White Shark</v>
      </c>
    </row>
    <row r="148" spans="1:4" ht="15.75" customHeight="1" x14ac:dyDescent="0.25">
      <c r="A148" s="1" t="s">
        <v>288</v>
      </c>
      <c r="B148" s="1" t="s">
        <v>4145</v>
      </c>
      <c r="C148" s="1" t="s">
        <v>289</v>
      </c>
      <c r="D148" s="1" t="str">
        <f ca="1">IFERROR(__xludf.DUMMYFUNCTION("GoogleTranslate(B148,""ja"",""en"")"),"Takaashigani")</f>
        <v>Takaashigani</v>
      </c>
    </row>
    <row r="149" spans="1:4" ht="15.75" customHeight="1" x14ac:dyDescent="0.25">
      <c r="A149" s="1" t="s">
        <v>290</v>
      </c>
      <c r="B149" s="1" t="s">
        <v>4146</v>
      </c>
      <c r="C149" s="1" t="s">
        <v>291</v>
      </c>
      <c r="D149" s="1" t="str">
        <f ca="1">IFERROR(__xludf.DUMMYFUNCTION("GoogleTranslate(B149,""ja"",""en"")"),"Octopus")</f>
        <v>Octopus</v>
      </c>
    </row>
    <row r="150" spans="1:4" ht="15.75" customHeight="1" x14ac:dyDescent="0.25">
      <c r="A150" s="1" t="s">
        <v>292</v>
      </c>
      <c r="B150" s="1" t="s">
        <v>4147</v>
      </c>
      <c r="C150" s="1" t="s">
        <v>293</v>
      </c>
      <c r="D150" s="1" t="str">
        <f ca="1">IFERROR(__xludf.DUMMYFUNCTION("GoogleTranslate(B150,""ja"",""en"")"),"umbrella")</f>
        <v>umbrella</v>
      </c>
    </row>
    <row r="151" spans="1:4" ht="15.75" customHeight="1" x14ac:dyDescent="0.25">
      <c r="A151" s="1" t="s">
        <v>294</v>
      </c>
      <c r="B151" s="1" t="s">
        <v>4148</v>
      </c>
      <c r="C151" s="1" t="s">
        <v>295</v>
      </c>
      <c r="D151" s="1" t="str">
        <f ca="1">IFERROR(__xludf.DUMMYFUNCTION("GoogleTranslate(B151,""ja"",""en"")"),"Porcupine fish")</f>
        <v>Porcupine fish</v>
      </c>
    </row>
    <row r="152" spans="1:4" ht="15.75" customHeight="1" x14ac:dyDescent="0.25">
      <c r="A152" s="1" t="s">
        <v>296</v>
      </c>
      <c r="B152" s="1" t="s">
        <v>4149</v>
      </c>
      <c r="C152" s="1" t="s">
        <v>297</v>
      </c>
      <c r="D152" s="1" t="str">
        <f ca="1">IFERROR(__xludf.DUMMYFUNCTION("GoogleTranslate(B152,""ja"",""en"")"),"Crucian carp")</f>
        <v>Crucian carp</v>
      </c>
    </row>
    <row r="153" spans="1:4" ht="15.75" customHeight="1" x14ac:dyDescent="0.25">
      <c r="A153" s="1" t="s">
        <v>298</v>
      </c>
      <c r="B153" s="1" t="s">
        <v>4150</v>
      </c>
      <c r="C153" s="1" t="s">
        <v>299</v>
      </c>
      <c r="D153" s="1" t="str">
        <f ca="1">IFERROR(__xludf.DUMMYFUNCTION("GoogleTranslate(B153,""ja"",""en"")"),"Koi")</f>
        <v>Koi</v>
      </c>
    </row>
    <row r="154" spans="1:4" ht="15.75" customHeight="1" x14ac:dyDescent="0.25">
      <c r="A154" s="1" t="s">
        <v>300</v>
      </c>
      <c r="B154" s="1" t="s">
        <v>4151</v>
      </c>
      <c r="C154" s="1" t="s">
        <v>301</v>
      </c>
      <c r="D154" s="1" t="str">
        <f ca="1">IFERROR(__xludf.DUMMYFUNCTION("GoogleTranslate(B154,""ja"",""en"")"),"Koi")</f>
        <v>Koi</v>
      </c>
    </row>
    <row r="155" spans="1:4" ht="15.75" customHeight="1" x14ac:dyDescent="0.25">
      <c r="A155" s="1" t="s">
        <v>302</v>
      </c>
      <c r="B155" s="1" t="s">
        <v>4152</v>
      </c>
      <c r="C155" s="1" t="s">
        <v>303</v>
      </c>
      <c r="D155" s="1" t="str">
        <f ca="1">IFERROR(__xludf.DUMMYFUNCTION("GoogleTranslate(B155,""ja"",""en"")"),"fish")</f>
        <v>fish</v>
      </c>
    </row>
    <row r="156" spans="1:4" ht="15.75" customHeight="1" x14ac:dyDescent="0.25">
      <c r="A156" s="1" t="s">
        <v>304</v>
      </c>
      <c r="B156" s="1" t="s">
        <v>4153</v>
      </c>
      <c r="C156" s="1" t="s">
        <v>305</v>
      </c>
      <c r="D156" s="1" t="str">
        <f ca="1">IFERROR(__xludf.DUMMYFUNCTION("GoogleTranslate(B156,""ja"",""en"")"),"Rainbow trout")</f>
        <v>Rainbow trout</v>
      </c>
    </row>
    <row r="157" spans="1:4" ht="15.75" customHeight="1" x14ac:dyDescent="0.25">
      <c r="A157" s="1" t="s">
        <v>306</v>
      </c>
      <c r="B157" s="1" t="s">
        <v>296</v>
      </c>
      <c r="C157" s="1" t="s">
        <v>307</v>
      </c>
      <c r="D157" s="1" t="str">
        <f ca="1">IFERROR(__xludf.DUMMYFUNCTION("GoogleTranslate(B157,""ja"",""en"")"),"Asking")</f>
        <v>Asking</v>
      </c>
    </row>
    <row r="158" spans="1:4" ht="15.75" customHeight="1" x14ac:dyDescent="0.25">
      <c r="A158" s="1" t="s">
        <v>308</v>
      </c>
      <c r="B158" s="1" t="s">
        <v>298</v>
      </c>
      <c r="C158" s="1" t="s">
        <v>307</v>
      </c>
      <c r="D158" s="1" t="str">
        <f ca="1">IFERROR(__xludf.DUMMYFUNCTION("GoogleTranslate(B158,""ja"",""en"")"),"Asking")</f>
        <v>Asking</v>
      </c>
    </row>
    <row r="159" spans="1:4" ht="15.75" customHeight="1" x14ac:dyDescent="0.25">
      <c r="A159" s="1" t="s">
        <v>309</v>
      </c>
      <c r="B159" s="1" t="s">
        <v>4154</v>
      </c>
      <c r="C159" s="1" t="s">
        <v>310</v>
      </c>
      <c r="D159" s="1" t="str">
        <f ca="1">IFERROR(__xludf.DUMMYFUNCTION("GoogleTranslate(B159,""ja"",""en"")"),"Bamboo grass")</f>
        <v>Bamboo grass</v>
      </c>
    </row>
    <row r="160" spans="1:4" ht="15.75" customHeight="1" x14ac:dyDescent="0.25">
      <c r="A160" s="1" t="s">
        <v>311</v>
      </c>
      <c r="B160" s="1" t="s">
        <v>4155</v>
      </c>
      <c r="C160" s="1" t="s">
        <v>220</v>
      </c>
      <c r="D160" s="1" t="str">
        <f ca="1">IFERROR(__xludf.DUMMYFUNCTION("GoogleTranslate(B160,""ja"",""en"")"),"...")</f>
        <v>...</v>
      </c>
    </row>
    <row r="161" spans="1:4" ht="15.75" customHeight="1" x14ac:dyDescent="0.25">
      <c r="A161" s="1" t="s">
        <v>312</v>
      </c>
      <c r="B161" s="1" t="s">
        <v>4156</v>
      </c>
      <c r="C161" s="1" t="s">
        <v>220</v>
      </c>
      <c r="D161" s="1" t="str">
        <f ca="1">IFERROR(__xludf.DUMMYFUNCTION("GoogleTranslate(B161,""ja"",""en"")"),"...")</f>
        <v>...</v>
      </c>
    </row>
    <row r="162" spans="1:4" ht="15.75" customHeight="1" x14ac:dyDescent="0.25">
      <c r="A162" s="1" t="s">
        <v>313</v>
      </c>
      <c r="B162" s="1" t="s">
        <v>4157</v>
      </c>
      <c r="C162" s="1" t="s">
        <v>213</v>
      </c>
      <c r="D162" s="1" t="str">
        <f ca="1">IFERROR(__xludf.DUMMYFUNCTION("GoogleTranslate(B162,""ja"",""en"")"),".")</f>
        <v>.</v>
      </c>
    </row>
    <row r="163" spans="1:4" ht="15.75" customHeight="1" x14ac:dyDescent="0.25">
      <c r="A163" s="1" t="s">
        <v>314</v>
      </c>
      <c r="B163" s="1" t="s">
        <v>4158</v>
      </c>
      <c r="C163" s="1" t="s">
        <v>213</v>
      </c>
      <c r="D163" s="1" t="str">
        <f ca="1">IFERROR(__xludf.DUMMYFUNCTION("GoogleTranslate(B163,""ja"",""en"")"),".")</f>
        <v>.</v>
      </c>
    </row>
    <row r="164" spans="1:4" ht="15.75" customHeight="1" x14ac:dyDescent="0.25">
      <c r="A164" s="1" t="s">
        <v>315</v>
      </c>
      <c r="B164" s="1" t="s">
        <v>4159</v>
      </c>
      <c r="C164" s="1" t="s">
        <v>213</v>
      </c>
      <c r="D164" s="1" t="str">
        <f ca="1">IFERROR(__xludf.DUMMYFUNCTION("GoogleTranslate(B164,""ja"",""en"")"),".")</f>
        <v>.</v>
      </c>
    </row>
    <row r="165" spans="1:4" ht="15.75" customHeight="1" x14ac:dyDescent="0.25">
      <c r="A165" s="1" t="s">
        <v>316</v>
      </c>
      <c r="B165" s="1" t="s">
        <v>4160</v>
      </c>
      <c r="C165" s="1" t="s">
        <v>213</v>
      </c>
      <c r="D165" s="1" t="str">
        <f ca="1">IFERROR(__xludf.DUMMYFUNCTION("GoogleTranslate(B165,""ja"",""en"")"),".")</f>
        <v>.</v>
      </c>
    </row>
    <row r="166" spans="1:4" ht="15.75" customHeight="1" x14ac:dyDescent="0.25">
      <c r="A166" s="1" t="s">
        <v>317</v>
      </c>
      <c r="B166" s="1" t="s">
        <v>308</v>
      </c>
      <c r="C166" s="1" t="s">
        <v>213</v>
      </c>
      <c r="D166" s="1" t="str">
        <f ca="1">IFERROR(__xludf.DUMMYFUNCTION("GoogleTranslate(B166,""ja"",""en"")"),".")</f>
        <v>.</v>
      </c>
    </row>
    <row r="167" spans="1:4" ht="15.75" customHeight="1" x14ac:dyDescent="0.25">
      <c r="A167" s="1" t="s">
        <v>318</v>
      </c>
      <c r="B167" s="1" t="s">
        <v>4161</v>
      </c>
      <c r="C167" s="1" t="s">
        <v>213</v>
      </c>
      <c r="D167" s="1" t="str">
        <f ca="1">IFERROR(__xludf.DUMMYFUNCTION("GoogleTranslate(B167,""ja"",""en"")"),".")</f>
        <v>.</v>
      </c>
    </row>
    <row r="168" spans="1:4" ht="15.75" customHeight="1" x14ac:dyDescent="0.25">
      <c r="A168" s="1" t="s">
        <v>319</v>
      </c>
      <c r="B168" s="1" t="s">
        <v>4162</v>
      </c>
      <c r="C168" s="1" t="s">
        <v>213</v>
      </c>
      <c r="D168" s="1" t="str">
        <f ca="1">IFERROR(__xludf.DUMMYFUNCTION("GoogleTranslate(B168,""ja"",""en"")"),".")</f>
        <v>.</v>
      </c>
    </row>
    <row r="169" spans="1:4" ht="15.75" customHeight="1" x14ac:dyDescent="0.25">
      <c r="A169" s="1" t="s">
        <v>320</v>
      </c>
      <c r="B169" s="1" t="s">
        <v>4163</v>
      </c>
      <c r="C169" s="1" t="s">
        <v>213</v>
      </c>
      <c r="D169" s="1" t="str">
        <f ca="1">IFERROR(__xludf.DUMMYFUNCTION("GoogleTranslate(B169,""ja"",""en"")"),".")</f>
        <v>.</v>
      </c>
    </row>
    <row r="170" spans="1:4" ht="15.75" customHeight="1" x14ac:dyDescent="0.25">
      <c r="A170" s="1" t="s">
        <v>321</v>
      </c>
      <c r="B170" s="1" t="s">
        <v>4164</v>
      </c>
      <c r="C170" s="1" t="s">
        <v>213</v>
      </c>
      <c r="D170" s="1" t="str">
        <f ca="1">IFERROR(__xludf.DUMMYFUNCTION("GoogleTranslate(B170,""ja"",""en"")"),".")</f>
        <v>.</v>
      </c>
    </row>
    <row r="171" spans="1:4" ht="15.75" customHeight="1" x14ac:dyDescent="0.25">
      <c r="A171" s="1" t="s">
        <v>322</v>
      </c>
      <c r="B171" s="1" t="s">
        <v>4165</v>
      </c>
      <c r="C171" s="1" t="s">
        <v>213</v>
      </c>
      <c r="D171" s="1" t="str">
        <f ca="1">IFERROR(__xludf.DUMMYFUNCTION("GoogleTranslate(B171,""ja"",""en"")"),".")</f>
        <v>.</v>
      </c>
    </row>
    <row r="172" spans="1:4" ht="15.75" customHeight="1" x14ac:dyDescent="0.25">
      <c r="A172" s="1" t="s">
        <v>323</v>
      </c>
      <c r="B172" s="1" t="s">
        <v>4166</v>
      </c>
      <c r="C172" s="1" t="s">
        <v>213</v>
      </c>
      <c r="D172" s="1" t="str">
        <f ca="1">IFERROR(__xludf.DUMMYFUNCTION("GoogleTranslate(B172,""ja"",""en"")"),".")</f>
        <v>.</v>
      </c>
    </row>
    <row r="173" spans="1:4" ht="15.75" customHeight="1" x14ac:dyDescent="0.25">
      <c r="A173" s="1" t="s">
        <v>324</v>
      </c>
      <c r="B173" s="1" t="s">
        <v>4167</v>
      </c>
      <c r="C173" s="1" t="s">
        <v>213</v>
      </c>
      <c r="D173" s="1" t="str">
        <f ca="1">IFERROR(__xludf.DUMMYFUNCTION("GoogleTranslate(B173,""ja"",""en"")"),".")</f>
        <v>.</v>
      </c>
    </row>
    <row r="174" spans="1:4" ht="15.75" customHeight="1" x14ac:dyDescent="0.25">
      <c r="A174" s="1" t="s">
        <v>325</v>
      </c>
      <c r="B174" s="1" t="s">
        <v>4168</v>
      </c>
      <c r="C174" s="1" t="s">
        <v>213</v>
      </c>
      <c r="D174" s="1" t="str">
        <f ca="1">IFERROR(__xludf.DUMMYFUNCTION("GoogleTranslate(B174,""ja"",""en"")"),".")</f>
        <v>.</v>
      </c>
    </row>
    <row r="175" spans="1:4" ht="15.75" customHeight="1" x14ac:dyDescent="0.25">
      <c r="A175" s="1" t="s">
        <v>326</v>
      </c>
      <c r="B175" s="1" t="s">
        <v>4169</v>
      </c>
      <c r="C175" s="1" t="s">
        <v>213</v>
      </c>
      <c r="D175" s="1" t="str">
        <f ca="1">IFERROR(__xludf.DUMMYFUNCTION("GoogleTranslate(B175,""ja"",""en"")"),".")</f>
        <v>.</v>
      </c>
    </row>
    <row r="176" spans="1:4" ht="15.75" customHeight="1" x14ac:dyDescent="0.25">
      <c r="A176" s="1" t="s">
        <v>327</v>
      </c>
      <c r="B176" s="1" t="s">
        <v>4170</v>
      </c>
      <c r="C176" s="1" t="s">
        <v>213</v>
      </c>
      <c r="D176" s="1" t="str">
        <f ca="1">IFERROR(__xludf.DUMMYFUNCTION("GoogleTranslate(B176,""ja"",""en"")"),".")</f>
        <v>.</v>
      </c>
    </row>
    <row r="177" spans="1:4" ht="15.75" customHeight="1" x14ac:dyDescent="0.25">
      <c r="A177" s="1" t="s">
        <v>328</v>
      </c>
      <c r="B177" s="1" t="s">
        <v>312</v>
      </c>
      <c r="C177" s="1" t="s">
        <v>213</v>
      </c>
      <c r="D177" s="1" t="str">
        <f ca="1">IFERROR(__xludf.DUMMYFUNCTION("GoogleTranslate(B177,""ja"",""en"")"),".")</f>
        <v>.</v>
      </c>
    </row>
    <row r="178" spans="1:4" ht="15.75" customHeight="1" x14ac:dyDescent="0.25">
      <c r="A178" s="1" t="s">
        <v>329</v>
      </c>
      <c r="B178" s="1" t="s">
        <v>4171</v>
      </c>
      <c r="C178" s="1" t="s">
        <v>213</v>
      </c>
      <c r="D178" s="1" t="str">
        <f ca="1">IFERROR(__xludf.DUMMYFUNCTION("GoogleTranslate(B178,""ja"",""en"")"),".")</f>
        <v>.</v>
      </c>
    </row>
    <row r="179" spans="1:4" ht="15.75" customHeight="1" x14ac:dyDescent="0.25">
      <c r="A179" s="1" t="s">
        <v>330</v>
      </c>
      <c r="B179" s="1" t="s">
        <v>328</v>
      </c>
      <c r="C179" s="1" t="s">
        <v>331</v>
      </c>
      <c r="D179" s="1" t="str">
        <f ca="1">IFERROR(__xludf.DUMMYFUNCTION("GoogleTranslate(B179,""ja"",""en"")"),"End")</f>
        <v>End</v>
      </c>
    </row>
    <row r="180" spans="1:4" ht="15.75" customHeight="1" x14ac:dyDescent="0.25">
      <c r="A180" s="1" t="s">
        <v>332</v>
      </c>
      <c r="B180" s="1" t="s">
        <v>4172</v>
      </c>
      <c r="C180" s="1" t="s">
        <v>333</v>
      </c>
      <c r="D180" s="1" t="str">
        <f ca="1">IFERROR(__xludf.DUMMYFUNCTION("GoogleTranslate(B180,""ja"",""en"")"),"Elementary level")</f>
        <v>Elementary level</v>
      </c>
    </row>
    <row r="181" spans="1:4" ht="15.75" customHeight="1" x14ac:dyDescent="0.25">
      <c r="A181" s="1" t="s">
        <v>334</v>
      </c>
      <c r="B181" s="1" t="s">
        <v>4173</v>
      </c>
      <c r="C181" s="1" t="s">
        <v>335</v>
      </c>
      <c r="D181" s="1" t="str">
        <f ca="1">IFERROR(__xludf.DUMMYFUNCTION("GoogleTranslate(B181,""ja"",""en"")"),"Intermediate Level")</f>
        <v>Intermediate Level</v>
      </c>
    </row>
    <row r="182" spans="1:4" ht="15.75" customHeight="1" x14ac:dyDescent="0.25">
      <c r="A182" s="1" t="s">
        <v>336</v>
      </c>
      <c r="B182" s="1" t="s">
        <v>4174</v>
      </c>
      <c r="C182" s="1" t="s">
        <v>337</v>
      </c>
      <c r="D182" s="1" t="str">
        <f ca="1">IFERROR(__xludf.DUMMYFUNCTION("GoogleTranslate(B182,""ja"",""en"")"),"Senior")</f>
        <v>Senior</v>
      </c>
    </row>
    <row r="183" spans="1:4" ht="15.75" customHeight="1" x14ac:dyDescent="0.25">
      <c r="A183" s="1" t="s">
        <v>338</v>
      </c>
      <c r="B183" s="1" t="s">
        <v>4175</v>
      </c>
      <c r="C183" s="1" t="s">
        <v>339</v>
      </c>
      <c r="D183" s="1" t="str">
        <f ca="1">IFERROR(__xludf.DUMMYFUNCTION("GoogleTranslate(B183,""ja"",""en"")"),"so")</f>
        <v>so</v>
      </c>
    </row>
    <row r="184" spans="1:4" ht="15.75" customHeight="1" x14ac:dyDescent="0.25">
      <c r="A184" s="1" t="s">
        <v>340</v>
      </c>
      <c r="B184" s="1" t="s">
        <v>4176</v>
      </c>
      <c r="C184" s="1" t="s">
        <v>341</v>
      </c>
      <c r="D184" s="1" t="str">
        <f ca="1">IFERROR(__xludf.DUMMYFUNCTION("GoogleTranslate(B184,""ja"",""en"")"),"Also")</f>
        <v>Also</v>
      </c>
    </row>
    <row r="185" spans="1:4" ht="15.75" customHeight="1" x14ac:dyDescent="0.25">
      <c r="A185" s="1" t="s">
        <v>342</v>
      </c>
      <c r="B185" s="1" t="s">
        <v>4177</v>
      </c>
      <c r="C185" s="1" t="s">
        <v>343</v>
      </c>
      <c r="D185" s="1" t="str">
        <f ca="1">IFERROR(__xludf.DUMMYFUNCTION("GoogleTranslate(B185,""ja"",""en"")"),"Over")</f>
        <v>Over</v>
      </c>
    </row>
    <row r="186" spans="1:4" ht="15.75" customHeight="1" x14ac:dyDescent="0.25">
      <c r="A186" s="1" t="s">
        <v>344</v>
      </c>
      <c r="B186" s="1" t="s">
        <v>4178</v>
      </c>
      <c r="C186" s="1" t="s">
        <v>341</v>
      </c>
      <c r="D186" s="1" t="str">
        <f ca="1">IFERROR(__xludf.DUMMYFUNCTION("GoogleTranslate(B186,""ja"",""en"")"),"Also")</f>
        <v>Also</v>
      </c>
    </row>
    <row r="187" spans="1:4" ht="15.75" customHeight="1" x14ac:dyDescent="0.25">
      <c r="A187" s="1" t="s">
        <v>345</v>
      </c>
      <c r="B187" s="1" t="s">
        <v>4179</v>
      </c>
      <c r="C187" s="1" t="s">
        <v>343</v>
      </c>
      <c r="D187" s="1" t="str">
        <f ca="1">IFERROR(__xludf.DUMMYFUNCTION("GoogleTranslate(B187,""ja"",""en"")"),"Over")</f>
        <v>Over</v>
      </c>
    </row>
    <row r="188" spans="1:4" ht="15.75" customHeight="1" x14ac:dyDescent="0.25">
      <c r="A188" s="1" t="s">
        <v>346</v>
      </c>
      <c r="B188" s="1" t="s">
        <v>4180</v>
      </c>
      <c r="C188" s="1" t="s">
        <v>216</v>
      </c>
      <c r="D188" s="1" t="str">
        <f ca="1">IFERROR(__xludf.DUMMYFUNCTION("GoogleTranslate(B188,""ja"",""en"")"),"?")</f>
        <v>?</v>
      </c>
    </row>
    <row r="189" spans="1:4" ht="15.75" customHeight="1" x14ac:dyDescent="0.25">
      <c r="A189" s="1" t="s">
        <v>347</v>
      </c>
      <c r="B189" s="1" t="s">
        <v>4181</v>
      </c>
      <c r="C189" s="1" t="s">
        <v>348</v>
      </c>
      <c r="D189" s="1" t="str">
        <f ca="1">IFERROR(__xludf.DUMMYFUNCTION("GoogleTranslate(B189,""ja"",""en"")"),"hand")</f>
        <v>hand</v>
      </c>
    </row>
    <row r="190" spans="1:4" ht="15.75" customHeight="1" x14ac:dyDescent="0.25">
      <c r="A190" s="1" t="s">
        <v>349</v>
      </c>
      <c r="B190" s="1" t="s">
        <v>4182</v>
      </c>
      <c r="C190" s="1" t="s">
        <v>350</v>
      </c>
      <c r="D190" s="1" t="str">
        <f ca="1">IFERROR(__xludf.DUMMYFUNCTION("GoogleTranslate(B190,""ja"",""en"")"),"Place")</f>
        <v>Place</v>
      </c>
    </row>
    <row r="191" spans="1:4" ht="15.75" customHeight="1" x14ac:dyDescent="0.25">
      <c r="A191" s="1" t="s">
        <v>351</v>
      </c>
      <c r="B191" s="1" t="s">
        <v>342</v>
      </c>
      <c r="C191" s="1" t="s">
        <v>352</v>
      </c>
      <c r="D191" s="1" t="str">
        <f ca="1">IFERROR(__xludf.DUMMYFUNCTION("GoogleTranslate(B191,""ja"",""en"")"),"")</f>
        <v/>
      </c>
    </row>
    <row r="192" spans="1:4" ht="15.75" customHeight="1" x14ac:dyDescent="0.25">
      <c r="A192" s="1" t="s">
        <v>353</v>
      </c>
      <c r="B192" s="1" t="s">
        <v>4183</v>
      </c>
      <c r="C192" s="1" t="s">
        <v>354</v>
      </c>
      <c r="D192" s="1" t="str">
        <f ca="1">IFERROR(__xludf.DUMMYFUNCTION("GoogleTranslate(B192,""ja"",""en"")"),"Have")</f>
        <v>Have</v>
      </c>
    </row>
    <row r="193" spans="1:4" ht="15.75" customHeight="1" x14ac:dyDescent="0.25">
      <c r="A193" s="1" t="s">
        <v>355</v>
      </c>
      <c r="B193" s="1" t="s">
        <v>4184</v>
      </c>
      <c r="C193" s="1" t="s">
        <v>341</v>
      </c>
      <c r="D193" s="1" t="str">
        <f ca="1">IFERROR(__xludf.DUMMYFUNCTION("GoogleTranslate(B193,""ja"",""en"")"),"Also")</f>
        <v>Also</v>
      </c>
    </row>
    <row r="194" spans="1:4" ht="15.75" customHeight="1" x14ac:dyDescent="0.25">
      <c r="A194" s="1" t="s">
        <v>356</v>
      </c>
      <c r="B194" s="1" t="s">
        <v>4185</v>
      </c>
      <c r="C194" s="1" t="s">
        <v>343</v>
      </c>
      <c r="D194" s="1" t="str">
        <f ca="1">IFERROR(__xludf.DUMMYFUNCTION("GoogleTranslate(B194,""ja"",""en"")"),"Over")</f>
        <v>Over</v>
      </c>
    </row>
    <row r="195" spans="1:4" ht="15.75" customHeight="1" x14ac:dyDescent="0.25">
      <c r="A195" s="1" t="s">
        <v>357</v>
      </c>
      <c r="B195" s="1" t="s">
        <v>344</v>
      </c>
      <c r="C195" s="1" t="s">
        <v>350</v>
      </c>
      <c r="D195" s="1" t="str">
        <f ca="1">IFERROR(__xludf.DUMMYFUNCTION("GoogleTranslate(B195,""ja"",""en"")"),"Place")</f>
        <v>Place</v>
      </c>
    </row>
    <row r="196" spans="1:4" ht="15.75" customHeight="1" x14ac:dyDescent="0.25">
      <c r="A196" s="1" t="s">
        <v>358</v>
      </c>
      <c r="B196" s="1" t="s">
        <v>4186</v>
      </c>
      <c r="C196" s="1" t="s">
        <v>348</v>
      </c>
      <c r="D196" s="1" t="str">
        <f ca="1">IFERROR(__xludf.DUMMYFUNCTION("GoogleTranslate(B196,""ja"",""en"")"),"hand")</f>
        <v>hand</v>
      </c>
    </row>
    <row r="197" spans="1:4" ht="15.75" customHeight="1" x14ac:dyDescent="0.25">
      <c r="A197" s="1" t="s">
        <v>359</v>
      </c>
      <c r="B197" s="1" t="s">
        <v>4187</v>
      </c>
      <c r="C197" s="1" t="s">
        <v>360</v>
      </c>
      <c r="D197" s="1" t="str">
        <f ca="1">IFERROR(__xludf.DUMMYFUNCTION("GoogleTranslate(B197,""ja"",""en"")"),"I")</f>
        <v>I</v>
      </c>
    </row>
    <row r="198" spans="1:4" ht="15.75" customHeight="1" x14ac:dyDescent="0.25">
      <c r="A198" s="1" t="s">
        <v>361</v>
      </c>
      <c r="B198" s="1" t="s">
        <v>4188</v>
      </c>
      <c r="C198" s="1" t="s">
        <v>362</v>
      </c>
      <c r="D198" s="1" t="str">
        <f ca="1">IFERROR(__xludf.DUMMYFUNCTION("GoogleTranslate(B198,""ja"",""en"")"),"Hmm")</f>
        <v>Hmm</v>
      </c>
    </row>
    <row r="199" spans="1:4" ht="15.75" customHeight="1" x14ac:dyDescent="0.25">
      <c r="A199" s="1" t="s">
        <v>363</v>
      </c>
      <c r="B199" s="1" t="s">
        <v>4189</v>
      </c>
      <c r="C199" s="1" t="s">
        <v>350</v>
      </c>
      <c r="D199" s="1" t="str">
        <f ca="1">IFERROR(__xludf.DUMMYFUNCTION("GoogleTranslate(B199,""ja"",""en"")"),"Place")</f>
        <v>Place</v>
      </c>
    </row>
    <row r="200" spans="1:4" ht="15.75" customHeight="1" x14ac:dyDescent="0.25">
      <c r="A200" s="1" t="s">
        <v>364</v>
      </c>
      <c r="B200" s="1" t="s">
        <v>347</v>
      </c>
      <c r="C200" s="1" t="s">
        <v>360</v>
      </c>
      <c r="D200" s="1" t="str">
        <f ca="1">IFERROR(__xludf.DUMMYFUNCTION("GoogleTranslate(B200,""ja"",""en"")"),"I")</f>
        <v>I</v>
      </c>
    </row>
    <row r="201" spans="1:4" ht="15.75" customHeight="1" x14ac:dyDescent="0.25">
      <c r="A201" s="1" t="s">
        <v>365</v>
      </c>
      <c r="B201" s="1" t="s">
        <v>4190</v>
      </c>
      <c r="C201" s="1" t="s">
        <v>352</v>
      </c>
      <c r="D201" s="1" t="str">
        <f ca="1">IFERROR(__xludf.DUMMYFUNCTION("GoogleTranslate(B201,""ja"",""en"")"),"")</f>
        <v/>
      </c>
    </row>
    <row r="202" spans="1:4" ht="15.75" customHeight="1" x14ac:dyDescent="0.25">
      <c r="A202" s="1" t="s">
        <v>366</v>
      </c>
      <c r="B202" s="1" t="s">
        <v>355</v>
      </c>
      <c r="C202" s="1" t="s">
        <v>367</v>
      </c>
      <c r="D202" s="1" t="str">
        <f ca="1">IFERROR(__xludf.DUMMYFUNCTION("GoogleTranslate(B202,""ja"",""en"")"),"The filtrate")</f>
        <v>The filtrate</v>
      </c>
    </row>
    <row r="203" spans="1:4" ht="15.75" customHeight="1" x14ac:dyDescent="0.25">
      <c r="A203" s="1" t="s">
        <v>368</v>
      </c>
      <c r="B203" s="1" t="s">
        <v>4191</v>
      </c>
      <c r="C203" s="1" t="s">
        <v>362</v>
      </c>
      <c r="D203" s="1" t="str">
        <f ca="1">IFERROR(__xludf.DUMMYFUNCTION("GoogleTranslate(B203,""ja"",""en"")"),"Hmm")</f>
        <v>Hmm</v>
      </c>
    </row>
    <row r="204" spans="1:4" ht="15.75" customHeight="1" x14ac:dyDescent="0.25">
      <c r="A204" s="1" t="s">
        <v>369</v>
      </c>
      <c r="B204" s="1" t="s">
        <v>4192</v>
      </c>
      <c r="C204" s="1" t="s">
        <v>341</v>
      </c>
      <c r="D204" s="1" t="str">
        <f ca="1">IFERROR(__xludf.DUMMYFUNCTION("GoogleTranslate(B204,""ja"",""en"")"),"Also")</f>
        <v>Also</v>
      </c>
    </row>
    <row r="205" spans="1:4" ht="15.75" customHeight="1" x14ac:dyDescent="0.25">
      <c r="A205" s="1" t="s">
        <v>370</v>
      </c>
      <c r="B205" s="1" t="s">
        <v>4193</v>
      </c>
      <c r="C205" s="1" t="s">
        <v>216</v>
      </c>
      <c r="D205" s="1" t="str">
        <f ca="1">IFERROR(__xludf.DUMMYFUNCTION("GoogleTranslate(B205,""ja"",""en"")"),"?")</f>
        <v>?</v>
      </c>
    </row>
    <row r="206" spans="1:4" ht="15.75" customHeight="1" x14ac:dyDescent="0.25">
      <c r="A206" s="1" t="s">
        <v>371</v>
      </c>
      <c r="B206" s="1" t="s">
        <v>4194</v>
      </c>
      <c r="C206" s="1" t="s">
        <v>372</v>
      </c>
      <c r="D206" s="1" t="str">
        <f ca="1">IFERROR(__xludf.DUMMYFUNCTION("GoogleTranslate(B206,""ja"",""en"")"),"shop")</f>
        <v>shop</v>
      </c>
    </row>
    <row r="207" spans="1:4" ht="15.75" customHeight="1" x14ac:dyDescent="0.25">
      <c r="A207" s="1" t="s">
        <v>373</v>
      </c>
      <c r="B207" s="1" t="s">
        <v>4195</v>
      </c>
      <c r="C207" s="1" t="s">
        <v>372</v>
      </c>
      <c r="D207" s="1" t="str">
        <f ca="1">IFERROR(__xludf.DUMMYFUNCTION("GoogleTranslate(B207,""ja"",""en"")"),"shop")</f>
        <v>shop</v>
      </c>
    </row>
    <row r="208" spans="1:4" ht="15.75" customHeight="1" x14ac:dyDescent="0.25">
      <c r="A208" s="1" t="s">
        <v>374</v>
      </c>
      <c r="B208" s="1" t="s">
        <v>4196</v>
      </c>
      <c r="C208" s="1" t="s">
        <v>372</v>
      </c>
      <c r="D208" s="1" t="str">
        <f ca="1">IFERROR(__xludf.DUMMYFUNCTION("GoogleTranslate(B208,""ja"",""en"")"),"shop")</f>
        <v>shop</v>
      </c>
    </row>
    <row r="209" spans="1:4" ht="15.75" customHeight="1" x14ac:dyDescent="0.25">
      <c r="A209" s="1" t="s">
        <v>375</v>
      </c>
      <c r="B209" s="1" t="s">
        <v>4197</v>
      </c>
      <c r="C209" s="1" t="s">
        <v>372</v>
      </c>
      <c r="D209" s="1" t="str">
        <f ca="1">IFERROR(__xludf.DUMMYFUNCTION("GoogleTranslate(B209,""ja"",""en"")"),"shop")</f>
        <v>shop</v>
      </c>
    </row>
    <row r="210" spans="1:4" ht="15.75" customHeight="1" x14ac:dyDescent="0.25">
      <c r="A210" s="1" t="s">
        <v>376</v>
      </c>
      <c r="B210" s="1" t="s">
        <v>4198</v>
      </c>
      <c r="C210" s="1" t="s">
        <v>17</v>
      </c>
      <c r="D210" s="1" t="str">
        <f ca="1">IFERROR(__xludf.DUMMYFUNCTION("GoogleTranslate(B210,""ja"",""en"")"),"point")</f>
        <v>point</v>
      </c>
    </row>
    <row r="211" spans="1:4" ht="15.75" customHeight="1" x14ac:dyDescent="0.25">
      <c r="A211" s="1" t="s">
        <v>377</v>
      </c>
      <c r="B211" s="1" t="s">
        <v>4199</v>
      </c>
      <c r="C211" s="1" t="s">
        <v>378</v>
      </c>
      <c r="D211" s="1" t="str">
        <f ca="1">IFERROR(__xludf.DUMMYFUNCTION("GoogleTranslate(B211,""ja"",""en"")"),"Formation")</f>
        <v>Formation</v>
      </c>
    </row>
    <row r="212" spans="1:4" ht="15.75" customHeight="1" x14ac:dyDescent="0.25">
      <c r="A212" s="1" t="s">
        <v>379</v>
      </c>
      <c r="B212" s="1" t="s">
        <v>4200</v>
      </c>
      <c r="C212" s="1" t="s">
        <v>354</v>
      </c>
      <c r="D212" s="1" t="str">
        <f ca="1">IFERROR(__xludf.DUMMYFUNCTION("GoogleTranslate(B212,""ja"",""en"")"),"Have")</f>
        <v>Have</v>
      </c>
    </row>
    <row r="213" spans="1:4" ht="15.75" customHeight="1" x14ac:dyDescent="0.25">
      <c r="A213" s="1" t="s">
        <v>380</v>
      </c>
      <c r="B213" s="1" t="s">
        <v>4201</v>
      </c>
      <c r="C213" s="1" t="s">
        <v>381</v>
      </c>
      <c r="D213" s="1" t="str">
        <f ca="1">IFERROR(__xludf.DUMMYFUNCTION("GoogleTranslate(B213,""ja"",""en"")"),"That")</f>
        <v>That</v>
      </c>
    </row>
    <row r="214" spans="1:4" ht="15.75" customHeight="1" x14ac:dyDescent="0.25">
      <c r="A214" s="1" t="s">
        <v>382</v>
      </c>
      <c r="B214" s="1" t="s">
        <v>370</v>
      </c>
      <c r="C214" s="1" t="s">
        <v>381</v>
      </c>
      <c r="D214" s="1" t="str">
        <f ca="1">IFERROR(__xludf.DUMMYFUNCTION("GoogleTranslate(B214,""ja"",""en"")"),"That")</f>
        <v>That</v>
      </c>
    </row>
    <row r="215" spans="1:4" ht="15.75" customHeight="1" x14ac:dyDescent="0.25">
      <c r="A215" s="1" t="s">
        <v>383</v>
      </c>
      <c r="B215" s="1" t="s">
        <v>4202</v>
      </c>
      <c r="C215" s="1" t="s">
        <v>384</v>
      </c>
      <c r="D215" s="1" t="str">
        <f ca="1">IFERROR(__xludf.DUMMYFUNCTION("GoogleTranslate(B215,""ja"",""en"")"),"Kerning")</f>
        <v>Kerning</v>
      </c>
    </row>
    <row r="216" spans="1:4" ht="15.75" customHeight="1" x14ac:dyDescent="0.25">
      <c r="A216" s="1" t="s">
        <v>385</v>
      </c>
      <c r="B216" s="1" t="s">
        <v>4203</v>
      </c>
      <c r="C216" s="1" t="s">
        <v>386</v>
      </c>
      <c r="D216" s="1" t="str">
        <f ca="1">IFERROR(__xludf.DUMMYFUNCTION("GoogleTranslate(B216,""ja"",""en"")"),"Or")</f>
        <v>Or</v>
      </c>
    </row>
    <row r="217" spans="1:4" ht="15.75" customHeight="1" x14ac:dyDescent="0.25">
      <c r="A217" s="1" t="s">
        <v>387</v>
      </c>
      <c r="B217" s="1" t="s">
        <v>375</v>
      </c>
      <c r="C217" s="1" t="s">
        <v>388</v>
      </c>
      <c r="D217" s="1" t="str">
        <f ca="1">IFERROR(__xludf.DUMMYFUNCTION("GoogleTranslate(B217,""ja"",""en"")"),"But")</f>
        <v>But</v>
      </c>
    </row>
    <row r="218" spans="1:4" ht="15.75" customHeight="1" x14ac:dyDescent="0.25">
      <c r="A218" s="1" t="s">
        <v>389</v>
      </c>
      <c r="B218" s="1" t="s">
        <v>4204</v>
      </c>
      <c r="C218" s="1" t="s">
        <v>339</v>
      </c>
      <c r="D218" s="1" t="str">
        <f ca="1">IFERROR(__xludf.DUMMYFUNCTION("GoogleTranslate(B218,""ja"",""en"")"),"so")</f>
        <v>so</v>
      </c>
    </row>
    <row r="219" spans="1:4" ht="15.75" customHeight="1" x14ac:dyDescent="0.25">
      <c r="A219" s="1" t="s">
        <v>390</v>
      </c>
      <c r="B219" s="1" t="s">
        <v>4205</v>
      </c>
      <c r="C219" s="1" t="s">
        <v>391</v>
      </c>
      <c r="D219" s="1" t="str">
        <f ca="1">IFERROR(__xludf.DUMMYFUNCTION("GoogleTranslate(B219,""ja"",""en"")"),"When")</f>
        <v>When</v>
      </c>
    </row>
    <row r="220" spans="1:4" ht="15.75" customHeight="1" x14ac:dyDescent="0.25">
      <c r="A220" s="1" t="s">
        <v>392</v>
      </c>
      <c r="B220" s="1" t="s">
        <v>376</v>
      </c>
      <c r="C220" s="1" t="s">
        <v>393</v>
      </c>
      <c r="D220" s="1" t="str">
        <f ca="1">IFERROR(__xludf.DUMMYFUNCTION("GoogleTranslate(B220,""ja"",""en"")"),"I")</f>
        <v>I</v>
      </c>
    </row>
    <row r="221" spans="1:4" ht="15.75" customHeight="1" x14ac:dyDescent="0.25">
      <c r="A221" s="1" t="s">
        <v>394</v>
      </c>
      <c r="B221" s="1" t="s">
        <v>4206</v>
      </c>
      <c r="C221" s="1" t="s">
        <v>395</v>
      </c>
      <c r="D221" s="1" t="str">
        <f ca="1">IFERROR(__xludf.DUMMYFUNCTION("GoogleTranslate(B221,""ja"",""en"")"),"To")</f>
        <v>To</v>
      </c>
    </row>
    <row r="222" spans="1:4" ht="15.75" customHeight="1" x14ac:dyDescent="0.25">
      <c r="A222" s="1" t="s">
        <v>396</v>
      </c>
      <c r="B222" s="1" t="s">
        <v>377</v>
      </c>
      <c r="C222" s="1" t="s">
        <v>397</v>
      </c>
      <c r="D222" s="1" t="str">
        <f ca="1">IFERROR(__xludf.DUMMYFUNCTION("GoogleTranslate(B222,""ja"",""en"")"),"of")</f>
        <v>of</v>
      </c>
    </row>
    <row r="223" spans="1:4" ht="15.75" customHeight="1" x14ac:dyDescent="0.25">
      <c r="A223" s="1" t="s">
        <v>398</v>
      </c>
      <c r="B223" s="1" t="s">
        <v>379</v>
      </c>
      <c r="C223" s="1" t="s">
        <v>399</v>
      </c>
      <c r="D223" s="1" t="str">
        <f ca="1">IFERROR(__xludf.DUMMYFUNCTION("GoogleTranslate(B223,""ja"",""en"")"),"It is")</f>
        <v>It is</v>
      </c>
    </row>
    <row r="224" spans="1:4" ht="15.75" customHeight="1" x14ac:dyDescent="0.25">
      <c r="A224" s="1" t="s">
        <v>400</v>
      </c>
      <c r="B224" s="1" t="s">
        <v>380</v>
      </c>
      <c r="C224" s="1" t="s">
        <v>401</v>
      </c>
      <c r="D224" s="1" t="str">
        <f ca="1">IFERROR(__xludf.DUMMYFUNCTION("GoogleTranslate(B224,""ja"",""en"")"),"What")</f>
        <v>What</v>
      </c>
    </row>
    <row r="225" spans="1:4" ht="15.75" customHeight="1" x14ac:dyDescent="0.25">
      <c r="A225" s="1" t="s">
        <v>402</v>
      </c>
      <c r="B225" s="1" t="s">
        <v>4207</v>
      </c>
      <c r="C225" s="1" t="s">
        <v>341</v>
      </c>
      <c r="D225" s="1" t="str">
        <f ca="1">IFERROR(__xludf.DUMMYFUNCTION("GoogleTranslate(B225,""ja"",""en"")"),"Also")</f>
        <v>Also</v>
      </c>
    </row>
    <row r="226" spans="1:4" ht="15.75" customHeight="1" x14ac:dyDescent="0.25">
      <c r="A226" s="1" t="s">
        <v>403</v>
      </c>
      <c r="B226" s="1" t="s">
        <v>4208</v>
      </c>
      <c r="C226" s="1" t="s">
        <v>404</v>
      </c>
      <c r="D226" s="1" t="str">
        <f ca="1">IFERROR(__xludf.DUMMYFUNCTION("GoogleTranslate(B226,""ja"",""en"")"),"Ya")</f>
        <v>Ya</v>
      </c>
    </row>
    <row r="227" spans="1:4" ht="15.75" customHeight="1" x14ac:dyDescent="0.25">
      <c r="A227" s="1" t="s">
        <v>405</v>
      </c>
      <c r="B227" s="1" t="s">
        <v>4209</v>
      </c>
      <c r="C227" s="1" t="s">
        <v>406</v>
      </c>
      <c r="D227" s="1" t="str">
        <f ca="1">IFERROR(__xludf.DUMMYFUNCTION("GoogleTranslate(B227,""ja"",""en"")"),"The")</f>
        <v>The</v>
      </c>
    </row>
    <row r="228" spans="1:4" ht="15.75" customHeight="1" x14ac:dyDescent="0.25">
      <c r="A228" s="1" t="s">
        <v>407</v>
      </c>
      <c r="B228" s="1" t="s">
        <v>382</v>
      </c>
      <c r="C228" s="1" t="s">
        <v>408</v>
      </c>
      <c r="D228" s="1" t="str">
        <f ca="1">IFERROR(__xludf.DUMMYFUNCTION("GoogleTranslate(B228,""ja"",""en"")"),"set")</f>
        <v>set</v>
      </c>
    </row>
    <row r="229" spans="1:4" ht="15.75" customHeight="1" x14ac:dyDescent="0.25">
      <c r="A229" s="1" t="s">
        <v>409</v>
      </c>
      <c r="B229" s="1" t="s">
        <v>383</v>
      </c>
      <c r="C229" s="1" t="s">
        <v>410</v>
      </c>
      <c r="D229" s="1" t="str">
        <f ca="1">IFERROR(__xludf.DUMMYFUNCTION("GoogleTranslate(B229,""ja"",""en"")"),"Wind")</f>
        <v>Wind</v>
      </c>
    </row>
    <row r="230" spans="1:4" ht="15.75" customHeight="1" x14ac:dyDescent="0.25">
      <c r="A230" s="1" t="s">
        <v>411</v>
      </c>
      <c r="B230" s="1" t="s">
        <v>4210</v>
      </c>
      <c r="C230" s="1" t="s">
        <v>412</v>
      </c>
      <c r="D230" s="1" t="str">
        <f ca="1">IFERROR(__xludf.DUMMYFUNCTION("GoogleTranslate(B230,""ja"",""en"")"),"Flow")</f>
        <v>Flow</v>
      </c>
    </row>
    <row r="231" spans="1:4" ht="15.75" customHeight="1" x14ac:dyDescent="0.25">
      <c r="A231" s="1" t="s">
        <v>413</v>
      </c>
      <c r="B231" s="1" t="s">
        <v>398</v>
      </c>
      <c r="C231" s="1" t="s">
        <v>414</v>
      </c>
      <c r="D231" s="1" t="str">
        <f ca="1">IFERROR(__xludf.DUMMYFUNCTION("GoogleTranslate(B231,""ja"",""en"")"),"poker")</f>
        <v>poker</v>
      </c>
    </row>
    <row r="232" spans="1:4" ht="15.75" customHeight="1" x14ac:dyDescent="0.25">
      <c r="A232" s="1" t="s">
        <v>415</v>
      </c>
      <c r="B232" s="1" t="s">
        <v>402</v>
      </c>
      <c r="C232" s="1" t="s">
        <v>416</v>
      </c>
      <c r="D232" s="1" t="str">
        <f ca="1">IFERROR(__xludf.DUMMYFUNCTION("GoogleTranslate(B232,""ja"",""en"")"),"Foreign country")</f>
        <v>Foreign country</v>
      </c>
    </row>
    <row r="233" spans="1:4" ht="15.75" customHeight="1" x14ac:dyDescent="0.25">
      <c r="A233" s="1" t="s">
        <v>417</v>
      </c>
      <c r="B233" s="1" t="s">
        <v>403</v>
      </c>
      <c r="C233" s="1" t="s">
        <v>418</v>
      </c>
      <c r="D233" s="1" t="str">
        <f ca="1">IFERROR(__xludf.DUMMYFUNCTION("GoogleTranslate(B233,""ja"",""en"")"),"Bluff")</f>
        <v>Bluff</v>
      </c>
    </row>
    <row r="234" spans="1:4" ht="15.75" customHeight="1" x14ac:dyDescent="0.25">
      <c r="A234" s="1" t="s">
        <v>419</v>
      </c>
      <c r="B234" s="1" t="s">
        <v>405</v>
      </c>
      <c r="C234" s="1" t="s">
        <v>420</v>
      </c>
      <c r="D234" s="1" t="str">
        <f ca="1">IFERROR(__xludf.DUMMYFUNCTION("GoogleTranslate(B234,""ja"",""en"")"),"club")</f>
        <v>club</v>
      </c>
    </row>
    <row r="235" spans="1:4" ht="15.75" customHeight="1" x14ac:dyDescent="0.25">
      <c r="A235" s="1" t="s">
        <v>421</v>
      </c>
      <c r="B235" s="1" t="s">
        <v>407</v>
      </c>
      <c r="C235" s="1" t="s">
        <v>422</v>
      </c>
      <c r="D235" s="1" t="str">
        <f ca="1">IFERROR(__xludf.DUMMYFUNCTION("GoogleTranslate(B235,""ja"",""en"")"),"Diamond")</f>
        <v>Diamond</v>
      </c>
    </row>
    <row r="236" spans="1:4" ht="15.75" customHeight="1" x14ac:dyDescent="0.25">
      <c r="A236" s="1" t="s">
        <v>423</v>
      </c>
      <c r="B236" s="1" t="s">
        <v>409</v>
      </c>
      <c r="C236" s="1" t="s">
        <v>424</v>
      </c>
      <c r="D236" s="1" t="str">
        <f ca="1">IFERROR(__xludf.DUMMYFUNCTION("GoogleTranslate(B236,""ja"",""en"")"),"spade")</f>
        <v>spade</v>
      </c>
    </row>
    <row r="237" spans="1:4" ht="15.75" customHeight="1" x14ac:dyDescent="0.25">
      <c r="A237" s="1" t="s">
        <v>425</v>
      </c>
      <c r="B237" s="1" t="s">
        <v>4211</v>
      </c>
      <c r="C237" s="1" t="s">
        <v>426</v>
      </c>
      <c r="D237" s="1" t="str">
        <f ca="1">IFERROR(__xludf.DUMMYFUNCTION("GoogleTranslate(B237,""ja"",""en"")"),"heart")</f>
        <v>heart</v>
      </c>
    </row>
    <row r="238" spans="1:4" ht="15.75" customHeight="1" x14ac:dyDescent="0.25">
      <c r="A238" s="1" t="s">
        <v>427</v>
      </c>
      <c r="B238" s="1" t="s">
        <v>4212</v>
      </c>
      <c r="C238" s="1" t="s">
        <v>428</v>
      </c>
      <c r="D238" s="1" t="str">
        <f ca="1">IFERROR(__xludf.DUMMYFUNCTION("GoogleTranslate(B238,""ja"",""en"")"),"Nopea")</f>
        <v>Nopea</v>
      </c>
    </row>
    <row r="239" spans="1:4" ht="15.75" customHeight="1" x14ac:dyDescent="0.25">
      <c r="A239" s="1" t="s">
        <v>429</v>
      </c>
      <c r="B239" s="1" t="s">
        <v>4213</v>
      </c>
      <c r="C239" s="1" t="s">
        <v>430</v>
      </c>
      <c r="D239" s="1" t="str">
        <f ca="1">IFERROR(__xludf.DUMMYFUNCTION("GoogleTranslate(B239,""ja"",""en"")"),"One pair")</f>
        <v>One pair</v>
      </c>
    </row>
    <row r="240" spans="1:4" ht="15.75" customHeight="1" x14ac:dyDescent="0.25">
      <c r="A240" s="1" t="s">
        <v>431</v>
      </c>
      <c r="B240" s="1" t="s">
        <v>4214</v>
      </c>
      <c r="C240" s="1" t="s">
        <v>432</v>
      </c>
      <c r="D240" s="1" t="str">
        <f ca="1">IFERROR(__xludf.DUMMYFUNCTION("GoogleTranslate(B240,""ja"",""en"")"),"Two Pairs")</f>
        <v>Two Pairs</v>
      </c>
    </row>
    <row r="241" spans="1:4" ht="15.75" customHeight="1" x14ac:dyDescent="0.25">
      <c r="A241" s="1" t="s">
        <v>433</v>
      </c>
      <c r="B241" s="1" t="s">
        <v>4215</v>
      </c>
      <c r="C241" s="1" t="s">
        <v>434</v>
      </c>
      <c r="D241" s="1" t="str">
        <f ca="1">IFERROR(__xludf.DUMMYFUNCTION("GoogleTranslate(B241,""ja"",""en"")"),"3 card")</f>
        <v>3 card</v>
      </c>
    </row>
    <row r="242" spans="1:4" ht="15.75" customHeight="1" x14ac:dyDescent="0.25">
      <c r="A242" s="1" t="s">
        <v>435</v>
      </c>
      <c r="B242" s="1" t="s">
        <v>4216</v>
      </c>
      <c r="C242" s="1" t="s">
        <v>436</v>
      </c>
      <c r="D242" s="1" t="str">
        <f ca="1">IFERROR(__xludf.DUMMYFUNCTION("GoogleTranslate(B242,""ja"",""en"")"),"straight")</f>
        <v>straight</v>
      </c>
    </row>
    <row r="243" spans="1:4" ht="15.75" customHeight="1" x14ac:dyDescent="0.25">
      <c r="A243" s="1" t="s">
        <v>437</v>
      </c>
      <c r="B243" s="1" t="s">
        <v>417</v>
      </c>
      <c r="C243" s="1" t="s">
        <v>438</v>
      </c>
      <c r="D243" s="1" t="str">
        <f ca="1">IFERROR(__xludf.DUMMYFUNCTION("GoogleTranslate(B243,""ja"",""en"")"),"flash")</f>
        <v>flash</v>
      </c>
    </row>
    <row r="244" spans="1:4" ht="15.75" customHeight="1" x14ac:dyDescent="0.25">
      <c r="A244" s="1" t="s">
        <v>439</v>
      </c>
      <c r="B244" s="1" t="s">
        <v>421</v>
      </c>
      <c r="C244" s="1" t="s">
        <v>440</v>
      </c>
      <c r="D244" s="1" t="str">
        <f ca="1">IFERROR(__xludf.DUMMYFUNCTION("GoogleTranslate(B244,""ja"",""en"")"),"Full house")</f>
        <v>Full house</v>
      </c>
    </row>
    <row r="245" spans="1:4" ht="15.75" customHeight="1" x14ac:dyDescent="0.25">
      <c r="A245" s="1" t="s">
        <v>441</v>
      </c>
      <c r="B245" s="1" t="s">
        <v>4217</v>
      </c>
      <c r="C245" s="1" t="s">
        <v>442</v>
      </c>
      <c r="D245" s="1" t="str">
        <f ca="1">IFERROR(__xludf.DUMMYFUNCTION("GoogleTranslate(B245,""ja"",""en"")"),"4 card")</f>
        <v>4 card</v>
      </c>
    </row>
    <row r="246" spans="1:4" ht="15.75" customHeight="1" x14ac:dyDescent="0.25">
      <c r="A246" s="1" t="s">
        <v>443</v>
      </c>
      <c r="B246" s="1" t="s">
        <v>427</v>
      </c>
      <c r="C246" s="1" t="s">
        <v>444</v>
      </c>
      <c r="D246" s="1" t="str">
        <f ca="1">IFERROR(__xludf.DUMMYFUNCTION("GoogleTranslate(B246,""ja"",""en"")"),"Royal")</f>
        <v>Royal</v>
      </c>
    </row>
    <row r="247" spans="1:4" ht="15.75" customHeight="1" x14ac:dyDescent="0.25">
      <c r="A247" s="1" t="s">
        <v>445</v>
      </c>
      <c r="B247" s="1" t="s">
        <v>4218</v>
      </c>
      <c r="C247" s="1" t="s">
        <v>446</v>
      </c>
      <c r="D247" s="1" t="str">
        <f ca="1">IFERROR(__xludf.DUMMYFUNCTION("GoogleTranslate(B247,""ja"",""en"")"),"pawn")</f>
        <v>pawn</v>
      </c>
    </row>
    <row r="248" spans="1:4" ht="15.75" customHeight="1" x14ac:dyDescent="0.25">
      <c r="A248" s="1" t="s">
        <v>447</v>
      </c>
      <c r="B248" s="1" t="s">
        <v>4219</v>
      </c>
      <c r="C248" s="1" t="s">
        <v>448</v>
      </c>
      <c r="D248" s="1" t="str">
        <f ca="1">IFERROR(__xludf.DUMMYFUNCTION("GoogleTranslate(B248,""ja"",""en"")"),"Night")</f>
        <v>Night</v>
      </c>
    </row>
    <row r="249" spans="1:4" ht="15.75" customHeight="1" x14ac:dyDescent="0.25">
      <c r="A249" s="1" t="s">
        <v>449</v>
      </c>
      <c r="B249" s="1" t="s">
        <v>4220</v>
      </c>
      <c r="C249" s="1" t="s">
        <v>450</v>
      </c>
      <c r="D249" s="1" t="str">
        <f ca="1">IFERROR(__xludf.DUMMYFUNCTION("GoogleTranslate(B249,""ja"",""en"")"),"Bishop")</f>
        <v>Bishop</v>
      </c>
    </row>
    <row r="250" spans="1:4" ht="15.75" customHeight="1" x14ac:dyDescent="0.25">
      <c r="A250" s="1" t="s">
        <v>451</v>
      </c>
      <c r="B250" s="1" t="s">
        <v>4221</v>
      </c>
      <c r="C250" s="1" t="s">
        <v>452</v>
      </c>
      <c r="D250" s="1" t="str">
        <f ca="1">IFERROR(__xludf.DUMMYFUNCTION("GoogleTranslate(B250,""ja"",""en"")"),"Luke")</f>
        <v>Luke</v>
      </c>
    </row>
    <row r="251" spans="1:4" ht="15.75" customHeight="1" x14ac:dyDescent="0.25">
      <c r="A251" s="1" t="s">
        <v>453</v>
      </c>
      <c r="B251" s="1" t="s">
        <v>4222</v>
      </c>
      <c r="C251" s="1" t="s">
        <v>454</v>
      </c>
      <c r="D251" s="1" t="str">
        <f ca="1">IFERROR(__xludf.DUMMYFUNCTION("GoogleTranslate(B251,""ja"",""en"")"),"Jack")</f>
        <v>Jack</v>
      </c>
    </row>
    <row r="252" spans="1:4" ht="15.75" customHeight="1" x14ac:dyDescent="0.25">
      <c r="A252" s="1" t="s">
        <v>455</v>
      </c>
      <c r="B252" s="1" t="s">
        <v>4223</v>
      </c>
      <c r="C252" s="1" t="s">
        <v>456</v>
      </c>
      <c r="D252" s="1" t="str">
        <f ca="1">IFERROR(__xludf.DUMMYFUNCTION("GoogleTranslate(B252,""ja"",""en"")"),"Queen")</f>
        <v>Queen</v>
      </c>
    </row>
    <row r="253" spans="1:4" ht="15.75" customHeight="1" x14ac:dyDescent="0.25">
      <c r="A253" s="1" t="s">
        <v>457</v>
      </c>
      <c r="B253" s="1" t="s">
        <v>4224</v>
      </c>
      <c r="C253" s="1" t="s">
        <v>458</v>
      </c>
      <c r="D253" s="1" t="str">
        <f ca="1">IFERROR(__xludf.DUMMYFUNCTION("GoogleTranslate(B253,""ja"",""en"")"),"King")</f>
        <v>King</v>
      </c>
    </row>
    <row r="254" spans="1:4" ht="15.75" customHeight="1" x14ac:dyDescent="0.25">
      <c r="A254" s="1" t="s">
        <v>459</v>
      </c>
      <c r="B254" s="1" t="s">
        <v>4225</v>
      </c>
      <c r="C254" s="1" t="s">
        <v>460</v>
      </c>
      <c r="D254" s="1" t="str">
        <f ca="1">IFERROR(__xludf.DUMMYFUNCTION("GoogleTranslate(B254,""ja"",""en"")"),"Ace")</f>
        <v>Ace</v>
      </c>
    </row>
    <row r="255" spans="1:4" ht="15.75" customHeight="1" x14ac:dyDescent="0.25">
      <c r="A255" s="1" t="s">
        <v>461</v>
      </c>
      <c r="B255" s="1" t="s">
        <v>4226</v>
      </c>
      <c r="C255" s="1" t="s">
        <v>462</v>
      </c>
      <c r="D255" s="1" t="str">
        <f ca="1">IFERROR(__xludf.DUMMYFUNCTION("GoogleTranslate(B255,""ja"",""en"")"),"The Joker")</f>
        <v>The Joker</v>
      </c>
    </row>
    <row r="256" spans="1:4" ht="15.75" customHeight="1" x14ac:dyDescent="0.25">
      <c r="A256" s="1" t="s">
        <v>463</v>
      </c>
      <c r="B256" s="1" t="s">
        <v>4227</v>
      </c>
      <c r="C256" s="1" t="s">
        <v>464</v>
      </c>
      <c r="D256" s="1" t="str">
        <f ca="1">IFERROR(__xludf.DUMMYFUNCTION("GoogleTranslate(B256,""ja"",""en"")"),"Poker King")</f>
        <v>Poker King</v>
      </c>
    </row>
    <row r="257" spans="1:4" ht="15.75" customHeight="1" x14ac:dyDescent="0.25">
      <c r="A257" s="1" t="s">
        <v>465</v>
      </c>
      <c r="B257" s="1" t="s">
        <v>4228</v>
      </c>
      <c r="C257" s="1" t="s">
        <v>466</v>
      </c>
      <c r="D257" s="1" t="str">
        <f ca="1">IFERROR(__xludf.DUMMYFUNCTION("GoogleTranslate(B257,""ja"",""en"")"),"Mah-jongg")</f>
        <v>Mah-jongg</v>
      </c>
    </row>
    <row r="258" spans="1:4" ht="15.75" customHeight="1" x14ac:dyDescent="0.25">
      <c r="A258" s="1" t="s">
        <v>467</v>
      </c>
      <c r="B258" s="1" t="s">
        <v>4229</v>
      </c>
      <c r="C258" s="1" t="s">
        <v>468</v>
      </c>
      <c r="D258" s="1" t="str">
        <f ca="1">IFERROR(__xludf.DUMMYFUNCTION("GoogleTranslate(B258,""ja"",""en"")"),"east")</f>
        <v>east</v>
      </c>
    </row>
    <row r="259" spans="1:4" ht="15.75" customHeight="1" x14ac:dyDescent="0.25">
      <c r="A259" s="1" t="s">
        <v>469</v>
      </c>
      <c r="B259" s="1" t="s">
        <v>4230</v>
      </c>
      <c r="C259" s="1" t="s">
        <v>470</v>
      </c>
      <c r="D259" s="1" t="str">
        <f ca="1">IFERROR(__xludf.DUMMYFUNCTION("GoogleTranslate(B259,""ja"",""en"")"),"West")</f>
        <v>West</v>
      </c>
    </row>
    <row r="260" spans="1:4" ht="15.75" customHeight="1" x14ac:dyDescent="0.25">
      <c r="A260" s="1" t="s">
        <v>471</v>
      </c>
      <c r="B260" s="1" t="s">
        <v>4231</v>
      </c>
      <c r="C260" s="1" t="s">
        <v>472</v>
      </c>
      <c r="D260" s="1" t="str">
        <f ca="1">IFERROR(__xludf.DUMMYFUNCTION("GoogleTranslate(B260,""ja"",""en"")"),"North")</f>
        <v>North</v>
      </c>
    </row>
    <row r="261" spans="1:4" ht="15.75" customHeight="1" x14ac:dyDescent="0.25">
      <c r="A261" s="1" t="s">
        <v>473</v>
      </c>
      <c r="B261" s="1" t="s">
        <v>4232</v>
      </c>
      <c r="C261" s="1" t="s">
        <v>474</v>
      </c>
      <c r="D261" s="1" t="str">
        <f ca="1">IFERROR(__xludf.DUMMYFUNCTION("GoogleTranslate(B261,""ja"",""en"")"),"Qi")</f>
        <v>Qi</v>
      </c>
    </row>
    <row r="262" spans="1:4" ht="15.75" customHeight="1" x14ac:dyDescent="0.25">
      <c r="A262" s="1" t="s">
        <v>475</v>
      </c>
      <c r="B262" s="1" t="s">
        <v>4233</v>
      </c>
      <c r="C262" s="1" t="s">
        <v>476</v>
      </c>
      <c r="D262" s="1" t="str">
        <f ca="1">IFERROR(__xludf.DUMMYFUNCTION("GoogleTranslate(B262,""ja"",""en"")"),"Pont")</f>
        <v>Pont</v>
      </c>
    </row>
    <row r="263" spans="1:4" ht="15.75" customHeight="1" x14ac:dyDescent="0.25">
      <c r="A263" s="1" t="s">
        <v>477</v>
      </c>
      <c r="B263" s="1" t="s">
        <v>4234</v>
      </c>
      <c r="C263" s="1" t="s">
        <v>478</v>
      </c>
      <c r="D263" s="1" t="str">
        <f ca="1">IFERROR(__xludf.DUMMYFUNCTION("GoogleTranslate(B263,""ja"",""en"")"),"Kang")</f>
        <v>Kang</v>
      </c>
    </row>
    <row r="264" spans="1:4" ht="15.75" customHeight="1" x14ac:dyDescent="0.25">
      <c r="A264" s="1" t="s">
        <v>479</v>
      </c>
      <c r="B264" s="1" t="s">
        <v>4235</v>
      </c>
      <c r="C264" s="1" t="s">
        <v>480</v>
      </c>
      <c r="D264" s="1" t="str">
        <f ca="1">IFERROR(__xludf.DUMMYFUNCTION("GoogleTranslate(B264,""ja"",""en"")"),"Man's")</f>
        <v>Man's</v>
      </c>
    </row>
    <row r="265" spans="1:4" ht="15.75" customHeight="1" x14ac:dyDescent="0.25">
      <c r="A265" s="1" t="s">
        <v>481</v>
      </c>
      <c r="B265" s="1" t="s">
        <v>4236</v>
      </c>
      <c r="C265" s="1" t="s">
        <v>482</v>
      </c>
      <c r="D265" s="1" t="str">
        <f ca="1">IFERROR(__xludf.DUMMYFUNCTION("GoogleTranslate(B265,""ja"",""en"")"),"Pins")</f>
        <v>Pins</v>
      </c>
    </row>
    <row r="266" spans="1:4" ht="15.75" customHeight="1" x14ac:dyDescent="0.25">
      <c r="A266" s="1" t="s">
        <v>483</v>
      </c>
      <c r="B266" s="1" t="s">
        <v>4237</v>
      </c>
      <c r="C266" s="1" t="s">
        <v>484</v>
      </c>
      <c r="D266" s="1" t="str">
        <f ca="1">IFERROR(__xludf.DUMMYFUNCTION("GoogleTranslate(B266,""ja"",""en"")"),"P &amp; ID")</f>
        <v>P &amp; ID</v>
      </c>
    </row>
    <row r="267" spans="1:4" ht="15.75" customHeight="1" x14ac:dyDescent="0.25">
      <c r="A267" s="1" t="s">
        <v>485</v>
      </c>
      <c r="B267" s="1" t="s">
        <v>4238</v>
      </c>
      <c r="C267" s="1" t="s">
        <v>486</v>
      </c>
      <c r="D267" s="1" t="str">
        <f ca="1">IFERROR(__xludf.DUMMYFUNCTION("GoogleTranslate(B267,""ja"",""en"")"),"Three-way tiles")</f>
        <v>Three-way tiles</v>
      </c>
    </row>
    <row r="268" spans="1:4" ht="15.75" customHeight="1" x14ac:dyDescent="0.25">
      <c r="A268" s="1" t="s">
        <v>487</v>
      </c>
      <c r="B268" s="1" t="s">
        <v>4239</v>
      </c>
      <c r="C268" s="1" t="s">
        <v>488</v>
      </c>
      <c r="D268" s="1" t="str">
        <f ca="1">IFERROR(__xludf.DUMMYFUNCTION("GoogleTranslate(B268,""ja"",""en"")"),"Yonkazepai")</f>
        <v>Yonkazepai</v>
      </c>
    </row>
    <row r="269" spans="1:4" ht="15.75" customHeight="1" x14ac:dyDescent="0.25">
      <c r="A269" s="1" t="s">
        <v>489</v>
      </c>
      <c r="B269" s="1" t="s">
        <v>4240</v>
      </c>
      <c r="C269" s="1" t="s">
        <v>490</v>
      </c>
      <c r="D269" s="1" t="str">
        <f ca="1">IFERROR(__xludf.DUMMYFUNCTION("GoogleTranslate(B269,""ja"",""en"")"),"reach")</f>
        <v>reach</v>
      </c>
    </row>
    <row r="270" spans="1:4" ht="15.75" customHeight="1" x14ac:dyDescent="0.25">
      <c r="A270" s="1" t="s">
        <v>491</v>
      </c>
      <c r="B270" s="1" t="s">
        <v>4241</v>
      </c>
      <c r="C270" s="1" t="s">
        <v>492</v>
      </c>
      <c r="D270" s="1" t="str">
        <f ca="1">IFERROR(__xludf.DUMMYFUNCTION("GoogleTranslate(B270,""ja"",""en"")"),"Tsumo")</f>
        <v>Tsumo</v>
      </c>
    </row>
    <row r="271" spans="1:4" ht="15.75" customHeight="1" x14ac:dyDescent="0.25">
      <c r="A271" s="1" t="s">
        <v>493</v>
      </c>
      <c r="B271" s="1" t="s">
        <v>4242</v>
      </c>
      <c r="C271" s="1" t="s">
        <v>494</v>
      </c>
      <c r="D271" s="1" t="str">
        <f ca="1">IFERROR(__xludf.DUMMYFUNCTION("GoogleTranslate(B271,""ja"",""en"")"),"Ron")</f>
        <v>Ron</v>
      </c>
    </row>
    <row r="272" spans="1:4" ht="15.75" customHeight="1" x14ac:dyDescent="0.25">
      <c r="A272" s="1" t="s">
        <v>495</v>
      </c>
      <c r="B272" s="1" t="s">
        <v>4243</v>
      </c>
      <c r="C272" s="1" t="s">
        <v>496</v>
      </c>
      <c r="D272" s="1" t="str">
        <f ca="1">IFERROR(__xludf.DUMMYFUNCTION("GoogleTranslate(B272,""ja"",""en"")"),"The strong")</f>
        <v>The strong</v>
      </c>
    </row>
    <row r="273" spans="1:4" ht="15.75" customHeight="1" x14ac:dyDescent="0.25">
      <c r="A273" s="1" t="s">
        <v>497</v>
      </c>
      <c r="B273" s="1" t="s">
        <v>4244</v>
      </c>
      <c r="C273" s="1" t="s">
        <v>498</v>
      </c>
      <c r="D273" s="1" t="str">
        <f ca="1">IFERROR(__xludf.DUMMYFUNCTION("GoogleTranslate(B273,""ja"",""en"")"),"King")</f>
        <v>King</v>
      </c>
    </row>
    <row r="274" spans="1:4" ht="15.75" customHeight="1" x14ac:dyDescent="0.25">
      <c r="A274" s="1" t="s">
        <v>499</v>
      </c>
      <c r="B274" s="1" t="s">
        <v>4245</v>
      </c>
      <c r="C274" s="1" t="s">
        <v>500</v>
      </c>
      <c r="D274" s="1" t="str">
        <f ca="1">IFERROR(__xludf.DUMMYFUNCTION("GoogleTranslate(B274,""ja"",""en"")"),"Champion")</f>
        <v>Champion</v>
      </c>
    </row>
    <row r="275" spans="1:4" ht="15.75" customHeight="1" x14ac:dyDescent="0.25">
      <c r="A275" s="1" t="s">
        <v>501</v>
      </c>
      <c r="B275" s="1" t="s">
        <v>4246</v>
      </c>
      <c r="C275" s="1" t="s">
        <v>502</v>
      </c>
      <c r="D275" s="1" t="str">
        <f ca="1">IFERROR(__xludf.DUMMYFUNCTION("GoogleTranslate(B275,""ja"",""en"")"),"Emperor")</f>
        <v>Emperor</v>
      </c>
    </row>
    <row r="276" spans="1:4" ht="15.75" customHeight="1" x14ac:dyDescent="0.25">
      <c r="A276" s="1" t="s">
        <v>503</v>
      </c>
      <c r="B276" s="1" t="s">
        <v>4247</v>
      </c>
      <c r="C276" s="1" t="s">
        <v>504</v>
      </c>
      <c r="D276" s="1" t="str">
        <f ca="1">IFERROR(__xludf.DUMMYFUNCTION("GoogleTranslate(B276,""ja"",""en"")"),"Overlord")</f>
        <v>Overlord</v>
      </c>
    </row>
    <row r="277" spans="1:4" ht="15.75" customHeight="1" x14ac:dyDescent="0.25">
      <c r="A277" s="1" t="s">
        <v>505</v>
      </c>
      <c r="B277" s="1" t="s">
        <v>4248</v>
      </c>
      <c r="C277" s="1" t="s">
        <v>506</v>
      </c>
      <c r="D277" s="1" t="str">
        <f ca="1">IFERROR(__xludf.DUMMYFUNCTION("GoogleTranslate(B277,""ja"",""en"")"),"Suzumeokami")</f>
        <v>Suzumeokami</v>
      </c>
    </row>
    <row r="278" spans="1:4" ht="15.75" customHeight="1" x14ac:dyDescent="0.25">
      <c r="A278" s="1" t="s">
        <v>507</v>
      </c>
      <c r="B278" s="1" t="s">
        <v>4249</v>
      </c>
      <c r="C278" s="1" t="s">
        <v>508</v>
      </c>
      <c r="D278" s="1" t="str">
        <f ca="1">IFERROR(__xludf.DUMMYFUNCTION("GoogleTranslate(B278,""ja"",""en"")"),"Suzumesho")</f>
        <v>Suzumesho</v>
      </c>
    </row>
    <row r="279" spans="1:4" ht="15.75" customHeight="1" x14ac:dyDescent="0.25">
      <c r="A279" s="1" t="s">
        <v>509</v>
      </c>
      <c r="B279" s="1" t="s">
        <v>4250</v>
      </c>
      <c r="C279" s="1" t="s">
        <v>510</v>
      </c>
      <c r="D279" s="1" t="str">
        <f ca="1">IFERROR(__xludf.DUMMYFUNCTION("GoogleTranslate(B279,""ja"",""en"")"),"Suzumeo")</f>
        <v>Suzumeo</v>
      </c>
    </row>
    <row r="280" spans="1:4" ht="15.75" customHeight="1" x14ac:dyDescent="0.25">
      <c r="A280" s="1" t="s">
        <v>511</v>
      </c>
      <c r="B280" s="1" t="s">
        <v>4251</v>
      </c>
      <c r="C280" s="1" t="s">
        <v>512</v>
      </c>
      <c r="D280" s="1" t="str">
        <f ca="1">IFERROR(__xludf.DUMMYFUNCTION("GoogleTranslate(B280,""ja"",""en"")"),"Sparrow dragon")</f>
        <v>Sparrow dragon</v>
      </c>
    </row>
    <row r="281" spans="1:4" ht="15.75" customHeight="1" x14ac:dyDescent="0.25">
      <c r="A281" s="1" t="s">
        <v>513</v>
      </c>
      <c r="B281" s="1" t="s">
        <v>4252</v>
      </c>
      <c r="C281" s="1" t="s">
        <v>514</v>
      </c>
      <c r="D281" s="1" t="str">
        <f ca="1">IFERROR(__xludf.DUMMYFUNCTION("GoogleTranslate(B281,""ja"",""en"")"),"Sparrow God")</f>
        <v>Sparrow God</v>
      </c>
    </row>
    <row r="282" spans="1:4" ht="15.75" customHeight="1" x14ac:dyDescent="0.25">
      <c r="A282" s="1" t="s">
        <v>515</v>
      </c>
      <c r="B282" s="1" t="s">
        <v>4253</v>
      </c>
      <c r="C282" s="1" t="s">
        <v>516</v>
      </c>
      <c r="D282" s="1" t="str">
        <f ca="1">IFERROR(__xludf.DUMMYFUNCTION("GoogleTranslate(B282,""ja"",""en"")"),"Koi-Koi")</f>
        <v>Koi-Koi</v>
      </c>
    </row>
    <row r="283" spans="1:4" ht="15.75" customHeight="1" x14ac:dyDescent="0.25">
      <c r="A283" s="1" t="s">
        <v>517</v>
      </c>
      <c r="B283" s="1" t="s">
        <v>4254</v>
      </c>
      <c r="C283" s="1" t="s">
        <v>518</v>
      </c>
      <c r="D283" s="1" t="str">
        <f ca="1">IFERROR(__xludf.DUMMYFUNCTION("GoogleTranslate(B283,""ja"",""en"")"),"Floral playing cards")</f>
        <v>Floral playing cards</v>
      </c>
    </row>
    <row r="284" spans="1:4" ht="15.75" customHeight="1" x14ac:dyDescent="0.25">
      <c r="A284" s="1" t="s">
        <v>519</v>
      </c>
      <c r="B284" s="1" t="s">
        <v>4255</v>
      </c>
      <c r="C284" s="1" t="s">
        <v>520</v>
      </c>
      <c r="D284" s="1" t="str">
        <f ca="1">IFERROR(__xludf.DUMMYFUNCTION("GoogleTranslate(B284,""ja"",""en"")"),"Lend")</f>
        <v>Lend</v>
      </c>
    </row>
    <row r="285" spans="1:4" ht="15.75" customHeight="1" x14ac:dyDescent="0.25">
      <c r="A285" s="1" t="s">
        <v>521</v>
      </c>
      <c r="B285" s="1" t="s">
        <v>4256</v>
      </c>
      <c r="C285" s="1" t="s">
        <v>522</v>
      </c>
      <c r="D285" s="1" t="str">
        <f ca="1">IFERROR(__xludf.DUMMYFUNCTION("GoogleTranslate(B285,""ja"",""en"")"),"Tan")</f>
        <v>Tan</v>
      </c>
    </row>
    <row r="286" spans="1:4" ht="15.75" customHeight="1" x14ac:dyDescent="0.25">
      <c r="A286" s="1" t="s">
        <v>523</v>
      </c>
      <c r="B286" s="1" t="s">
        <v>4257</v>
      </c>
      <c r="C286" s="1" t="s">
        <v>524</v>
      </c>
      <c r="D286" s="1" t="str">
        <f ca="1">IFERROR(__xludf.DUMMYFUNCTION("GoogleTranslate(B286,""ja"",""en"")"),"Tane")</f>
        <v>Tane</v>
      </c>
    </row>
    <row r="287" spans="1:4" ht="15.75" customHeight="1" x14ac:dyDescent="0.25">
      <c r="A287" s="1" t="s">
        <v>525</v>
      </c>
      <c r="B287" s="1" t="s">
        <v>4258</v>
      </c>
      <c r="C287" s="1" t="s">
        <v>526</v>
      </c>
      <c r="D287" s="1" t="str">
        <f ca="1">IFERROR(__xludf.DUMMYFUNCTION("GoogleTranslate(B287,""ja"",""en"")"),"Hanami wine")</f>
        <v>Hanami wine</v>
      </c>
    </row>
    <row r="288" spans="1:4" ht="15.75" customHeight="1" x14ac:dyDescent="0.25">
      <c r="A288" s="1" t="s">
        <v>527</v>
      </c>
      <c r="B288" s="1" t="s">
        <v>4259</v>
      </c>
      <c r="C288" s="1" t="s">
        <v>528</v>
      </c>
      <c r="D288" s="1" t="str">
        <f ca="1">IFERROR(__xludf.DUMMYFUNCTION("GoogleTranslate(B288,""ja"",""en"")"),"Tsukimi Sake")</f>
        <v>Tsukimi Sake</v>
      </c>
    </row>
    <row r="289" spans="1:4" ht="15.75" customHeight="1" x14ac:dyDescent="0.25">
      <c r="A289" s="1" t="s">
        <v>529</v>
      </c>
      <c r="B289" s="1" t="s">
        <v>4260</v>
      </c>
      <c r="C289" s="1" t="s">
        <v>530</v>
      </c>
      <c r="D289" s="1" t="str">
        <f ca="1">IFERROR(__xludf.DUMMYFUNCTION("GoogleTranslate(B289,""ja"",""en"")"),"Blue short")</f>
        <v>Blue short</v>
      </c>
    </row>
    <row r="290" spans="1:4" ht="15.75" customHeight="1" x14ac:dyDescent="0.25">
      <c r="A290" s="1" t="s">
        <v>531</v>
      </c>
      <c r="B290" s="1" t="s">
        <v>4261</v>
      </c>
      <c r="C290" s="1" t="s">
        <v>532</v>
      </c>
      <c r="D290" s="1" t="str">
        <f ca="1">IFERROR(__xludf.DUMMYFUNCTION("GoogleTranslate(B290,""ja"",""en"")"),"Akatan")</f>
        <v>Akatan</v>
      </c>
    </row>
    <row r="291" spans="1:4" ht="15.75" customHeight="1" x14ac:dyDescent="0.25">
      <c r="A291" s="1" t="s">
        <v>533</v>
      </c>
      <c r="B291" s="1" t="s">
        <v>4262</v>
      </c>
      <c r="C291" s="1" t="s">
        <v>534</v>
      </c>
      <c r="D291" s="1" t="str">
        <f ca="1">IFERROR(__xludf.DUMMYFUNCTION("GoogleTranslate(B291,""ja"",""en"")"),"Inoshikacho")</f>
        <v>Inoshikacho</v>
      </c>
    </row>
    <row r="292" spans="1:4" ht="15.75" customHeight="1" x14ac:dyDescent="0.25">
      <c r="A292" s="1" t="s">
        <v>535</v>
      </c>
      <c r="B292" s="1" t="s">
        <v>4263</v>
      </c>
      <c r="C292" s="1" t="s">
        <v>536</v>
      </c>
      <c r="D292" s="1" t="str">
        <f ca="1">IFERROR(__xludf.DUMMYFUNCTION("GoogleTranslate(B292,""ja"",""en"")"),"Sanko")</f>
        <v>Sanko</v>
      </c>
    </row>
    <row r="293" spans="1:4" ht="15.75" customHeight="1" x14ac:dyDescent="0.25">
      <c r="A293" s="1" t="s">
        <v>537</v>
      </c>
      <c r="B293" s="1" t="s">
        <v>4264</v>
      </c>
      <c r="C293" s="1" t="s">
        <v>538</v>
      </c>
      <c r="D293" s="1" t="str">
        <f ca="1">IFERROR(__xludf.DUMMYFUNCTION("GoogleTranslate(B293,""ja"",""en"")"),"With food")</f>
        <v>With food</v>
      </c>
    </row>
    <row r="294" spans="1:4" ht="15.75" customHeight="1" x14ac:dyDescent="0.25">
      <c r="A294" s="1" t="s">
        <v>539</v>
      </c>
      <c r="B294" s="1" t="s">
        <v>4265</v>
      </c>
      <c r="C294" s="1" t="s">
        <v>540</v>
      </c>
      <c r="D294" s="1" t="str">
        <f ca="1">IFERROR(__xludf.DUMMYFUNCTION("GoogleTranslate(B294,""ja"",""en"")"),"Hand four")</f>
        <v>Hand four</v>
      </c>
    </row>
    <row r="295" spans="1:4" ht="15.75" customHeight="1" x14ac:dyDescent="0.25">
      <c r="A295" s="1" t="s">
        <v>541</v>
      </c>
      <c r="B295" s="1" t="s">
        <v>4266</v>
      </c>
      <c r="C295" s="1" t="s">
        <v>542</v>
      </c>
      <c r="D295" s="1" t="str">
        <f ca="1">IFERROR(__xludf.DUMMYFUNCTION("GoogleTranslate(B295,""ja"",""en"")"),"Rain four light")</f>
        <v>Rain four light</v>
      </c>
    </row>
    <row r="296" spans="1:4" ht="15.75" customHeight="1" x14ac:dyDescent="0.25">
      <c r="A296" s="1" t="s">
        <v>543</v>
      </c>
      <c r="B296" s="1" t="s">
        <v>4267</v>
      </c>
      <c r="C296" s="1" t="s">
        <v>544</v>
      </c>
      <c r="D296" s="1" t="str">
        <f ca="1">IFERROR(__xludf.DUMMYFUNCTION("GoogleTranslate(B296,""ja"",""en"")"),"Four light")</f>
        <v>Four light</v>
      </c>
    </row>
    <row r="297" spans="1:4" ht="15.75" customHeight="1" x14ac:dyDescent="0.25">
      <c r="A297" s="1" t="s">
        <v>545</v>
      </c>
      <c r="B297" s="1" t="s">
        <v>515</v>
      </c>
      <c r="C297" s="1" t="s">
        <v>546</v>
      </c>
      <c r="D297" s="1" t="str">
        <f ca="1">IFERROR(__xludf.DUMMYFUNCTION("GoogleTranslate(B297,""ja"",""en"")"),"Five light")</f>
        <v>Five light</v>
      </c>
    </row>
    <row r="298" spans="1:4" ht="15.75" customHeight="1" x14ac:dyDescent="0.25">
      <c r="A298" s="1" t="s">
        <v>547</v>
      </c>
      <c r="B298" s="1" t="s">
        <v>4268</v>
      </c>
      <c r="C298" s="1" t="s">
        <v>548</v>
      </c>
      <c r="D298" s="1" t="str">
        <f ca="1">IFERROR(__xludf.DUMMYFUNCTION("GoogleTranslate(B298,""ja"",""en"")"),"Just the beginning")</f>
        <v>Just the beginning</v>
      </c>
    </row>
    <row r="299" spans="1:4" ht="15.75" customHeight="1" x14ac:dyDescent="0.25">
      <c r="A299" s="1" t="s">
        <v>549</v>
      </c>
      <c r="B299" s="1" t="s">
        <v>4269</v>
      </c>
      <c r="C299" s="1" t="s">
        <v>550</v>
      </c>
      <c r="D299" s="1" t="str">
        <f ca="1">IFERROR(__xludf.DUMMYFUNCTION("GoogleTranslate(B299,""ja"",""en"")"),"Introduction two-stage")</f>
        <v>Introduction two-stage</v>
      </c>
    </row>
    <row r="300" spans="1:4" ht="15.75" customHeight="1" x14ac:dyDescent="0.25">
      <c r="A300" s="1" t="s">
        <v>551</v>
      </c>
      <c r="B300" s="1" t="s">
        <v>4270</v>
      </c>
      <c r="C300" s="1" t="s">
        <v>552</v>
      </c>
      <c r="D300" s="1" t="str">
        <f ca="1">IFERROR(__xludf.DUMMYFUNCTION("GoogleTranslate(B300,""ja"",""en"")"),"The third stage")</f>
        <v>The third stage</v>
      </c>
    </row>
    <row r="301" spans="1:4" ht="15.75" customHeight="1" x14ac:dyDescent="0.25">
      <c r="A301" s="1" t="s">
        <v>553</v>
      </c>
      <c r="B301" s="1" t="s">
        <v>4271</v>
      </c>
      <c r="C301" s="1" t="s">
        <v>554</v>
      </c>
      <c r="D301" s="1" t="str">
        <f ca="1">IFERROR(__xludf.DUMMYFUNCTION("GoogleTranslate(B301,""ja"",""en"")"),"Makushita")</f>
        <v>Makushita</v>
      </c>
    </row>
    <row r="302" spans="1:4" ht="15.75" customHeight="1" x14ac:dyDescent="0.25">
      <c r="A302" s="1" t="s">
        <v>555</v>
      </c>
      <c r="B302" s="1" t="s">
        <v>4272</v>
      </c>
      <c r="C302" s="1" t="s">
        <v>556</v>
      </c>
      <c r="D302" s="1" t="str">
        <f ca="1">IFERROR(__xludf.DUMMYFUNCTION("GoogleTranslate(B302,""ja"",""en"")"),"Junior grade sumo wrestler")</f>
        <v>Junior grade sumo wrestler</v>
      </c>
    </row>
    <row r="303" spans="1:4" ht="15.75" customHeight="1" x14ac:dyDescent="0.25">
      <c r="A303" s="1" t="s">
        <v>557</v>
      </c>
      <c r="B303" s="1" t="s">
        <v>4273</v>
      </c>
      <c r="C303" s="1" t="s">
        <v>558</v>
      </c>
      <c r="D303" s="1" t="str">
        <f ca="1">IFERROR(__xludf.DUMMYFUNCTION("GoogleTranslate(B303,""ja"",""en"")"),"Frontal")</f>
        <v>Frontal</v>
      </c>
    </row>
    <row r="304" spans="1:4" ht="15.75" customHeight="1" x14ac:dyDescent="0.25">
      <c r="A304" s="1" t="s">
        <v>559</v>
      </c>
      <c r="B304" s="1" t="s">
        <v>4274</v>
      </c>
      <c r="C304" s="1" t="s">
        <v>560</v>
      </c>
      <c r="D304" s="1" t="str">
        <f ca="1">IFERROR(__xludf.DUMMYFUNCTION("GoogleTranslate(B304,""ja"",""en"")"),"Komusubi")</f>
        <v>Komusubi</v>
      </c>
    </row>
    <row r="305" spans="1:4" ht="15.75" customHeight="1" x14ac:dyDescent="0.25">
      <c r="A305" s="1" t="s">
        <v>561</v>
      </c>
      <c r="B305" s="1" t="s">
        <v>4275</v>
      </c>
      <c r="C305" s="1" t="s">
        <v>562</v>
      </c>
      <c r="D305" s="1" t="str">
        <f ca="1">IFERROR(__xludf.DUMMYFUNCTION("GoogleTranslate(B305,""ja"",""en"")"),"Sumo junior champion")</f>
        <v>Sumo junior champion</v>
      </c>
    </row>
    <row r="306" spans="1:4" ht="15.75" customHeight="1" x14ac:dyDescent="0.25">
      <c r="A306" s="1" t="s">
        <v>563</v>
      </c>
      <c r="B306" s="1" t="s">
        <v>4276</v>
      </c>
      <c r="C306" s="1" t="s">
        <v>564</v>
      </c>
      <c r="D306" s="1" t="str">
        <f ca="1">IFERROR(__xludf.DUMMYFUNCTION("GoogleTranslate(B306,""ja"",""en"")"),"Ozeki")</f>
        <v>Ozeki</v>
      </c>
    </row>
    <row r="307" spans="1:4" ht="15.75" customHeight="1" x14ac:dyDescent="0.25">
      <c r="A307" s="1" t="s">
        <v>565</v>
      </c>
      <c r="B307" s="1" t="s">
        <v>4277</v>
      </c>
      <c r="C307" s="1" t="s">
        <v>566</v>
      </c>
      <c r="D307" s="1" t="str">
        <f ca="1">IFERROR(__xludf.DUMMYFUNCTION("GoogleTranslate(B307,""ja"",""en"")"),"Sumo grand champion")</f>
        <v>Sumo grand champion</v>
      </c>
    </row>
    <row r="308" spans="1:4" ht="15.75" customHeight="1" x14ac:dyDescent="0.25">
      <c r="A308" s="1" t="s">
        <v>567</v>
      </c>
      <c r="B308" s="1" t="s">
        <v>4278</v>
      </c>
      <c r="C308" s="1" t="s">
        <v>568</v>
      </c>
      <c r="D308" s="1" t="str">
        <f ca="1">IFERROR(__xludf.DUMMYFUNCTION("GoogleTranslate(B308,""ja"",""en"")"),"Kabufuda")</f>
        <v>Kabufuda</v>
      </c>
    </row>
    <row r="309" spans="1:4" ht="15.75" customHeight="1" x14ac:dyDescent="0.25">
      <c r="A309" s="1" t="s">
        <v>569</v>
      </c>
      <c r="B309" s="1" t="s">
        <v>4279</v>
      </c>
      <c r="C309" s="1" t="s">
        <v>570</v>
      </c>
      <c r="D309" s="1" t="str">
        <f ca="1">IFERROR(__xludf.DUMMYFUNCTION("GoogleTranslate(B309,""ja"",""en"")"),"Moss game")</f>
        <v>Moss game</v>
      </c>
    </row>
    <row r="310" spans="1:4" ht="15.75" customHeight="1" x14ac:dyDescent="0.25">
      <c r="A310" s="1" t="s">
        <v>571</v>
      </c>
      <c r="B310" s="1" t="s">
        <v>4280</v>
      </c>
      <c r="C310" s="1" t="s">
        <v>572</v>
      </c>
      <c r="D310" s="1" t="str">
        <f ca="1">IFERROR(__xludf.DUMMYFUNCTION("GoogleTranslate(B310,""ja"",""en"")"),"I thought six Paw")</f>
        <v>I thought six Paw</v>
      </c>
    </row>
    <row r="311" spans="1:4" ht="15.75" customHeight="1" x14ac:dyDescent="0.25">
      <c r="A311" s="1" t="s">
        <v>573</v>
      </c>
      <c r="B311" s="1" t="s">
        <v>4281</v>
      </c>
      <c r="C311" s="1" t="s">
        <v>574</v>
      </c>
      <c r="D311" s="1" t="str">
        <f ca="1">IFERROR(__xludf.DUMMYFUNCTION("GoogleTranslate(B311,""ja"",""en"")"),"pig")</f>
        <v>pig</v>
      </c>
    </row>
    <row r="312" spans="1:4" ht="15.75" customHeight="1" x14ac:dyDescent="0.25">
      <c r="A312" s="1" t="s">
        <v>575</v>
      </c>
      <c r="B312" s="1" t="s">
        <v>4282</v>
      </c>
      <c r="C312" s="1" t="s">
        <v>576</v>
      </c>
      <c r="D312" s="1" t="str">
        <f ca="1">IFERROR(__xludf.DUMMYFUNCTION("GoogleTranslate(B312,""ja"",""en"")"),"pin")</f>
        <v>pin</v>
      </c>
    </row>
    <row r="313" spans="1:4" ht="15.75" customHeight="1" x14ac:dyDescent="0.25">
      <c r="A313" s="1" t="s">
        <v>577</v>
      </c>
      <c r="B313" s="1" t="s">
        <v>4283</v>
      </c>
      <c r="C313" s="1" t="s">
        <v>578</v>
      </c>
      <c r="D313" s="1" t="str">
        <f ca="1">IFERROR(__xludf.DUMMYFUNCTION("GoogleTranslate(B313,""ja"",""en"")"),"Nisou")</f>
        <v>Nisou</v>
      </c>
    </row>
    <row r="314" spans="1:4" ht="15.75" customHeight="1" x14ac:dyDescent="0.25">
      <c r="A314" s="1" t="s">
        <v>579</v>
      </c>
      <c r="B314" s="1" t="s">
        <v>4284</v>
      </c>
      <c r="C314" s="1" t="s">
        <v>580</v>
      </c>
      <c r="D314" s="1" t="str">
        <f ca="1">IFERROR(__xludf.DUMMYFUNCTION("GoogleTranslate(B314,""ja"",""en"")"),"Santa")</f>
        <v>Santa</v>
      </c>
    </row>
    <row r="315" spans="1:4" ht="15.75" customHeight="1" x14ac:dyDescent="0.25">
      <c r="A315" s="1" t="s">
        <v>581</v>
      </c>
      <c r="B315" s="1" t="s">
        <v>4285</v>
      </c>
      <c r="C315" s="1" t="s">
        <v>582</v>
      </c>
      <c r="D315" s="1" t="str">
        <f ca="1">IFERROR(__xludf.DUMMYFUNCTION("GoogleTranslate(B315,""ja"",""en"")"),"Yotsuya")</f>
        <v>Yotsuya</v>
      </c>
    </row>
    <row r="316" spans="1:4" ht="15.75" customHeight="1" x14ac:dyDescent="0.25">
      <c r="A316" s="1" t="s">
        <v>583</v>
      </c>
      <c r="B316" s="1" t="s">
        <v>4286</v>
      </c>
      <c r="C316" s="1" t="s">
        <v>584</v>
      </c>
      <c r="D316" s="1" t="str">
        <f ca="1">IFERROR(__xludf.DUMMYFUNCTION("GoogleTranslate(B316,""ja"",""en"")"),"Moss")</f>
        <v>Moss</v>
      </c>
    </row>
    <row r="317" spans="1:4" ht="15.75" customHeight="1" x14ac:dyDescent="0.25">
      <c r="A317" s="1" t="s">
        <v>585</v>
      </c>
      <c r="B317" s="1" t="s">
        <v>4287</v>
      </c>
      <c r="C317" s="1" t="s">
        <v>586</v>
      </c>
      <c r="D317" s="1" t="str">
        <f ca="1">IFERROR(__xludf.DUMMYFUNCTION("GoogleTranslate(B317,""ja"",""en"")"),"Six law codes")</f>
        <v>Six law codes</v>
      </c>
    </row>
    <row r="318" spans="1:4" ht="15.75" customHeight="1" x14ac:dyDescent="0.25">
      <c r="A318" s="1" t="s">
        <v>587</v>
      </c>
      <c r="B318" s="1" t="s">
        <v>4288</v>
      </c>
      <c r="C318" s="1" t="s">
        <v>588</v>
      </c>
      <c r="D318" s="1" t="str">
        <f ca="1">IFERROR(__xludf.DUMMYFUNCTION("GoogleTranslate(B318,""ja"",""en"")"),"Naki")</f>
        <v>Naki</v>
      </c>
    </row>
    <row r="319" spans="1:4" ht="15.75" customHeight="1" x14ac:dyDescent="0.25">
      <c r="A319" s="1" t="s">
        <v>589</v>
      </c>
      <c r="B319" s="1" t="s">
        <v>4289</v>
      </c>
      <c r="C319" s="1" t="s">
        <v>590</v>
      </c>
      <c r="D319" s="1" t="str">
        <f ca="1">IFERROR(__xludf.DUMMYFUNCTION("GoogleTranslate(B319,""ja"",""en"")"),"Oicho")</f>
        <v>Oicho</v>
      </c>
    </row>
    <row r="320" spans="1:4" ht="15.75" customHeight="1" x14ac:dyDescent="0.25">
      <c r="A320" s="1" t="s">
        <v>591</v>
      </c>
      <c r="B320" s="1" t="s">
        <v>567</v>
      </c>
      <c r="C320" s="1" t="s">
        <v>592</v>
      </c>
      <c r="D320" s="1" t="str">
        <f ca="1">IFERROR(__xludf.DUMMYFUNCTION("GoogleTranslate(B320,""ja"",""en"")"),"Cub")</f>
        <v>Cub</v>
      </c>
    </row>
    <row r="321" spans="1:4" ht="15.75" customHeight="1" x14ac:dyDescent="0.25">
      <c r="A321" s="1" t="s">
        <v>593</v>
      </c>
      <c r="B321" s="1" t="s">
        <v>569</v>
      </c>
      <c r="C321" s="1" t="s">
        <v>594</v>
      </c>
      <c r="D321" s="1" t="str">
        <f ca="1">IFERROR(__xludf.DUMMYFUNCTION("GoogleTranslate(B321,""ja"",""en"")"),"Shippin")</f>
        <v>Shippin</v>
      </c>
    </row>
    <row r="322" spans="1:4" ht="15.75" customHeight="1" x14ac:dyDescent="0.25">
      <c r="A322" s="1" t="s">
        <v>595</v>
      </c>
      <c r="B322" s="1" t="s">
        <v>571</v>
      </c>
      <c r="C322" s="1" t="s">
        <v>596</v>
      </c>
      <c r="D322" s="1" t="str">
        <f ca="1">IFERROR(__xludf.DUMMYFUNCTION("GoogleTranslate(B322,""ja"",""en"")"),"Kuppin")</f>
        <v>Kuppin</v>
      </c>
    </row>
    <row r="323" spans="1:4" ht="15.75" customHeight="1" x14ac:dyDescent="0.25">
      <c r="A323" s="1" t="s">
        <v>597</v>
      </c>
      <c r="B323" s="1" t="s">
        <v>573</v>
      </c>
      <c r="C323" s="1" t="s">
        <v>598</v>
      </c>
      <c r="D323" s="1" t="str">
        <f ca="1">IFERROR(__xludf.DUMMYFUNCTION("GoogleTranslate(B323,""ja"",""en"")"),"Arashi")</f>
        <v>Arashi</v>
      </c>
    </row>
    <row r="324" spans="1:4" ht="15.75" customHeight="1" x14ac:dyDescent="0.25">
      <c r="A324" s="1" t="s">
        <v>599</v>
      </c>
      <c r="B324" s="1" t="s">
        <v>4290</v>
      </c>
      <c r="C324" s="1" t="s">
        <v>600</v>
      </c>
      <c r="D324" s="1" t="str">
        <f ca="1">IFERROR(__xludf.DUMMYFUNCTION("GoogleTranslate(B324,""ja"",""en"")"),"Stock entertainer")</f>
        <v>Stock entertainer</v>
      </c>
    </row>
    <row r="325" spans="1:4" ht="15.75" customHeight="1" x14ac:dyDescent="0.25">
      <c r="A325" s="1" t="s">
        <v>601</v>
      </c>
      <c r="B325" s="1" t="s">
        <v>4291</v>
      </c>
      <c r="C325" s="1" t="s">
        <v>602</v>
      </c>
      <c r="D325" s="1" t="str">
        <f ca="1">IFERROR(__xludf.DUMMYFUNCTION("GoogleTranslate(B325,""ja"",""en"")"),"Stock keeper")</f>
        <v>Stock keeper</v>
      </c>
    </row>
    <row r="326" spans="1:4" ht="15.75" customHeight="1" x14ac:dyDescent="0.25">
      <c r="A326" s="1" t="s">
        <v>603</v>
      </c>
      <c r="B326" s="1" t="s">
        <v>4292</v>
      </c>
      <c r="C326" s="1" t="s">
        <v>604</v>
      </c>
      <c r="D326" s="1" t="str">
        <f ca="1">IFERROR(__xludf.DUMMYFUNCTION("GoogleTranslate(B326,""ja"",""en"")"),"Ltd. Guru")</f>
        <v>Ltd. Guru</v>
      </c>
    </row>
    <row r="327" spans="1:4" ht="15.75" customHeight="1" x14ac:dyDescent="0.25">
      <c r="A327" s="1" t="s">
        <v>605</v>
      </c>
      <c r="B327" s="1" t="s">
        <v>4293</v>
      </c>
      <c r="C327" s="1" t="s">
        <v>606</v>
      </c>
      <c r="D327" s="1" t="str">
        <f ca="1">IFERROR(__xludf.DUMMYFUNCTION("GoogleTranslate(B327,""ja"",""en"")"),"Ltd. Iron Man")</f>
        <v>Ltd. Iron Man</v>
      </c>
    </row>
    <row r="328" spans="1:4" ht="15.75" customHeight="1" x14ac:dyDescent="0.25">
      <c r="A328" s="1" t="s">
        <v>607</v>
      </c>
      <c r="B328" s="1" t="s">
        <v>4294</v>
      </c>
      <c r="C328" s="1" t="s">
        <v>608</v>
      </c>
      <c r="D328" s="1" t="str">
        <f ca="1">IFERROR(__xludf.DUMMYFUNCTION("GoogleTranslate(B328,""ja"",""en"")"),"Stock superman")</f>
        <v>Stock superman</v>
      </c>
    </row>
    <row r="329" spans="1:4" ht="15.75" customHeight="1" x14ac:dyDescent="0.25">
      <c r="A329" s="1" t="s">
        <v>609</v>
      </c>
      <c r="B329" s="1" t="s">
        <v>4295</v>
      </c>
      <c r="C329" s="1" t="s">
        <v>610</v>
      </c>
      <c r="D329" s="1" t="str">
        <f ca="1">IFERROR(__xludf.DUMMYFUNCTION("GoogleTranslate(B329,""ja"",""en"")"),"Shareholder")</f>
        <v>Shareholder</v>
      </c>
    </row>
    <row r="330" spans="1:4" ht="15.75" customHeight="1" x14ac:dyDescent="0.25">
      <c r="A330" s="1" t="s">
        <v>611</v>
      </c>
      <c r="B330" s="1" t="s">
        <v>4296</v>
      </c>
      <c r="C330" s="1" t="s">
        <v>612</v>
      </c>
      <c r="D330" s="1" t="str">
        <f ca="1">IFERROR(__xludf.DUMMYFUNCTION("GoogleTranslate(B330,""ja"",""en"")"),"Kabusho")</f>
        <v>Kabusho</v>
      </c>
    </row>
    <row r="331" spans="1:4" ht="15.75" customHeight="1" x14ac:dyDescent="0.25">
      <c r="A331" s="1" t="s">
        <v>613</v>
      </c>
      <c r="B331" s="1" t="s">
        <v>4297</v>
      </c>
      <c r="C331" s="1" t="s">
        <v>614</v>
      </c>
      <c r="D331" s="1" t="str">
        <f ca="1">IFERROR(__xludf.DUMMYFUNCTION("GoogleTranslate(B331,""ja"",""en"")"),"Kabuo")</f>
        <v>Kabuo</v>
      </c>
    </row>
    <row r="332" spans="1:4" ht="15.75" customHeight="1" x14ac:dyDescent="0.25">
      <c r="A332" s="1" t="s">
        <v>615</v>
      </c>
      <c r="B332" s="1" t="s">
        <v>4298</v>
      </c>
      <c r="C332" s="1" t="s">
        <v>616</v>
      </c>
      <c r="D332" s="1" t="str">
        <f ca="1">IFERROR(__xludf.DUMMYFUNCTION("GoogleTranslate(B332,""ja"",""en"")"),"Ltd. dragon")</f>
        <v>Ltd. dragon</v>
      </c>
    </row>
    <row r="333" spans="1:4" ht="15.75" customHeight="1" x14ac:dyDescent="0.25">
      <c r="A333" s="1" t="s">
        <v>617</v>
      </c>
      <c r="B333" s="1" t="s">
        <v>4299</v>
      </c>
      <c r="C333" s="1" t="s">
        <v>618</v>
      </c>
      <c r="D333" s="1" t="str">
        <f ca="1">IFERROR(__xludf.DUMMYFUNCTION("GoogleTranslate(B333,""ja"",""en"")"),"Ltd. God")</f>
        <v>Ltd. God</v>
      </c>
    </row>
    <row r="334" spans="1:4" ht="15.75" customHeight="1" x14ac:dyDescent="0.25">
      <c r="A334" s="1" t="s">
        <v>619</v>
      </c>
      <c r="B334" s="1" t="s">
        <v>4300</v>
      </c>
      <c r="C334" s="1" t="s">
        <v>620</v>
      </c>
      <c r="D334" s="1" t="str">
        <f ca="1">IFERROR(__xludf.DUMMYFUNCTION("GoogleTranslate(B334,""ja"",""en"")"),"Japanese chess")</f>
        <v>Japanese chess</v>
      </c>
    </row>
    <row r="335" spans="1:4" ht="15.75" customHeight="1" x14ac:dyDescent="0.25">
      <c r="A335" s="1" t="s">
        <v>621</v>
      </c>
      <c r="B335" s="1" t="s">
        <v>4301</v>
      </c>
      <c r="C335" s="1" t="s">
        <v>622</v>
      </c>
      <c r="D335" s="1" t="str">
        <f ca="1">IFERROR(__xludf.DUMMYFUNCTION("GoogleTranslate(B335,""ja"",""en"")"),"First move")</f>
        <v>First move</v>
      </c>
    </row>
    <row r="336" spans="1:4" ht="15.75" customHeight="1" x14ac:dyDescent="0.25">
      <c r="A336" s="1" t="s">
        <v>623</v>
      </c>
      <c r="B336" s="1" t="s">
        <v>4302</v>
      </c>
      <c r="C336" s="1" t="s">
        <v>624</v>
      </c>
      <c r="D336" s="1" t="str">
        <f ca="1">IFERROR(__xludf.DUMMYFUNCTION("GoogleTranslate(B336,""ja"",""en"")"),"Iron")</f>
        <v>Iron</v>
      </c>
    </row>
    <row r="337" spans="1:4" ht="15.75" customHeight="1" x14ac:dyDescent="0.25">
      <c r="A337" s="1" t="s">
        <v>625</v>
      </c>
      <c r="B337" s="1" t="s">
        <v>4303</v>
      </c>
      <c r="C337" s="1" t="s">
        <v>626</v>
      </c>
      <c r="D337" s="1" t="str">
        <f ca="1">IFERROR(__xludf.DUMMYFUNCTION("GoogleTranslate(B337,""ja"",""en"")"),"Stay rook")</f>
        <v>Stay rook</v>
      </c>
    </row>
    <row r="338" spans="1:4" ht="15.75" customHeight="1" x14ac:dyDescent="0.25">
      <c r="A338" s="1" t="s">
        <v>627</v>
      </c>
      <c r="B338" s="1" t="s">
        <v>4304</v>
      </c>
      <c r="C338" s="1" t="s">
        <v>628</v>
      </c>
      <c r="D338" s="1" t="str">
        <f ca="1">IFERROR(__xludf.DUMMYFUNCTION("GoogleTranslate(B338,""ja"",""en"")"),"Pretend rook")</f>
        <v>Pretend rook</v>
      </c>
    </row>
    <row r="339" spans="1:4" ht="15.75" customHeight="1" x14ac:dyDescent="0.25">
      <c r="A339" s="1" t="s">
        <v>629</v>
      </c>
      <c r="B339" s="1" t="s">
        <v>4305</v>
      </c>
      <c r="C339" s="1" t="s">
        <v>630</v>
      </c>
      <c r="D339" s="1" t="str">
        <f ca="1">IFERROR(__xludf.DUMMYFUNCTION("GoogleTranslate(B339,""ja"",""en"")"),"enclosure")</f>
        <v>enclosure</v>
      </c>
    </row>
    <row r="340" spans="1:4" ht="15.75" customHeight="1" x14ac:dyDescent="0.25">
      <c r="A340" s="1" t="s">
        <v>631</v>
      </c>
      <c r="B340" s="1" t="s">
        <v>4306</v>
      </c>
      <c r="C340" s="1" t="s">
        <v>632</v>
      </c>
      <c r="D340" s="1" t="str">
        <f ca="1">IFERROR(__xludf.DUMMYFUNCTION("GoogleTranslate(B340,""ja"",""en"")"),"Checkmate")</f>
        <v>Checkmate</v>
      </c>
    </row>
    <row r="341" spans="1:4" ht="15.75" customHeight="1" x14ac:dyDescent="0.25">
      <c r="A341" s="1" t="s">
        <v>633</v>
      </c>
      <c r="B341" s="1" t="s">
        <v>4307</v>
      </c>
      <c r="C341" s="1" t="s">
        <v>634</v>
      </c>
      <c r="D341" s="1" t="str">
        <f ca="1">IFERROR(__xludf.DUMMYFUNCTION("GoogleTranslate(B341,""ja"",""en"")"),"Resign")</f>
        <v>Resign</v>
      </c>
    </row>
    <row r="342" spans="1:4" ht="15.75" customHeight="1" x14ac:dyDescent="0.25">
      <c r="A342" s="1" t="s">
        <v>635</v>
      </c>
      <c r="B342" s="1" t="s">
        <v>4308</v>
      </c>
      <c r="C342" s="1" t="s">
        <v>636</v>
      </c>
      <c r="D342" s="1" t="str">
        <f ca="1">IFERROR(__xludf.DUMMYFUNCTION("GoogleTranslate(B342,""ja"",""en"")"),"Checkmate")</f>
        <v>Checkmate</v>
      </c>
    </row>
    <row r="343" spans="1:4" ht="15.75" customHeight="1" x14ac:dyDescent="0.25">
      <c r="A343" s="1" t="s">
        <v>637</v>
      </c>
      <c r="B343" s="1" t="s">
        <v>4309</v>
      </c>
      <c r="C343" s="1" t="s">
        <v>638</v>
      </c>
      <c r="D343" s="1" t="str">
        <f ca="1">IFERROR(__xludf.DUMMYFUNCTION("GoogleTranslate(B343,""ja"",""en"")"),"Made pieces")</f>
        <v>Made pieces</v>
      </c>
    </row>
    <row r="344" spans="1:4" ht="15.75" customHeight="1" x14ac:dyDescent="0.25">
      <c r="A344" s="1" t="s">
        <v>639</v>
      </c>
      <c r="B344" s="1" t="s">
        <v>4310</v>
      </c>
      <c r="C344" s="1" t="s">
        <v>640</v>
      </c>
      <c r="D344" s="1" t="str">
        <f ca="1">IFERROR(__xludf.DUMMYFUNCTION("GoogleTranslate(B344,""ja"",""en"")"),"Gold")</f>
        <v>Gold</v>
      </c>
    </row>
    <row r="345" spans="1:4" ht="15.75" customHeight="1" x14ac:dyDescent="0.25">
      <c r="A345" s="1" t="s">
        <v>641</v>
      </c>
      <c r="B345" s="1" t="s">
        <v>4311</v>
      </c>
      <c r="C345" s="1" t="s">
        <v>642</v>
      </c>
      <c r="D345" s="1" t="str">
        <f ca="1">IFERROR(__xludf.DUMMYFUNCTION("GoogleTranslate(B345,""ja"",""en"")"),"Naruka")</f>
        <v>Naruka</v>
      </c>
    </row>
    <row r="346" spans="1:4" ht="15.75" customHeight="1" x14ac:dyDescent="0.25">
      <c r="A346" s="1" t="s">
        <v>643</v>
      </c>
      <c r="B346" s="1" t="s">
        <v>4312</v>
      </c>
      <c r="C346" s="1" t="s">
        <v>644</v>
      </c>
      <c r="D346" s="1" t="str">
        <f ca="1">IFERROR(__xludf.DUMMYFUNCTION("GoogleTranslate(B346,""ja"",""en"")"),"Seikei")</f>
        <v>Seikei</v>
      </c>
    </row>
    <row r="347" spans="1:4" ht="15.75" customHeight="1" x14ac:dyDescent="0.25">
      <c r="A347" s="1" t="s">
        <v>645</v>
      </c>
      <c r="B347" s="1" t="s">
        <v>4313</v>
      </c>
      <c r="C347" s="1" t="s">
        <v>646</v>
      </c>
      <c r="D347" s="1" t="str">
        <f ca="1">IFERROR(__xludf.DUMMYFUNCTION("GoogleTranslate(B347,""ja"",""en"")"),"Narugin")</f>
        <v>Narugin</v>
      </c>
    </row>
    <row r="348" spans="1:4" ht="15.75" customHeight="1" x14ac:dyDescent="0.25">
      <c r="A348" s="1" t="s">
        <v>647</v>
      </c>
      <c r="B348" s="1" t="s">
        <v>4314</v>
      </c>
      <c r="C348" s="1" t="s">
        <v>648</v>
      </c>
      <c r="D348" s="1" t="str">
        <f ca="1">IFERROR(__xludf.DUMMYFUNCTION("GoogleTranslate(B348,""ja"",""en"")"),"Ryoma")</f>
        <v>Ryoma</v>
      </c>
    </row>
    <row r="349" spans="1:4" ht="15.75" customHeight="1" x14ac:dyDescent="0.25">
      <c r="A349" s="1" t="s">
        <v>649</v>
      </c>
      <c r="B349" s="1" t="s">
        <v>619</v>
      </c>
      <c r="C349" s="1" t="s">
        <v>650</v>
      </c>
      <c r="D349" s="1" t="str">
        <f ca="1">IFERROR(__xludf.DUMMYFUNCTION("GoogleTranslate(B349,""ja"",""en"")"),"Ryuo")</f>
        <v>Ryuo</v>
      </c>
    </row>
    <row r="350" spans="1:4" ht="15.75" customHeight="1" x14ac:dyDescent="0.25">
      <c r="A350" s="1" t="s">
        <v>651</v>
      </c>
      <c r="B350" s="1" t="s">
        <v>4315</v>
      </c>
      <c r="C350" s="1" t="s">
        <v>652</v>
      </c>
      <c r="D350" s="1" t="str">
        <f ca="1">IFERROR(__xludf.DUMMYFUNCTION("GoogleTranslate(B350,""ja"",""en"")"),"Step")</f>
        <v>Step</v>
      </c>
    </row>
    <row r="351" spans="1:4" ht="15.75" customHeight="1" x14ac:dyDescent="0.25">
      <c r="A351" s="1" t="s">
        <v>653</v>
      </c>
      <c r="B351" s="1" t="s">
        <v>4316</v>
      </c>
      <c r="C351" s="1" t="s">
        <v>654</v>
      </c>
      <c r="D351" s="1" t="str">
        <f ca="1">IFERROR(__xludf.DUMMYFUNCTION("GoogleTranslate(B351,""ja"",""en"")"),"Kyosha")</f>
        <v>Kyosha</v>
      </c>
    </row>
    <row r="352" spans="1:4" ht="15.75" customHeight="1" x14ac:dyDescent="0.25">
      <c r="A352" s="1" t="s">
        <v>655</v>
      </c>
      <c r="B352" s="1" t="s">
        <v>4317</v>
      </c>
      <c r="C352" s="1" t="s">
        <v>656</v>
      </c>
      <c r="D352" s="1" t="str">
        <f ca="1">IFERROR(__xludf.DUMMYFUNCTION("GoogleTranslate(B352,""ja"",""en"")"),"Keima")</f>
        <v>Keima</v>
      </c>
    </row>
    <row r="353" spans="1:4" ht="15.75" customHeight="1" x14ac:dyDescent="0.25">
      <c r="A353" s="1" t="s">
        <v>657</v>
      </c>
      <c r="B353" s="1" t="s">
        <v>4318</v>
      </c>
      <c r="C353" s="1" t="s">
        <v>658</v>
      </c>
      <c r="D353" s="1" t="str">
        <f ca="1">IFERROR(__xludf.DUMMYFUNCTION("GoogleTranslate(B353,""ja"",""en"")"),"Chanting")</f>
        <v>Chanting</v>
      </c>
    </row>
    <row r="354" spans="1:4" ht="15.75" customHeight="1" x14ac:dyDescent="0.25">
      <c r="A354" s="1" t="s">
        <v>659</v>
      </c>
      <c r="B354" s="1" t="s">
        <v>4319</v>
      </c>
      <c r="C354" s="1" t="s">
        <v>660</v>
      </c>
      <c r="D354" s="1" t="str">
        <f ca="1">IFERROR(__xludf.DUMMYFUNCTION("GoogleTranslate(B354,""ja"",""en"")"),"KimuSusumu")</f>
        <v>KimuSusumu</v>
      </c>
    </row>
    <row r="355" spans="1:4" ht="15.75" customHeight="1" x14ac:dyDescent="0.25">
      <c r="A355" s="1" t="s">
        <v>661</v>
      </c>
      <c r="B355" s="1" t="s">
        <v>4320</v>
      </c>
      <c r="C355" s="1" t="s">
        <v>662</v>
      </c>
      <c r="D355" s="1" t="str">
        <f ca="1">IFERROR(__xludf.DUMMYFUNCTION("GoogleTranslate(B355,""ja"",""en"")"),"Cuckoo")</f>
        <v>Cuckoo</v>
      </c>
    </row>
    <row r="356" spans="1:4" ht="15.75" customHeight="1" x14ac:dyDescent="0.25">
      <c r="A356" s="1" t="s">
        <v>663</v>
      </c>
      <c r="B356" s="1" t="s">
        <v>4321</v>
      </c>
      <c r="C356" s="1" t="s">
        <v>664</v>
      </c>
      <c r="D356" s="1" t="str">
        <f ca="1">IFERROR(__xludf.DUMMYFUNCTION("GoogleTranslate(B356,""ja"",""en"")"),"Rook")</f>
        <v>Rook</v>
      </c>
    </row>
    <row r="357" spans="1:4" ht="15.75" customHeight="1" x14ac:dyDescent="0.25">
      <c r="A357" s="1" t="s">
        <v>665</v>
      </c>
      <c r="B357" s="1" t="s">
        <v>4322</v>
      </c>
      <c r="C357" s="1" t="s">
        <v>666</v>
      </c>
      <c r="D357" s="1" t="str">
        <f ca="1">IFERROR(__xludf.DUMMYFUNCTION("GoogleTranslate(B357,""ja"",""en"")"),"Gyokusho")</f>
        <v>Gyokusho</v>
      </c>
    </row>
    <row r="358" spans="1:4" ht="15.75" customHeight="1" x14ac:dyDescent="0.25">
      <c r="A358" s="1" t="s">
        <v>667</v>
      </c>
      <c r="B358" s="1" t="s">
        <v>4323</v>
      </c>
      <c r="C358" s="1" t="s">
        <v>668</v>
      </c>
      <c r="D358" s="1" t="str">
        <f ca="1">IFERROR(__xludf.DUMMYFUNCTION("GoogleTranslate(B358,""ja"",""en"")"),"king")</f>
        <v>king</v>
      </c>
    </row>
    <row r="359" spans="1:4" ht="15.75" customHeight="1" x14ac:dyDescent="0.25">
      <c r="A359" s="1" t="s">
        <v>669</v>
      </c>
      <c r="B359" s="1" t="s">
        <v>4324</v>
      </c>
      <c r="C359" s="1" t="s">
        <v>670</v>
      </c>
      <c r="D359" s="1" t="str">
        <f ca="1">IFERROR(__xludf.DUMMYFUNCTION("GoogleTranslate(B359,""ja"",""en"")"),"Shogi King")</f>
        <v>Shogi King</v>
      </c>
    </row>
    <row r="360" spans="1:4" ht="15.75" customHeight="1" x14ac:dyDescent="0.25">
      <c r="A360" s="1" t="s">
        <v>671</v>
      </c>
      <c r="B360" s="1" t="s">
        <v>4325</v>
      </c>
      <c r="C360" s="1" t="s">
        <v>672</v>
      </c>
      <c r="D360" s="1" t="str">
        <f ca="1">IFERROR(__xludf.DUMMYFUNCTION("GoogleTranslate(B360,""ja"",""en"")"),"joy")</f>
        <v>joy</v>
      </c>
    </row>
    <row r="361" spans="1:4" ht="15.75" customHeight="1" x14ac:dyDescent="0.25">
      <c r="A361" s="1" t="s">
        <v>673</v>
      </c>
      <c r="B361" s="1" t="s">
        <v>4326</v>
      </c>
      <c r="C361" s="1" t="s">
        <v>674</v>
      </c>
      <c r="D361" s="1" t="str">
        <f ca="1">IFERROR(__xludf.DUMMYFUNCTION("GoogleTranslate(B361,""ja"",""en"")"),"small")</f>
        <v>small</v>
      </c>
    </row>
    <row r="362" spans="1:4" ht="15.75" customHeight="1" x14ac:dyDescent="0.25">
      <c r="A362" s="1" t="s">
        <v>675</v>
      </c>
      <c r="B362" s="1" t="s">
        <v>4327</v>
      </c>
      <c r="C362" s="1" t="s">
        <v>676</v>
      </c>
      <c r="D362" s="1" t="str">
        <f ca="1">IFERROR(__xludf.DUMMYFUNCTION("GoogleTranslate(B362,""ja"",""en"")"),"mouse")</f>
        <v>mouse</v>
      </c>
    </row>
    <row r="363" spans="1:4" ht="15.75" customHeight="1" x14ac:dyDescent="0.25">
      <c r="A363" s="1" t="s">
        <v>677</v>
      </c>
      <c r="B363" s="1" t="s">
        <v>4328</v>
      </c>
      <c r="C363" s="1" t="s">
        <v>678</v>
      </c>
      <c r="D363" s="1" t="str">
        <f ca="1">IFERROR(__xludf.DUMMYFUNCTION("GoogleTranslate(B363,""ja"",""en"")"),"Neighborhood")</f>
        <v>Neighborhood</v>
      </c>
    </row>
    <row r="364" spans="1:4" ht="15.75" customHeight="1" x14ac:dyDescent="0.25">
      <c r="A364" s="1" t="s">
        <v>679</v>
      </c>
      <c r="B364" s="1" t="s">
        <v>4329</v>
      </c>
      <c r="C364" s="1" t="s">
        <v>680</v>
      </c>
      <c r="D364" s="1" t="str">
        <f ca="1">IFERROR(__xludf.DUMMYFUNCTION("GoogleTranslate(B364,""ja"",""en"")"),"Poverty")</f>
        <v>Poverty</v>
      </c>
    </row>
    <row r="365" spans="1:4" ht="15.75" customHeight="1" x14ac:dyDescent="0.25">
      <c r="A365" s="1" t="s">
        <v>681</v>
      </c>
      <c r="B365" s="1" t="s">
        <v>4330</v>
      </c>
      <c r="C365" s="1" t="s">
        <v>682</v>
      </c>
      <c r="D365" s="1" t="str">
        <f ca="1">IFERROR(__xludf.DUMMYFUNCTION("GoogleTranslate(B365,""ja"",""en"")"),"Millionaire")</f>
        <v>Millionaire</v>
      </c>
    </row>
    <row r="366" spans="1:4" ht="15.75" customHeight="1" x14ac:dyDescent="0.25">
      <c r="A366" s="1" t="s">
        <v>683</v>
      </c>
      <c r="B366" s="1" t="s">
        <v>4331</v>
      </c>
      <c r="C366" s="1" t="s">
        <v>684</v>
      </c>
      <c r="D366" s="1" t="str">
        <f ca="1">IFERROR(__xludf.DUMMYFUNCTION("GoogleTranslate(B366,""ja"",""en"")"),"Millionaire")</f>
        <v>Millionaire</v>
      </c>
    </row>
    <row r="367" spans="1:4" ht="15.75" customHeight="1" x14ac:dyDescent="0.25">
      <c r="A367" s="1" t="s">
        <v>685</v>
      </c>
      <c r="B367" s="1" t="s">
        <v>4332</v>
      </c>
      <c r="C367" s="1" t="s">
        <v>686</v>
      </c>
      <c r="D367" s="1" t="str">
        <f ca="1">IFERROR(__xludf.DUMMYFUNCTION("GoogleTranslate(B367,""ja"",""en"")"),"anger")</f>
        <v>anger</v>
      </c>
    </row>
    <row r="368" spans="1:4" ht="15.75" customHeight="1" x14ac:dyDescent="0.25">
      <c r="A368" s="1" t="s">
        <v>687</v>
      </c>
      <c r="B368" s="1" t="s">
        <v>4333</v>
      </c>
      <c r="C368" s="1" t="s">
        <v>688</v>
      </c>
      <c r="D368" s="1" t="str">
        <f ca="1">IFERROR(__xludf.DUMMYFUNCTION("GoogleTranslate(B368,""ja"",""en"")"),"big")</f>
        <v>big</v>
      </c>
    </row>
    <row r="369" spans="1:4" ht="15.75" customHeight="1" x14ac:dyDescent="0.25">
      <c r="A369" s="1" t="s">
        <v>689</v>
      </c>
      <c r="B369" s="1" t="s">
        <v>4334</v>
      </c>
      <c r="C369" s="1" t="s">
        <v>690</v>
      </c>
      <c r="D369" s="1" t="str">
        <f ca="1">IFERROR(__xludf.DUMMYFUNCTION("GoogleTranslate(B369,""ja"",""en"")"),"Cow")</f>
        <v>Cow</v>
      </c>
    </row>
    <row r="370" spans="1:4" ht="15.75" customHeight="1" x14ac:dyDescent="0.25">
      <c r="A370" s="1" t="s">
        <v>691</v>
      </c>
      <c r="B370" s="1" t="s">
        <v>4335</v>
      </c>
      <c r="C370" s="1" t="s">
        <v>692</v>
      </c>
      <c r="D370" s="1" t="str">
        <f ca="1">IFERROR(__xludf.DUMMYFUNCTION("GoogleTranslate(B370,""ja"",""en"")"),"Restoration")</f>
        <v>Restoration</v>
      </c>
    </row>
    <row r="371" spans="1:4" ht="15.75" customHeight="1" x14ac:dyDescent="0.25">
      <c r="A371" s="1" t="s">
        <v>693</v>
      </c>
      <c r="B371" s="1" t="s">
        <v>4336</v>
      </c>
      <c r="C371" s="1" t="s">
        <v>694</v>
      </c>
      <c r="D371" s="1" t="str">
        <f ca="1">IFERROR(__xludf.DUMMYFUNCTION("GoogleTranslate(B371,""ja"",""en"")"),"Pity")</f>
        <v>Pity</v>
      </c>
    </row>
    <row r="372" spans="1:4" ht="15.75" customHeight="1" x14ac:dyDescent="0.25">
      <c r="A372" s="1" t="s">
        <v>695</v>
      </c>
      <c r="B372" s="1" t="s">
        <v>4337</v>
      </c>
      <c r="C372" s="1" t="s">
        <v>696</v>
      </c>
      <c r="D372" s="1" t="str">
        <f ca="1">IFERROR(__xludf.DUMMYFUNCTION("GoogleTranslate(B372,""ja"",""en"")"),"fat")</f>
        <v>fat</v>
      </c>
    </row>
    <row r="373" spans="1:4" ht="15.75" customHeight="1" x14ac:dyDescent="0.25">
      <c r="A373" s="1" t="s">
        <v>697</v>
      </c>
      <c r="B373" s="1" t="s">
        <v>4338</v>
      </c>
      <c r="C373" s="1" t="s">
        <v>698</v>
      </c>
      <c r="D373" s="1" t="str">
        <f ca="1">IFERROR(__xludf.DUMMYFUNCTION("GoogleTranslate(B373,""ja"",""en"")"),"tiger")</f>
        <v>tiger</v>
      </c>
    </row>
    <row r="374" spans="1:4" ht="15.75" customHeight="1" x14ac:dyDescent="0.25">
      <c r="A374" s="1" t="s">
        <v>699</v>
      </c>
      <c r="B374" s="1" t="s">
        <v>4339</v>
      </c>
      <c r="C374" s="1" t="s">
        <v>700</v>
      </c>
      <c r="D374" s="1" t="str">
        <f ca="1">IFERROR(__xludf.DUMMYFUNCTION("GoogleTranslate(B374,""ja"",""en"")"),"Came back")</f>
        <v>Came back</v>
      </c>
    </row>
    <row r="375" spans="1:4" ht="15.75" customHeight="1" x14ac:dyDescent="0.25">
      <c r="A375" s="1" t="s">
        <v>701</v>
      </c>
      <c r="B375" s="1" t="s">
        <v>671</v>
      </c>
      <c r="C375" s="1" t="s">
        <v>702</v>
      </c>
      <c r="D375" s="1" t="str">
        <f ca="1">IFERROR(__xludf.DUMMYFUNCTION("GoogleTranslate(B375,""ja"",""en"")"),"pleasant")</f>
        <v>pleasant</v>
      </c>
    </row>
    <row r="376" spans="1:4" ht="15.75" customHeight="1" x14ac:dyDescent="0.25">
      <c r="A376" s="1" t="s">
        <v>703</v>
      </c>
      <c r="B376" s="1" t="s">
        <v>673</v>
      </c>
      <c r="C376" s="1" t="s">
        <v>704</v>
      </c>
      <c r="D376" s="1" t="str">
        <f ca="1">IFERROR(__xludf.DUMMYFUNCTION("GoogleTranslate(B376,""ja"",""en"")"),"Infertile")</f>
        <v>Infertile</v>
      </c>
    </row>
    <row r="377" spans="1:4" ht="15.75" customHeight="1" x14ac:dyDescent="0.25">
      <c r="A377" s="1" t="s">
        <v>705</v>
      </c>
      <c r="B377" s="1" t="s">
        <v>675</v>
      </c>
      <c r="C377" s="1" t="s">
        <v>706</v>
      </c>
      <c r="D377" s="1" t="str">
        <f ca="1">IFERROR(__xludf.DUMMYFUNCTION("GoogleTranslate(B377,""ja"",""en"")"),"Rabbits")</f>
        <v>Rabbits</v>
      </c>
    </row>
    <row r="378" spans="1:4" ht="15.75" customHeight="1" x14ac:dyDescent="0.25">
      <c r="A378" s="1" t="s">
        <v>707</v>
      </c>
      <c r="B378" s="1" t="s">
        <v>677</v>
      </c>
      <c r="C378" s="1" t="s">
        <v>708</v>
      </c>
      <c r="D378" s="1" t="str">
        <f ca="1">IFERROR(__xludf.DUMMYFUNCTION("GoogleTranslate(B378,""ja"",""en"")"),"Easy")</f>
        <v>Easy</v>
      </c>
    </row>
    <row r="379" spans="1:4" ht="15.75" customHeight="1" x14ac:dyDescent="0.25">
      <c r="A379" s="1" t="s">
        <v>709</v>
      </c>
      <c r="B379" s="1" t="s">
        <v>681</v>
      </c>
      <c r="C379" s="1" t="s">
        <v>710</v>
      </c>
      <c r="D379" s="1" t="str">
        <f ca="1">IFERROR(__xludf.DUMMYFUNCTION("GoogleTranslate(B379,""ja"",""en"")"),"flashy")</f>
        <v>flashy</v>
      </c>
    </row>
    <row r="380" spans="1:4" ht="15.75" customHeight="1" x14ac:dyDescent="0.25">
      <c r="A380" s="1" t="s">
        <v>711</v>
      </c>
      <c r="B380" s="1" t="s">
        <v>683</v>
      </c>
      <c r="C380" s="1" t="s">
        <v>712</v>
      </c>
      <c r="D380" s="1" t="str">
        <f ca="1">IFERROR(__xludf.DUMMYFUNCTION("GoogleTranslate(B380,""ja"",""en"")"),"Dragon")</f>
        <v>Dragon</v>
      </c>
    </row>
    <row r="381" spans="1:4" ht="15.75" customHeight="1" x14ac:dyDescent="0.25">
      <c r="A381" s="1" t="s">
        <v>713</v>
      </c>
      <c r="B381" s="1" t="s">
        <v>685</v>
      </c>
      <c r="C381" s="1" t="s">
        <v>714</v>
      </c>
      <c r="D381" s="1" t="str">
        <f ca="1">IFERROR(__xludf.DUMMYFUNCTION("GoogleTranslate(B381,""ja"",""en"")"),"sorrow")</f>
        <v>sorrow</v>
      </c>
    </row>
    <row r="382" spans="1:4" ht="15.75" customHeight="1" x14ac:dyDescent="0.25">
      <c r="A382" s="1" t="s">
        <v>715</v>
      </c>
      <c r="B382" s="1" t="s">
        <v>687</v>
      </c>
      <c r="C382" s="1" t="s">
        <v>716</v>
      </c>
      <c r="D382" s="1" t="str">
        <f ca="1">IFERROR(__xludf.DUMMYFUNCTION("GoogleTranslate(B382,""ja"",""en"")"),"sober")</f>
        <v>sober</v>
      </c>
    </row>
    <row r="383" spans="1:4" ht="15.75" customHeight="1" x14ac:dyDescent="0.25">
      <c r="A383" s="1" t="s">
        <v>717</v>
      </c>
      <c r="B383" s="1" t="s">
        <v>689</v>
      </c>
      <c r="C383" s="1" t="s">
        <v>718</v>
      </c>
      <c r="D383" s="1" t="str">
        <f ca="1">IFERROR(__xludf.DUMMYFUNCTION("GoogleTranslate(B383,""ja"",""en"")"),"snake")</f>
        <v>snake</v>
      </c>
    </row>
    <row r="384" spans="1:4" ht="15.75" customHeight="1" x14ac:dyDescent="0.25">
      <c r="A384" s="1" t="s">
        <v>719</v>
      </c>
      <c r="B384" s="1" t="s">
        <v>691</v>
      </c>
      <c r="C384" s="1" t="s">
        <v>720</v>
      </c>
      <c r="D384" s="1" t="str">
        <f ca="1">IFERROR(__xludf.DUMMYFUNCTION("GoogleTranslate(B384,""ja"",""en"")"),"Laughter")</f>
        <v>Laughter</v>
      </c>
    </row>
    <row r="385" spans="1:4" ht="15.75" customHeight="1" x14ac:dyDescent="0.25">
      <c r="A385" s="1" t="s">
        <v>721</v>
      </c>
      <c r="B385" s="1" t="s">
        <v>693</v>
      </c>
      <c r="C385" s="1" t="s">
        <v>722</v>
      </c>
      <c r="D385" s="1" t="str">
        <f ca="1">IFERROR(__xludf.DUMMYFUNCTION("GoogleTranslate(B385,""ja"",""en"")"),"suspicious")</f>
        <v>suspicious</v>
      </c>
    </row>
    <row r="386" spans="1:4" ht="15.75" customHeight="1" x14ac:dyDescent="0.25">
      <c r="A386" s="1" t="s">
        <v>723</v>
      </c>
      <c r="B386" s="1" t="s">
        <v>695</v>
      </c>
      <c r="C386" s="1" t="s">
        <v>724</v>
      </c>
      <c r="D386" s="1" t="str">
        <f ca="1">IFERROR(__xludf.DUMMYFUNCTION("GoogleTranslate(B386,""ja"",""en"")"),"Horse")</f>
        <v>Horse</v>
      </c>
    </row>
    <row r="387" spans="1:4" ht="15.75" customHeight="1" x14ac:dyDescent="0.25">
      <c r="A387" s="1" t="s">
        <v>725</v>
      </c>
      <c r="B387" s="1" t="s">
        <v>697</v>
      </c>
      <c r="C387" s="1" t="s">
        <v>726</v>
      </c>
      <c r="D387" s="1" t="str">
        <f ca="1">IFERROR(__xludf.DUMMYFUNCTION("GoogleTranslate(B387,""ja"",""en"")"),"Cried")</f>
        <v>Cried</v>
      </c>
    </row>
    <row r="388" spans="1:4" ht="15.75" customHeight="1" x14ac:dyDescent="0.25">
      <c r="A388" s="1" t="s">
        <v>727</v>
      </c>
      <c r="B388" s="1" t="s">
        <v>699</v>
      </c>
      <c r="C388" s="1" t="s">
        <v>728</v>
      </c>
      <c r="D388" s="1" t="str">
        <f ca="1">IFERROR(__xludf.DUMMYFUNCTION("GoogleTranslate(B388,""ja"",""en"")"),"Fashionable")</f>
        <v>Fashionable</v>
      </c>
    </row>
    <row r="389" spans="1:4" ht="15.75" customHeight="1" x14ac:dyDescent="0.25">
      <c r="A389" s="1" t="s">
        <v>729</v>
      </c>
      <c r="B389" s="1" t="s">
        <v>701</v>
      </c>
      <c r="C389" s="1" t="s">
        <v>730</v>
      </c>
      <c r="D389" s="1" t="str">
        <f ca="1">IFERROR(__xludf.DUMMYFUNCTION("GoogleTranslate(B389,""ja"",""en"")"),"sheep")</f>
        <v>sheep</v>
      </c>
    </row>
    <row r="390" spans="1:4" ht="15.75" customHeight="1" x14ac:dyDescent="0.25">
      <c r="A390" s="1" t="s">
        <v>731</v>
      </c>
      <c r="B390" s="1" t="s">
        <v>703</v>
      </c>
      <c r="C390" s="1" t="s">
        <v>732</v>
      </c>
      <c r="D390" s="1" t="str">
        <f ca="1">IFERROR(__xludf.DUMMYFUNCTION("GoogleTranslate(B390,""ja"",""en"")"),"surprise")</f>
        <v>surprise</v>
      </c>
    </row>
    <row r="391" spans="1:4" ht="15.75" customHeight="1" x14ac:dyDescent="0.25">
      <c r="A391" s="1" t="s">
        <v>733</v>
      </c>
      <c r="B391" s="1" t="s">
        <v>705</v>
      </c>
      <c r="C391" s="1" t="s">
        <v>734</v>
      </c>
      <c r="D391" s="1" t="str">
        <f ca="1">IFERROR(__xludf.DUMMYFUNCTION("GoogleTranslate(B391,""ja"",""en"")"),"Refreshing")</f>
        <v>Refreshing</v>
      </c>
    </row>
    <row r="392" spans="1:4" ht="15.75" customHeight="1" x14ac:dyDescent="0.25">
      <c r="A392" s="1" t="s">
        <v>735</v>
      </c>
      <c r="B392" s="1" t="s">
        <v>4340</v>
      </c>
      <c r="C392" s="1" t="s">
        <v>736</v>
      </c>
      <c r="D392" s="1" t="str">
        <f ca="1">IFERROR(__xludf.DUMMYFUNCTION("GoogleTranslate(B392,""ja"",""en"")"),"monkey")</f>
        <v>monkey</v>
      </c>
    </row>
    <row r="393" spans="1:4" ht="15.75" customHeight="1" x14ac:dyDescent="0.25">
      <c r="A393" s="1" t="s">
        <v>737</v>
      </c>
      <c r="B393" s="1" t="s">
        <v>709</v>
      </c>
      <c r="C393" s="1" t="s">
        <v>738</v>
      </c>
      <c r="D393" s="1" t="str">
        <f ca="1">IFERROR(__xludf.DUMMYFUNCTION("GoogleTranslate(B393,""ja"",""en"")"),"Pleasantly thrilling")</f>
        <v>Pleasantly thrilling</v>
      </c>
    </row>
    <row r="394" spans="1:4" ht="15.75" customHeight="1" x14ac:dyDescent="0.25">
      <c r="A394" s="1" t="s">
        <v>739</v>
      </c>
      <c r="B394" s="1" t="s">
        <v>713</v>
      </c>
      <c r="C394" s="1" t="s">
        <v>740</v>
      </c>
      <c r="D394" s="1" t="str">
        <f ca="1">IFERROR(__xludf.DUMMYFUNCTION("GoogleTranslate(B394,""ja"",""en"")"),"it's beautiful")</f>
        <v>it's beautiful</v>
      </c>
    </row>
    <row r="395" spans="1:4" ht="15.75" customHeight="1" x14ac:dyDescent="0.25">
      <c r="A395" s="1" t="s">
        <v>741</v>
      </c>
      <c r="B395" s="1" t="s">
        <v>715</v>
      </c>
      <c r="C395" s="1" t="s">
        <v>742</v>
      </c>
      <c r="D395" s="1" t="str">
        <f ca="1">IFERROR(__xludf.DUMMYFUNCTION("GoogleTranslate(B395,""ja"",""en"")"),"I was surprised")</f>
        <v>I was surprised</v>
      </c>
    </row>
    <row r="396" spans="1:4" ht="15.75" customHeight="1" x14ac:dyDescent="0.25">
      <c r="A396" s="1" t="s">
        <v>743</v>
      </c>
      <c r="B396" s="1" t="s">
        <v>719</v>
      </c>
      <c r="C396" s="1" t="s">
        <v>744</v>
      </c>
      <c r="D396" s="1" t="str">
        <f ca="1">IFERROR(__xludf.DUMMYFUNCTION("GoogleTranslate(B396,""ja"",""en"")"),"bird")</f>
        <v>bird</v>
      </c>
    </row>
    <row r="397" spans="1:4" ht="15.75" customHeight="1" x14ac:dyDescent="0.25">
      <c r="A397" s="1" t="s">
        <v>745</v>
      </c>
      <c r="B397" s="1" t="s">
        <v>721</v>
      </c>
      <c r="C397" s="1" t="s">
        <v>746</v>
      </c>
      <c r="D397" s="1" t="str">
        <f ca="1">IFERROR(__xludf.DUMMYFUNCTION("GoogleTranslate(B397,""ja"",""en"")"),"Edo")</f>
        <v>Edo</v>
      </c>
    </row>
    <row r="398" spans="1:4" ht="15.75" customHeight="1" x14ac:dyDescent="0.25">
      <c r="A398" s="1" t="s">
        <v>747</v>
      </c>
      <c r="B398" s="1" t="s">
        <v>723</v>
      </c>
      <c r="C398" s="1" t="s">
        <v>748</v>
      </c>
      <c r="D398" s="1" t="str">
        <f ca="1">IFERROR(__xludf.DUMMYFUNCTION("GoogleTranslate(B398,""ja"",""en"")"),"crybaby")</f>
        <v>crybaby</v>
      </c>
    </row>
    <row r="399" spans="1:4" ht="15.75" customHeight="1" x14ac:dyDescent="0.25">
      <c r="A399" s="1" t="s">
        <v>749</v>
      </c>
      <c r="B399" s="1" t="s">
        <v>725</v>
      </c>
      <c r="C399" s="1" t="s">
        <v>750</v>
      </c>
      <c r="D399" s="1" t="str">
        <f ca="1">IFERROR(__xludf.DUMMYFUNCTION("GoogleTranslate(B399,""ja"",""en"")"),"fresh")</f>
        <v>fresh</v>
      </c>
    </row>
    <row r="400" spans="1:4" ht="15.75" customHeight="1" x14ac:dyDescent="0.25">
      <c r="A400" s="1" t="s">
        <v>751</v>
      </c>
      <c r="B400" s="1" t="s">
        <v>727</v>
      </c>
      <c r="C400" s="1" t="s">
        <v>752</v>
      </c>
      <c r="D400" s="1" t="str">
        <f ca="1">IFERROR(__xludf.DUMMYFUNCTION("GoogleTranslate(B400,""ja"",""en"")"),"dog")</f>
        <v>dog</v>
      </c>
    </row>
    <row r="401" spans="1:4" ht="15.75" customHeight="1" x14ac:dyDescent="0.25">
      <c r="A401" s="1" t="s">
        <v>753</v>
      </c>
      <c r="B401" s="1" t="s">
        <v>4341</v>
      </c>
      <c r="C401" s="1" t="s">
        <v>754</v>
      </c>
      <c r="D401" s="1" t="str">
        <f ca="1">IFERROR(__xludf.DUMMYFUNCTION("GoogleTranslate(B401,""ja"",""en"")"),"Blood, sweat and tears")</f>
        <v>Blood, sweat and tears</v>
      </c>
    </row>
    <row r="402" spans="1:4" ht="15.75" customHeight="1" x14ac:dyDescent="0.25">
      <c r="A402" s="1" t="s">
        <v>755</v>
      </c>
      <c r="B402" s="1" t="s">
        <v>731</v>
      </c>
      <c r="C402" s="1" t="s">
        <v>756</v>
      </c>
      <c r="D402" s="1" t="str">
        <f ca="1">IFERROR(__xludf.DUMMYFUNCTION("GoogleTranslate(B402,""ja"",""en"")"),"Bow N anger")</f>
        <v>Bow N anger</v>
      </c>
    </row>
    <row r="403" spans="1:4" ht="15.75" customHeight="1" x14ac:dyDescent="0.25">
      <c r="A403" s="1" t="s">
        <v>757</v>
      </c>
      <c r="B403" s="1" t="s">
        <v>4342</v>
      </c>
      <c r="C403" s="1" t="s">
        <v>758</v>
      </c>
      <c r="D403" s="1" t="str">
        <f ca="1">IFERROR(__xludf.DUMMYFUNCTION("GoogleTranslate(B403,""ja"",""en"")"),"One-shot reversal")</f>
        <v>One-shot reversal</v>
      </c>
    </row>
    <row r="404" spans="1:4" ht="15.75" customHeight="1" x14ac:dyDescent="0.25">
      <c r="A404" s="1" t="s">
        <v>759</v>
      </c>
      <c r="B404" s="1" t="s">
        <v>737</v>
      </c>
      <c r="C404" s="1" t="s">
        <v>760</v>
      </c>
      <c r="D404" s="1" t="str">
        <f ca="1">IFERROR(__xludf.DUMMYFUNCTION("GoogleTranslate(B404,""ja"",""en"")"),"boar")</f>
        <v>boar</v>
      </c>
    </row>
    <row r="405" spans="1:4" ht="15.75" customHeight="1" x14ac:dyDescent="0.25">
      <c r="A405" s="1" t="s">
        <v>761</v>
      </c>
      <c r="B405" s="1" t="s">
        <v>4343</v>
      </c>
      <c r="C405" s="1" t="s">
        <v>762</v>
      </c>
      <c r="D405" s="1" t="str">
        <f ca="1">IFERROR(__xludf.DUMMYFUNCTION("GoogleTranslate(B405,""ja"",""en"")"),"Veteran")</f>
        <v>Veteran</v>
      </c>
    </row>
    <row r="406" spans="1:4" ht="15.75" customHeight="1" x14ac:dyDescent="0.25">
      <c r="A406" s="1" t="s">
        <v>763</v>
      </c>
      <c r="B406" s="1" t="s">
        <v>741</v>
      </c>
      <c r="C406" s="1" t="s">
        <v>764</v>
      </c>
      <c r="D406" s="1" t="str">
        <f ca="1">IFERROR(__xludf.DUMMYFUNCTION("GoogleTranslate(B406,""ja"",""en"")"),"Son of a gun")</f>
        <v>Son of a gun</v>
      </c>
    </row>
    <row r="407" spans="1:4" ht="15.75" customHeight="1" x14ac:dyDescent="0.25">
      <c r="A407" s="1" t="s">
        <v>765</v>
      </c>
      <c r="B407" s="1" t="s">
        <v>743</v>
      </c>
      <c r="C407" s="1" t="s">
        <v>766</v>
      </c>
      <c r="D407" s="1" t="str">
        <f ca="1">IFERROR(__xludf.DUMMYFUNCTION("GoogleTranslate(B407,""ja"",""en"")"),"Immaculately")</f>
        <v>Immaculately</v>
      </c>
    </row>
    <row r="408" spans="1:4" ht="15.75" customHeight="1" x14ac:dyDescent="0.25">
      <c r="A408" s="1" t="s">
        <v>767</v>
      </c>
      <c r="B408" s="1" t="s">
        <v>4344</v>
      </c>
      <c r="C408" s="1" t="s">
        <v>768</v>
      </c>
      <c r="D408" s="1" t="str">
        <f ca="1">IFERROR(__xludf.DUMMYFUNCTION("GoogleTranslate(B408,""ja"",""en"")"),"Newcomer")</f>
        <v>Newcomer</v>
      </c>
    </row>
    <row r="409" spans="1:4" ht="15.75" customHeight="1" x14ac:dyDescent="0.25">
      <c r="A409" s="1" t="s">
        <v>769</v>
      </c>
      <c r="B409" s="1" t="s">
        <v>4345</v>
      </c>
      <c r="C409" s="1" t="s">
        <v>770</v>
      </c>
      <c r="D409" s="1" t="str">
        <f ca="1">IFERROR(__xludf.DUMMYFUNCTION("GoogleTranslate(B409,""ja"",""en"")"),"Man")</f>
        <v>Man</v>
      </c>
    </row>
    <row r="410" spans="1:4" ht="15.75" customHeight="1" x14ac:dyDescent="0.25">
      <c r="A410" s="1" t="s">
        <v>771</v>
      </c>
      <c r="B410" s="1" t="s">
        <v>4346</v>
      </c>
      <c r="C410" s="1" t="s">
        <v>772</v>
      </c>
      <c r="D410" s="1" t="str">
        <f ca="1">IFERROR(__xludf.DUMMYFUNCTION("GoogleTranslate(B410,""ja"",""en"")"),"woman")</f>
        <v>woman</v>
      </c>
    </row>
    <row r="411" spans="1:4" ht="15.75" customHeight="1" x14ac:dyDescent="0.25">
      <c r="A411" s="1" t="s">
        <v>773</v>
      </c>
      <c r="B411" s="1" t="s">
        <v>4347</v>
      </c>
      <c r="C411" s="1" t="s">
        <v>774</v>
      </c>
      <c r="D411" s="1" t="str">
        <f ca="1">IFERROR(__xludf.DUMMYFUNCTION("GoogleTranslate(B411,""ja"",""en"")"),"Cat")</f>
        <v>Cat</v>
      </c>
    </row>
    <row r="412" spans="1:4" ht="15.75" customHeight="1" x14ac:dyDescent="0.25">
      <c r="A412" s="1" t="s">
        <v>775</v>
      </c>
      <c r="B412" s="1" t="s">
        <v>4348</v>
      </c>
      <c r="C412" s="1" t="s">
        <v>776</v>
      </c>
      <c r="D412" s="1" t="str">
        <f ca="1">IFERROR(__xludf.DUMMYFUNCTION("GoogleTranslate(B412,""ja"",""en"")"),"Youngster")</f>
        <v>Youngster</v>
      </c>
    </row>
    <row r="413" spans="1:4" ht="15.75" customHeight="1" x14ac:dyDescent="0.25">
      <c r="A413" s="1" t="s">
        <v>777</v>
      </c>
      <c r="B413" s="1" t="s">
        <v>4349</v>
      </c>
      <c r="C413" s="1" t="s">
        <v>778</v>
      </c>
      <c r="D413" s="1" t="str">
        <f ca="1">IFERROR(__xludf.DUMMYFUNCTION("GoogleTranslate(B413,""ja"",""en"")"),"Country girl")</f>
        <v>Country girl</v>
      </c>
    </row>
    <row r="414" spans="1:4" ht="15.75" customHeight="1" x14ac:dyDescent="0.25">
      <c r="A414" s="1" t="s">
        <v>779</v>
      </c>
      <c r="B414" s="1" t="s">
        <v>4350</v>
      </c>
      <c r="C414" s="1" t="s">
        <v>780</v>
      </c>
      <c r="D414" s="1" t="str">
        <f ca="1">IFERROR(__xludf.DUMMYFUNCTION("GoogleTranslate(B414,""ja"",""en"")"),"raccoon dog")</f>
        <v>raccoon dog</v>
      </c>
    </row>
    <row r="415" spans="1:4" ht="15.75" customHeight="1" x14ac:dyDescent="0.25">
      <c r="A415" s="1" t="s">
        <v>781</v>
      </c>
      <c r="B415" s="1" t="s">
        <v>4351</v>
      </c>
      <c r="C415" s="1" t="s">
        <v>782</v>
      </c>
      <c r="D415" s="1" t="str">
        <f ca="1">IFERROR(__xludf.DUMMYFUNCTION("GoogleTranslate(B415,""ja"",""en"")"),"Common Practice")</f>
        <v>Common Practice</v>
      </c>
    </row>
    <row r="416" spans="1:4" ht="15.75" customHeight="1" x14ac:dyDescent="0.25">
      <c r="A416" s="1" t="s">
        <v>783</v>
      </c>
      <c r="B416" s="1" t="s">
        <v>4352</v>
      </c>
      <c r="C416" s="1" t="s">
        <v>784</v>
      </c>
      <c r="D416" s="1" t="str">
        <f ca="1">IFERROR(__xludf.DUMMYFUNCTION("GoogleTranslate(B416,""ja"",""en"")"),"Showgirl")</f>
        <v>Showgirl</v>
      </c>
    </row>
    <row r="417" spans="1:4" ht="15.75" customHeight="1" x14ac:dyDescent="0.25">
      <c r="A417" s="1" t="s">
        <v>785</v>
      </c>
      <c r="B417" s="1" t="s">
        <v>4353</v>
      </c>
      <c r="C417" s="1" t="s">
        <v>786</v>
      </c>
      <c r="D417" s="1" t="str">
        <f ca="1">IFERROR(__xludf.DUMMYFUNCTION("GoogleTranslate(B417,""ja"",""en"")"),"fox")</f>
        <v>fox</v>
      </c>
    </row>
    <row r="418" spans="1:4" ht="15.75" customHeight="1" x14ac:dyDescent="0.25">
      <c r="A418" s="1" t="s">
        <v>787</v>
      </c>
      <c r="B418" s="1" t="s">
        <v>4354</v>
      </c>
      <c r="C418" s="1" t="s">
        <v>788</v>
      </c>
      <c r="D418" s="1" t="str">
        <f ca="1">IFERROR(__xludf.DUMMYFUNCTION("GoogleTranslate(B418,""ja"",""en"")"),"Merchant")</f>
        <v>Merchant</v>
      </c>
    </row>
    <row r="419" spans="1:4" ht="15.75" customHeight="1" x14ac:dyDescent="0.25">
      <c r="A419" s="1" t="s">
        <v>789</v>
      </c>
      <c r="B419" s="1" t="s">
        <v>4355</v>
      </c>
      <c r="C419" s="1" t="s">
        <v>790</v>
      </c>
      <c r="D419" s="1" t="str">
        <f ca="1">IFERROR(__xludf.DUMMYFUNCTION("GoogleTranslate(B419,""ja"",""en"")"),"merchant")</f>
        <v>merchant</v>
      </c>
    </row>
    <row r="420" spans="1:4" ht="15.75" customHeight="1" x14ac:dyDescent="0.25">
      <c r="A420" s="1" t="s">
        <v>791</v>
      </c>
      <c r="B420" s="1" t="s">
        <v>4356</v>
      </c>
      <c r="C420" s="1" t="s">
        <v>792</v>
      </c>
      <c r="D420" s="1" t="str">
        <f ca="1">IFERROR(__xludf.DUMMYFUNCTION("GoogleTranslate(B420,""ja"",""en"")"),"crow")</f>
        <v>crow</v>
      </c>
    </row>
    <row r="421" spans="1:4" ht="15.75" customHeight="1" x14ac:dyDescent="0.25">
      <c r="A421" s="1" t="s">
        <v>793</v>
      </c>
      <c r="B421" s="1" t="s">
        <v>4357</v>
      </c>
      <c r="C421" s="1" t="s">
        <v>794</v>
      </c>
      <c r="D421" s="1" t="str">
        <f ca="1">IFERROR(__xludf.DUMMYFUNCTION("GoogleTranslate(B421,""ja"",""en"")"),"Craftsman")</f>
        <v>Craftsman</v>
      </c>
    </row>
    <row r="422" spans="1:4" ht="15.75" customHeight="1" x14ac:dyDescent="0.25">
      <c r="A422" s="1" t="s">
        <v>795</v>
      </c>
      <c r="B422" s="1" t="s">
        <v>4358</v>
      </c>
      <c r="C422" s="1" t="s">
        <v>796</v>
      </c>
      <c r="D422" s="1" t="str">
        <f ca="1">IFERROR(__xludf.DUMMYFUNCTION("GoogleTranslate(B422,""ja"",""en"")"),"Buddhist priest")</f>
        <v>Buddhist priest</v>
      </c>
    </row>
    <row r="423" spans="1:4" ht="15.75" customHeight="1" x14ac:dyDescent="0.25">
      <c r="A423" s="1" t="s">
        <v>797</v>
      </c>
      <c r="B423" s="1" t="s">
        <v>767</v>
      </c>
      <c r="C423" s="1" t="s">
        <v>798</v>
      </c>
      <c r="D423" s="1" t="str">
        <f ca="1">IFERROR(__xludf.DUMMYFUNCTION("GoogleTranslate(B423,""ja"",""en"")"),"wolf")</f>
        <v>wolf</v>
      </c>
    </row>
    <row r="424" spans="1:4" ht="15.75" customHeight="1" x14ac:dyDescent="0.25">
      <c r="A424" s="1" t="s">
        <v>799</v>
      </c>
      <c r="B424" s="1" t="s">
        <v>769</v>
      </c>
      <c r="C424" s="1" t="s">
        <v>800</v>
      </c>
      <c r="D424" s="1" t="str">
        <f ca="1">IFERROR(__xludf.DUMMYFUNCTION("GoogleTranslate(B424,""ja"",""en"")"),"Ronin")</f>
        <v>Ronin</v>
      </c>
    </row>
    <row r="425" spans="1:4" ht="15.75" customHeight="1" x14ac:dyDescent="0.25">
      <c r="A425" s="1" t="s">
        <v>801</v>
      </c>
      <c r="B425" s="1" t="s">
        <v>771</v>
      </c>
      <c r="C425" s="1" t="s">
        <v>802</v>
      </c>
      <c r="D425" s="1" t="str">
        <f ca="1">IFERROR(__xludf.DUMMYFUNCTION("GoogleTranslate(B425,""ja"",""en"")"),"Servant")</f>
        <v>Servant</v>
      </c>
    </row>
    <row r="426" spans="1:4" ht="15.75" customHeight="1" x14ac:dyDescent="0.25">
      <c r="A426" s="1" t="s">
        <v>803</v>
      </c>
      <c r="B426" s="1" t="s">
        <v>773</v>
      </c>
      <c r="C426" s="1" t="s">
        <v>804</v>
      </c>
      <c r="D426" s="1" t="str">
        <f ca="1">IFERROR(__xludf.DUMMYFUNCTION("GoogleTranslate(B426,""ja"",""en"")"),"hawk")</f>
        <v>hawk</v>
      </c>
    </row>
    <row r="427" spans="1:4" ht="15.75" customHeight="1" x14ac:dyDescent="0.25">
      <c r="A427" s="1" t="s">
        <v>805</v>
      </c>
      <c r="B427" s="1" t="s">
        <v>775</v>
      </c>
      <c r="C427" s="1" t="s">
        <v>806</v>
      </c>
      <c r="D427" s="1" t="str">
        <f ca="1">IFERROR(__xludf.DUMMYFUNCTION("GoogleTranslate(B427,""ja"",""en"")"),"Patriot")</f>
        <v>Patriot</v>
      </c>
    </row>
    <row r="428" spans="1:4" ht="15.75" customHeight="1" x14ac:dyDescent="0.25">
      <c r="A428" s="1" t="s">
        <v>807</v>
      </c>
      <c r="B428" s="1" t="s">
        <v>777</v>
      </c>
      <c r="C428" s="1" t="s">
        <v>808</v>
      </c>
      <c r="D428" s="1" t="str">
        <f ca="1">IFERROR(__xludf.DUMMYFUNCTION("GoogleTranslate(B428,""ja"",""en"")"),"samurai")</f>
        <v>samurai</v>
      </c>
    </row>
    <row r="429" spans="1:4" ht="15.75" customHeight="1" x14ac:dyDescent="0.25">
      <c r="A429" s="1" t="s">
        <v>809</v>
      </c>
      <c r="B429" s="1" t="s">
        <v>779</v>
      </c>
      <c r="C429" s="1" t="s">
        <v>810</v>
      </c>
      <c r="D429" s="1" t="str">
        <f ca="1">IFERROR(__xludf.DUMMYFUNCTION("GoogleTranslate(B429,""ja"",""en"")"),"Beauty")</f>
        <v>Beauty</v>
      </c>
    </row>
    <row r="430" spans="1:4" ht="15.75" customHeight="1" x14ac:dyDescent="0.25">
      <c r="A430" s="1" t="s">
        <v>811</v>
      </c>
      <c r="B430" s="1" t="s">
        <v>781</v>
      </c>
      <c r="C430" s="1" t="s">
        <v>812</v>
      </c>
      <c r="D430" s="1" t="str">
        <f ca="1">IFERROR(__xludf.DUMMYFUNCTION("GoogleTranslate(B430,""ja"",""en"")"),"as")</f>
        <v>as</v>
      </c>
    </row>
    <row r="431" spans="1:4" ht="15.75" customHeight="1" x14ac:dyDescent="0.25">
      <c r="A431" s="1" t="s">
        <v>813</v>
      </c>
      <c r="B431" s="1" t="s">
        <v>4359</v>
      </c>
      <c r="C431" s="1" t="s">
        <v>814</v>
      </c>
      <c r="D431" s="1" t="str">
        <f ca="1">IFERROR(__xludf.DUMMYFUNCTION("GoogleTranslate(B431,""ja"",""en"")"),"Maiko")</f>
        <v>Maiko</v>
      </c>
    </row>
    <row r="432" spans="1:4" ht="15.75" customHeight="1" x14ac:dyDescent="0.25">
      <c r="A432" s="1" t="s">
        <v>815</v>
      </c>
      <c r="B432" s="1" t="s">
        <v>783</v>
      </c>
      <c r="C432" s="1" t="s">
        <v>816</v>
      </c>
      <c r="D432" s="1" t="str">
        <f ca="1">IFERROR(__xludf.DUMMYFUNCTION("GoogleTranslate(B432,""ja"",""en"")"),"Kappa")</f>
        <v>Kappa</v>
      </c>
    </row>
    <row r="433" spans="1:4" ht="15.75" customHeight="1" x14ac:dyDescent="0.25">
      <c r="A433" s="1" t="s">
        <v>817</v>
      </c>
      <c r="B433" s="1" t="s">
        <v>785</v>
      </c>
      <c r="C433" s="1" t="s">
        <v>818</v>
      </c>
      <c r="D433" s="1" t="str">
        <f ca="1">IFERROR(__xludf.DUMMYFUNCTION("GoogleTranslate(B433,""ja"",""en"")"),"geisha")</f>
        <v>geisha</v>
      </c>
    </row>
    <row r="434" spans="1:4" ht="15.75" customHeight="1" x14ac:dyDescent="0.25">
      <c r="A434" s="1" t="s">
        <v>819</v>
      </c>
      <c r="B434" s="1" t="s">
        <v>787</v>
      </c>
      <c r="C434" s="1" t="s">
        <v>820</v>
      </c>
      <c r="D434" s="1" t="str">
        <f ca="1">IFERROR(__xludf.DUMMYFUNCTION("GoogleTranslate(B434,""ja"",""en"")"),"Geisha")</f>
        <v>Geisha</v>
      </c>
    </row>
    <row r="435" spans="1:4" ht="15.75" customHeight="1" x14ac:dyDescent="0.25">
      <c r="A435" s="1" t="s">
        <v>821</v>
      </c>
      <c r="B435" s="1" t="s">
        <v>789</v>
      </c>
      <c r="C435" s="1" t="s">
        <v>822</v>
      </c>
      <c r="D435" s="1" t="str">
        <f ca="1">IFERROR(__xludf.DUMMYFUNCTION("GoogleTranslate(B435,""ja"",""en"")"),"Ōnyūdō")</f>
        <v>Ōnyūdō</v>
      </c>
    </row>
    <row r="436" spans="1:4" ht="15.75" customHeight="1" x14ac:dyDescent="0.25">
      <c r="A436" s="1" t="s">
        <v>823</v>
      </c>
      <c r="B436" s="1" t="s">
        <v>791</v>
      </c>
      <c r="C436" s="1" t="s">
        <v>824</v>
      </c>
      <c r="D436" s="1" t="str">
        <f ca="1">IFERROR(__xludf.DUMMYFUNCTION("GoogleTranslate(B436,""ja"",""en"")"),"princess")</f>
        <v>princess</v>
      </c>
    </row>
    <row r="437" spans="1:4" ht="15.75" customHeight="1" x14ac:dyDescent="0.25">
      <c r="A437" s="1" t="s">
        <v>825</v>
      </c>
      <c r="B437" s="1" t="s">
        <v>793</v>
      </c>
      <c r="C437" s="1" t="s">
        <v>826</v>
      </c>
      <c r="D437" s="1" t="str">
        <f ca="1">IFERROR(__xludf.DUMMYFUNCTION("GoogleTranslate(B437,""ja"",""en"")"),"demon")</f>
        <v>demon</v>
      </c>
    </row>
    <row r="438" spans="1:4" ht="15.75" customHeight="1" x14ac:dyDescent="0.25">
      <c r="A438" s="1" t="s">
        <v>827</v>
      </c>
      <c r="B438" s="1" t="s">
        <v>795</v>
      </c>
      <c r="C438" s="1" t="s">
        <v>828</v>
      </c>
      <c r="D438" s="1" t="str">
        <f ca="1">IFERROR(__xludf.DUMMYFUNCTION("GoogleTranslate(B438,""ja"",""en"")"),"Ninja")</f>
        <v>Ninja</v>
      </c>
    </row>
    <row r="439" spans="1:4" ht="15.75" customHeight="1" x14ac:dyDescent="0.25">
      <c r="A439" s="1" t="s">
        <v>829</v>
      </c>
      <c r="B439" s="1" t="s">
        <v>797</v>
      </c>
      <c r="C439" s="1" t="s">
        <v>830</v>
      </c>
      <c r="D439" s="1" t="str">
        <f ca="1">IFERROR(__xludf.DUMMYFUNCTION("GoogleTranslate(B439,""ja"",""en"")"),"samurai")</f>
        <v>samurai</v>
      </c>
    </row>
    <row r="440" spans="1:4" ht="15.75" customHeight="1" x14ac:dyDescent="0.25">
      <c r="A440" s="1" t="s">
        <v>831</v>
      </c>
      <c r="B440" s="1" t="s">
        <v>799</v>
      </c>
      <c r="C440" s="1" t="s">
        <v>832</v>
      </c>
      <c r="D440" s="1" t="str">
        <f ca="1">IFERROR(__xludf.DUMMYFUNCTION("GoogleTranslate(B440,""ja"",""en"")"),"Feudal lord")</f>
        <v>Feudal lord</v>
      </c>
    </row>
    <row r="441" spans="1:4" ht="15.75" customHeight="1" x14ac:dyDescent="0.25">
      <c r="A441" s="1" t="s">
        <v>833</v>
      </c>
      <c r="B441" s="1" t="s">
        <v>801</v>
      </c>
      <c r="C441" s="1" t="s">
        <v>834</v>
      </c>
      <c r="D441" s="1" t="str">
        <f ca="1">IFERROR(__xludf.DUMMYFUNCTION("GoogleTranslate(B441,""ja"",""en"")"),"Shogun")</f>
        <v>Shogun</v>
      </c>
    </row>
    <row r="442" spans="1:4" ht="15.75" customHeight="1" x14ac:dyDescent="0.25">
      <c r="A442" s="1" t="s">
        <v>835</v>
      </c>
      <c r="B442" s="1" t="s">
        <v>4360</v>
      </c>
      <c r="C442" s="1" t="s">
        <v>836</v>
      </c>
      <c r="D442" s="1" t="str">
        <f ca="1">IFERROR(__xludf.DUMMYFUNCTION("GoogleTranslate(B442,""ja"",""en"")"),"Ten Grade")</f>
        <v>Ten Grade</v>
      </c>
    </row>
    <row r="443" spans="1:4" ht="15.75" customHeight="1" x14ac:dyDescent="0.25">
      <c r="A443" s="1" t="s">
        <v>837</v>
      </c>
      <c r="B443" s="1" t="s">
        <v>4361</v>
      </c>
      <c r="C443" s="1" t="s">
        <v>838</v>
      </c>
      <c r="D443" s="1" t="str">
        <f ca="1">IFERROR(__xludf.DUMMYFUNCTION("GoogleTranslate(B443,""ja"",""en"")"),"Nine Grade")</f>
        <v>Nine Grade</v>
      </c>
    </row>
    <row r="444" spans="1:4" ht="15.75" customHeight="1" x14ac:dyDescent="0.25">
      <c r="A444" s="1" t="s">
        <v>839</v>
      </c>
      <c r="B444" s="1" t="s">
        <v>4362</v>
      </c>
      <c r="C444" s="1" t="s">
        <v>840</v>
      </c>
      <c r="D444" s="1" t="str">
        <f ca="1">IFERROR(__xludf.DUMMYFUNCTION("GoogleTranslate(B444,""ja"",""en"")"),"Eight grade")</f>
        <v>Eight grade</v>
      </c>
    </row>
    <row r="445" spans="1:4" ht="15.75" customHeight="1" x14ac:dyDescent="0.25">
      <c r="A445" s="1" t="s">
        <v>841</v>
      </c>
      <c r="B445" s="1" t="s">
        <v>4363</v>
      </c>
      <c r="C445" s="1" t="s">
        <v>842</v>
      </c>
      <c r="D445" s="1" t="str">
        <f ca="1">IFERROR(__xludf.DUMMYFUNCTION("GoogleTranslate(B445,""ja"",""en"")"),"Seven grade")</f>
        <v>Seven grade</v>
      </c>
    </row>
    <row r="446" spans="1:4" ht="15.75" customHeight="1" x14ac:dyDescent="0.25">
      <c r="A446" s="1" t="s">
        <v>843</v>
      </c>
      <c r="B446" s="1" t="s">
        <v>4364</v>
      </c>
      <c r="C446" s="1" t="s">
        <v>844</v>
      </c>
      <c r="D446" s="1" t="str">
        <f ca="1">IFERROR(__xludf.DUMMYFUNCTION("GoogleTranslate(B446,""ja"",""en"")"),"Six Grade")</f>
        <v>Six Grade</v>
      </c>
    </row>
    <row r="447" spans="1:4" ht="15.75" customHeight="1" x14ac:dyDescent="0.25">
      <c r="A447" s="1" t="s">
        <v>845</v>
      </c>
      <c r="B447" s="1" t="s">
        <v>4365</v>
      </c>
      <c r="C447" s="1" t="s">
        <v>846</v>
      </c>
      <c r="D447" s="1" t="str">
        <f ca="1">IFERROR(__xludf.DUMMYFUNCTION("GoogleTranslate(B447,""ja"",""en"")"),"Five Grade")</f>
        <v>Five Grade</v>
      </c>
    </row>
    <row r="448" spans="1:4" ht="15.75" customHeight="1" x14ac:dyDescent="0.25">
      <c r="A448" s="1" t="s">
        <v>847</v>
      </c>
      <c r="B448" s="1" t="s">
        <v>4366</v>
      </c>
      <c r="C448" s="1" t="s">
        <v>848</v>
      </c>
      <c r="D448" s="1" t="str">
        <f ca="1">IFERROR(__xludf.DUMMYFUNCTION("GoogleTranslate(B448,""ja"",""en"")"),"Quaternary")</f>
        <v>Quaternary</v>
      </c>
    </row>
    <row r="449" spans="1:4" ht="15.75" customHeight="1" x14ac:dyDescent="0.25">
      <c r="A449" s="1" t="s">
        <v>849</v>
      </c>
      <c r="B449" s="1" t="s">
        <v>4367</v>
      </c>
      <c r="C449" s="1" t="s">
        <v>850</v>
      </c>
      <c r="D449" s="1" t="str">
        <f ca="1">IFERROR(__xludf.DUMMYFUNCTION("GoogleTranslate(B449,""ja"",""en"")"),"Tertiary")</f>
        <v>Tertiary</v>
      </c>
    </row>
    <row r="450" spans="1:4" ht="15.75" customHeight="1" x14ac:dyDescent="0.25">
      <c r="A450" s="1" t="s">
        <v>851</v>
      </c>
      <c r="B450" s="1" t="s">
        <v>4368</v>
      </c>
      <c r="C450" s="1" t="s">
        <v>852</v>
      </c>
      <c r="D450" s="1" t="str">
        <f ca="1">IFERROR(__xludf.DUMMYFUNCTION("GoogleTranslate(B450,""ja"",""en"")"),"Secondary")</f>
        <v>Secondary</v>
      </c>
    </row>
    <row r="451" spans="1:4" ht="15.75" customHeight="1" x14ac:dyDescent="0.25">
      <c r="A451" s="1" t="s">
        <v>853</v>
      </c>
      <c r="B451" s="1" t="s">
        <v>4369</v>
      </c>
      <c r="C451" s="1" t="s">
        <v>854</v>
      </c>
      <c r="D451" s="1" t="str">
        <f ca="1">IFERROR(__xludf.DUMMYFUNCTION("GoogleTranslate(B451,""ja"",""en"")"),"First class")</f>
        <v>First class</v>
      </c>
    </row>
    <row r="452" spans="1:4" ht="15.75" customHeight="1" x14ac:dyDescent="0.25">
      <c r="A452" s="1" t="s">
        <v>855</v>
      </c>
      <c r="B452" s="1" t="s">
        <v>4370</v>
      </c>
      <c r="C452" s="1" t="s">
        <v>856</v>
      </c>
      <c r="D452" s="1" t="str">
        <f ca="1">IFERROR(__xludf.DUMMYFUNCTION("GoogleTranslate(B452,""ja"",""en"")"),"The first stage")</f>
        <v>The first stage</v>
      </c>
    </row>
    <row r="453" spans="1:4" ht="15.75" customHeight="1" x14ac:dyDescent="0.25">
      <c r="A453" s="1" t="s">
        <v>857</v>
      </c>
      <c r="B453" s="1" t="s">
        <v>4371</v>
      </c>
      <c r="C453" s="1" t="s">
        <v>858</v>
      </c>
      <c r="D453" s="1" t="str">
        <f ca="1">IFERROR(__xludf.DUMMYFUNCTION("GoogleTranslate(B453,""ja"",""en"")"),"Two-stage")</f>
        <v>Two-stage</v>
      </c>
    </row>
    <row r="454" spans="1:4" ht="15.75" customHeight="1" x14ac:dyDescent="0.25">
      <c r="A454" s="1" t="s">
        <v>859</v>
      </c>
      <c r="B454" s="1" t="s">
        <v>4372</v>
      </c>
      <c r="C454" s="1" t="s">
        <v>860</v>
      </c>
      <c r="D454" s="1" t="str">
        <f ca="1">IFERROR(__xludf.DUMMYFUNCTION("GoogleTranslate(B454,""ja"",""en"")"),"Three-stage")</f>
        <v>Three-stage</v>
      </c>
    </row>
    <row r="455" spans="1:4" ht="15.75" customHeight="1" x14ac:dyDescent="0.25">
      <c r="A455" s="1" t="s">
        <v>861</v>
      </c>
      <c r="B455" s="1" t="s">
        <v>4373</v>
      </c>
      <c r="C455" s="1" t="s">
        <v>862</v>
      </c>
      <c r="D455" s="1" t="str">
        <f ca="1">IFERROR(__xludf.DUMMYFUNCTION("GoogleTranslate(B455,""ja"",""en"")"),"4-dan")</f>
        <v>4-dan</v>
      </c>
    </row>
    <row r="456" spans="1:4" ht="15.75" customHeight="1" x14ac:dyDescent="0.25">
      <c r="A456" s="1" t="s">
        <v>863</v>
      </c>
      <c r="B456" s="1" t="s">
        <v>4374</v>
      </c>
      <c r="C456" s="1" t="s">
        <v>864</v>
      </c>
      <c r="D456" s="1" t="str">
        <f ca="1">IFERROR(__xludf.DUMMYFUNCTION("GoogleTranslate(B456,""ja"",""en"")"),"Fifth rank")</f>
        <v>Fifth rank</v>
      </c>
    </row>
    <row r="457" spans="1:4" ht="15.75" customHeight="1" x14ac:dyDescent="0.25">
      <c r="A457" s="1" t="s">
        <v>865</v>
      </c>
      <c r="B457" s="1" t="s">
        <v>4375</v>
      </c>
      <c r="C457" s="1" t="s">
        <v>866</v>
      </c>
      <c r="D457" s="1" t="str">
        <f ca="1">IFERROR(__xludf.DUMMYFUNCTION("GoogleTranslate(B457,""ja"",""en"")"),"6th dan")</f>
        <v>6th dan</v>
      </c>
    </row>
    <row r="458" spans="1:4" ht="15.75" customHeight="1" x14ac:dyDescent="0.25">
      <c r="A458" s="1" t="s">
        <v>867</v>
      </c>
      <c r="B458" s="1" t="s">
        <v>835</v>
      </c>
      <c r="C458" s="1" t="s">
        <v>868</v>
      </c>
      <c r="D458" s="1" t="str">
        <f ca="1">IFERROR(__xludf.DUMMYFUNCTION("GoogleTranslate(B458,""ja"",""en"")"),"Seven-stage")</f>
        <v>Seven-stage</v>
      </c>
    </row>
    <row r="459" spans="1:4" ht="15.75" customHeight="1" x14ac:dyDescent="0.25">
      <c r="A459" s="1" t="s">
        <v>869</v>
      </c>
      <c r="B459" s="1" t="s">
        <v>837</v>
      </c>
      <c r="C459" s="1" t="s">
        <v>870</v>
      </c>
      <c r="D459" s="1" t="str">
        <f ca="1">IFERROR(__xludf.DUMMYFUNCTION("GoogleTranslate(B459,""ja"",""en"")"),"8th Dan")</f>
        <v>8th Dan</v>
      </c>
    </row>
    <row r="460" spans="1:4" ht="15.75" customHeight="1" x14ac:dyDescent="0.25">
      <c r="A460" s="1" t="s">
        <v>871</v>
      </c>
      <c r="B460" s="1" t="s">
        <v>839</v>
      </c>
      <c r="C460" s="1" t="s">
        <v>872</v>
      </c>
      <c r="D460" s="1" t="str">
        <f ca="1">IFERROR(__xludf.DUMMYFUNCTION("GoogleTranslate(B460,""ja"",""en"")"),"Kudan")</f>
        <v>Kudan</v>
      </c>
    </row>
    <row r="461" spans="1:4" ht="15.75" customHeight="1" x14ac:dyDescent="0.25">
      <c r="A461" s="1" t="s">
        <v>873</v>
      </c>
      <c r="B461" s="1" t="s">
        <v>841</v>
      </c>
      <c r="C461" s="1" t="s">
        <v>874</v>
      </c>
      <c r="D461" s="1" t="str">
        <f ca="1">IFERROR(__xludf.DUMMYFUNCTION("GoogleTranslate(B461,""ja"",""en"")"),"top Rank")</f>
        <v>top Rank</v>
      </c>
    </row>
    <row r="462" spans="1:4" ht="15.75" customHeight="1" x14ac:dyDescent="0.25">
      <c r="A462" s="1" t="s">
        <v>875</v>
      </c>
      <c r="B462" s="1" t="s">
        <v>4376</v>
      </c>
      <c r="C462" s="1" t="s">
        <v>876</v>
      </c>
      <c r="D462" s="1" t="str">
        <f ca="1">IFERROR(__xludf.DUMMYFUNCTION("GoogleTranslate(B462,""ja"",""en"")"),"Since it is now looking for the opponent, please wait for a while.")</f>
        <v>Since it is now looking for the opponent, please wait for a while.</v>
      </c>
    </row>
    <row r="463" spans="1:4" ht="15.75" customHeight="1" x14ac:dyDescent="0.25">
      <c r="A463" s="1" t="s">
        <v>877</v>
      </c>
      <c r="B463" s="1" t="s">
        <v>4377</v>
      </c>
      <c r="C463" s="1" t="s">
        <v>878</v>
      </c>
      <c r="D463" s="1" t="str">
        <f ca="1">IFERROR(__xludf.DUMMYFUNCTION("GoogleTranslate(B463,""ja"",""en"")"),"Find the opponent")</f>
        <v>Find the opponent</v>
      </c>
    </row>
    <row r="464" spans="1:4" ht="15.75" customHeight="1" x14ac:dyDescent="0.25">
      <c r="A464" s="1" t="s">
        <v>879</v>
      </c>
      <c r="B464" s="1" t="s">
        <v>4378</v>
      </c>
      <c r="C464" s="1" t="s">
        <v>880</v>
      </c>
      <c r="D464" s="1" t="str">
        <f ca="1">IFERROR(__xludf.DUMMYFUNCTION("GoogleTranslate(B464,""ja"",""en"")"),"Continue to wait in this state")</f>
        <v>Continue to wait in this state</v>
      </c>
    </row>
    <row r="465" spans="1:4" ht="15.75" customHeight="1" x14ac:dyDescent="0.25">
      <c r="A465" s="1" t="s">
        <v>881</v>
      </c>
      <c r="B465" s="1" t="s">
        <v>875</v>
      </c>
      <c r="C465" s="1" t="s">
        <v>882</v>
      </c>
      <c r="D465" s="1" t="str">
        <f ca="1">IFERROR(__xludf.DUMMYFUNCTION("GoogleTranslate(B465,""ja"",""en"")"),"Play in another game")</f>
        <v>Play in another game</v>
      </c>
    </row>
    <row r="466" spans="1:4" ht="15.75" customHeight="1" x14ac:dyDescent="0.25">
      <c r="A466" s="1" t="s">
        <v>883</v>
      </c>
      <c r="B466" s="1" t="s">
        <v>4379</v>
      </c>
      <c r="C466" s="1" t="s">
        <v>884</v>
      </c>
      <c r="D466" s="1" t="str">
        <f ca="1">IFERROR(__xludf.DUMMYFUNCTION("GoogleTranslate(B466,""ja"",""en"")"),"Choose the next remote station")</f>
        <v>Choose the next remote station</v>
      </c>
    </row>
    <row r="467" spans="1:4" ht="15.75" customHeight="1" x14ac:dyDescent="0.25">
      <c r="A467" s="1" t="s">
        <v>885</v>
      </c>
      <c r="B467" s="1" t="s">
        <v>4380</v>
      </c>
      <c r="C467" s="1" t="s">
        <v>886</v>
      </c>
      <c r="D467" s="1" t="str">
        <f ca="1">IFERROR(__xludf.DUMMYFUNCTION("GoogleTranslate(B467,""ja"",""en"")"),"Choose the next opponent")</f>
        <v>Choose the next opponent</v>
      </c>
    </row>
    <row r="468" spans="1:4" ht="15.75" customHeight="1" x14ac:dyDescent="0.25">
      <c r="A468" s="1" t="s">
        <v>887</v>
      </c>
      <c r="B468" s="1" t="s">
        <v>4381</v>
      </c>
      <c r="C468" s="1" t="s">
        <v>888</v>
      </c>
      <c r="D468" s="1" t="str">
        <f ca="1">IFERROR(__xludf.DUMMYFUNCTION("GoogleTranslate(B468,""ja"",""en"")"),"Communication error has occurred. To return to the [n] the main menu screen.")</f>
        <v>Communication error has occurred. To return to the [n] the main menu screen.</v>
      </c>
    </row>
    <row r="469" spans="1:4" ht="15.75" customHeight="1" x14ac:dyDescent="0.25">
      <c r="A469" s="1" t="s">
        <v>889</v>
      </c>
      <c r="B469" s="1" t="s">
        <v>4382</v>
      </c>
      <c r="C469" s="1" t="s">
        <v>890</v>
      </c>
      <c r="D469" s="1" t="str">
        <f ca="1">IFERROR(__xludf.DUMMYFUNCTION("GoogleTranslate(B469,""ja"",""en"")"),"Nickname has not been entered. To return to the [n] the main menu screen.")</f>
        <v>Nickname has not been entered. To return to the [n] the main menu screen.</v>
      </c>
    </row>
    <row r="470" spans="1:4" ht="15.75" customHeight="1" x14ac:dyDescent="0.25">
      <c r="A470" s="1" t="s">
        <v>891</v>
      </c>
      <c r="B470" s="1" t="s">
        <v>4383</v>
      </c>
      <c r="C470" s="1" t="s">
        <v>892</v>
      </c>
      <c r="D470" s="1" t="str">
        <f ca="1">IFERROR(__xludf.DUMMYFUNCTION("GoogleTranslate(B470,""ja"",""en"")"),"Nickname is incorrect. To return to the [n] the main menu screen.")</f>
        <v>Nickname is incorrect. To return to the [n] the main menu screen.</v>
      </c>
    </row>
    <row r="471" spans="1:4" ht="15.75" customHeight="1" x14ac:dyDescent="0.25">
      <c r="A471" s="1" t="s">
        <v>893</v>
      </c>
      <c r="B471" s="1" t="s">
        <v>4384</v>
      </c>
      <c r="C471" s="1" t="s">
        <v>894</v>
      </c>
      <c r="D471" s="1" t="str">
        <f ca="1">IFERROR(__xludf.DUMMYFUNCTION("GoogleTranslate(B471,""ja"",""en"")"),"It has been disconnected from the host. [N] Please wait for a while.")</f>
        <v>It has been disconnected from the host. [N] Please wait for a while.</v>
      </c>
    </row>
    <row r="472" spans="1:4" ht="15.75" customHeight="1" x14ac:dyDescent="0.25">
      <c r="A472" s="1" t="s">
        <v>895</v>
      </c>
      <c r="B472" s="1" t="s">
        <v>4385</v>
      </c>
      <c r="C472" s="1" t="s">
        <v>896</v>
      </c>
      <c r="D472" s="1" t="str">
        <f ca="1">IFERROR(__xludf.DUMMYFUNCTION("GoogleTranslate(B472,""ja"",""en"")"),"Ranking is waiting to receive. [N] Please wait for a while.")</f>
        <v>Ranking is waiting to receive. [N] Please wait for a while.</v>
      </c>
    </row>
    <row r="473" spans="1:4" ht="15.75" customHeight="1" x14ac:dyDescent="0.25">
      <c r="A473" s="1" t="s">
        <v>897</v>
      </c>
      <c r="B473" s="1" t="s">
        <v>893</v>
      </c>
      <c r="C473" s="1" t="s">
        <v>898</v>
      </c>
      <c r="D473" s="1" t="str">
        <f ca="1">IFERROR(__xludf.DUMMYFUNCTION("GoogleTranslate(B473,""ja"",""en"")"),"It failed in the ranking of the reception. To return to the [n] betting point selection screen.")</f>
        <v>It failed in the ranking of the reception. To return to the [n] betting point selection screen.</v>
      </c>
    </row>
    <row r="474" spans="1:4" ht="15.75" customHeight="1" x14ac:dyDescent="0.25">
      <c r="A474" s="1" t="s">
        <v>899</v>
      </c>
      <c r="B474" s="1" t="s">
        <v>4386</v>
      </c>
      <c r="C474" s="1" t="s">
        <v>381</v>
      </c>
      <c r="D474" s="1" t="str">
        <f ca="1">IFERROR(__xludf.DUMMYFUNCTION("GoogleTranslate(B474,""ja"",""en"")"),"That")</f>
        <v>That</v>
      </c>
    </row>
    <row r="475" spans="1:4" ht="15.75" customHeight="1" x14ac:dyDescent="0.25">
      <c r="A475" s="1" t="s">
        <v>900</v>
      </c>
      <c r="B475" s="1" t="s">
        <v>4387</v>
      </c>
      <c r="C475" s="1" t="s">
        <v>901</v>
      </c>
      <c r="D475" s="1" t="str">
        <f ca="1">IFERROR(__xludf.DUMMYFUNCTION("GoogleTranslate(B475,""ja"",""en"")"),"nickname")</f>
        <v>nickname</v>
      </c>
    </row>
    <row r="476" spans="1:4" ht="15.75" customHeight="1" x14ac:dyDescent="0.25">
      <c r="A476" s="1" t="s">
        <v>902</v>
      </c>
      <c r="B476" s="1" t="s">
        <v>4388</v>
      </c>
      <c r="C476" s="1" t="s">
        <v>903</v>
      </c>
      <c r="D476" s="1" t="str">
        <f ca="1">IFERROR(__xludf.DUMMYFUNCTION("GoogleTranslate(B476,""ja"",""en"")"),"Because it was not signed in to return to the [n] the main menu screen.")</f>
        <v>Because it was not signed in to return to the [n] the main menu screen.</v>
      </c>
    </row>
    <row r="477" spans="1:4" ht="15.75" customHeight="1" x14ac:dyDescent="0.25">
      <c r="A477" s="1" t="s">
        <v>904</v>
      </c>
      <c r="B477" s="1" t="s">
        <v>4389</v>
      </c>
      <c r="C477" s="1" t="s">
        <v>905</v>
      </c>
      <c r="D477" s="1" t="str">
        <f ca="1">IFERROR(__xludf.DUMMYFUNCTION("GoogleTranslate(B477,""ja"",""en"")"),"Because it was not signed up to return to the [n] the main menu screen.")</f>
        <v>Because it was not signed up to return to the [n] the main menu screen.</v>
      </c>
    </row>
    <row r="478" spans="1:4" ht="15.75" customHeight="1" x14ac:dyDescent="0.25">
      <c r="A478" s="1" t="s">
        <v>906</v>
      </c>
      <c r="B478" s="1" t="s">
        <v>4390</v>
      </c>
      <c r="C478" s="1" t="s">
        <v>907</v>
      </c>
      <c r="D478" s="1" t="str">
        <f ca="1">IFERROR(__xludf.DUMMYFUNCTION("GoogleTranslate(B478,""ja"",""en"")"),"You have been signed out from the ""PSN"". You can not play in the [n] Toba mini game. To return to the [n] the main menu screen.")</f>
        <v>You have been signed out from the "PSN". You can not play in the [n] Toba mini game. To return to the [n] the main menu screen.</v>
      </c>
    </row>
    <row r="479" spans="1:4" ht="15.75" customHeight="1" x14ac:dyDescent="0.25">
      <c r="A479" s="1" t="s">
        <v>908</v>
      </c>
      <c r="B479" s="1" t="s">
        <v>4391</v>
      </c>
      <c r="C479" s="1" t="s">
        <v>909</v>
      </c>
      <c r="D479" s="1" t="str">
        <f ca="1">IFERROR(__xludf.DUMMYFUNCTION("GoogleTranslate(B479,""ja"",""en"")"),"It is a communication waiting with other users. [N] Please wait for a while.")</f>
        <v>It is a communication waiting with other users. [N] Please wait for a while.</v>
      </c>
    </row>
    <row r="480" spans="1:4" ht="15.75" customHeight="1" x14ac:dyDescent="0.25">
      <c r="A480" s="1" t="s">
        <v>910</v>
      </c>
      <c r="B480" s="1" t="s">
        <v>4392</v>
      </c>
      <c r="C480" s="1" t="s">
        <v>911</v>
      </c>
      <c r="D480" s="1" t="str">
        <f ca="1">IFERROR(__xludf.DUMMYFUNCTION("GoogleTranslate(B480,""ja"",""en"")"),"Failed to room of creation. [N] Check the communication situation.")</f>
        <v>Failed to room of creation. [N] Check the communication situation.</v>
      </c>
    </row>
    <row r="481" spans="1:4" ht="15.75" customHeight="1" x14ac:dyDescent="0.25">
      <c r="A481" s="1" t="s">
        <v>912</v>
      </c>
      <c r="B481" s="1" t="s">
        <v>4393</v>
      </c>
      <c r="C481" s="1" t="s">
        <v>913</v>
      </c>
      <c r="D481" s="1" t="str">
        <f ca="1">IFERROR(__xludf.DUMMYFUNCTION("GoogleTranslate(B481,""ja"",""en"")"),"It failed in the ranking of the reception. Close the [n] ranking screen.")</f>
        <v>It failed in the ranking of the reception. Close the [n] ranking screen.</v>
      </c>
    </row>
    <row r="482" spans="1:4" ht="15.75" customHeight="1" x14ac:dyDescent="0.25">
      <c r="A482" s="1" t="s">
        <v>914</v>
      </c>
      <c r="B482" s="1" t="s">
        <v>910</v>
      </c>
      <c r="C482" s="1" t="s">
        <v>915</v>
      </c>
      <c r="D482" s="1" t="str">
        <f ca="1">IFERROR(__xludf.DUMMYFUNCTION("GoogleTranslate(B482,""ja"",""en"")"),"Waiting for his turn of the other player.")</f>
        <v>Waiting for his turn of the other player.</v>
      </c>
    </row>
    <row r="483" spans="1:4" ht="15.75" customHeight="1" x14ac:dyDescent="0.25">
      <c r="A483" s="1" t="s">
        <v>916</v>
      </c>
      <c r="B483" s="1" t="s">
        <v>4394</v>
      </c>
      <c r="C483" s="1" t="s">
        <v>917</v>
      </c>
      <c r="D483" s="1" t="str">
        <f ca="1">IFERROR(__xludf.DUMMYFUNCTION("GoogleTranslate(B483,""ja"",""en"")"),"Shiba inu")</f>
        <v>Shiba inu</v>
      </c>
    </row>
    <row r="484" spans="1:4" ht="15.75" customHeight="1" x14ac:dyDescent="0.25">
      <c r="A484" s="1" t="s">
        <v>918</v>
      </c>
      <c r="B484" s="1" t="s">
        <v>912</v>
      </c>
      <c r="C484" s="1" t="s">
        <v>919</v>
      </c>
      <c r="D484" s="1" t="str">
        <f ca="1">IFERROR(__xludf.DUMMYFUNCTION("GoogleTranslate(B484,""ja"",""en"")"),"Black Shiba")</f>
        <v>Black Shiba</v>
      </c>
    </row>
    <row r="485" spans="1:4" ht="15.75" customHeight="1" x14ac:dyDescent="0.25">
      <c r="A485" s="1" t="s">
        <v>920</v>
      </c>
      <c r="B485" s="1" t="s">
        <v>4395</v>
      </c>
      <c r="C485" s="1" t="s">
        <v>921</v>
      </c>
      <c r="D485" s="1" t="str">
        <f ca="1">IFERROR(__xludf.DUMMYFUNCTION("GoogleTranslate(B485,""ja"",""en"")"),"Shiroshiba")</f>
        <v>Shiroshiba</v>
      </c>
    </row>
    <row r="486" spans="1:4" ht="15.75" customHeight="1" x14ac:dyDescent="0.25">
      <c r="A486" s="1" t="s">
        <v>922</v>
      </c>
      <c r="B486" s="1" t="s">
        <v>4396</v>
      </c>
      <c r="C486" s="1" t="s">
        <v>923</v>
      </c>
      <c r="D486" s="1" t="str">
        <f ca="1">IFERROR(__xludf.DUMMYFUNCTION("GoogleTranslate(B486,""ja"",""en"")"),"Tortoiseshell cat")</f>
        <v>Tortoiseshell cat</v>
      </c>
    </row>
    <row r="487" spans="1:4" ht="15.75" customHeight="1" x14ac:dyDescent="0.25">
      <c r="A487" s="1" t="s">
        <v>924</v>
      </c>
      <c r="B487" s="1" t="s">
        <v>4397</v>
      </c>
      <c r="C487" s="1" t="s">
        <v>925</v>
      </c>
      <c r="D487" s="1" t="str">
        <f ca="1">IFERROR(__xludf.DUMMYFUNCTION("GoogleTranslate(B487,""ja"",""en"")"),"Black cat")</f>
        <v>Black cat</v>
      </c>
    </row>
    <row r="488" spans="1:4" ht="15.75" customHeight="1" x14ac:dyDescent="0.25">
      <c r="A488" s="1" t="s">
        <v>926</v>
      </c>
      <c r="B488" s="1" t="s">
        <v>4398</v>
      </c>
      <c r="C488" s="1" t="s">
        <v>927</v>
      </c>
      <c r="D488" s="1" t="str">
        <f ca="1">IFERROR(__xludf.DUMMYFUNCTION("GoogleTranslate(B488,""ja"",""en"")"),"White cat")</f>
        <v>White cat</v>
      </c>
    </row>
    <row r="489" spans="1:4" ht="15.75" customHeight="1" x14ac:dyDescent="0.25">
      <c r="A489" s="1" t="s">
        <v>928</v>
      </c>
      <c r="B489" s="1" t="s">
        <v>4399</v>
      </c>
      <c r="C489" s="1" t="s">
        <v>929</v>
      </c>
      <c r="D489" s="1" t="str">
        <f ca="1">IFERROR(__xludf.DUMMYFUNCTION("GoogleTranslate(B489,""ja"",""en"")"),"Please give it a name")</f>
        <v>Please give it a name</v>
      </c>
    </row>
    <row r="490" spans="1:4" ht="15.75" customHeight="1" x14ac:dyDescent="0.25">
      <c r="A490" s="1" t="s">
        <v>930</v>
      </c>
      <c r="B490" s="1" t="s">
        <v>4400</v>
      </c>
      <c r="C490" s="1" t="s">
        <v>931</v>
      </c>
      <c r="D490" s="1" t="str">
        <f ca="1">IFERROR(__xludf.DUMMYFUNCTION("GoogleTranslate(B490,""ja"",""en"")"),"Are you sure you want to exchange?")</f>
        <v>Are you sure you want to exchange?</v>
      </c>
    </row>
    <row r="491" spans="1:4" ht="15.75" customHeight="1" x14ac:dyDescent="0.25">
      <c r="A491" s="1" t="s">
        <v>932</v>
      </c>
      <c r="B491" s="1" t="s">
        <v>920</v>
      </c>
      <c r="C491" s="1" t="s">
        <v>933</v>
      </c>
      <c r="D491" s="1" t="str">
        <f ca="1">IFERROR(__xludf.DUMMYFUNCTION("GoogleTranslate(B491,""ja"",""en"")"),"It has been replaced")</f>
        <v>It has been replaced</v>
      </c>
    </row>
    <row r="492" spans="1:4" ht="15.75" customHeight="1" x14ac:dyDescent="0.25">
      <c r="A492" s="1" t="s">
        <v>934</v>
      </c>
      <c r="B492" s="1" t="s">
        <v>4401</v>
      </c>
      <c r="C492" s="1" t="s">
        <v>935</v>
      </c>
      <c r="D492" s="1" t="str">
        <f ca="1">IFERROR(__xludf.DUMMYFUNCTION("GoogleTranslate(B492,""ja"",""en"")"),"It does not have the things that can be passed")</f>
        <v>It does not have the things that can be passed</v>
      </c>
    </row>
    <row r="493" spans="1:4" ht="15.75" customHeight="1" x14ac:dyDescent="0.25">
      <c r="A493" s="1" t="s">
        <v>936</v>
      </c>
      <c r="B493" s="1" t="s">
        <v>4402</v>
      </c>
      <c r="C493" s="1" t="s">
        <v>937</v>
      </c>
      <c r="D493" s="1" t="str">
        <f ca="1">IFERROR(__xludf.DUMMYFUNCTION("GoogleTranslate(B493,""ja"",""en"")"),"(Do not seem to do not have enough virtue ...)")</f>
        <v>(Do not seem to do not have enough virtue ...)</v>
      </c>
    </row>
    <row r="494" spans="1:4" ht="15.75" customHeight="1" x14ac:dyDescent="0.25">
      <c r="A494" s="1" t="s">
        <v>938</v>
      </c>
      <c r="B494" s="1" t="s">
        <v>930</v>
      </c>
      <c r="C494" s="1" t="s">
        <v>939</v>
      </c>
      <c r="D494" s="1" t="str">
        <f ca="1">IFERROR(__xludf.DUMMYFUNCTION("GoogleTranslate(B494,""ja"",""en"")"),"standard")</f>
        <v>standard</v>
      </c>
    </row>
    <row r="495" spans="1:4" ht="15.75" customHeight="1" x14ac:dyDescent="0.25">
      <c r="A495" s="1" t="s">
        <v>940</v>
      </c>
      <c r="B495" s="1" t="s">
        <v>4403</v>
      </c>
      <c r="C495" s="1" t="s">
        <v>941</v>
      </c>
      <c r="D495" s="1" t="str">
        <f ca="1">IFERROR(__xludf.DUMMYFUNCTION("GoogleTranslate(B495,""ja"",""en"")"),"Gold Mai")</f>
        <v>Gold Mai</v>
      </c>
    </row>
    <row r="496" spans="1:4" ht="15.75" customHeight="1" x14ac:dyDescent="0.25">
      <c r="A496" s="1" t="s">
        <v>942</v>
      </c>
      <c r="B496" s="1" t="s">
        <v>4404</v>
      </c>
      <c r="C496" s="1" t="s">
        <v>943</v>
      </c>
      <c r="D496" s="1" t="str">
        <f ca="1">IFERROR(__xludf.DUMMYFUNCTION("GoogleTranslate(B496,""ja"",""en"")"),"New construction style")</f>
        <v>New construction style</v>
      </c>
    </row>
    <row r="497" spans="1:4" ht="15.75" customHeight="1" x14ac:dyDescent="0.25">
      <c r="A497" s="1" t="s">
        <v>944</v>
      </c>
      <c r="B497" s="1" t="s">
        <v>932</v>
      </c>
      <c r="C497" s="1" t="s">
        <v>945</v>
      </c>
      <c r="D497" s="1" t="str">
        <f ca="1">IFERROR(__xludf.DUMMYFUNCTION("GoogleTranslate(B497,""ja"",""en"")"),"I love flowers")</f>
        <v>I love flowers</v>
      </c>
    </row>
    <row r="498" spans="1:4" ht="15.75" customHeight="1" x14ac:dyDescent="0.25">
      <c r="A498" s="1" t="s">
        <v>946</v>
      </c>
      <c r="B498" s="1" t="s">
        <v>4405</v>
      </c>
      <c r="C498" s="1" t="s">
        <v>947</v>
      </c>
      <c r="D498" s="1" t="str">
        <f ca="1">IFERROR(__xludf.DUMMYFUNCTION("GoogleTranslate(B498,""ja"",""en"")"),"Interior D")</f>
        <v>Interior D</v>
      </c>
    </row>
    <row r="499" spans="1:4" ht="15.75" customHeight="1" x14ac:dyDescent="0.25">
      <c r="A499" s="1" t="s">
        <v>948</v>
      </c>
      <c r="B499" s="1" t="s">
        <v>4406</v>
      </c>
      <c r="C499" s="1" t="s">
        <v>949</v>
      </c>
      <c r="D499" s="1" t="str">
        <f ca="1">IFERROR(__xludf.DUMMYFUNCTION("GoogleTranslate(B499,""ja"",""en"")"),"Interior E")</f>
        <v>Interior E</v>
      </c>
    </row>
    <row r="500" spans="1:4" ht="15.75" customHeight="1" x14ac:dyDescent="0.25">
      <c r="A500" s="1" t="s">
        <v>950</v>
      </c>
      <c r="B500" s="1" t="s">
        <v>4407</v>
      </c>
      <c r="C500" s="1" t="s">
        <v>951</v>
      </c>
      <c r="D500" s="1" t="str">
        <f ca="1">IFERROR(__xludf.DUMMYFUNCTION("GoogleTranslate(B500,""ja"",""en"")"),"That's menu that does not make it's now in the kitchen. [N] the kitchen is ...... I hope to be able to extension")</f>
        <v>That's menu that does not make it's now in the kitchen. [N] the kitchen is ...... I hope to be able to extension</v>
      </c>
    </row>
    <row r="501" spans="1:4" ht="15.75" customHeight="1" x14ac:dyDescent="0.25">
      <c r="A501" s="1" t="s">
        <v>952</v>
      </c>
      <c r="B501" s="1" t="s">
        <v>4408</v>
      </c>
      <c r="C501" s="1" t="s">
        <v>953</v>
      </c>
      <c r="D501" s="1" t="str">
        <f ca="1">IFERROR(__xludf.DUMMYFUNCTION("GoogleTranslate(B501,""ja"",""en"")"),"It's still a menu that does not make right now. Or extended to the kitchen to [n] ""universal kitchen"", I hope to be able to or taught a [n] how to make cooking to someone ......")</f>
        <v>It's still a menu that does not make right now. Or extended to the kitchen to [n] "universal kitchen", I hope to be able to or taught a [n] how to make cooking to someone ......</v>
      </c>
    </row>
    <row r="502" spans="1:4" ht="15.75" customHeight="1" x14ac:dyDescent="0.25">
      <c r="A502" s="1" t="s">
        <v>954</v>
      </c>
      <c r="B502" s="1" t="s">
        <v>4409</v>
      </c>
      <c r="C502" s="1" t="s">
        <v>955</v>
      </c>
      <c r="D502" s="1" t="str">
        <f ca="1">IFERROR(__xludf.DUMMYFUNCTION("GoogleTranslate(B502,""ja"",""en"")"),"Material is not enough.")</f>
        <v>Material is not enough.</v>
      </c>
    </row>
    <row r="503" spans="1:4" ht="15.75" customHeight="1" x14ac:dyDescent="0.25">
      <c r="A503" s="1" t="s">
        <v>956</v>
      </c>
      <c r="B503" s="1" t="s">
        <v>4410</v>
      </c>
      <c r="C503" s="1" t="s">
        <v>957</v>
      </c>
      <c r="D503" s="1" t="str">
        <f ca="1">IFERROR(__xludf.DUMMYFUNCTION("GoogleTranslate(B503,""ja"",""en"")"),"Please choose a destination. You can select the top and bottom of the left stick.")</f>
        <v>Please choose a destination. You can select the top and bottom of the left stick.</v>
      </c>
    </row>
    <row r="504" spans="1:4" ht="15.75" customHeight="1" x14ac:dyDescent="0.25">
      <c r="A504" s="1" t="s">
        <v>958</v>
      </c>
      <c r="B504" s="1" t="s">
        <v>4411</v>
      </c>
      <c r="C504" s="1" t="s">
        <v>959</v>
      </c>
      <c r="D504" s="1" t="str">
        <f ca="1">IFERROR(__xludf.DUMMYFUNCTION("GoogleTranslate(B504,""ja"",""en"")"),"Chapter Tosa, Dappan")</f>
        <v>Chapter Tosa, Dappan</v>
      </c>
    </row>
    <row r="505" spans="1:4" ht="15.75" customHeight="1" x14ac:dyDescent="0.25">
      <c r="A505" s="1" t="s">
        <v>960</v>
      </c>
      <c r="B505" s="1" t="s">
        <v>4412</v>
      </c>
      <c r="C505" s="1" t="s">
        <v>961</v>
      </c>
      <c r="D505" s="1" t="str">
        <f ca="1">IFERROR(__xludf.DUMMYFUNCTION("GoogleTranslate(B505,""ja"",""en"")"),"Chapter II a man named Saito Hajime")</f>
        <v>Chapter II a man named Saito Hajime</v>
      </c>
    </row>
    <row r="506" spans="1:4" ht="15.75" customHeight="1" x14ac:dyDescent="0.25">
      <c r="A506" s="1" t="s">
        <v>962</v>
      </c>
      <c r="B506" s="1" t="s">
        <v>4413</v>
      </c>
      <c r="C506" s="1" t="s">
        <v>963</v>
      </c>
      <c r="D506" s="1" t="str">
        <f ca="1">IFERROR(__xludf.DUMMYFUNCTION("GoogleTranslate(B506,""ja"",""en"")"),"Chapter III Mibu wolf")</f>
        <v>Chapter III Mibu wolf</v>
      </c>
    </row>
    <row r="507" spans="1:4" ht="15.75" customHeight="1" x14ac:dyDescent="0.25">
      <c r="A507" s="1" t="s">
        <v>964</v>
      </c>
      <c r="B507" s="1" t="s">
        <v>4414</v>
      </c>
      <c r="C507" s="1" t="s">
        <v>965</v>
      </c>
      <c r="D507" s="1" t="str">
        <f ca="1">IFERROR(__xludf.DUMMYFUNCTION("GoogleTranslate(B507,""ja"",""en"")"),"Chapter IV united front")</f>
        <v>Chapter IV united front</v>
      </c>
    </row>
    <row r="508" spans="1:4" ht="15.75" customHeight="1" x14ac:dyDescent="0.25">
      <c r="A508" s="1" t="s">
        <v>966</v>
      </c>
      <c r="B508" s="1" t="s">
        <v>4415</v>
      </c>
      <c r="C508" s="1" t="s">
        <v>967</v>
      </c>
      <c r="D508" s="1" t="str">
        <f ca="1">IFERROR(__xludf.DUMMYFUNCTION("GoogleTranslate(B508,""ja"",""en"")"),"Chapter V of the iron law")</f>
        <v>Chapter V of the iron law</v>
      </c>
    </row>
    <row r="509" spans="1:4" ht="15.75" customHeight="1" x14ac:dyDescent="0.25">
      <c r="A509" s="1" t="s">
        <v>968</v>
      </c>
      <c r="B509" s="1" t="s">
        <v>4416</v>
      </c>
      <c r="C509" s="1" t="s">
        <v>969</v>
      </c>
      <c r="D509" s="1" t="str">
        <f ca="1">IFERROR(__xludf.DUMMYFUNCTION("GoogleTranslate(B509,""ja"",""en"")"),"Chapter VI ikedaya incident")</f>
        <v>Chapter VI ikedaya incident</v>
      </c>
    </row>
    <row r="510" spans="1:4" ht="15.75" customHeight="1" x14ac:dyDescent="0.25">
      <c r="A510" s="1" t="s">
        <v>970</v>
      </c>
      <c r="B510" s="1" t="s">
        <v>4417</v>
      </c>
      <c r="C510" s="1" t="s">
        <v>971</v>
      </c>
      <c r="D510" s="1" t="str">
        <f ca="1">IFERROR(__xludf.DUMMYFUNCTION("GoogleTranslate(B510,""ja"",""en"")"),"Chapter VII two of Ryoma")</f>
        <v>Chapter VII two of Ryoma</v>
      </c>
    </row>
    <row r="511" spans="1:4" ht="15.75" customHeight="1" x14ac:dyDescent="0.25">
      <c r="A511" s="1" t="s">
        <v>972</v>
      </c>
      <c r="B511" s="1" t="s">
        <v>4418</v>
      </c>
      <c r="C511" s="1" t="s">
        <v>973</v>
      </c>
      <c r="D511" s="1" t="str">
        <f ca="1">IFERROR(__xludf.DUMMYFUNCTION("GoogleTranslate(B511,""ja"",""en"")"),"Chapter VIII mad dog barking")</f>
        <v>Chapter VIII mad dog barking</v>
      </c>
    </row>
    <row r="512" spans="1:4" ht="15.75" customHeight="1" x14ac:dyDescent="0.25">
      <c r="A512" s="1" t="s">
        <v>974</v>
      </c>
      <c r="B512" s="1" t="s">
        <v>4419</v>
      </c>
      <c r="C512" s="1" t="s">
        <v>975</v>
      </c>
      <c r="D512" s="1" t="str">
        <f ca="1">IFERROR(__xludf.DUMMYFUNCTION("GoogleTranslate(B512,""ja"",""en"")"),"Runway of Chapter IX quarrel")</f>
        <v>Runway of Chapter IX quarrel</v>
      </c>
    </row>
    <row r="513" spans="1:4" ht="15.75" customHeight="1" x14ac:dyDescent="0.25">
      <c r="A513" s="1" t="s">
        <v>976</v>
      </c>
      <c r="B513" s="1" t="s">
        <v>964</v>
      </c>
      <c r="C513" s="1" t="s">
        <v>977</v>
      </c>
      <c r="D513" s="1" t="str">
        <f ca="1">IFERROR(__xludf.DUMMYFUNCTION("GoogleTranslate(B513,""ja"",""en"")"),"Chapter X identity")</f>
        <v>Chapter X identity</v>
      </c>
    </row>
    <row r="514" spans="1:4" ht="15.75" customHeight="1" x14ac:dyDescent="0.25">
      <c r="A514" s="1" t="s">
        <v>978</v>
      </c>
      <c r="B514" s="1" t="s">
        <v>966</v>
      </c>
      <c r="C514" s="1" t="s">
        <v>979</v>
      </c>
      <c r="D514" s="1" t="str">
        <f ca="1">IFERROR(__xludf.DUMMYFUNCTION("GoogleTranslate(B514,""ja"",""en"")"),"Chapter XI large gambling")</f>
        <v>Chapter XI large gambling</v>
      </c>
    </row>
    <row r="515" spans="1:4" ht="15.75" customHeight="1" x14ac:dyDescent="0.25">
      <c r="A515" s="1" t="s">
        <v>980</v>
      </c>
      <c r="B515" s="1" t="s">
        <v>4420</v>
      </c>
      <c r="C515" s="1" t="s">
        <v>981</v>
      </c>
      <c r="D515" s="1" t="str">
        <f ca="1">IFERROR(__xludf.DUMMYFUNCTION("GoogleTranslate(B515,""ja"",""en"")"),"Chapter XII Kyoto flames")</f>
        <v>Chapter XII Kyoto flames</v>
      </c>
    </row>
    <row r="516" spans="1:4" ht="15.75" customHeight="1" x14ac:dyDescent="0.25">
      <c r="A516" s="1" t="s">
        <v>982</v>
      </c>
      <c r="B516" s="1" t="s">
        <v>4421</v>
      </c>
      <c r="C516" s="1" t="s">
        <v>983</v>
      </c>
      <c r="D516" s="1" t="str">
        <f ca="1">IFERROR(__xludf.DUMMYFUNCTION("GoogleTranslate(B516,""ja"",""en"")"),"Chapter 13 Ryoma assassination")</f>
        <v>Chapter 13 Ryoma assassination</v>
      </c>
    </row>
    <row r="517" spans="1:4" ht="15.75" customHeight="1" x14ac:dyDescent="0.25">
      <c r="A517" s="1" t="s">
        <v>984</v>
      </c>
      <c r="B517" s="1" t="s">
        <v>4422</v>
      </c>
      <c r="C517" s="1" t="s">
        <v>985</v>
      </c>
      <c r="D517" s="1" t="str">
        <f ca="1">IFERROR(__xludf.DUMMYFUNCTION("GoogleTranslate(B517,""ja"",""en"")"),"The final chapter dawn")</f>
        <v>The final chapter dawn</v>
      </c>
    </row>
    <row r="518" spans="1:4" ht="15.75" customHeight="1" x14ac:dyDescent="0.25">
      <c r="A518" s="1" t="s">
        <v>986</v>
      </c>
      <c r="B518" s="1" t="s">
        <v>974</v>
      </c>
      <c r="C518" s="1" t="s">
        <v>987</v>
      </c>
      <c r="D518" s="1" t="str">
        <f ca="1">IFERROR(__xludf.DUMMYFUNCTION("GoogleTranslate(B518,""ja"",""en"")"),"Complete")</f>
        <v>Complete</v>
      </c>
    </row>
    <row r="519" spans="1:4" ht="15.75" customHeight="1" x14ac:dyDescent="0.25">
      <c r="A519" s="1" t="s">
        <v>988</v>
      </c>
      <c r="B519" s="1" t="s">
        <v>4423</v>
      </c>
      <c r="C519" s="1" t="s">
        <v>989</v>
      </c>
      <c r="D519" s="1" t="str">
        <f ca="1">IFERROR(__xludf.DUMMYFUNCTION("GoogleTranslate(B519,""ja"",""en"")"),"% S got the")</f>
        <v>% S got the</v>
      </c>
    </row>
    <row r="520" spans="1:4" ht="15.75" customHeight="1" x14ac:dyDescent="0.25">
      <c r="A520" s="1" t="s">
        <v>990</v>
      </c>
      <c r="B520" s="1" t="s">
        <v>4424</v>
      </c>
      <c r="C520" s="1" t="s">
        <v>991</v>
      </c>
      <c r="D520" s="1" t="str">
        <f ca="1">IFERROR(__xludf.DUMMYFUNCTION("GoogleTranslate(B520,""ja"",""en"")"),"Lost% s")</f>
        <v>Lost% s</v>
      </c>
    </row>
    <row r="521" spans="1:4" ht="15.75" customHeight="1" x14ac:dyDescent="0.25">
      <c r="A521" s="1" t="s">
        <v>992</v>
      </c>
      <c r="B521" s="1" t="s">
        <v>4425</v>
      </c>
      <c r="C521" s="1" t="s">
        <v>993</v>
      </c>
      <c r="D521" s="1" t="str">
        <f ca="1">IFERROR(__xludf.DUMMYFUNCTION("GoogleTranslate(B521,""ja"",""en"")"),"Physical strength has been restored")</f>
        <v>Physical strength has been restored</v>
      </c>
    </row>
    <row r="522" spans="1:4" ht="15.75" customHeight="1" x14ac:dyDescent="0.25">
      <c r="A522" s="1" t="s">
        <v>994</v>
      </c>
      <c r="B522" s="1" t="s">
        <v>4426</v>
      </c>
      <c r="C522" s="1" t="s">
        <v>995</v>
      </c>
      <c r="D522" s="1" t="str">
        <f ca="1">IFERROR(__xludf.DUMMYFUNCTION("GoogleTranslate(B522,""ja"",""en"")"),"It was")</f>
        <v>It was</v>
      </c>
    </row>
    <row r="523" spans="1:4" ht="15.75" customHeight="1" x14ac:dyDescent="0.25">
      <c r="A523" s="1" t="s">
        <v>996</v>
      </c>
      <c r="B523" s="1" t="s">
        <v>4427</v>
      </c>
      <c r="C523" s="1" t="s">
        <v>997</v>
      </c>
      <c r="D523" s="1" t="str">
        <f ca="1">IFERROR(__xludf.DUMMYFUNCTION("GoogleTranslate(B523,""ja"",""en"")"),"Experience:% s")</f>
        <v>Experience:% s</v>
      </c>
    </row>
    <row r="524" spans="1:4" ht="15.75" customHeight="1" x14ac:dyDescent="0.25">
      <c r="A524" s="1" t="s">
        <v>998</v>
      </c>
      <c r="B524" s="1" t="s">
        <v>4428</v>
      </c>
      <c r="C524" s="1" t="s">
        <v>213</v>
      </c>
      <c r="D524" s="1" t="str">
        <f ca="1">IFERROR(__xludf.DUMMYFUNCTION("GoogleTranslate(B524,""ja"",""en"")"),".")</f>
        <v>.</v>
      </c>
    </row>
    <row r="525" spans="1:4" ht="15.75" customHeight="1" x14ac:dyDescent="0.25">
      <c r="A525" s="1" t="s">
        <v>999</v>
      </c>
      <c r="B525" s="1" t="s">
        <v>4429</v>
      </c>
      <c r="C525" s="1" t="s">
        <v>1000</v>
      </c>
      <c r="D525" s="1" t="str">
        <f ca="1">IFERROR(__xludf.DUMMYFUNCTION("GoogleTranslate(B525,""ja"",""en"")"),"Equipment")</f>
        <v>Equipment</v>
      </c>
    </row>
    <row r="526" spans="1:4" ht="15.75" customHeight="1" x14ac:dyDescent="0.25">
      <c r="A526" s="1" t="s">
        <v>1001</v>
      </c>
      <c r="B526" s="1" t="s">
        <v>4430</v>
      </c>
      <c r="C526" s="1" t="s">
        <v>1002</v>
      </c>
      <c r="D526" s="1" t="str">
        <f ca="1">IFERROR(__xludf.DUMMYFUNCTION("GoogleTranslate(B526,""ja"",""en"")"),"Belongings is full")</f>
        <v>Belongings is full</v>
      </c>
    </row>
    <row r="527" spans="1:4" ht="15.75" customHeight="1" x14ac:dyDescent="0.25">
      <c r="A527" s="1" t="s">
        <v>1003</v>
      </c>
      <c r="B527" s="1" t="s">
        <v>994</v>
      </c>
      <c r="C527" s="1" t="s">
        <v>1004</v>
      </c>
      <c r="D527" s="1" t="str">
        <f ca="1">IFERROR(__xludf.DUMMYFUNCTION("GoogleTranslate(B527,""ja"",""en"")"),"Edo Man'yu in")</f>
        <v>Edo Man'yu in</v>
      </c>
    </row>
    <row r="528" spans="1:4" ht="15.75" customHeight="1" x14ac:dyDescent="0.25">
      <c r="A528" s="1" t="s">
        <v>1005</v>
      </c>
      <c r="B528" s="1" t="s">
        <v>4431</v>
      </c>
      <c r="C528" s="1" t="s">
        <v>1006</v>
      </c>
      <c r="D528" s="1" t="str">
        <f ca="1">IFERROR(__xludf.DUMMYFUNCTION("GoogleTranslate(B528,""ja"",""en"")"),"Free carefree or search. [N] to go to the place you want to go, trying to do what you want.")</f>
        <v>Free carefree or search. [N] to go to the place you want to go, trying to do what you want.</v>
      </c>
    </row>
    <row r="529" spans="1:4" ht="15.75" customHeight="1" x14ac:dyDescent="0.25">
      <c r="A529" s="1" t="s">
        <v>1007</v>
      </c>
      <c r="B529" s="1" t="s">
        <v>1001</v>
      </c>
      <c r="C529" s="1" t="s">
        <v>1008</v>
      </c>
      <c r="D529" s="1" t="str">
        <f ca="1">IFERROR(__xludf.DUMMYFUNCTION("GoogleTranslate(B529,""ja"",""en"")"),"Free carefree search Shiyoka. [N] to go to the place you want to go, trying to do what you want.")</f>
        <v>Free carefree search Shiyoka. [N] to go to the place you want to go, trying to do what you want.</v>
      </c>
    </row>
    <row r="530" spans="1:4" ht="15.75" customHeight="1" x14ac:dyDescent="0.25">
      <c r="A530" s="1" t="s">
        <v>1009</v>
      </c>
      <c r="B530" s="1" t="s">
        <v>4432</v>
      </c>
      <c r="C530" s="1" t="s">
        <v>1010</v>
      </c>
      <c r="D530" s="1" t="str">
        <f ca="1">IFERROR(__xludf.DUMMYFUNCTION("GoogleTranslate(B530,""ja"",""en"")"),"Free carefree search Shiyotto. Go to the [n] I want to go places, trying to do what you want to do.")</f>
        <v>Free carefree search Shiyotto. Go to the [n] I want to go places, trying to do what you want to do.</v>
      </c>
    </row>
    <row r="531" spans="1:4" ht="15.75" customHeight="1" x14ac:dyDescent="0.25">
      <c r="A531" s="1" t="s">
        <v>1011</v>
      </c>
      <c r="B531" s="1" t="s">
        <v>4433</v>
      </c>
      <c r="C531" s="1" t="s">
        <v>1012</v>
      </c>
      <c r="D531" s="1" t="str">
        <f ca="1">IFERROR(__xludf.DUMMYFUNCTION("GoogleTranslate(B531,""ja"",""en"")"),"●% s [n] total play time% d time% 02d min / [n] level% 02d / Experience% d / [n] money in% s / betting point% d point [n] ● Battle Dungeon [n] solve mission% d matter / corps officer card% d sheets [n] ● Another life [n] crop% d species / fish% d species "&amp;"/ cuisine% d product / delivery% d items")</f>
        <v>●% s [n] total play time% d time% 02d min / [n] level% 02d / Experience% d / [n] money in% s / betting point% d point [n] ● Battle Dungeon [n] solve mission% d matter / corps officer card% d sheets [n] ● Another life [n] crop% d species / fish% d species / cuisine% d product / delivery% d items</v>
      </c>
    </row>
    <row r="532" spans="1:4" ht="15.75" customHeight="1" x14ac:dyDescent="0.25">
      <c r="A532" s="1" t="s">
        <v>1013</v>
      </c>
      <c r="B532" s="1" t="s">
        <v>4434</v>
      </c>
      <c r="C532" s="1" t="s">
        <v>1014</v>
      </c>
      <c r="D532" s="1" t="str">
        <f ca="1">IFERROR(__xludf.DUMMYFUNCTION("GoogleTranslate(B532,""ja"",""en"")"),"Goods")</f>
        <v>Goods</v>
      </c>
    </row>
    <row r="533" spans="1:4" ht="15.75" customHeight="1" x14ac:dyDescent="0.25">
      <c r="A533" s="1" t="s">
        <v>1015</v>
      </c>
      <c r="B533" s="1" t="s">
        <v>4435</v>
      </c>
      <c r="C533" s="1" t="s">
        <v>1016</v>
      </c>
      <c r="D533" s="1" t="str">
        <f ca="1">IFERROR(__xludf.DUMMYFUNCTION("GoogleTranslate(B533,""ja"",""en"")"),"Clear data")</f>
        <v>Clear data</v>
      </c>
    </row>
    <row r="534" spans="1:4" ht="15.75" customHeight="1" x14ac:dyDescent="0.25">
      <c r="A534" s="1" t="s">
        <v>1017</v>
      </c>
      <c r="B534" s="1" t="s">
        <v>4436</v>
      </c>
      <c r="C534" s="1" t="s">
        <v>1018</v>
      </c>
      <c r="D534" s="1" t="str">
        <f ca="1">IFERROR(__xludf.DUMMYFUNCTION("GoogleTranslate(B534,""ja"",""en"")"),"sell")</f>
        <v>sell</v>
      </c>
    </row>
    <row r="535" spans="1:4" ht="15.75" customHeight="1" x14ac:dyDescent="0.25">
      <c r="A535" s="1" t="s">
        <v>1019</v>
      </c>
      <c r="B535" s="1" t="s">
        <v>4437</v>
      </c>
      <c r="C535" s="1" t="s">
        <v>1020</v>
      </c>
      <c r="D535" s="1" t="str">
        <f ca="1">IFERROR(__xludf.DUMMYFUNCTION("GoogleTranslate(B535,""ja"",""en"")"),"eat")</f>
        <v>eat</v>
      </c>
    </row>
    <row r="536" spans="1:4" ht="15.75" customHeight="1" x14ac:dyDescent="0.25">
      <c r="A536" s="1" t="s">
        <v>1021</v>
      </c>
      <c r="B536" s="1" t="s">
        <v>4438</v>
      </c>
      <c r="C536" s="1" t="s">
        <v>1022</v>
      </c>
      <c r="D536" s="1" t="str">
        <f ca="1">IFERROR(__xludf.DUMMYFUNCTION("GoogleTranslate(B536,""ja"",""en"")"),"Replace")</f>
        <v>Replace</v>
      </c>
    </row>
    <row r="537" spans="1:4" ht="15.75" customHeight="1" x14ac:dyDescent="0.25">
      <c r="A537" s="1" t="s">
        <v>1023</v>
      </c>
      <c r="B537" s="1" t="s">
        <v>4439</v>
      </c>
      <c r="C537" s="1" t="s">
        <v>1024</v>
      </c>
      <c r="D537" s="1" t="str">
        <f ca="1">IFERROR(__xludf.DUMMYFUNCTION("GoogleTranslate(B537,""ja"",""en"")"),"Enlargement")</f>
        <v>Enlargement</v>
      </c>
    </row>
    <row r="538" spans="1:4" ht="15.75" customHeight="1" x14ac:dyDescent="0.25">
      <c r="A538" s="1" t="s">
        <v>1025</v>
      </c>
      <c r="B538" s="1" t="s">
        <v>4440</v>
      </c>
      <c r="C538" s="1" t="s">
        <v>1026</v>
      </c>
      <c r="D538" s="1" t="str">
        <f ca="1">IFERROR(__xludf.DUMMYFUNCTION("GoogleTranslate(B538,""ja"",""en"")"),"Reduction")</f>
        <v>Reduction</v>
      </c>
    </row>
    <row r="539" spans="1:4" ht="15.75" customHeight="1" x14ac:dyDescent="0.25">
      <c r="A539" s="1" t="s">
        <v>1027</v>
      </c>
      <c r="B539" s="1" t="s">
        <v>4441</v>
      </c>
      <c r="C539" s="1" t="s">
        <v>1028</v>
      </c>
      <c r="D539" s="1" t="str">
        <f ca="1">IFERROR(__xludf.DUMMYFUNCTION("GoogleTranslate(B539,""ja"",""en"")"),"use")</f>
        <v>use</v>
      </c>
    </row>
    <row r="540" spans="1:4" ht="15.75" customHeight="1" x14ac:dyDescent="0.25">
      <c r="A540" s="1" t="s">
        <v>1029</v>
      </c>
      <c r="B540" s="1" t="s">
        <v>4442</v>
      </c>
      <c r="C540" s="1" t="s">
        <v>1030</v>
      </c>
      <c r="D540" s="1" t="str">
        <f ca="1">IFERROR(__xludf.DUMMYFUNCTION("GoogleTranslate(B540,""ja"",""en"")"),"throw away")</f>
        <v>throw away</v>
      </c>
    </row>
    <row r="541" spans="1:4" ht="15.75" customHeight="1" x14ac:dyDescent="0.25">
      <c r="A541" s="1" t="s">
        <v>1031</v>
      </c>
      <c r="B541" s="1" t="s">
        <v>4443</v>
      </c>
      <c r="C541" s="1" t="s">
        <v>1032</v>
      </c>
      <c r="D541" s="1" t="str">
        <f ca="1">IFERROR(__xludf.DUMMYFUNCTION("GoogleTranslate(B541,""ja"",""en"")"),"Confirm")</f>
        <v>Confirm</v>
      </c>
    </row>
    <row r="542" spans="1:4" ht="15.75" customHeight="1" x14ac:dyDescent="0.25">
      <c r="A542" s="1" t="s">
        <v>1033</v>
      </c>
      <c r="B542" s="1" t="s">
        <v>4444</v>
      </c>
      <c r="C542" s="1" t="s">
        <v>1034</v>
      </c>
      <c r="D542" s="1" t="str">
        <f ca="1">IFERROR(__xludf.DUMMYFUNCTION("GoogleTranslate(B542,""ja"",""en"")"),"to see")</f>
        <v>to see</v>
      </c>
    </row>
    <row r="543" spans="1:4" ht="15.75" customHeight="1" x14ac:dyDescent="0.25">
      <c r="A543" s="1" t="s">
        <v>1035</v>
      </c>
      <c r="B543" s="1" t="s">
        <v>4445</v>
      </c>
      <c r="C543" s="1" t="s">
        <v>1036</v>
      </c>
      <c r="D543" s="1" t="str">
        <f ca="1">IFERROR(__xludf.DUMMYFUNCTION("GoogleTranslate(B543,""ja"",""en"")"),"Valuables")</f>
        <v>Valuables</v>
      </c>
    </row>
    <row r="544" spans="1:4" ht="15.75" customHeight="1" x14ac:dyDescent="0.25">
      <c r="A544" s="1" t="s">
        <v>1037</v>
      </c>
      <c r="B544" s="1" t="s">
        <v>1013</v>
      </c>
      <c r="C544" s="1" t="s">
        <v>1038</v>
      </c>
      <c r="D544" s="1" t="str">
        <f ca="1">IFERROR(__xludf.DUMMYFUNCTION("GoogleTranslate(B544,""ja"",""en"")"),"Belongings")</f>
        <v>Belongings</v>
      </c>
    </row>
    <row r="545" spans="1:4" ht="15.75" customHeight="1" x14ac:dyDescent="0.25">
      <c r="A545" s="1" t="s">
        <v>1039</v>
      </c>
      <c r="B545" s="1" t="s">
        <v>4446</v>
      </c>
      <c r="C545" s="1" t="s">
        <v>1040</v>
      </c>
      <c r="D545" s="1" t="str">
        <f ca="1">IFERROR(__xludf.DUMMYFUNCTION("GoogleTranslate(B545,""ja"",""en"")"),"List")</f>
        <v>List</v>
      </c>
    </row>
    <row r="546" spans="1:4" ht="15.75" customHeight="1" x14ac:dyDescent="0.25">
      <c r="A546" s="1" t="s">
        <v>1041</v>
      </c>
      <c r="B546" s="1" t="s">
        <v>4447</v>
      </c>
      <c r="C546" s="1" t="s">
        <v>1042</v>
      </c>
      <c r="D546" s="1" t="str">
        <f ca="1">IFERROR(__xludf.DUMMYFUNCTION("GoogleTranslate(B546,""ja"",""en"")"),"remove")</f>
        <v>remove</v>
      </c>
    </row>
    <row r="547" spans="1:4" ht="15.75" customHeight="1" x14ac:dyDescent="0.25">
      <c r="A547" s="1" t="s">
        <v>1043</v>
      </c>
      <c r="B547" s="1" t="s">
        <v>4448</v>
      </c>
      <c r="C547" s="1" t="s">
        <v>1044</v>
      </c>
      <c r="D547" s="1" t="str">
        <f ca="1">IFERROR(__xludf.DUMMYFUNCTION("GoogleTranslate(B547,""ja"",""en"")"),"buy")</f>
        <v>buy</v>
      </c>
    </row>
    <row r="548" spans="1:4" ht="15.75" customHeight="1" x14ac:dyDescent="0.25">
      <c r="A548" s="1" t="s">
        <v>1045</v>
      </c>
      <c r="B548" s="1" t="s">
        <v>4449</v>
      </c>
      <c r="C548" s="1" t="s">
        <v>1046</v>
      </c>
      <c r="D548" s="1" t="str">
        <f ca="1">IFERROR(__xludf.DUMMYFUNCTION("GoogleTranslate(B548,""ja"",""en"")"),"Confirmation")</f>
        <v>Confirmation</v>
      </c>
    </row>
    <row r="549" spans="1:4" ht="15.75" customHeight="1" x14ac:dyDescent="0.25">
      <c r="A549" s="1" t="s">
        <v>1047</v>
      </c>
      <c r="B549" s="1" t="s">
        <v>4450</v>
      </c>
      <c r="C549" s="1" t="s">
        <v>1048</v>
      </c>
      <c r="D549" s="1" t="str">
        <f ca="1">IFERROR(__xludf.DUMMYFUNCTION("GoogleTranslate(B549,""ja"",""en"")"),"Line up")</f>
        <v>Line up</v>
      </c>
    </row>
    <row r="550" spans="1:4" ht="15.75" customHeight="1" x14ac:dyDescent="0.25">
      <c r="A550" s="1" t="s">
        <v>1049</v>
      </c>
      <c r="B550" s="1" t="s">
        <v>1017</v>
      </c>
      <c r="C550" s="1" t="s">
        <v>1050</v>
      </c>
      <c r="D550" s="1" t="str">
        <f ca="1">IFERROR(__xludf.DUMMYFUNCTION("GoogleTranslate(B550,""ja"",""en"")"),"Move")</f>
        <v>Move</v>
      </c>
    </row>
    <row r="551" spans="1:4" ht="15.75" customHeight="1" x14ac:dyDescent="0.25">
      <c r="A551" s="1" t="s">
        <v>1051</v>
      </c>
      <c r="B551" s="1" t="s">
        <v>1019</v>
      </c>
      <c r="C551" s="1" t="s">
        <v>1052</v>
      </c>
      <c r="D551" s="1" t="str">
        <f ca="1">IFERROR(__xludf.DUMMYFUNCTION("GoogleTranslate(B551,""ja"",""en"")"),"Kyoto all the drawings")</f>
        <v>Kyoto all the drawings</v>
      </c>
    </row>
    <row r="552" spans="1:4" ht="15.75" customHeight="1" x14ac:dyDescent="0.25">
      <c r="A552" s="1" t="s">
        <v>1053</v>
      </c>
      <c r="B552" s="1" t="s">
        <v>1021</v>
      </c>
      <c r="C552" s="1" t="s">
        <v>1054</v>
      </c>
      <c r="D552" s="1" t="str">
        <f ca="1">IFERROR(__xludf.DUMMYFUNCTION("GoogleTranslate(B552,""ja"",""en"")"),"Armed to the teeth")</f>
        <v>Armed to the teeth</v>
      </c>
    </row>
    <row r="553" spans="1:4" ht="15.75" customHeight="1" x14ac:dyDescent="0.25">
      <c r="A553" s="1" t="s">
        <v>1055</v>
      </c>
      <c r="B553" s="1" t="s">
        <v>1025</v>
      </c>
      <c r="C553" s="1" t="s">
        <v>1056</v>
      </c>
      <c r="D553" s="1" t="str">
        <f ca="1">IFERROR(__xludf.DUMMYFUNCTION("GoogleTranslate(B553,""ja"",""en"")"),"switching")</f>
        <v>switching</v>
      </c>
    </row>
    <row r="554" spans="1:4" ht="15.75" customHeight="1" x14ac:dyDescent="0.25">
      <c r="A554" s="1" t="s">
        <v>1057</v>
      </c>
      <c r="B554" s="1" t="s">
        <v>1029</v>
      </c>
      <c r="C554" s="1" t="s">
        <v>1058</v>
      </c>
      <c r="D554" s="1" t="str">
        <f ca="1">IFERROR(__xludf.DUMMYFUNCTION("GoogleTranslate(B554,""ja"",""en"")"),"sort")</f>
        <v>sort</v>
      </c>
    </row>
    <row r="555" spans="1:4" ht="15.75" customHeight="1" x14ac:dyDescent="0.25">
      <c r="A555" s="1" t="s">
        <v>1059</v>
      </c>
      <c r="B555" s="1" t="s">
        <v>1033</v>
      </c>
      <c r="C555" s="1" t="s">
        <v>1060</v>
      </c>
      <c r="D555" s="1" t="str">
        <f ca="1">IFERROR(__xludf.DUMMYFUNCTION("GoogleTranslate(B555,""ja"",""en"")"),"Standard Display")</f>
        <v>Standard Display</v>
      </c>
    </row>
    <row r="556" spans="1:4" ht="15.75" customHeight="1" x14ac:dyDescent="0.25">
      <c r="A556" s="1" t="s">
        <v>1061</v>
      </c>
      <c r="B556" s="1" t="s">
        <v>1037</v>
      </c>
      <c r="C556" s="1" t="s">
        <v>1062</v>
      </c>
      <c r="D556" s="1" t="str">
        <f ca="1">IFERROR(__xludf.DUMMYFUNCTION("GoogleTranslate(B556,""ja"",""en"")"),"Descending Display")</f>
        <v>Descending Display</v>
      </c>
    </row>
    <row r="557" spans="1:4" ht="15.75" customHeight="1" x14ac:dyDescent="0.25">
      <c r="A557" s="1" t="s">
        <v>1063</v>
      </c>
      <c r="B557" s="1" t="s">
        <v>1041</v>
      </c>
      <c r="C557" s="1" t="s">
        <v>1064</v>
      </c>
      <c r="D557" s="1" t="str">
        <f ca="1">IFERROR(__xludf.DUMMYFUNCTION("GoogleTranslate(B557,""ja"",""en"")"),"Ascending Display")</f>
        <v>Ascending Display</v>
      </c>
    </row>
    <row r="558" spans="1:4" ht="15.75" customHeight="1" x14ac:dyDescent="0.25">
      <c r="A558" s="1" t="s">
        <v>1065</v>
      </c>
      <c r="B558" s="1" t="s">
        <v>1045</v>
      </c>
      <c r="C558" s="1" t="s">
        <v>1066</v>
      </c>
      <c r="D558" s="1" t="str">
        <f ca="1">IFERROR(__xludf.DUMMYFUNCTION("GoogleTranslate(B558,""ja"",""en"")"),"tool")</f>
        <v>tool</v>
      </c>
    </row>
    <row r="559" spans="1:4" ht="15.75" customHeight="1" x14ac:dyDescent="0.25">
      <c r="A559" s="1" t="s">
        <v>1067</v>
      </c>
      <c r="B559" s="1" t="s">
        <v>1047</v>
      </c>
      <c r="C559" s="1" t="s">
        <v>1068</v>
      </c>
      <c r="D559" s="1" t="str">
        <f ca="1">IFERROR(__xludf.DUMMYFUNCTION("GoogleTranslate(B559,""ja"",""en"")"),"Escape")</f>
        <v>Escape</v>
      </c>
    </row>
    <row r="560" spans="1:4" ht="15.75" customHeight="1" x14ac:dyDescent="0.25">
      <c r="A560" s="1" t="s">
        <v>1069</v>
      </c>
      <c r="B560" s="1" t="s">
        <v>1049</v>
      </c>
      <c r="C560" s="1" t="s">
        <v>1070</v>
      </c>
      <c r="D560" s="1" t="str">
        <f ca="1">IFERROR(__xludf.DUMMYFUNCTION("GoogleTranslate(B560,""ja"",""en"")"),"Possession tool")</f>
        <v>Possession tool</v>
      </c>
    </row>
    <row r="561" spans="1:4" ht="15.75" customHeight="1" x14ac:dyDescent="0.25">
      <c r="A561" s="1" t="s">
        <v>1071</v>
      </c>
      <c r="B561" s="1" t="s">
        <v>1053</v>
      </c>
      <c r="C561" s="1" t="s">
        <v>1072</v>
      </c>
      <c r="D561" s="1" t="str">
        <f ca="1">IFERROR(__xludf.DUMMYFUNCTION("GoogleTranslate(B561,""ja"",""en"")"),"Arrangement")</f>
        <v>Arrangement</v>
      </c>
    </row>
    <row r="562" spans="1:4" ht="15.75" customHeight="1" x14ac:dyDescent="0.25">
      <c r="A562" s="1" t="s">
        <v>1073</v>
      </c>
      <c r="B562" s="1" t="s">
        <v>4451</v>
      </c>
      <c r="C562" s="1" t="s">
        <v>1074</v>
      </c>
      <c r="D562" s="1" t="str">
        <f ca="1">IFERROR(__xludf.DUMMYFUNCTION("GoogleTranslate(B562,""ja"",""en"")"),"Choice")</f>
        <v>Choice</v>
      </c>
    </row>
    <row r="563" spans="1:4" ht="15.75" customHeight="1" x14ac:dyDescent="0.25">
      <c r="A563" s="1" t="s">
        <v>1075</v>
      </c>
      <c r="B563" s="1" t="s">
        <v>1055</v>
      </c>
      <c r="C563" s="1" t="s">
        <v>1076</v>
      </c>
      <c r="D563" s="1" t="str">
        <f ca="1">IFERROR(__xludf.DUMMYFUNCTION("GoogleTranslate(B563,""ja"",""en"")"),"More detail")</f>
        <v>More detail</v>
      </c>
    </row>
    <row r="564" spans="1:4" ht="15.75" customHeight="1" x14ac:dyDescent="0.25">
      <c r="A564" s="1" t="s">
        <v>1077</v>
      </c>
      <c r="B564" s="1" t="s">
        <v>4452</v>
      </c>
      <c r="C564" s="1" t="s">
        <v>1078</v>
      </c>
      <c r="D564" s="1" t="str">
        <f ca="1">IFERROR(__xludf.DUMMYFUNCTION("GoogleTranslate(B564,""ja"",""en"")"),"Ability confirmation")</f>
        <v>Ability confirmation</v>
      </c>
    </row>
    <row r="565" spans="1:4" ht="15.75" customHeight="1" x14ac:dyDescent="0.25">
      <c r="A565" s="1" t="s">
        <v>1079</v>
      </c>
      <c r="B565" s="1" t="s">
        <v>4453</v>
      </c>
      <c r="C565" s="1" t="s">
        <v>1080</v>
      </c>
      <c r="D565" s="1" t="str">
        <f ca="1">IFERROR(__xludf.DUMMYFUNCTION("GoogleTranslate(B565,""ja"",""en"")"),"Capacity building")</f>
        <v>Capacity building</v>
      </c>
    </row>
    <row r="566" spans="1:4" ht="15.75" customHeight="1" x14ac:dyDescent="0.25">
      <c r="A566" s="1" t="s">
        <v>1081</v>
      </c>
      <c r="B566" s="1" t="s">
        <v>4454</v>
      </c>
      <c r="C566" s="1" t="s">
        <v>1082</v>
      </c>
      <c r="D566" s="1" t="str">
        <f ca="1">IFERROR(__xludf.DUMMYFUNCTION("GoogleTranslate(B566,""ja"",""en"")"),"item")</f>
        <v>item</v>
      </c>
    </row>
    <row r="567" spans="1:4" ht="15.75" customHeight="1" x14ac:dyDescent="0.25">
      <c r="A567" s="1" t="s">
        <v>1083</v>
      </c>
      <c r="B567" s="1" t="s">
        <v>4455</v>
      </c>
      <c r="C567" s="1" t="s">
        <v>1084</v>
      </c>
      <c r="D567" s="1" t="str">
        <f ca="1">IFERROR(__xludf.DUMMYFUNCTION("GoogleTranslate(B567,""ja"",""en"")"),"Map selection")</f>
        <v>Map selection</v>
      </c>
    </row>
    <row r="568" spans="1:4" ht="15.75" customHeight="1" x14ac:dyDescent="0.25">
      <c r="A568" s="1" t="s">
        <v>1085</v>
      </c>
      <c r="B568" s="1" t="s">
        <v>4456</v>
      </c>
      <c r="C568" s="1" t="s">
        <v>1086</v>
      </c>
      <c r="D568" s="1" t="str">
        <f ca="1">IFERROR(__xludf.DUMMYFUNCTION("GoogleTranslate(B568,""ja"",""en"")"),"Necessary materials")</f>
        <v>Necessary materials</v>
      </c>
    </row>
    <row r="569" spans="1:4" ht="15.75" customHeight="1" x14ac:dyDescent="0.25">
      <c r="A569" s="1" t="s">
        <v>1087</v>
      </c>
      <c r="B569" s="1" t="s">
        <v>1067</v>
      </c>
      <c r="C569" s="1" t="s">
        <v>1088</v>
      </c>
      <c r="D569" s="1" t="str">
        <f ca="1">IFERROR(__xludf.DUMMYFUNCTION("GoogleTranslate(B569,""ja"",""en"")"),"All play")</f>
        <v>All play</v>
      </c>
    </row>
    <row r="570" spans="1:4" ht="15.75" customHeight="1" x14ac:dyDescent="0.25">
      <c r="A570" s="1" t="s">
        <v>1089</v>
      </c>
      <c r="B570" s="1" t="s">
        <v>1069</v>
      </c>
      <c r="C570" s="1" t="s">
        <v>1090</v>
      </c>
      <c r="D570" s="1" t="str">
        <f ca="1">IFERROR(__xludf.DUMMYFUNCTION("GoogleTranslate(B570,""ja"",""en"")"),"rotation")</f>
        <v>rotation</v>
      </c>
    </row>
    <row r="571" spans="1:4" ht="15.75" customHeight="1" x14ac:dyDescent="0.25">
      <c r="A571" s="1" t="s">
        <v>1091</v>
      </c>
      <c r="B571" s="1" t="s">
        <v>4457</v>
      </c>
      <c r="C571" s="1" t="s">
        <v>1092</v>
      </c>
      <c r="D571" s="1" t="str">
        <f ca="1">IFERROR(__xludf.DUMMYFUNCTION("GoogleTranslate(B571,""ja"",""en"")"),"hero")</f>
        <v>hero</v>
      </c>
    </row>
    <row r="572" spans="1:4" ht="15.75" customHeight="1" x14ac:dyDescent="0.25">
      <c r="A572" s="1" t="s">
        <v>1093</v>
      </c>
      <c r="B572" s="1" t="s">
        <v>1071</v>
      </c>
      <c r="C572" s="1" t="s">
        <v>1094</v>
      </c>
      <c r="D572" s="1" t="str">
        <f ca="1">IFERROR(__xludf.DUMMYFUNCTION("GoogleTranslate(B572,""ja"",""en"")"),"Warehouse")</f>
        <v>Warehouse</v>
      </c>
    </row>
    <row r="573" spans="1:4" ht="15.75" customHeight="1" x14ac:dyDescent="0.25">
      <c r="A573" s="1" t="s">
        <v>1095</v>
      </c>
      <c r="B573" s="1" t="s">
        <v>4458</v>
      </c>
      <c r="C573" s="1" t="s">
        <v>1096</v>
      </c>
      <c r="D573" s="1" t="str">
        <f ca="1">IFERROR(__xludf.DUMMYFUNCTION("GoogleTranslate(B573,""ja"",""en"")"),"Auto organize")</f>
        <v>Auto organize</v>
      </c>
    </row>
    <row r="574" spans="1:4" ht="15.75" customHeight="1" x14ac:dyDescent="0.25">
      <c r="A574" s="1" t="s">
        <v>1097</v>
      </c>
      <c r="B574" s="1" t="s">
        <v>4459</v>
      </c>
      <c r="C574" s="1" t="s">
        <v>1098</v>
      </c>
      <c r="D574" s="1" t="str">
        <f ca="1">IFERROR(__xludf.DUMMYFUNCTION("GoogleTranslate(B574,""ja"",""en"")"),"Select all")</f>
        <v>Select all</v>
      </c>
    </row>
    <row r="575" spans="1:4" ht="15.75" customHeight="1" x14ac:dyDescent="0.25">
      <c r="A575" s="1" t="s">
        <v>1099</v>
      </c>
      <c r="B575" s="1" t="s">
        <v>4460</v>
      </c>
      <c r="C575" s="1" t="s">
        <v>1100</v>
      </c>
      <c r="D575" s="1" t="str">
        <f ca="1">IFERROR(__xludf.DUMMYFUNCTION("GoogleTranslate(B575,""ja"",""en"")"),"reply")</f>
        <v>reply</v>
      </c>
    </row>
    <row r="576" spans="1:4" ht="15.75" customHeight="1" x14ac:dyDescent="0.25">
      <c r="A576" s="1" t="s">
        <v>1101</v>
      </c>
      <c r="B576" s="1" t="s">
        <v>4461</v>
      </c>
      <c r="C576" s="1" t="s">
        <v>1102</v>
      </c>
      <c r="D576" s="1" t="str">
        <f ca="1">IFERROR(__xludf.DUMMYFUNCTION("GoogleTranslate(B576,""ja"",""en"")"),"Detailed facility")</f>
        <v>Detailed facility</v>
      </c>
    </row>
    <row r="577" spans="1:4" ht="15.75" customHeight="1" x14ac:dyDescent="0.25">
      <c r="A577" s="1" t="s">
        <v>1103</v>
      </c>
      <c r="B577" s="1" t="s">
        <v>4462</v>
      </c>
      <c r="C577" s="1" t="s">
        <v>1104</v>
      </c>
      <c r="D577" s="1" t="str">
        <f ca="1">IFERROR(__xludf.DUMMYFUNCTION("GoogleTranslate(B577,""ja"",""en"")"),"Destination setting")</f>
        <v>Destination setting</v>
      </c>
    </row>
    <row r="578" spans="1:4" ht="15.75" customHeight="1" x14ac:dyDescent="0.25">
      <c r="A578" s="1" t="s">
        <v>1105</v>
      </c>
      <c r="B578" s="1" t="s">
        <v>4463</v>
      </c>
      <c r="C578" s="1" t="s">
        <v>1106</v>
      </c>
      <c r="D578" s="1" t="str">
        <f ca="1">IFERROR(__xludf.DUMMYFUNCTION("GoogleTranslate(B578,""ja"",""en"")"),"Pause menu")</f>
        <v>Pause menu</v>
      </c>
    </row>
    <row r="579" spans="1:4" ht="15.75" customHeight="1" x14ac:dyDescent="0.25">
      <c r="A579" s="1" t="s">
        <v>1107</v>
      </c>
      <c r="B579" s="1" t="s">
        <v>4464</v>
      </c>
      <c r="C579" s="1" t="s">
        <v>1108</v>
      </c>
      <c r="D579" s="1" t="str">
        <f ca="1">IFERROR(__xludf.DUMMYFUNCTION("GoogleTranslate(B579,""ja"",""en"")"),"map")</f>
        <v>map</v>
      </c>
    </row>
    <row r="580" spans="1:4" ht="15.75" customHeight="1" x14ac:dyDescent="0.25">
      <c r="A580" s="1" t="s">
        <v>1109</v>
      </c>
      <c r="B580" s="1" t="s">
        <v>4465</v>
      </c>
      <c r="C580" s="1" t="s">
        <v>1110</v>
      </c>
      <c r="D580" s="1" t="str">
        <f ca="1">IFERROR(__xludf.DUMMYFUNCTION("GoogleTranslate(B580,""ja"",""en"")"),"None equipment")</f>
        <v>None equipment</v>
      </c>
    </row>
    <row r="581" spans="1:4" ht="15.75" customHeight="1" x14ac:dyDescent="0.25">
      <c r="A581" s="1" t="s">
        <v>1111</v>
      </c>
      <c r="B581" s="1" t="s">
        <v>4466</v>
      </c>
      <c r="C581" s="1" t="s">
        <v>1112</v>
      </c>
      <c r="D581" s="1" t="str">
        <f ca="1">IFERROR(__xludf.DUMMYFUNCTION("GoogleTranslate(B581,""ja"",""en"")"),"Storey")</f>
        <v>Storey</v>
      </c>
    </row>
    <row r="582" spans="1:4" ht="15.75" customHeight="1" x14ac:dyDescent="0.25">
      <c r="A582" s="1" t="s">
        <v>1113</v>
      </c>
      <c r="B582" s="1" t="s">
        <v>4467</v>
      </c>
      <c r="C582" s="1" t="s">
        <v>1114</v>
      </c>
      <c r="D582" s="1" t="str">
        <f ca="1">IFERROR(__xludf.DUMMYFUNCTION("GoogleTranslate(B582,""ja"",""en"")"),"I sent an item to the warehouse.")</f>
        <v>I sent an item to the warehouse.</v>
      </c>
    </row>
    <row r="583" spans="1:4" ht="15.75" customHeight="1" x14ac:dyDescent="0.25">
      <c r="A583" s="1" t="s">
        <v>1115</v>
      </c>
      <c r="B583" s="1" t="s">
        <v>4468</v>
      </c>
      <c r="C583" s="1" t="s">
        <v>1116</v>
      </c>
      <c r="D583" s="1" t="str">
        <f ca="1">IFERROR(__xludf.DUMMYFUNCTION("GoogleTranslate(B583,""ja"",""en"")"),"Some of the items is the number could not be sent because of the limit.")</f>
        <v>Some of the items is the number could not be sent because of the limit.</v>
      </c>
    </row>
    <row r="584" spans="1:4" ht="15.75" customHeight="1" x14ac:dyDescent="0.25">
      <c r="A584" s="1" t="s">
        <v>1117</v>
      </c>
      <c r="B584" s="1" t="s">
        <v>4469</v>
      </c>
      <c r="C584" s="1" t="s">
        <v>1118</v>
      </c>
      <c r="D584" s="1" t="str">
        <f ca="1">IFERROR(__xludf.DUMMYFUNCTION("GoogleTranslate(B584,""ja"",""en"")"),"There is no free space in the arms of the warehouse. Please organize.")</f>
        <v>There is no free space in the arms of the warehouse. Please organize.</v>
      </c>
    </row>
    <row r="585" spans="1:4" ht="15.75" customHeight="1" x14ac:dyDescent="0.25">
      <c r="A585" s="1" t="s">
        <v>1119</v>
      </c>
      <c r="B585" s="1" t="s">
        <v>1115</v>
      </c>
      <c r="C585" s="1" t="s">
        <v>213</v>
      </c>
      <c r="D585" s="1" t="str">
        <f ca="1">IFERROR(__xludf.DUMMYFUNCTION("GoogleTranslate(B585,""ja"",""en"")"),".")</f>
        <v>.</v>
      </c>
    </row>
    <row r="586" spans="1:4" ht="15.75" customHeight="1" x14ac:dyDescent="0.25">
      <c r="A586" s="1" t="s">
        <v>1120</v>
      </c>
      <c r="B586" s="1" t="s">
        <v>4470</v>
      </c>
      <c r="C586" s="1" t="s">
        <v>1121</v>
      </c>
      <c r="D586" s="1" t="str">
        <f ca="1">IFERROR(__xludf.DUMMYFUNCTION("GoogleTranslate(B586,""ja"",""en"")"),"&lt;Sign: 6&gt; and &lt;Sign: 4&gt; you can switch between the ability tab at")</f>
        <v>&lt;Sign: 6&gt; and &lt;Sign: 4&gt; you can switch between the ability tab at</v>
      </c>
    </row>
    <row r="587" spans="1:4" ht="15.75" customHeight="1" x14ac:dyDescent="0.25">
      <c r="A587" s="1" t="s">
        <v>1122</v>
      </c>
      <c r="B587" s="1" t="s">
        <v>1117</v>
      </c>
      <c r="C587" s="1" t="s">
        <v>1123</v>
      </c>
      <c r="D587" s="1" t="str">
        <f ca="1">IFERROR(__xludf.DUMMYFUNCTION("GoogleTranslate(B587,""ja"",""en"")"),"&lt;Sign: 6&gt; and &lt;Sign: 4&gt; you can switch between the items and weapons")</f>
        <v>&lt;Sign: 6&gt; and &lt;Sign: 4&gt; you can switch between the items and weapons</v>
      </c>
    </row>
    <row r="588" spans="1:4" ht="15.75" customHeight="1" x14ac:dyDescent="0.25">
      <c r="A588" s="1" t="s">
        <v>1124</v>
      </c>
      <c r="B588" s="1" t="s">
        <v>4471</v>
      </c>
      <c r="C588" s="1" t="s">
        <v>1125</v>
      </c>
      <c r="D588" s="1" t="str">
        <f ca="1">IFERROR(__xludf.DUMMYFUNCTION("GoogleTranslate(B588,""ja"",""en"")"),"field")</f>
        <v>field</v>
      </c>
    </row>
    <row r="589" spans="1:4" ht="15.75" customHeight="1" x14ac:dyDescent="0.25">
      <c r="A589" s="1" t="s">
        <v>1126</v>
      </c>
      <c r="B589" s="1" t="s">
        <v>1120</v>
      </c>
      <c r="C589" s="1" t="s">
        <v>1127</v>
      </c>
      <c r="D589" s="1" t="str">
        <f ca="1">IFERROR(__xludf.DUMMYFUNCTION("GoogleTranslate(B589,""ja"",""en"")"),"town")</f>
        <v>town</v>
      </c>
    </row>
    <row r="590" spans="1:4" ht="15.75" customHeight="1" x14ac:dyDescent="0.25">
      <c r="A590" s="1" t="s">
        <v>1128</v>
      </c>
      <c r="B590" s="1" t="s">
        <v>4472</v>
      </c>
      <c r="C590" s="1" t="s">
        <v>1129</v>
      </c>
      <c r="D590" s="1" t="str">
        <f ca="1">IFERROR(__xludf.DUMMYFUNCTION("GoogleTranslate(B590,""ja"",""en"")"),"A city")</f>
        <v>A city</v>
      </c>
    </row>
    <row r="591" spans="1:4" ht="15.75" customHeight="1" x14ac:dyDescent="0.25">
      <c r="A591" s="1" t="s">
        <v>1130</v>
      </c>
      <c r="B591" s="1" t="s">
        <v>4473</v>
      </c>
      <c r="C591" s="1" t="s">
        <v>1131</v>
      </c>
      <c r="D591" s="1" t="str">
        <f ca="1">IFERROR(__xludf.DUMMYFUNCTION("GoogleTranslate(B591,""ja"",""en"")"),"moat")</f>
        <v>moat</v>
      </c>
    </row>
    <row r="592" spans="1:4" ht="15.75" customHeight="1" x14ac:dyDescent="0.25">
      <c r="A592" s="1" t="s">
        <v>1132</v>
      </c>
      <c r="B592" s="1" t="s">
        <v>4474</v>
      </c>
      <c r="C592" s="1" t="s">
        <v>1129</v>
      </c>
      <c r="D592" s="1" t="str">
        <f ca="1">IFERROR(__xludf.DUMMYFUNCTION("GoogleTranslate(B592,""ja"",""en"")"),"A city")</f>
        <v>A city</v>
      </c>
    </row>
    <row r="593" spans="1:4" ht="15.75" customHeight="1" x14ac:dyDescent="0.25">
      <c r="A593" s="1" t="s">
        <v>1133</v>
      </c>
      <c r="B593" s="1" t="s">
        <v>4475</v>
      </c>
      <c r="C593" s="1" t="s">
        <v>1134</v>
      </c>
      <c r="D593" s="1" t="str">
        <f ca="1">IFERROR(__xludf.DUMMYFUNCTION("GoogleTranslate(B593,""ja"",""en"")"),"&lt;Sign: 0&gt; to the next")</f>
        <v>&lt;Sign: 0&gt; to the next</v>
      </c>
    </row>
    <row r="594" spans="1:4" ht="15.75" customHeight="1" x14ac:dyDescent="0.25">
      <c r="A594" s="1" t="s">
        <v>1135</v>
      </c>
      <c r="B594" s="1" t="s">
        <v>4476</v>
      </c>
      <c r="C594" s="1" t="s">
        <v>1136</v>
      </c>
      <c r="D594" s="1" t="str">
        <f ca="1">IFERROR(__xludf.DUMMYFUNCTION("GoogleTranslate(B594,""ja"",""en"")"),"Body")</f>
        <v>Body</v>
      </c>
    </row>
    <row r="595" spans="1:4" ht="15.75" customHeight="1" x14ac:dyDescent="0.25">
      <c r="A595" s="1" t="s">
        <v>1137</v>
      </c>
      <c r="B595" s="1" t="s">
        <v>4477</v>
      </c>
      <c r="C595" s="1" t="s">
        <v>1138</v>
      </c>
      <c r="D595" s="1" t="str">
        <f ca="1">IFERROR(__xludf.DUMMYFUNCTION("GoogleTranslate(B595,""ja"",""en"")"),"Required")</f>
        <v>Required</v>
      </c>
    </row>
    <row r="596" spans="1:4" ht="15.75" customHeight="1" x14ac:dyDescent="0.25">
      <c r="A596" s="1" t="s">
        <v>1139</v>
      </c>
      <c r="B596" s="1" t="s">
        <v>4478</v>
      </c>
      <c r="C596" s="1" t="s">
        <v>1140</v>
      </c>
      <c r="D596" s="1" t="str">
        <f ca="1">IFERROR(__xludf.DUMMYFUNCTION("GoogleTranslate(B596,""ja"",""en"")"),"care")</f>
        <v>care</v>
      </c>
    </row>
    <row r="597" spans="1:4" ht="15.75" customHeight="1" x14ac:dyDescent="0.25">
      <c r="A597" s="1" t="s">
        <v>1141</v>
      </c>
      <c r="B597" s="1" t="s">
        <v>4479</v>
      </c>
      <c r="C597" s="1" t="s">
        <v>1142</v>
      </c>
      <c r="D597" s="1" t="str">
        <f ca="1">IFERROR(__xludf.DUMMYFUNCTION("GoogleTranslate(B597,""ja"",""en"")"),"Mission")</f>
        <v>Mission</v>
      </c>
    </row>
    <row r="598" spans="1:4" ht="15.75" customHeight="1" x14ac:dyDescent="0.25">
      <c r="A598" s="1" t="s">
        <v>1143</v>
      </c>
      <c r="B598" s="1" t="s">
        <v>4480</v>
      </c>
      <c r="C598" s="1" t="s">
        <v>1144</v>
      </c>
      <c r="D598" s="1" t="str">
        <f ca="1">IFERROR(__xludf.DUMMYFUNCTION("GoogleTranslate(B598,""ja"",""en"")"),"Field theft")</f>
        <v>Field theft</v>
      </c>
    </row>
    <row r="599" spans="1:4" ht="15.75" customHeight="1" x14ac:dyDescent="0.25">
      <c r="A599" s="1" t="s">
        <v>1145</v>
      </c>
      <c r="B599" s="1" t="s">
        <v>4481</v>
      </c>
      <c r="C599" s="1" t="s">
        <v>1146</v>
      </c>
      <c r="D599" s="1" t="str">
        <f ca="1">IFERROR(__xludf.DUMMYFUNCTION("GoogleTranslate(B599,""ja"",""en"")"),"Outlaw")</f>
        <v>Outlaw</v>
      </c>
    </row>
    <row r="600" spans="1:4" ht="15.75" customHeight="1" x14ac:dyDescent="0.25">
      <c r="A600" s="1" t="s">
        <v>1147</v>
      </c>
      <c r="B600" s="1" t="s">
        <v>1135</v>
      </c>
      <c r="C600" s="1" t="s">
        <v>1148</v>
      </c>
      <c r="D600" s="1" t="str">
        <f ca="1">IFERROR(__xludf.DUMMYFUNCTION("GoogleTranslate(B600,""ja"",""en"")"),"Ruffian")</f>
        <v>Ruffian</v>
      </c>
    </row>
    <row r="601" spans="1:4" ht="15.75" customHeight="1" x14ac:dyDescent="0.25">
      <c r="A601" s="1" t="s">
        <v>1149</v>
      </c>
      <c r="B601" s="1" t="s">
        <v>1137</v>
      </c>
      <c r="C601" s="1" t="s">
        <v>1150</v>
      </c>
      <c r="D601" s="1" t="str">
        <f ca="1">IFERROR(__xludf.DUMMYFUNCTION("GoogleTranslate(B601,""ja"",""en"")"),"Golden Shu")</f>
        <v>Golden Shu</v>
      </c>
    </row>
    <row r="602" spans="1:4" ht="15.75" customHeight="1" x14ac:dyDescent="0.25">
      <c r="A602" s="1" t="s">
        <v>1151</v>
      </c>
      <c r="B602" s="1" t="s">
        <v>1139</v>
      </c>
      <c r="C602" s="1" t="s">
        <v>1152</v>
      </c>
      <c r="D602" s="1" t="str">
        <f ca="1">IFERROR(__xludf.DUMMYFUNCTION("GoogleTranslate(B602,""ja"",""en"")"),"Tomb Eji")</f>
        <v>Tomb Eji</v>
      </c>
    </row>
    <row r="603" spans="1:4" ht="15.75" customHeight="1" x14ac:dyDescent="0.25">
      <c r="A603" s="1" t="s">
        <v>1153</v>
      </c>
      <c r="B603" s="1" t="s">
        <v>4482</v>
      </c>
      <c r="C603" s="1" t="s">
        <v>1154</v>
      </c>
      <c r="D603" s="1" t="str">
        <f ca="1">IFERROR(__xludf.DUMMYFUNCTION("GoogleTranslate(B603,""ja"",""en"")"),"Shinsengumi")</f>
        <v>Shinsengumi</v>
      </c>
    </row>
    <row r="604" spans="1:4" ht="15.75" customHeight="1" x14ac:dyDescent="0.25">
      <c r="A604" s="1" t="s">
        <v>1155</v>
      </c>
      <c r="B604" s="1" t="s">
        <v>4483</v>
      </c>
      <c r="C604" s="1" t="s">
        <v>1156</v>
      </c>
      <c r="D604" s="1" t="str">
        <f ca="1">IFERROR(__xludf.DUMMYFUNCTION("GoogleTranslate(B604,""ja"",""en"")"),"Kyoto Mimawarigumi")</f>
        <v>Kyoto Mimawarigumi</v>
      </c>
    </row>
    <row r="605" spans="1:4" ht="15.75" customHeight="1" x14ac:dyDescent="0.25">
      <c r="A605" s="1" t="s">
        <v>1157</v>
      </c>
      <c r="B605" s="1" t="s">
        <v>4484</v>
      </c>
      <c r="C605" s="1" t="s">
        <v>1158</v>
      </c>
      <c r="D605" s="1" t="str">
        <f ca="1">IFERROR(__xludf.DUMMYFUNCTION("GoogleTranslate(B605,""ja"",""en"")"),"Resumption")</f>
        <v>Resumption</v>
      </c>
    </row>
    <row r="606" spans="1:4" ht="15.75" customHeight="1" x14ac:dyDescent="0.25">
      <c r="A606" s="1" t="s">
        <v>1159</v>
      </c>
      <c r="B606" s="1" t="s">
        <v>4485</v>
      </c>
      <c r="C606" s="1" t="s">
        <v>1160</v>
      </c>
      <c r="D606" s="1" t="str">
        <f ca="1">IFERROR(__xludf.DUMMYFUNCTION("GoogleTranslate(B606,""ja"",""en"")"),"skip")</f>
        <v>skip</v>
      </c>
    </row>
    <row r="607" spans="1:4" ht="15.75" customHeight="1" x14ac:dyDescent="0.25">
      <c r="A607" s="1" t="s">
        <v>1161</v>
      </c>
      <c r="B607" s="1" t="s">
        <v>4486</v>
      </c>
      <c r="C607" s="1" t="s">
        <v>1162</v>
      </c>
      <c r="D607" s="1" t="str">
        <f ca="1">IFERROR(__xludf.DUMMYFUNCTION("GoogleTranslate(B607,""ja"",""en"")"),"To the menu")</f>
        <v>To the menu</v>
      </c>
    </row>
    <row r="608" spans="1:4" ht="15.75" customHeight="1" x14ac:dyDescent="0.25">
      <c r="A608" s="1" t="s">
        <v>1163</v>
      </c>
      <c r="B608" s="1" t="s">
        <v>4487</v>
      </c>
      <c r="C608" s="1" t="s">
        <v>1164</v>
      </c>
      <c r="D608" s="1" t="str">
        <f ca="1">IFERROR(__xludf.DUMMYFUNCTION("GoogleTranslate(B608,""ja"",""en"")"),"Maximum station 撃数")</f>
        <v>Maximum station 撃数</v>
      </c>
    </row>
    <row r="609" spans="1:4" ht="15.75" customHeight="1" x14ac:dyDescent="0.25">
      <c r="A609" s="1" t="s">
        <v>1165</v>
      </c>
      <c r="B609" s="1" t="s">
        <v>4488</v>
      </c>
      <c r="C609" s="1" t="s">
        <v>1166</v>
      </c>
      <c r="D609" s="1" t="str">
        <f ca="1">IFERROR(__xludf.DUMMYFUNCTION("GoogleTranslate(B609,""ja"",""en"")"),"number")</f>
        <v>number</v>
      </c>
    </row>
    <row r="610" spans="1:4" ht="15.75" customHeight="1" x14ac:dyDescent="0.25">
      <c r="A610" s="1" t="s">
        <v>1167</v>
      </c>
      <c r="B610" s="1" t="s">
        <v>4489</v>
      </c>
      <c r="C610" s="1" t="s">
        <v>1166</v>
      </c>
      <c r="D610" s="1" t="str">
        <f ca="1">IFERROR(__xludf.DUMMYFUNCTION("GoogleTranslate(B610,""ja"",""en"")"),"number")</f>
        <v>number</v>
      </c>
    </row>
    <row r="611" spans="1:4" ht="15.75" customHeight="1" x14ac:dyDescent="0.25">
      <c r="A611" s="1" t="s">
        <v>1168</v>
      </c>
      <c r="B611" s="1" t="s">
        <v>4490</v>
      </c>
      <c r="C611" s="1" t="s">
        <v>1169</v>
      </c>
      <c r="D611" s="1" t="str">
        <f ca="1">IFERROR(__xludf.DUMMYFUNCTION("GoogleTranslate(B611,""ja"",""en"")"),"Di")</f>
        <v>Di</v>
      </c>
    </row>
    <row r="612" spans="1:4" ht="15.75" customHeight="1" x14ac:dyDescent="0.25">
      <c r="A612" s="1" t="s">
        <v>1170</v>
      </c>
      <c r="B612" s="1" t="s">
        <v>4491</v>
      </c>
      <c r="C612" s="1" t="s">
        <v>1171</v>
      </c>
      <c r="D612" s="1" t="str">
        <f ca="1">IFERROR(__xludf.DUMMYFUNCTION("GoogleTranslate(B612,""ja"",""en"")"),"Down")</f>
        <v>Down</v>
      </c>
    </row>
    <row r="613" spans="1:4" ht="15.75" customHeight="1" x14ac:dyDescent="0.25">
      <c r="A613" s="1" t="s">
        <v>1172</v>
      </c>
      <c r="B613" s="1" t="s">
        <v>4492</v>
      </c>
      <c r="C613" s="1" t="s">
        <v>1173</v>
      </c>
      <c r="D613" s="1" t="str">
        <f ca="1">IFERROR(__xludf.DUMMYFUNCTION("GoogleTranslate(B613,""ja"",""en"")"),"Heat action")</f>
        <v>Heat action</v>
      </c>
    </row>
    <row r="614" spans="1:4" ht="15.75" customHeight="1" x14ac:dyDescent="0.25">
      <c r="A614" s="1" t="s">
        <v>1174</v>
      </c>
      <c r="B614" s="1" t="s">
        <v>1159</v>
      </c>
      <c r="C614" s="1" t="s">
        <v>1175</v>
      </c>
      <c r="D614" s="1" t="str">
        <f ca="1">IFERROR(__xludf.DUMMYFUNCTION("GoogleTranslate(B614,""ja"",""en"")"),"Broken")</f>
        <v>Broken</v>
      </c>
    </row>
    <row r="615" spans="1:4" ht="15.75" customHeight="1" x14ac:dyDescent="0.25">
      <c r="A615" s="1" t="s">
        <v>1176</v>
      </c>
      <c r="B615" s="1" t="s">
        <v>4493</v>
      </c>
      <c r="C615" s="1" t="s">
        <v>1177</v>
      </c>
      <c r="D615" s="1" t="str">
        <f ca="1">IFERROR(__xludf.DUMMYFUNCTION("GoogleTranslate(B615,""ja"",""en"")"),"What it did not contain")</f>
        <v>What it did not contain</v>
      </c>
    </row>
    <row r="616" spans="1:4" ht="15.75" customHeight="1" x14ac:dyDescent="0.25">
      <c r="A616" s="1" t="s">
        <v>1178</v>
      </c>
      <c r="B616" s="1" t="s">
        <v>4494</v>
      </c>
      <c r="C616" s="1" t="s">
        <v>1179</v>
      </c>
      <c r="D616" s="1" t="str">
        <f ca="1">IFERROR(__xludf.DUMMYFUNCTION("GoogleTranslate(B616,""ja"",""en"")"),"Do you want to use your belongings?")</f>
        <v>Do you want to use your belongings?</v>
      </c>
    </row>
    <row r="617" spans="1:4" ht="15.75" customHeight="1" x14ac:dyDescent="0.25">
      <c r="A617" s="1" t="s">
        <v>1180</v>
      </c>
      <c r="B617" s="1" t="s">
        <v>4495</v>
      </c>
      <c r="C617" s="1" t="s">
        <v>1181</v>
      </c>
      <c r="D617" s="1" t="str">
        <f ca="1">IFERROR(__xludf.DUMMYFUNCTION("GoogleTranslate(B617,""ja"",""en"")"),"Do you throw away your belongings?")</f>
        <v>Do you throw away your belongings?</v>
      </c>
    </row>
    <row r="618" spans="1:4" ht="15.75" customHeight="1" x14ac:dyDescent="0.25">
      <c r="A618" s="1" t="s">
        <v>1182</v>
      </c>
      <c r="B618" s="1" t="s">
        <v>1170</v>
      </c>
      <c r="C618" s="1" t="s">
        <v>1183</v>
      </c>
      <c r="D618" s="1" t="str">
        <f ca="1">IFERROR(__xludf.DUMMYFUNCTION("GoogleTranslate(B618,""ja"",""en"")"),"Are you sure you want to save?")</f>
        <v>Are you sure you want to save?</v>
      </c>
    </row>
    <row r="619" spans="1:4" ht="15.75" customHeight="1" x14ac:dyDescent="0.25">
      <c r="A619" s="1" t="s">
        <v>1184</v>
      </c>
      <c r="B619" s="1" t="s">
        <v>4496</v>
      </c>
      <c r="C619" s="1" t="s">
        <v>1185</v>
      </c>
      <c r="D619" s="1" t="str">
        <f ca="1">IFERROR(__xludf.DUMMYFUNCTION("GoogleTranslate(B619,""ja"",""en"")"),"Do you want to temporarily elementary level the degree of difficulty?")</f>
        <v>Do you want to temporarily elementary level the degree of difficulty?</v>
      </c>
    </row>
    <row r="620" spans="1:4" ht="15.75" customHeight="1" x14ac:dyDescent="0.25">
      <c r="A620" s="1" t="s">
        <v>1186</v>
      </c>
      <c r="B620" s="1" t="s">
        <v>4497</v>
      </c>
      <c r="C620" s="1" t="s">
        <v>1187</v>
      </c>
      <c r="D620" s="1" t="str">
        <f ca="1">IFERROR(__xludf.DUMMYFUNCTION("GoogleTranslate(B620,""ja"",""en"")"),"Are you really sure you want to beginner?")</f>
        <v>Are you really sure you want to beginner?</v>
      </c>
    </row>
    <row r="621" spans="1:4" ht="15.75" customHeight="1" x14ac:dyDescent="0.25">
      <c r="A621" s="1" t="s">
        <v>1188</v>
      </c>
      <c r="B621" s="1" t="s">
        <v>1180</v>
      </c>
      <c r="C621" s="1" t="s">
        <v>1189</v>
      </c>
      <c r="D621" s="1" t="str">
        <f ca="1">IFERROR(__xludf.DUMMYFUNCTION("GoogleTranslate(B621,""ja"",""en"")"),"There is no free space in the possession of a weapon list. Please select a weapon to move to the [n] item box.")</f>
        <v>There is no free space in the possession of a weapon list. Please select a weapon to move to the [n] item box.</v>
      </c>
    </row>
    <row r="622" spans="1:4" ht="15.75" customHeight="1" x14ac:dyDescent="0.25">
      <c r="A622" s="1" t="s">
        <v>1190</v>
      </c>
      <c r="B622" s="1" t="s">
        <v>1186</v>
      </c>
      <c r="C622" s="1" t="s">
        <v>1191</v>
      </c>
      <c r="D622" s="1" t="str">
        <f ca="1">IFERROR(__xludf.DUMMYFUNCTION("GoogleTranslate(B622,""ja"",""en"")"),"There is no free space in the item list. Please select the item you want to move to the [n] item box.")</f>
        <v>There is no free space in the item list. Please select the item you want to move to the [n] item box.</v>
      </c>
    </row>
    <row r="623" spans="1:4" ht="15.75" customHeight="1" x14ac:dyDescent="0.25">
      <c r="A623" s="1" t="s">
        <v>1192</v>
      </c>
      <c r="B623" s="1" t="s">
        <v>4498</v>
      </c>
      <c r="C623" s="1" t="s">
        <v>1193</v>
      </c>
      <c r="D623" s="1" t="str">
        <f ca="1">IFERROR(__xludf.DUMMYFUNCTION("GoogleTranslate(B623,""ja"",""en"")"),"Does not select an item Are you sure you want?")</f>
        <v>Does not select an item Are you sure you want?</v>
      </c>
    </row>
    <row r="624" spans="1:4" ht="15.75" customHeight="1" x14ac:dyDescent="0.25">
      <c r="A624" s="1" t="s">
        <v>1194</v>
      </c>
      <c r="B624" s="1" t="s">
        <v>4499</v>
      </c>
      <c r="C624" s="1" t="s">
        <v>1195</v>
      </c>
      <c r="D624" s="1" t="str">
        <f ca="1">IFERROR(__xludf.DUMMYFUNCTION("GoogleTranslate(B624,""ja"",""en"")"),"Are you really sure?")</f>
        <v>Are you really sure?</v>
      </c>
    </row>
    <row r="625" spans="1:4" ht="15.75" customHeight="1" x14ac:dyDescent="0.25">
      <c r="A625" s="1" t="s">
        <v>1196</v>
      </c>
      <c r="B625" s="1" t="s">
        <v>4500</v>
      </c>
      <c r="C625" s="1" t="s">
        <v>1197</v>
      </c>
      <c r="D625" s="1" t="str">
        <f ca="1">IFERROR(__xludf.DUMMYFUNCTION("GoogleTranslate(B625,""ja"",""en"")"),"Are you sure you want to complete the item organize?")</f>
        <v>Are you sure you want to complete the item organize?</v>
      </c>
    </row>
    <row r="626" spans="1:4" ht="15.75" customHeight="1" x14ac:dyDescent="0.25">
      <c r="A626" s="1" t="s">
        <v>1198</v>
      </c>
      <c r="B626" s="1" t="s">
        <v>4501</v>
      </c>
      <c r="C626" s="1" t="s">
        <v>1199</v>
      </c>
      <c r="D626" s="1" t="str">
        <f ca="1">IFERROR(__xludf.DUMMYFUNCTION("GoogleTranslate(B626,""ja"",""en"")"),"Do you want to set a destination?")</f>
        <v>Do you want to set a destination?</v>
      </c>
    </row>
    <row r="627" spans="1:4" ht="15.75" customHeight="1" x14ac:dyDescent="0.25">
      <c r="A627" s="1" t="s">
        <v>1200</v>
      </c>
      <c r="B627" s="1" t="s">
        <v>1192</v>
      </c>
      <c r="C627" s="1" t="s">
        <v>1201</v>
      </c>
      <c r="D627" s="1" t="str">
        <f ca="1">IFERROR(__xludf.DUMMYFUNCTION("GoogleTranslate(B627,""ja"",""en"")"),"Are you sure you want to remove the destination?")</f>
        <v>Are you sure you want to remove the destination?</v>
      </c>
    </row>
    <row r="628" spans="1:4" ht="15.75" customHeight="1" x14ac:dyDescent="0.25">
      <c r="A628" s="1" t="s">
        <v>1202</v>
      </c>
      <c r="B628" s="1" t="s">
        <v>4502</v>
      </c>
      <c r="C628" s="1" t="s">
        <v>1203</v>
      </c>
      <c r="D628" s="1" t="str">
        <f ca="1">IFERROR(__xludf.DUMMYFUNCTION("GoogleTranslate(B628,""ja"",""en"")"),"Do you want to go back to the title?")</f>
        <v>Do you want to go back to the title?</v>
      </c>
    </row>
    <row r="629" spans="1:4" ht="15.75" customHeight="1" x14ac:dyDescent="0.25">
      <c r="A629" s="1" t="s">
        <v>1204</v>
      </c>
      <c r="B629" s="1" t="s">
        <v>1194</v>
      </c>
      <c r="C629" s="1" t="s">
        <v>1205</v>
      </c>
      <c r="D629" s="1" t="str">
        <f ca="1">IFERROR(__xludf.DUMMYFUNCTION("GoogleTranslate(B629,""ja"",""en"")"),"Do you want to interrupt?")</f>
        <v>Do you want to interrupt?</v>
      </c>
    </row>
    <row r="630" spans="1:4" ht="15.75" customHeight="1" x14ac:dyDescent="0.25">
      <c r="A630" s="1" t="s">
        <v>1206</v>
      </c>
      <c r="B630" s="1" t="s">
        <v>4503</v>
      </c>
      <c r="C630" s="1" t="s">
        <v>1207</v>
      </c>
      <c r="D630" s="1" t="str">
        <f ca="1">IFERROR(__xludf.DUMMYFUNCTION("GoogleTranslate(B630,""ja"",""en"")"),"Data that is not saved but will be gone, do you really want [n]?")</f>
        <v>Data that is not saved but will be gone, do you really want [n]?</v>
      </c>
    </row>
    <row r="631" spans="1:4" ht="15.75" customHeight="1" x14ac:dyDescent="0.25">
      <c r="A631" s="1" t="s">
        <v>1208</v>
      </c>
      <c r="B631" s="1" t="s">
        <v>4504</v>
      </c>
      <c r="C631" s="1" t="s">
        <v>1209</v>
      </c>
      <c r="D631" s="1" t="str">
        <f ca="1">IFERROR(__xludf.DUMMYFUNCTION("GoogleTranslate(B631,""ja"",""en"")"),"Are you sure you want to break?")</f>
        <v>Are you sure you want to break?</v>
      </c>
    </row>
    <row r="632" spans="1:4" ht="15.75" customHeight="1" x14ac:dyDescent="0.25">
      <c r="A632" s="1" t="s">
        <v>1210</v>
      </c>
      <c r="B632" s="1" t="s">
        <v>1204</v>
      </c>
      <c r="C632" s="1" t="s">
        <v>1211</v>
      </c>
      <c r="D632" s="1" t="str">
        <f ca="1">IFERROR(__xludf.DUMMYFUNCTION("GoogleTranslate(B632,""ja"",""en"")"),"Are you sure you want this title?")</f>
        <v>Are you sure you want this title?</v>
      </c>
    </row>
    <row r="633" spans="1:4" ht="15.75" customHeight="1" x14ac:dyDescent="0.25">
      <c r="A633" s="1" t="s">
        <v>1212</v>
      </c>
      <c r="B633" s="1" t="s">
        <v>4505</v>
      </c>
      <c r="C633" s="1" t="s">
        <v>1213</v>
      </c>
      <c r="D633" s="1" t="str">
        <f ca="1">IFERROR(__xludf.DUMMYFUNCTION("GoogleTranslate(B633,""ja"",""en"")"),"To cancel the order request. Is it OK? [N] (pass the goods will be canceled)")</f>
        <v>To cancel the order request. Is it OK? [N] (pass the goods will be canceled)</v>
      </c>
    </row>
    <row r="634" spans="1:4" ht="15.75" customHeight="1" x14ac:dyDescent="0.25">
      <c r="A634" s="1" t="s">
        <v>1214</v>
      </c>
      <c r="B634" s="1" t="s">
        <v>4506</v>
      </c>
      <c r="C634" s="1" t="s">
        <v>1215</v>
      </c>
      <c r="D634" s="1" t="str">
        <f ca="1">IFERROR(__xludf.DUMMYFUNCTION("GoogleTranslate(B634,""ja"",""en"")"),"Shogi is one game 5 points. [N] do you pay?")</f>
        <v>Shogi is one game 5 points. [N] do you pay?</v>
      </c>
    </row>
    <row r="635" spans="1:4" ht="15.75" customHeight="1" x14ac:dyDescent="0.25">
      <c r="A635" s="1" t="s">
        <v>1216</v>
      </c>
      <c r="B635" s="1" t="s">
        <v>4507</v>
      </c>
      <c r="C635" s="1" t="s">
        <v>1217</v>
      </c>
      <c r="D635" s="1" t="str">
        <f ca="1">IFERROR(__xludf.DUMMYFUNCTION("GoogleTranslate(B635,""ja"",""en"")"),"The save data of PlayStation Vita side uploaded on the [n] server, you sure you want to save [n] overwrite?")</f>
        <v>The save data of PlayStation Vita side uploaded on the [n] server, you sure you want to save [n] overwrite?</v>
      </c>
    </row>
    <row r="636" spans="1:4" ht="15.75" customHeight="1" x14ac:dyDescent="0.25">
      <c r="A636" s="1" t="s">
        <v>1218</v>
      </c>
      <c r="B636" s="1" t="s">
        <v>4508</v>
      </c>
      <c r="C636" s="1" t="s">
        <v>1219</v>
      </c>
      <c r="D636" s="1" t="str">
        <f ca="1">IFERROR(__xludf.DUMMYFUNCTION("GoogleTranslate(B636,""ja"",""en"")"),"[N] Save Are you sure you want to in the save data on the PlayStation Vita side [n] server to save data?")</f>
        <v>[N] Save Are you sure you want to in the save data on the PlayStation Vita side [n] server to save data?</v>
      </c>
    </row>
    <row r="637" spans="1:4" ht="15.75" customHeight="1" x14ac:dyDescent="0.25">
      <c r="A637" s="1" t="s">
        <v>1220</v>
      </c>
      <c r="B637" s="1" t="s">
        <v>4509</v>
      </c>
      <c r="C637" s="1" t="s">
        <v>1221</v>
      </c>
      <c r="D637" s="1" t="str">
        <f ca="1">IFERROR(__xludf.DUMMYFUNCTION("GoogleTranslate(B637,""ja"",""en"")"),"PlayStation 3 side of the save data and upload it to the [n] server, you sure you want to save [n] overwrite?")</f>
        <v>PlayStation 3 side of the save data and upload it to the [n] server, you sure you want to save [n] overwrite?</v>
      </c>
    </row>
    <row r="638" spans="1:4" ht="15.75" customHeight="1" x14ac:dyDescent="0.25">
      <c r="A638" s="1" t="s">
        <v>1222</v>
      </c>
      <c r="B638" s="1" t="s">
        <v>4510</v>
      </c>
      <c r="C638" s="1" t="s">
        <v>1223</v>
      </c>
      <c r="D638" s="1" t="str">
        <f ca="1">IFERROR(__xludf.DUMMYFUNCTION("GoogleTranslate(B638,""ja"",""en"")"),"PlayStation 4 side of the save data and upload it to the [n] server, you sure you want to save [n] overwrite?")</f>
        <v>PlayStation 4 side of the save data and upload it to the [n] server, you sure you want to save [n] overwrite?</v>
      </c>
    </row>
    <row r="639" spans="1:4" ht="15.75" customHeight="1" x14ac:dyDescent="0.25">
      <c r="A639" s="1" t="s">
        <v>1224</v>
      </c>
      <c r="B639" s="1" t="s">
        <v>4511</v>
      </c>
      <c r="C639" s="1" t="s">
        <v>1225</v>
      </c>
      <c r="D639" s="1" t="str">
        <f ca="1">IFERROR(__xludf.DUMMYFUNCTION("GoogleTranslate(B639,""ja"",""en"")"),"Although earlier in the server-side save data is [n] level (experience) is higher of the hero, Are you sure you want to overwrite in this still really [n] upload?")</f>
        <v>Although earlier in the server-side save data is [n] level (experience) is higher of the hero, Are you sure you want to overwrite in this still really [n] upload?</v>
      </c>
    </row>
    <row r="640" spans="1:4" ht="15.75" customHeight="1" x14ac:dyDescent="0.25">
      <c r="A640" s="1" t="s">
        <v>1226</v>
      </c>
      <c r="B640" s="1" t="s">
        <v>4512</v>
      </c>
      <c r="C640" s="1" t="s">
        <v>1227</v>
      </c>
      <c r="D640" s="1" t="str">
        <f ca="1">IFERROR(__xludf.DUMMYFUNCTION("GoogleTranslate(B640,""ja"",""en"")"),"Although towards the server side of the save data is a long [n] total play time, Are you sure you want to overwrite save this state really [n] upload?")</f>
        <v>Although towards the server side of the save data is a long [n] total play time, Are you sure you want to overwrite save this state really [n] upload?</v>
      </c>
    </row>
    <row r="641" spans="1:4" ht="15.75" customHeight="1" x14ac:dyDescent="0.25">
      <c r="A641" s="1" t="s">
        <v>1228</v>
      </c>
      <c r="B641" s="1" t="s">
        <v>1226</v>
      </c>
      <c r="C641" s="1" t="s">
        <v>1229</v>
      </c>
      <c r="D641" s="1" t="str">
        <f ca="1">IFERROR(__xludf.DUMMYFUNCTION("GoogleTranslate(B641,""ja"",""en"")"),"Although earlier in the server-side save data is low [n] level (experience value) of the main character, you sure you want to overwrite this state really download [n]?")</f>
        <v>Although earlier in the server-side save data is low [n] level (experience value) of the main character, you sure you want to overwrite this state really download [n]?</v>
      </c>
    </row>
    <row r="642" spans="1:4" ht="15.75" customHeight="1" x14ac:dyDescent="0.25">
      <c r="A642" s="1" t="s">
        <v>1230</v>
      </c>
      <c r="B642" s="1" t="s">
        <v>4513</v>
      </c>
      <c r="C642" s="1" t="s">
        <v>1231</v>
      </c>
      <c r="D642" s="1" t="str">
        <f ca="1">IFERROR(__xludf.DUMMYFUNCTION("GoogleTranslate(B642,""ja"",""en"")"),"Although towards the server side of the save data is short [n] total play time, Are you sure you want to overwrite this state really download [n]?")</f>
        <v>Although towards the server side of the save data is short [n] total play time, Are you sure you want to overwrite this state really download [n]?</v>
      </c>
    </row>
    <row r="643" spans="1:4" ht="15.75" customHeight="1" x14ac:dyDescent="0.25">
      <c r="A643" s="1" t="s">
        <v>1232</v>
      </c>
      <c r="B643" s="1" t="s">
        <v>1230</v>
      </c>
      <c r="C643" s="1" t="s">
        <v>1233</v>
      </c>
      <c r="D643" s="1" t="str">
        <f ca="1">IFERROR(__xludf.DUMMYFUNCTION("GoogleTranslate(B643,""ja"",""en"")"),"Are you sure you want to races?")</f>
        <v>Are you sure you want to races?</v>
      </c>
    </row>
    <row r="644" spans="1:4" ht="15.75" customHeight="1" x14ac:dyDescent="0.25">
      <c r="A644" s="1" t="s">
        <v>1234</v>
      </c>
      <c r="B644" s="1" t="s">
        <v>4514</v>
      </c>
      <c r="C644" s="1" t="s">
        <v>1235</v>
      </c>
      <c r="D644" s="1" t="str">
        <f ca="1">IFERROR(__xludf.DUMMYFUNCTION("GoogleTranslate(B644,""ja"",""en"")"),"Do you want to exit the chopping wood?")</f>
        <v>Do you want to exit the chopping wood?</v>
      </c>
    </row>
    <row r="645" spans="1:4" ht="15.75" customHeight="1" x14ac:dyDescent="0.25">
      <c r="A645" s="1" t="s">
        <v>1236</v>
      </c>
      <c r="B645" s="1" t="s">
        <v>4515</v>
      </c>
      <c r="C645" s="1" t="s">
        <v>1237</v>
      </c>
      <c r="D645" s="1" t="str">
        <f ca="1">IFERROR(__xludf.DUMMYFUNCTION("GoogleTranslate(B645,""ja"",""en"")"),"Do you stop the Scarecrow mansion?")</f>
        <v>Do you stop the Scarecrow mansion?</v>
      </c>
    </row>
    <row r="646" spans="1:4" ht="15.75" customHeight="1" x14ac:dyDescent="0.25">
      <c r="A646" s="1" t="s">
        <v>1238</v>
      </c>
      <c r="B646" s="1" t="s">
        <v>4516</v>
      </c>
      <c r="C646" s="1" t="s">
        <v>1239</v>
      </c>
      <c r="D646" s="1" t="str">
        <f ca="1">IFERROR(__xludf.DUMMYFUNCTION("GoogleTranslate(B646,""ja"",""en"")"),"Although physical fitness has been all recovery, Are you sure that you want to use?")</f>
        <v>Although physical fitness has been all recovery, Are you sure that you want to use?</v>
      </c>
    </row>
    <row r="647" spans="1:4" ht="15.75" customHeight="1" x14ac:dyDescent="0.25">
      <c r="A647" s="1" t="s">
        <v>1240</v>
      </c>
      <c r="B647" s="1" t="s">
        <v>4517</v>
      </c>
      <c r="C647" s="1" t="s">
        <v>1241</v>
      </c>
      <c r="D647" s="1" t="str">
        <f ca="1">IFERROR(__xludf.DUMMYFUNCTION("GoogleTranslate(B647,""ja"",""en"")"),"Heat but has been all recovery, Are you sure that you want to use?")</f>
        <v>Heat but has been all recovery, Are you sure that you want to use?</v>
      </c>
    </row>
    <row r="648" spans="1:4" ht="15.75" customHeight="1" x14ac:dyDescent="0.25">
      <c r="A648" s="1" t="s">
        <v>1242</v>
      </c>
      <c r="B648" s="1" t="s">
        <v>1236</v>
      </c>
      <c r="C648" s="1" t="s">
        <v>1243</v>
      </c>
      <c r="D648" s="1" t="str">
        <f ca="1">IFERROR(__xludf.DUMMYFUNCTION("GoogleTranslate(B648,""ja"",""en"")"),"Although physical strength and heat are all recovery, Are you sure that you want to use?")</f>
        <v>Although physical strength and heat are all recovery, Are you sure that you want to use?</v>
      </c>
    </row>
    <row r="649" spans="1:4" ht="15.75" customHeight="1" x14ac:dyDescent="0.25">
      <c r="A649" s="1" t="s">
        <v>1244</v>
      </c>
      <c r="B649" s="1" t="s">
        <v>4518</v>
      </c>
      <c r="C649" s="1" t="s">
        <v>1245</v>
      </c>
      <c r="D649" s="1" t="str">
        <f ca="1">IFERROR(__xludf.DUMMYFUNCTION("GoogleTranslate(B649,""ja"",""en"")"),"Do you want to go back to the main menu?")</f>
        <v>Do you want to go back to the main menu?</v>
      </c>
    </row>
    <row r="650" spans="1:4" ht="15.75" customHeight="1" x14ac:dyDescent="0.25">
      <c r="A650" s="1" t="s">
        <v>1246</v>
      </c>
      <c r="B650" s="1" t="s">
        <v>4519</v>
      </c>
      <c r="C650" s="1" t="s">
        <v>1247</v>
      </c>
      <c r="D650" s="1" t="str">
        <f ca="1">IFERROR(__xludf.DUMMYFUNCTION("GoogleTranslate(B650,""ja"",""en"")"),"Do you want to go back to the military station?")</f>
        <v>Do you want to go back to the military station?</v>
      </c>
    </row>
    <row r="651" spans="1:4" ht="15.75" customHeight="1" x14ac:dyDescent="0.25">
      <c r="A651" s="1" t="s">
        <v>1248</v>
      </c>
      <c r="B651" s="1" t="s">
        <v>4520</v>
      </c>
      <c r="C651" s="1" t="s">
        <v>1249</v>
      </c>
      <c r="D651" s="1" t="str">
        <f ca="1">IFERROR(__xludf.DUMMYFUNCTION("GoogleTranslate(B651,""ja"",""en"")"),"Do you want to go back to the Scarecrow mansion menu?")</f>
        <v>Do you want to go back to the Scarecrow mansion menu?</v>
      </c>
    </row>
    <row r="652" spans="1:4" ht="15.75" customHeight="1" x14ac:dyDescent="0.25">
      <c r="A652" s="1" t="s">
        <v>1250</v>
      </c>
      <c r="B652" s="1" t="s">
        <v>4521</v>
      </c>
      <c r="C652" s="1" t="s">
        <v>1251</v>
      </c>
      <c r="D652" s="1" t="str">
        <f ca="1">IFERROR(__xludf.DUMMYFUNCTION("GoogleTranslate(B652,""ja"",""en"")"),"Do you want to go back to the ultimate competition menu?")</f>
        <v>Do you want to go back to the ultimate competition menu?</v>
      </c>
    </row>
    <row r="653" spans="1:4" ht="15.75" customHeight="1" x14ac:dyDescent="0.25">
      <c r="A653" s="1" t="s">
        <v>1252</v>
      </c>
      <c r="B653" s="1" t="s">
        <v>1244</v>
      </c>
      <c r="C653" s="1" t="s">
        <v>1253</v>
      </c>
      <c r="D653" s="1" t="str">
        <f ca="1">IFERROR(__xludf.DUMMYFUNCTION("GoogleTranslate(B653,""ja"",""en"")"),"Are you sure you want this nickname?")</f>
        <v>Are you sure you want this nickname?</v>
      </c>
    </row>
    <row r="654" spans="1:4" ht="15.75" customHeight="1" x14ac:dyDescent="0.25">
      <c r="A654" s="1" t="s">
        <v>1254</v>
      </c>
      <c r="B654" s="1" t="s">
        <v>4522</v>
      </c>
      <c r="C654" s="1" t="s">
        <v>1255</v>
      </c>
      <c r="D654" s="1" t="str">
        <f ca="1">IFERROR(__xludf.DUMMYFUNCTION("GoogleTranslate(B654,""ja"",""en"")"),"There is no need to use now.")</f>
        <v>There is no need to use now.</v>
      </c>
    </row>
    <row r="655" spans="1:4" ht="15.75" customHeight="1" x14ac:dyDescent="0.25">
      <c r="A655" s="1" t="s">
        <v>1256</v>
      </c>
      <c r="B655" s="1" t="s">
        <v>4523</v>
      </c>
      <c r="C655" s="1" t="s">
        <v>1257</v>
      </c>
      <c r="D655" s="1" t="str">
        <f ca="1">IFERROR(__xludf.DUMMYFUNCTION("GoogleTranslate(B655,""ja"",""en"")"),"Here it can not be used.")</f>
        <v>Here it can not be used.</v>
      </c>
    </row>
    <row r="656" spans="1:4" ht="15.75" customHeight="1" x14ac:dyDescent="0.25">
      <c r="A656" s="1" t="s">
        <v>1258</v>
      </c>
      <c r="B656" s="1" t="s">
        <v>4524</v>
      </c>
      <c r="C656" s="1" t="s">
        <v>1259</v>
      </c>
      <c r="D656" s="1" t="str">
        <f ca="1">IFERROR(__xludf.DUMMYFUNCTION("GoogleTranslate(B656,""ja"",""en"")"),"This is not discarded.")</f>
        <v>This is not discarded.</v>
      </c>
    </row>
    <row r="657" spans="1:4" ht="15.75" customHeight="1" x14ac:dyDescent="0.25">
      <c r="A657" s="1" t="s">
        <v>1260</v>
      </c>
      <c r="B657" s="1" t="s">
        <v>4525</v>
      </c>
      <c r="C657" s="1" t="s">
        <v>1261</v>
      </c>
      <c r="D657" s="1" t="str">
        <f ca="1">IFERROR(__xludf.DUMMYFUNCTION("GoogleTranslate(B657,""ja"",""en"")"),"Not be discarded because it is in the equipment.")</f>
        <v>Not be discarded because it is in the equipment.</v>
      </c>
    </row>
    <row r="658" spans="1:4" ht="15.75" customHeight="1" x14ac:dyDescent="0.25">
      <c r="A658" s="1" t="s">
        <v>1262</v>
      </c>
      <c r="B658" s="1" t="s">
        <v>4526</v>
      </c>
      <c r="C658" s="1" t="s">
        <v>1263</v>
      </c>
      <c r="D658" s="1" t="str">
        <f ca="1">IFERROR(__xludf.DUMMYFUNCTION("GoogleTranslate(B658,""ja"",""en"")"),"It can not be equipped with this hero.")</f>
        <v>It can not be equipped with this hero.</v>
      </c>
    </row>
    <row r="659" spans="1:4" ht="15.75" customHeight="1" x14ac:dyDescent="0.25">
      <c r="A659" s="1" t="s">
        <v>1264</v>
      </c>
      <c r="B659" s="1" t="s">
        <v>4527</v>
      </c>
      <c r="C659" s="1" t="s">
        <v>1265</v>
      </c>
      <c r="D659" s="1" t="str">
        <f ca="1">IFERROR(__xludf.DUMMYFUNCTION("GoogleTranslate(B659,""ja"",""en"")"),"Number of items box is the limit.")</f>
        <v>Number of items box is the limit.</v>
      </c>
    </row>
    <row r="660" spans="1:4" ht="15.75" customHeight="1" x14ac:dyDescent="0.25">
      <c r="A660" s="1" t="s">
        <v>1266</v>
      </c>
      <c r="B660" s="1" t="s">
        <v>1258</v>
      </c>
      <c r="C660" s="1" t="s">
        <v>1267</v>
      </c>
      <c r="D660" s="1" t="str">
        <f ca="1">IFERROR(__xludf.DUMMYFUNCTION("GoogleTranslate(B660,""ja"",""en"")"),"Usually weapons should be in the sky.")</f>
        <v>Usually weapons should be in the sky.</v>
      </c>
    </row>
    <row r="661" spans="1:4" ht="15.75" customHeight="1" x14ac:dyDescent="0.25">
      <c r="A661" s="1" t="s">
        <v>1268</v>
      </c>
      <c r="B661" s="1" t="s">
        <v>4528</v>
      </c>
      <c r="C661" s="1" t="s">
        <v>1269</v>
      </c>
      <c r="D661" s="1" t="str">
        <f ca="1">IFERROR(__xludf.DUMMYFUNCTION("GoogleTranslate(B661,""ja"",""en"")"),"There is no equipment skills.")</f>
        <v>There is no equipment skills.</v>
      </c>
    </row>
    <row r="662" spans="1:4" ht="15.75" customHeight="1" x14ac:dyDescent="0.25">
      <c r="A662" s="1" t="s">
        <v>1270</v>
      </c>
      <c r="B662" s="1" t="s">
        <v>4529</v>
      </c>
      <c r="C662" s="1" t="s">
        <v>1271</v>
      </c>
      <c r="D662" s="1" t="str">
        <f ca="1">IFERROR(__xludf.DUMMYFUNCTION("GoogleTranslate(B662,""ja"",""en"")"),"Can not be used.")</f>
        <v>Can not be used.</v>
      </c>
    </row>
    <row r="663" spans="1:4" ht="15.75" customHeight="1" x14ac:dyDescent="0.25">
      <c r="A663" s="1" t="s">
        <v>1272</v>
      </c>
      <c r="B663" s="1" t="s">
        <v>1264</v>
      </c>
      <c r="C663" s="1" t="s">
        <v>1273</v>
      </c>
      <c r="D663" s="1" t="str">
        <f ca="1">IFERROR(__xludf.DUMMYFUNCTION("GoogleTranslate(B663,""ja"",""en"")"),"It can not be equipped because there is no right.")</f>
        <v>It can not be equipped because there is no right.</v>
      </c>
    </row>
    <row r="664" spans="1:4" ht="15.75" customHeight="1" x14ac:dyDescent="0.25">
      <c r="A664" s="1" t="s">
        <v>1274</v>
      </c>
      <c r="B664" s="1" t="s">
        <v>4530</v>
      </c>
      <c r="C664" s="1" t="s">
        <v>1275</v>
      </c>
      <c r="D664" s="1" t="str">
        <f ca="1">IFERROR(__xludf.DUMMYFUNCTION("GoogleTranslate(B664,""ja"",""en"")"),"You can not change the equipment.")</f>
        <v>You can not change the equipment.</v>
      </c>
    </row>
    <row r="665" spans="1:4" ht="15.75" customHeight="1" x14ac:dyDescent="0.25">
      <c r="A665" s="1" t="s">
        <v>1276</v>
      </c>
      <c r="B665" s="1" t="s">
        <v>1268</v>
      </c>
      <c r="C665" s="1" t="s">
        <v>1277</v>
      </c>
      <c r="D665" s="1" t="str">
        <f ca="1">IFERROR(__xludf.DUMMYFUNCTION("GoogleTranslate(B665,""ja"",""en"")"),"This can not be moved.")</f>
        <v>This can not be moved.</v>
      </c>
    </row>
    <row r="666" spans="1:4" ht="15.75" customHeight="1" x14ac:dyDescent="0.25">
      <c r="A666" s="1" t="s">
        <v>1278</v>
      </c>
      <c r="B666" s="1" t="s">
        <v>4531</v>
      </c>
      <c r="C666" s="1" t="s">
        <v>1279</v>
      </c>
      <c r="D666" s="1" t="str">
        <f ca="1">IFERROR(__xludf.DUMMYFUNCTION("GoogleTranslate(B666,""ja"",""en"")"),"Upload has been completed successfully.")</f>
        <v>Upload has been completed successfully.</v>
      </c>
    </row>
    <row r="667" spans="1:4" ht="15.75" customHeight="1" x14ac:dyDescent="0.25">
      <c r="A667" s="1" t="s">
        <v>1280</v>
      </c>
      <c r="B667" s="1" t="s">
        <v>4532</v>
      </c>
      <c r="C667" s="1" t="s">
        <v>1281</v>
      </c>
      <c r="D667" s="1" t="str">
        <f ca="1">IFERROR(__xludf.DUMMYFUNCTION("GoogleTranslate(B667,""ja"",""en"")"),"Download has been completed successfully.")</f>
        <v>Download has been completed successfully.</v>
      </c>
    </row>
    <row r="668" spans="1:4" ht="15.75" customHeight="1" x14ac:dyDescent="0.25">
      <c r="A668" s="1" t="s">
        <v>1282</v>
      </c>
      <c r="B668" s="1" t="s">
        <v>1274</v>
      </c>
      <c r="C668" s="1" t="s">
        <v>1283</v>
      </c>
      <c r="D668" s="1" t="str">
        <f ca="1">IFERROR(__xludf.DUMMYFUNCTION("GoogleTranslate(B668,""ja"",""en"")"),"I could not download. [N] server to save data is not [n] upload.")</f>
        <v>I could not download. [N] server to save data is not [n] upload.</v>
      </c>
    </row>
    <row r="669" spans="1:4" ht="15.75" customHeight="1" x14ac:dyDescent="0.25">
      <c r="A669" s="1" t="s">
        <v>1284</v>
      </c>
      <c r="B669" s="1" t="s">
        <v>1280</v>
      </c>
      <c r="C669" s="1" t="s">
        <v>1285</v>
      </c>
      <c r="D669" s="1" t="str">
        <f ca="1">IFERROR(__xludf.DUMMYFUNCTION("GoogleTranslate(B669,""ja"",""en"")"),"It is during the upload. Please do not turn off the [n] power. [N] data might be damaged.")</f>
        <v>It is during the upload. Please do not turn off the [n] power. [N] data might be damaged.</v>
      </c>
    </row>
    <row r="670" spans="1:4" ht="15.75" customHeight="1" x14ac:dyDescent="0.25">
      <c r="A670" s="1" t="s">
        <v>1286</v>
      </c>
      <c r="B670" s="1" t="s">
        <v>4533</v>
      </c>
      <c r="C670" s="1" t="s">
        <v>1287</v>
      </c>
      <c r="D670" s="1" t="str">
        <f ca="1">IFERROR(__xludf.DUMMYFUNCTION("GoogleTranslate(B670,""ja"",""en"")"),"It is being downloaded. Please do not turn off the [n] power. [N] data might be damaged.")</f>
        <v>It is being downloaded. Please do not turn off the [n] power. [N] data might be damaged.</v>
      </c>
    </row>
    <row r="671" spans="1:4" ht="15.75" customHeight="1" x14ac:dyDescent="0.25">
      <c r="A671" s="1" t="s">
        <v>1288</v>
      </c>
      <c r="B671" s="1" t="s">
        <v>4534</v>
      </c>
      <c r="C671" s="1" t="s">
        <v>1289</v>
      </c>
      <c r="D671" s="1" t="str">
        <f ca="1">IFERROR(__xludf.DUMMYFUNCTION("GoogleTranslate(B671,""ja"",""en"")"),"It failed to [n] upload because the communication is disconnected.")</f>
        <v>It failed to [n] upload because the communication is disconnected.</v>
      </c>
    </row>
    <row r="672" spans="1:4" ht="15.75" customHeight="1" x14ac:dyDescent="0.25">
      <c r="A672" s="1" t="s">
        <v>1290</v>
      </c>
      <c r="B672" s="1" t="s">
        <v>4535</v>
      </c>
      <c r="C672" s="1" t="s">
        <v>1291</v>
      </c>
      <c r="D672" s="1" t="str">
        <f ca="1">IFERROR(__xludf.DUMMYFUNCTION("GoogleTranslate(B672,""ja"",""en"")"),"Failed to [n] download for communication has been disconnected.")</f>
        <v>Failed to [n] download for communication has been disconnected.</v>
      </c>
    </row>
    <row r="673" spans="1:4" ht="15.75" customHeight="1" x14ac:dyDescent="0.25">
      <c r="A673" s="1" t="s">
        <v>1292</v>
      </c>
      <c r="B673" s="1" t="s">
        <v>4536</v>
      </c>
      <c r="C673" s="1" t="s">
        <v>1293</v>
      </c>
      <c r="D673" s="1" t="str">
        <f ca="1">IFERROR(__xludf.DUMMYFUNCTION("GoogleTranslate(B673,""ja"",""en"")"),"Point is not enough.")</f>
        <v>Point is not enough.</v>
      </c>
    </row>
    <row r="674" spans="1:4" ht="15.75" customHeight="1" x14ac:dyDescent="0.25">
      <c r="A674" s="1" t="s">
        <v>1294</v>
      </c>
      <c r="B674" s="1" t="s">
        <v>4537</v>
      </c>
      <c r="C674" s="1" t="s">
        <v>1295</v>
      </c>
      <c r="D674" s="1" t="str">
        <f ca="1">IFERROR(__xludf.DUMMYFUNCTION("GoogleTranslate(B674,""ja"",""en"")"),"The last time, since you've been disconnected in the middle of the communication competition from ranking score of [n]% s, has been penalized% s points. [N] attention to the following points, be sure to play. Please play with [n] · as much as possible goo"&amp;"d of the communication situation environment. Note the power loss due to [n] · rechargeable battery out or incorrect operation. [N] · intentionally Please do not turn off the power supply and communication.")</f>
        <v>The last time, since you've been disconnected in the middle of the communication competition from ranking score of [n]% s, has been penalized% s points. [N] attention to the following points, be sure to play. Please play with [n] · as much as possible good of the communication situation environment. Note the power loss due to [n] · rechargeable battery out or incorrect operation. [N] · intentionally Please do not turn off the power supply and communication.</v>
      </c>
    </row>
    <row r="675" spans="1:4" ht="15.75" customHeight="1" x14ac:dyDescent="0.25">
      <c r="A675" s="1" t="s">
        <v>1296</v>
      </c>
      <c r="B675" s="1" t="s">
        <v>4538</v>
      </c>
      <c r="C675" s="1" t="s">
        <v>1297</v>
      </c>
      <c r="D675" s="1" t="str">
        <f ca="1">IFERROR(__xludf.DUMMYFUNCTION("GoogleTranslate(B675,""ja"",""en"")"),"You have been signed out from the ""PSN"". [N] can not be used to upload.")</f>
        <v>You have been signed out from the "PSN". [N] can not be used to upload.</v>
      </c>
    </row>
    <row r="676" spans="1:4" ht="15.75" customHeight="1" x14ac:dyDescent="0.25">
      <c r="A676" s="1" t="s">
        <v>1298</v>
      </c>
      <c r="B676" s="1" t="s">
        <v>4539</v>
      </c>
      <c r="C676" s="1" t="s">
        <v>1299</v>
      </c>
      <c r="D676" s="1" t="str">
        <f ca="1">IFERROR(__xludf.DUMMYFUNCTION("GoogleTranslate(B676,""ja"",""en"")"),"You have been signed out from the ""PSN"". [N] can not be used to download.")</f>
        <v>You have been signed out from the "PSN". [N] can not be used to download.</v>
      </c>
    </row>
    <row r="677" spans="1:4" ht="15.75" customHeight="1" x14ac:dyDescent="0.25">
      <c r="A677" s="1" t="s">
        <v>1300</v>
      </c>
      <c r="B677" s="1" t="s">
        <v>4540</v>
      </c>
      <c r="C677" s="1" t="s">
        <v>1301</v>
      </c>
      <c r="D677" s="1" t="str">
        <f ca="1">IFERROR(__xludf.DUMMYFUNCTION("GoogleTranslate(B677,""ja"",""en"")"),"It is in check the server data. Please do not turn off the [n] power. [N] data might be damaged.")</f>
        <v>It is in check the server data. Please do not turn off the [n] power. [N] data might be damaged.</v>
      </c>
    </row>
    <row r="678" spans="1:4" ht="15.75" customHeight="1" x14ac:dyDescent="0.25">
      <c r="A678" s="1" t="s">
        <v>1302</v>
      </c>
      <c r="B678" s="1" t="s">
        <v>4541</v>
      </c>
      <c r="C678" s="1" t="s">
        <v>1303</v>
      </c>
      <c r="D678" s="1" t="str">
        <f ca="1">IFERROR(__xludf.DUMMYFUNCTION("GoogleTranslate(B678,""ja"",""en"")"),"It was canceled communication.")</f>
        <v>It was canceled communication.</v>
      </c>
    </row>
    <row r="679" spans="1:4" ht="15.75" customHeight="1" x14ac:dyDescent="0.25">
      <c r="A679" s="1" t="s">
        <v>1304</v>
      </c>
      <c r="B679" s="1" t="s">
        <v>4542</v>
      </c>
      <c r="C679" s="1" t="s">
        <v>1305</v>
      </c>
      <c r="D679" s="1" t="str">
        <f ca="1">IFERROR(__xludf.DUMMYFUNCTION("GoogleTranslate(B679,""ja"",""en"")"),"Remuneration")</f>
        <v>Remuneration</v>
      </c>
    </row>
    <row r="680" spans="1:4" ht="15.75" customHeight="1" x14ac:dyDescent="0.25">
      <c r="A680" s="1" t="s">
        <v>1306</v>
      </c>
      <c r="B680" s="1" t="s">
        <v>4543</v>
      </c>
      <c r="C680" s="1" t="s">
        <v>1307</v>
      </c>
      <c r="D680" s="1" t="str">
        <f ca="1">IFERROR(__xludf.DUMMYFUNCTION("GoogleTranslate(B680,""ja"",""en"")"),"Loading the attribute bullets")</f>
        <v>Loading the attribute bullets</v>
      </c>
    </row>
    <row r="681" spans="1:4" ht="15.75" customHeight="1" x14ac:dyDescent="0.25">
      <c r="A681" s="1" t="s">
        <v>1308</v>
      </c>
      <c r="B681" s="1" t="s">
        <v>4544</v>
      </c>
      <c r="C681" s="1" t="s">
        <v>1309</v>
      </c>
      <c r="D681" s="1" t="str">
        <f ca="1">IFERROR(__xludf.DUMMYFUNCTION("GoogleTranslate(B681,""ja"",""en"")"),"Release")</f>
        <v>Release</v>
      </c>
    </row>
    <row r="682" spans="1:4" ht="15.75" customHeight="1" x14ac:dyDescent="0.25">
      <c r="A682" s="1" t="s">
        <v>1310</v>
      </c>
      <c r="B682" s="1" t="s">
        <v>4545</v>
      </c>
      <c r="C682" s="1" t="s">
        <v>1311</v>
      </c>
      <c r="D682" s="1" t="str">
        <f ca="1">IFERROR(__xludf.DUMMYFUNCTION("GoogleTranslate(B682,""ja"",""en"")"),"You will not be able to change the degree of difficulty in the battle.")</f>
        <v>You will not be able to change the degree of difficulty in the battle.</v>
      </c>
    </row>
    <row r="683" spans="1:4" ht="15.75" customHeight="1" x14ac:dyDescent="0.25">
      <c r="A683" s="1" t="s">
        <v>1312</v>
      </c>
      <c r="B683" s="1" t="s">
        <v>4546</v>
      </c>
      <c r="C683" s="1" t="s">
        <v>1313</v>
      </c>
      <c r="D683" s="1" t="str">
        <f ca="1">IFERROR(__xludf.DUMMYFUNCTION("GoogleTranslate(B683,""ja"",""en"")"),"The last time, since you've been disconnected in the middle of the communication competition from ranking score of [n]% s, has been penalized% d point. [N] attention to the following points, be sure to play.")</f>
        <v>The last time, since you've been disconnected in the middle of the communication competition from ranking score of [n]% s, has been penalized% d point. [N] attention to the following points, be sure to play.</v>
      </c>
    </row>
    <row r="684" spans="1:4" ht="15.75" customHeight="1" x14ac:dyDescent="0.25">
      <c r="A684" s="1" t="s">
        <v>1314</v>
      </c>
      <c r="B684" s="1" t="s">
        <v>4547</v>
      </c>
      <c r="C684" s="1" t="s">
        <v>1315</v>
      </c>
      <c r="D684" s="1" t="str">
        <f ca="1">IFERROR(__xludf.DUMMYFUNCTION("GoogleTranslate(B684,""ja"",""en"")"),"• Do you play as much as possible good of the communication situation environment. [N] · Note to power loss or communication disconnection due to erroneous operation. [N] · intentionally Please do not turn off the power supply and communication.")</f>
        <v>• Do you play as much as possible good of the communication situation environment. [N] · Note to power loss or communication disconnection due to erroneous operation. [N] · intentionally Please do not turn off the power supply and communication.</v>
      </c>
    </row>
    <row r="685" spans="1:4" ht="15.75" customHeight="1" x14ac:dyDescent="0.25">
      <c r="A685" s="1" t="s">
        <v>1316</v>
      </c>
      <c r="B685" s="1" t="s">
        <v>4548</v>
      </c>
      <c r="C685" s="1" t="s">
        <v>1317</v>
      </c>
      <c r="D685" s="1" t="str">
        <f ca="1">IFERROR(__xludf.DUMMYFUNCTION("GoogleTranslate(B685,""ja"",""en"")"),"Hey Cho Ltd.")</f>
        <v>Hey Cho Ltd.</v>
      </c>
    </row>
    <row r="686" spans="1:4" ht="15.75" customHeight="1" x14ac:dyDescent="0.25">
      <c r="A686" s="1" t="s">
        <v>1318</v>
      </c>
      <c r="B686" s="1" t="s">
        <v>4549</v>
      </c>
      <c r="C686" s="1" t="s">
        <v>1319</v>
      </c>
      <c r="D686" s="1" t="str">
        <f ca="1">IFERROR(__xludf.DUMMYFUNCTION("GoogleTranslate(B686,""ja"",""en"")"),"It will also found hiding now!")</f>
        <v>It will also found hiding now!</v>
      </c>
    </row>
    <row r="687" spans="1:4" ht="15.75" customHeight="1" x14ac:dyDescent="0.25">
      <c r="A687" s="1" t="s">
        <v>1320</v>
      </c>
      <c r="B687" s="1" t="s">
        <v>4550</v>
      </c>
      <c r="C687" s="1" t="s">
        <v>1321</v>
      </c>
      <c r="D687" s="1" t="str">
        <f ca="1">IFERROR(__xludf.DUMMYFUNCTION("GoogleTranslate(B687,""ja"",""en"")"),"Another Life")</f>
        <v>Another Life</v>
      </c>
    </row>
    <row r="688" spans="1:4" ht="15.75" customHeight="1" x14ac:dyDescent="0.25">
      <c r="A688" s="1" t="s">
        <v>1322</v>
      </c>
      <c r="B688" s="1" t="s">
        <v>4551</v>
      </c>
      <c r="C688" s="1" t="s">
        <v>1323</v>
      </c>
      <c r="D688" s="1" t="str">
        <f ca="1">IFERROR(__xludf.DUMMYFUNCTION("GoogleTranslate(B688,""ja"",""en"")"),"START button")</f>
        <v>START button</v>
      </c>
    </row>
    <row r="689" spans="1:4" ht="15.75" customHeight="1" x14ac:dyDescent="0.25">
      <c r="A689" s="1" t="s">
        <v>1324</v>
      </c>
      <c r="B689" s="1" t="s">
        <v>1316</v>
      </c>
      <c r="C689" s="1" t="s">
        <v>1171</v>
      </c>
      <c r="D689" s="1" t="str">
        <f ca="1">IFERROR(__xludf.DUMMYFUNCTION("GoogleTranslate(B689,""ja"",""en"")"),"Down")</f>
        <v>Down</v>
      </c>
    </row>
    <row r="690" spans="1:4" ht="15.75" customHeight="1" x14ac:dyDescent="0.25">
      <c r="A690" s="1" t="s">
        <v>1325</v>
      </c>
      <c r="B690" s="1" t="s">
        <v>4552</v>
      </c>
      <c r="C690" s="1" t="s">
        <v>1326</v>
      </c>
      <c r="D690" s="1" t="str">
        <f ca="1">IFERROR(__xludf.DUMMYFUNCTION("GoogleTranslate(B690,""ja"",""en"")"),"Make a planting plan")</f>
        <v>Make a planting plan</v>
      </c>
    </row>
    <row r="691" spans="1:4" ht="15.75" customHeight="1" x14ac:dyDescent="0.25">
      <c r="A691" s="1" t="s">
        <v>1327</v>
      </c>
      <c r="B691" s="1" t="s">
        <v>4553</v>
      </c>
      <c r="C691" s="1" t="s">
        <v>1328</v>
      </c>
      <c r="D691" s="1" t="str">
        <f ca="1">IFERROR(__xludf.DUMMYFUNCTION("GoogleTranslate(B691,""ja"",""en"")"),"Collectively harvest")</f>
        <v>Collectively harvest</v>
      </c>
    </row>
    <row r="692" spans="1:4" ht="15.75" customHeight="1" x14ac:dyDescent="0.25">
      <c r="A692" s="1" t="s">
        <v>1329</v>
      </c>
      <c r="B692" s="1" t="s">
        <v>4554</v>
      </c>
      <c r="C692" s="1" t="s">
        <v>1330</v>
      </c>
      <c r="D692" s="1" t="str">
        <f ca="1">IFERROR(__xludf.DUMMYFUNCTION("GoogleTranslate(B692,""ja"",""en"")"),"Sprinkle manure")</f>
        <v>Sprinkle manure</v>
      </c>
    </row>
    <row r="693" spans="1:4" ht="15.75" customHeight="1" x14ac:dyDescent="0.25">
      <c r="A693" s="1" t="s">
        <v>1331</v>
      </c>
      <c r="B693" s="1" t="s">
        <v>4555</v>
      </c>
      <c r="C693" s="1" t="s">
        <v>1332</v>
      </c>
      <c r="D693" s="1" t="str">
        <f ca="1">IFERROR(__xludf.DUMMYFUNCTION("GoogleTranslate(B693,""ja"",""en"")"),"Planting plan reset")</f>
        <v>Planting plan reset</v>
      </c>
    </row>
    <row r="694" spans="1:4" ht="15.75" customHeight="1" x14ac:dyDescent="0.25">
      <c r="A694" s="1" t="s">
        <v>1333</v>
      </c>
      <c r="B694" s="1" t="s">
        <v>4556</v>
      </c>
      <c r="C694" s="1" t="s">
        <v>1334</v>
      </c>
      <c r="D694" s="1" t="str">
        <f ca="1">IFERROR(__xludf.DUMMYFUNCTION("GoogleTranslate(B694,""ja"",""en"")"),"Are you sure you want to reset the planting plan?")</f>
        <v>Are you sure you want to reset the planting plan?</v>
      </c>
    </row>
    <row r="695" spans="1:4" ht="15.75" customHeight="1" x14ac:dyDescent="0.25">
      <c r="A695" s="1" t="s">
        <v>1335</v>
      </c>
      <c r="B695" s="1" t="s">
        <v>4557</v>
      </c>
      <c r="C695" s="1" t="s">
        <v>1336</v>
      </c>
      <c r="D695" s="1" t="str">
        <f ca="1">IFERROR(__xludf.DUMMYFUNCTION("GoogleTranslate(B695,""ja"",""en"")"),"Planting plan will be reset, but you sure?")</f>
        <v>Planting plan will be reset, but you sure?</v>
      </c>
    </row>
    <row r="696" spans="1:4" ht="15.75" customHeight="1" x14ac:dyDescent="0.25">
      <c r="A696" s="1" t="s">
        <v>1337</v>
      </c>
      <c r="B696" s="1" t="s">
        <v>4558</v>
      </c>
      <c r="C696" s="1" t="s">
        <v>1338</v>
      </c>
      <c r="D696" s="1" t="str">
        <f ca="1">IFERROR(__xludf.DUMMYFUNCTION("GoogleTranslate(B696,""ja"",""en"")"),"Tooth")</f>
        <v>Tooth</v>
      </c>
    </row>
    <row r="697" spans="1:4" ht="15.75" customHeight="1" x14ac:dyDescent="0.25">
      <c r="A697" s="1" t="s">
        <v>1339</v>
      </c>
      <c r="B697" s="1" t="s">
        <v>4559</v>
      </c>
      <c r="C697" s="1" t="s">
        <v>1340</v>
      </c>
      <c r="D697" s="1" t="str">
        <f ca="1">IFERROR(__xludf.DUMMYFUNCTION("GoogleTranslate(B697,""ja"",""en"")"),"Hawkshaw scarecrows")</f>
        <v>Hawkshaw scarecrows</v>
      </c>
    </row>
    <row r="698" spans="1:4" ht="15.75" customHeight="1" x14ac:dyDescent="0.25">
      <c r="A698" s="1" t="s">
        <v>1341</v>
      </c>
      <c r="B698" s="1" t="s">
        <v>4560</v>
      </c>
      <c r="C698" s="1" t="s">
        <v>1342</v>
      </c>
      <c r="D698" s="1" t="str">
        <f ca="1">IFERROR(__xludf.DUMMYFUNCTION("GoogleTranslate(B698,""ja"",""en"")"),"Magistrate scarecrows")</f>
        <v>Magistrate scarecrows</v>
      </c>
    </row>
    <row r="699" spans="1:4" ht="15.75" customHeight="1" x14ac:dyDescent="0.25">
      <c r="A699" s="1" t="s">
        <v>1343</v>
      </c>
      <c r="B699" s="1" t="s">
        <v>4561</v>
      </c>
      <c r="C699" s="1" t="s">
        <v>1344</v>
      </c>
      <c r="D699" s="1" t="str">
        <f ca="1">IFERROR(__xludf.DUMMYFUNCTION("GoogleTranslate(B699,""ja"",""en"")"),"Councilor scarecrows")</f>
        <v>Councilor scarecrows</v>
      </c>
    </row>
    <row r="700" spans="1:4" ht="15.75" customHeight="1" x14ac:dyDescent="0.25">
      <c r="A700" s="1" t="s">
        <v>1345</v>
      </c>
      <c r="B700" s="1" t="s">
        <v>4562</v>
      </c>
      <c r="C700" s="1" t="s">
        <v>1346</v>
      </c>
      <c r="D700" s="1" t="str">
        <f ca="1">IFERROR(__xludf.DUMMYFUNCTION("GoogleTranslate(B700,""ja"",""en"")"),"Shogun scarecrows")</f>
        <v>Shogun scarecrows</v>
      </c>
    </row>
    <row r="701" spans="1:4" ht="15.75" customHeight="1" x14ac:dyDescent="0.25">
      <c r="A701" s="1" t="s">
        <v>1347</v>
      </c>
      <c r="B701" s="1" t="s">
        <v>4563</v>
      </c>
      <c r="C701" s="1" t="s">
        <v>1348</v>
      </c>
      <c r="D701" s="1" t="str">
        <f ca="1">IFERROR(__xludf.DUMMYFUNCTION("GoogleTranslate(B701,""ja"",""en"")"),"Scarecrows to prevent insect damage a little bit.")</f>
        <v>Scarecrows to prevent insect damage a little bit.</v>
      </c>
    </row>
    <row r="702" spans="1:4" ht="15.75" customHeight="1" x14ac:dyDescent="0.25">
      <c r="A702" s="1" t="s">
        <v>1349</v>
      </c>
      <c r="B702" s="1" t="s">
        <v>4564</v>
      </c>
      <c r="C702" s="1" t="s">
        <v>1350</v>
      </c>
      <c r="D702" s="1" t="str">
        <f ca="1">IFERROR(__xludf.DUMMYFUNCTION("GoogleTranslate(B702,""ja"",""en"")"),"Scarecrows to prevent insect damage just a little bit.")</f>
        <v>Scarecrows to prevent insect damage just a little bit.</v>
      </c>
    </row>
    <row r="703" spans="1:4" ht="15.75" customHeight="1" x14ac:dyDescent="0.25">
      <c r="A703" s="1" t="s">
        <v>1351</v>
      </c>
      <c r="B703" s="1" t="s">
        <v>4565</v>
      </c>
      <c r="C703" s="1" t="s">
        <v>1352</v>
      </c>
      <c r="D703" s="1" t="str">
        <f ca="1">IFERROR(__xludf.DUMMYFUNCTION("GoogleTranslate(B703,""ja"",""en"")"),"Scarecrow prevent some insect damage.")</f>
        <v>Scarecrow prevent some insect damage.</v>
      </c>
    </row>
    <row r="704" spans="1:4" ht="15.75" customHeight="1" x14ac:dyDescent="0.25">
      <c r="A704" s="1" t="s">
        <v>1353</v>
      </c>
      <c r="B704" s="1" t="s">
        <v>4566</v>
      </c>
      <c r="C704" s="1" t="s">
        <v>1354</v>
      </c>
      <c r="D704" s="1" t="str">
        <f ca="1">IFERROR(__xludf.DUMMYFUNCTION("GoogleTranslate(B704,""ja"",""en"")"),"It prevents quite a feeding damage [n] scarecrows.")</f>
        <v>It prevents quite a feeding damage [n] scarecrows.</v>
      </c>
    </row>
    <row r="705" spans="1:4" ht="15.75" customHeight="1" x14ac:dyDescent="0.25">
      <c r="A705" s="1" t="s">
        <v>1355</v>
      </c>
      <c r="B705" s="1" t="s">
        <v>4567</v>
      </c>
      <c r="C705" s="1" t="s">
        <v>1356</v>
      </c>
      <c r="D705" s="1" t="str">
        <f ca="1">IFERROR(__xludf.DUMMYFUNCTION("GoogleTranslate(B705,""ja"",""en"")"),"Strongest prevent the perfect feeding damage scarecrows.")</f>
        <v>Strongest prevent the perfect feeding damage scarecrows.</v>
      </c>
    </row>
    <row r="706" spans="1:4" ht="15.75" customHeight="1" x14ac:dyDescent="0.25">
      <c r="A706" s="1" t="s">
        <v>1357</v>
      </c>
      <c r="B706" s="1" t="s">
        <v>1351</v>
      </c>
      <c r="C706" s="1" t="s">
        <v>1358</v>
      </c>
      <c r="D706" s="1" t="str">
        <f ca="1">IFERROR(__xludf.DUMMYFUNCTION("GoogleTranslate(B706,""ja"",""en"")"),"Acreage")</f>
        <v>Acreage</v>
      </c>
    </row>
    <row r="707" spans="1:4" ht="15.75" customHeight="1" x14ac:dyDescent="0.25">
      <c r="A707" s="1" t="s">
        <v>1359</v>
      </c>
      <c r="B707" s="1" t="s">
        <v>4568</v>
      </c>
      <c r="C707" s="1" t="s">
        <v>1360</v>
      </c>
      <c r="D707" s="1" t="str">
        <f ca="1">IFERROR(__xludf.DUMMYFUNCTION("GoogleTranslate(B707,""ja"",""en"")"),"Cultivation rate")</f>
        <v>Cultivation rate</v>
      </c>
    </row>
    <row r="708" spans="1:4" ht="15.75" customHeight="1" x14ac:dyDescent="0.25">
      <c r="A708" s="1" t="s">
        <v>1361</v>
      </c>
      <c r="B708" s="1" t="s">
        <v>1353</v>
      </c>
      <c r="C708" s="1" t="s">
        <v>1362</v>
      </c>
      <c r="D708" s="1" t="str">
        <f ca="1">IFERROR(__xludf.DUMMYFUNCTION("GoogleTranslate(B708,""ja"",""en"")"),"Good harvest probability")</f>
        <v>Good harvest probability</v>
      </c>
    </row>
    <row r="709" spans="1:4" ht="15.75" customHeight="1" x14ac:dyDescent="0.25">
      <c r="A709" s="1" t="s">
        <v>1363</v>
      </c>
      <c r="B709" s="1" t="s">
        <v>4569</v>
      </c>
      <c r="C709" s="1" t="s">
        <v>1364</v>
      </c>
      <c r="D709" s="1" t="str">
        <f ca="1">IFERROR(__xludf.DUMMYFUNCTION("GoogleTranslate(B709,""ja"",""en"")"),"Planting")</f>
        <v>Planting</v>
      </c>
    </row>
    <row r="710" spans="1:4" ht="15.75" customHeight="1" x14ac:dyDescent="0.25">
      <c r="A710" s="1" t="s">
        <v>1365</v>
      </c>
      <c r="B710" s="1" t="s">
        <v>4570</v>
      </c>
      <c r="C710" s="1" t="s">
        <v>1366</v>
      </c>
      <c r="D710" s="1" t="str">
        <f ca="1">IFERROR(__xludf.DUMMYFUNCTION("GoogleTranslate(B710,""ja"",""en"")"),"Put")</f>
        <v>Put</v>
      </c>
    </row>
    <row r="711" spans="1:4" ht="15.75" customHeight="1" x14ac:dyDescent="0.25">
      <c r="A711" s="1" t="s">
        <v>1367</v>
      </c>
      <c r="B711" s="1" t="s">
        <v>4571</v>
      </c>
      <c r="C711" s="1" t="s">
        <v>1368</v>
      </c>
      <c r="D711" s="1" t="str">
        <f ca="1">IFERROR(__xludf.DUMMYFUNCTION("GoogleTranslate(B711,""ja"",""en"")"),"To")</f>
        <v>To</v>
      </c>
    </row>
    <row r="712" spans="1:4" ht="15.75" customHeight="1" x14ac:dyDescent="0.25">
      <c r="A712" s="1" t="s">
        <v>1369</v>
      </c>
      <c r="B712" s="1" t="s">
        <v>4572</v>
      </c>
      <c r="C712" s="1" t="s">
        <v>1370</v>
      </c>
      <c r="D712" s="1" t="str">
        <f ca="1">IFERROR(__xludf.DUMMYFUNCTION("GoogleTranslate(B712,""ja"",""en"")"),"Delete")</f>
        <v>Delete</v>
      </c>
    </row>
    <row r="713" spans="1:4" ht="15.75" customHeight="1" x14ac:dyDescent="0.25">
      <c r="A713" s="1" t="s">
        <v>1371</v>
      </c>
      <c r="B713" s="1" t="s">
        <v>1357</v>
      </c>
      <c r="C713" s="1" t="s">
        <v>1372</v>
      </c>
      <c r="D713" s="1" t="str">
        <f ca="1">IFERROR(__xludf.DUMMYFUNCTION("GoogleTranslate(B713,""ja"",""en"")"),"return")</f>
        <v>return</v>
      </c>
    </row>
    <row r="714" spans="1:4" ht="15.75" customHeight="1" x14ac:dyDescent="0.25">
      <c r="A714" s="1" t="s">
        <v>1373</v>
      </c>
      <c r="B714" s="1" t="s">
        <v>1359</v>
      </c>
      <c r="C714" s="1" t="s">
        <v>1374</v>
      </c>
      <c r="D714" s="1" t="str">
        <f ca="1">IFERROR(__xludf.DUMMYFUNCTION("GoogleTranslate(B714,""ja"",""en"")"),"Ramblings")</f>
        <v>Ramblings</v>
      </c>
    </row>
    <row r="715" spans="1:4" ht="15.75" customHeight="1" x14ac:dyDescent="0.25">
      <c r="A715" s="1" t="s">
        <v>1375</v>
      </c>
      <c r="B715" s="1" t="s">
        <v>1361</v>
      </c>
      <c r="C715" s="1" t="s">
        <v>1376</v>
      </c>
      <c r="D715" s="1" t="str">
        <f ca="1">IFERROR(__xludf.DUMMYFUNCTION("GoogleTranslate(B715,""ja"",""en"")"),"Need compartment")</f>
        <v>Need compartment</v>
      </c>
    </row>
    <row r="716" spans="1:4" ht="15.75" customHeight="1" x14ac:dyDescent="0.25">
      <c r="A716" s="1" t="s">
        <v>1377</v>
      </c>
      <c r="B716" s="1" t="s">
        <v>4573</v>
      </c>
      <c r="C716" s="1" t="s">
        <v>1378</v>
      </c>
      <c r="D716" s="1" t="str">
        <f ca="1">IFERROR(__xludf.DUMMYFUNCTION("GoogleTranslate(B716,""ja"",""en"")"),"Harvest expected number")</f>
        <v>Harvest expected number</v>
      </c>
    </row>
    <row r="717" spans="1:4" ht="15.75" customHeight="1" x14ac:dyDescent="0.25">
      <c r="A717" s="1" t="s">
        <v>1379</v>
      </c>
      <c r="B717" s="1" t="s">
        <v>4574</v>
      </c>
      <c r="C717" s="1" t="s">
        <v>1380</v>
      </c>
      <c r="D717" s="1" t="str">
        <f ca="1">IFERROR(__xludf.DUMMYFUNCTION("GoogleTranslate(B717,""ja"",""en"")"),"usually")</f>
        <v>usually</v>
      </c>
    </row>
    <row r="718" spans="1:4" ht="15.75" customHeight="1" x14ac:dyDescent="0.25">
      <c r="A718" s="1" t="s">
        <v>1381</v>
      </c>
      <c r="B718" s="1" t="s">
        <v>1365</v>
      </c>
      <c r="C718" s="1" t="s">
        <v>1382</v>
      </c>
      <c r="D718" s="1" t="str">
        <f ca="1">IFERROR(__xludf.DUMMYFUNCTION("GoogleTranslate(B718,""ja"",""en"")"),"fast")</f>
        <v>fast</v>
      </c>
    </row>
    <row r="719" spans="1:4" ht="15.75" customHeight="1" x14ac:dyDescent="0.25">
      <c r="A719" s="1" t="s">
        <v>1383</v>
      </c>
      <c r="B719" s="1" t="s">
        <v>4575</v>
      </c>
      <c r="C719" s="1" t="s">
        <v>1384</v>
      </c>
      <c r="D719" s="1" t="str">
        <f ca="1">IFERROR(__xludf.DUMMYFUNCTION("GoogleTranslate(B719,""ja"",""en"")"),"slow")</f>
        <v>slow</v>
      </c>
    </row>
    <row r="720" spans="1:4" ht="15.75" customHeight="1" x14ac:dyDescent="0.25">
      <c r="A720" s="1" t="s">
        <v>1385</v>
      </c>
      <c r="B720" s="1" t="s">
        <v>4576</v>
      </c>
      <c r="C720" s="1" t="s">
        <v>1386</v>
      </c>
      <c r="D720" s="1" t="str">
        <f ca="1">IFERROR(__xludf.DUMMYFUNCTION("GoogleTranslate(B720,""ja"",""en"")"),"It was a victim of vermin ...")</f>
        <v>It was a victim of vermin ...</v>
      </c>
    </row>
    <row r="721" spans="1:4" ht="15.75" customHeight="1" x14ac:dyDescent="0.25">
      <c r="A721" s="1" t="s">
        <v>1387</v>
      </c>
      <c r="B721" s="1" t="s">
        <v>4577</v>
      </c>
      <c r="C721" s="1" t="s">
        <v>1388</v>
      </c>
      <c r="D721" s="1" t="str">
        <f ca="1">IFERROR(__xludf.DUMMYFUNCTION("GoogleTranslate(B721,""ja"",""en"")"),"There is no harvest can be crops.")</f>
        <v>There is no harvest can be crops.</v>
      </c>
    </row>
    <row r="722" spans="1:4" ht="15.75" customHeight="1" x14ac:dyDescent="0.25">
      <c r="A722" s="1" t="s">
        <v>1389</v>
      </c>
      <c r="B722" s="1" t="s">
        <v>4578</v>
      </c>
      <c r="C722" s="1" t="s">
        <v>1390</v>
      </c>
      <c r="D722" s="1" t="str">
        <f ca="1">IFERROR(__xludf.DUMMYFUNCTION("GoogleTranslate(B722,""ja"",""en"")"),"% S% and d% s harvest!")</f>
        <v>% S% and d% s harvest!</v>
      </c>
    </row>
    <row r="723" spans="1:4" ht="15.75" customHeight="1" x14ac:dyDescent="0.25">
      <c r="A723" s="1" t="s">
        <v>1391</v>
      </c>
      <c r="B723" s="1" t="s">
        <v>1383</v>
      </c>
      <c r="C723" s="1" t="s">
        <v>1392</v>
      </c>
      <c r="D723" s="1" t="str">
        <f ca="1">IFERROR(__xludf.DUMMYFUNCTION("GoogleTranslate(B723,""ja"",""en"")"),"% S% d% s or ...... [n]% d% s eaten been gone the Do ......")</f>
        <v>% S% d% s or ...... [n]% d% s eaten been gone the Do ......</v>
      </c>
    </row>
    <row r="724" spans="1:4" ht="15.75" customHeight="1" x14ac:dyDescent="0.25">
      <c r="A724" s="1" t="s">
        <v>1393</v>
      </c>
      <c r="B724" s="1" t="s">
        <v>4579</v>
      </c>
      <c r="C724" s="1" t="s">
        <v>1394</v>
      </c>
      <c r="D724" s="1" t="str">
        <f ca="1">IFERROR(__xludf.DUMMYFUNCTION("GoogleTranslate(B724,""ja"",""en"")"),"Or% s% d% s, Do's passable ......")</f>
        <v>Or% s% d% s, Do's passable ......</v>
      </c>
    </row>
    <row r="725" spans="1:4" ht="15.75" customHeight="1" x14ac:dyDescent="0.25">
      <c r="A725" s="1" t="s">
        <v>1395</v>
      </c>
      <c r="B725" s="1" t="s">
        <v>4580</v>
      </c>
      <c r="C725" s="1" t="s">
        <v>1396</v>
      </c>
      <c r="D725" s="1" t="str">
        <f ca="1">IFERROR(__xludf.DUMMYFUNCTION("GoogleTranslate(B725,""ja"",""en"")"),"% S% d% s! That's good harvest.")</f>
        <v>% S% d% s! That's good harvest.</v>
      </c>
    </row>
    <row r="726" spans="1:4" ht="15.75" customHeight="1" x14ac:dyDescent="0.25">
      <c r="A726" s="1" t="s">
        <v>1397</v>
      </c>
      <c r="B726" s="1" t="s">
        <v>4581</v>
      </c>
      <c r="C726" s="1" t="s">
        <v>1398</v>
      </c>
      <c r="D726" s="1" t="str">
        <f ca="1">IFERROR(__xludf.DUMMYFUNCTION("GoogleTranslate(B726,""ja"",""en"")"),"What% s% d% s! It's a big bumper crop.")</f>
        <v>What% s% d% s! It's a big bumper crop.</v>
      </c>
    </row>
    <row r="727" spans="1:4" ht="15.75" customHeight="1" x14ac:dyDescent="0.25">
      <c r="A727" s="1" t="s">
        <v>1399</v>
      </c>
      <c r="B727" s="1" t="s">
        <v>4582</v>
      </c>
      <c r="C727" s="1" t="s">
        <v>1400</v>
      </c>
      <c r="D727" s="1" t="str">
        <f ca="1">IFERROR(__xludf.DUMMYFUNCTION("GoogleTranslate(B727,""ja"",""en"")"),"Do you seeded% s? [N] (possession number% d% s)")</f>
        <v>Do you seeded% s? [N] (possession number% d% s)</v>
      </c>
    </row>
    <row r="728" spans="1:4" ht="15.75" customHeight="1" x14ac:dyDescent="0.25">
      <c r="A728" s="1" t="s">
        <v>1401</v>
      </c>
      <c r="B728" s="1" t="s">
        <v>4583</v>
      </c>
      <c r="C728" s="1" t="s">
        <v>1402</v>
      </c>
      <c r="D728" s="1" t="str">
        <f ca="1">IFERROR(__xludf.DUMMYFUNCTION("GoogleTranslate(B728,""ja"",""en"")"),"% S is not.")</f>
        <v>% S is not.</v>
      </c>
    </row>
    <row r="729" spans="1:4" ht="15.75" customHeight="1" x14ac:dyDescent="0.25">
      <c r="A729" s="1" t="s">
        <v>1403</v>
      </c>
      <c r="B729" s="1" t="s">
        <v>1395</v>
      </c>
      <c r="C729" s="1" t="s">
        <v>1404</v>
      </c>
      <c r="D729" s="1" t="str">
        <f ca="1">IFERROR(__xludf.DUMMYFUNCTION("GoogleTranslate(B729,""ja"",""en"")"),"Since just were seeded it does not work now.")</f>
        <v>Since just were seeded it does not work now.</v>
      </c>
    </row>
    <row r="730" spans="1:4" ht="15.75" customHeight="1" x14ac:dyDescent="0.25">
      <c r="A730" s="1" t="s">
        <v>1405</v>
      </c>
      <c r="B730" s="1" t="s">
        <v>4584</v>
      </c>
      <c r="C730" s="1" t="s">
        <v>1406</v>
      </c>
      <c r="D730" s="1" t="str">
        <f ca="1">IFERROR(__xludf.DUMMYFUNCTION("GoogleTranslate(B730,""ja"",""en"")"),"Capricious planting")</f>
        <v>Capricious planting</v>
      </c>
    </row>
    <row r="731" spans="1:4" ht="15.75" customHeight="1" x14ac:dyDescent="0.25">
      <c r="A731" s="1" t="s">
        <v>1407</v>
      </c>
      <c r="B731" s="1" t="s">
        <v>4585</v>
      </c>
      <c r="C731" s="1" t="s">
        <v>1408</v>
      </c>
      <c r="D731" s="1" t="str">
        <f ca="1">IFERROR(__xludf.DUMMYFUNCTION("GoogleTranslate(B731,""ja"",""en"")"),"save")</f>
        <v>save</v>
      </c>
    </row>
    <row r="732" spans="1:4" ht="15.75" customHeight="1" x14ac:dyDescent="0.25">
      <c r="A732" s="1" t="s">
        <v>1409</v>
      </c>
      <c r="B732" s="1" t="s">
        <v>4586</v>
      </c>
      <c r="C732" s="1" t="s">
        <v>1410</v>
      </c>
      <c r="D732" s="1" t="str">
        <f ca="1">IFERROR(__xludf.DUMMYFUNCTION("GoogleTranslate(B732,""ja"",""en"")"),"Motion")</f>
        <v>Motion</v>
      </c>
    </row>
    <row r="733" spans="1:4" ht="15.75" customHeight="1" x14ac:dyDescent="0.25">
      <c r="A733" s="1" t="s">
        <v>1411</v>
      </c>
      <c r="B733" s="1" t="s">
        <v>4587</v>
      </c>
      <c r="C733" s="1" t="s">
        <v>1412</v>
      </c>
      <c r="D733" s="1" t="str">
        <f ca="1">IFERROR(__xludf.DUMMYFUNCTION("GoogleTranslate(B733,""ja"",""en"")"),"Door")</f>
        <v>Door</v>
      </c>
    </row>
    <row r="734" spans="1:4" ht="15.75" customHeight="1" x14ac:dyDescent="0.25">
      <c r="A734" s="1" t="s">
        <v>1413</v>
      </c>
      <c r="B734" s="1" t="s">
        <v>4588</v>
      </c>
      <c r="C734" s="1" t="s">
        <v>1414</v>
      </c>
      <c r="D734" s="1" t="str">
        <f ca="1">IFERROR(__xludf.DUMMYFUNCTION("GoogleTranslate(B734,""ja"",""en"")"),"e")</f>
        <v>e</v>
      </c>
    </row>
    <row r="735" spans="1:4" ht="15.75" customHeight="1" x14ac:dyDescent="0.25">
      <c r="A735" s="1" t="s">
        <v>1415</v>
      </c>
      <c r="B735" s="1" t="s">
        <v>4589</v>
      </c>
      <c r="C735" s="1" t="s">
        <v>1416</v>
      </c>
      <c r="D735" s="1" t="str">
        <f ca="1">IFERROR(__xludf.DUMMYFUNCTION("GoogleTranslate(B735,""ja"",""en"")"),"Grayed")</f>
        <v>Grayed</v>
      </c>
    </row>
    <row r="736" spans="1:4" ht="15.75" customHeight="1" x14ac:dyDescent="0.25">
      <c r="A736" s="1" t="s">
        <v>1417</v>
      </c>
      <c r="B736" s="1" t="s">
        <v>4590</v>
      </c>
      <c r="C736" s="1" t="s">
        <v>213</v>
      </c>
      <c r="D736" s="1" t="str">
        <f ca="1">IFERROR(__xludf.DUMMYFUNCTION("GoogleTranslate(B736,""ja"",""en"")"),".")</f>
        <v>.</v>
      </c>
    </row>
    <row r="737" spans="1:4" ht="15.75" customHeight="1" x14ac:dyDescent="0.25">
      <c r="A737" s="1" t="s">
        <v>1418</v>
      </c>
      <c r="B737" s="1" t="s">
        <v>4591</v>
      </c>
      <c r="C737" s="1" t="s">
        <v>213</v>
      </c>
      <c r="D737" s="1" t="str">
        <f ca="1">IFERROR(__xludf.DUMMYFUNCTION("GoogleTranslate(B737,""ja"",""en"")"),".")</f>
        <v>.</v>
      </c>
    </row>
    <row r="738" spans="1:4" ht="15.75" customHeight="1" x14ac:dyDescent="0.25">
      <c r="A738" s="1" t="s">
        <v>1419</v>
      </c>
      <c r="B738" s="1" t="s">
        <v>4592</v>
      </c>
      <c r="C738" s="1" t="s">
        <v>213</v>
      </c>
      <c r="D738" s="1" t="str">
        <f ca="1">IFERROR(__xludf.DUMMYFUNCTION("GoogleTranslate(B738,""ja"",""en"")"),".")</f>
        <v>.</v>
      </c>
    </row>
    <row r="739" spans="1:4" ht="15.75" customHeight="1" x14ac:dyDescent="0.25">
      <c r="A739" s="1" t="s">
        <v>1420</v>
      </c>
      <c r="B739" s="1" t="s">
        <v>4593</v>
      </c>
      <c r="C739" s="1" t="s">
        <v>213</v>
      </c>
      <c r="D739" s="1" t="str">
        <f ca="1">IFERROR(__xludf.DUMMYFUNCTION("GoogleTranslate(B739,""ja"",""en"")"),".")</f>
        <v>.</v>
      </c>
    </row>
    <row r="740" spans="1:4" ht="15.75" customHeight="1" x14ac:dyDescent="0.25">
      <c r="A740" s="1" t="s">
        <v>1421</v>
      </c>
      <c r="B740" s="1" t="s">
        <v>4594</v>
      </c>
      <c r="C740" s="1" t="s">
        <v>213</v>
      </c>
      <c r="D740" s="1" t="str">
        <f ca="1">IFERROR(__xludf.DUMMYFUNCTION("GoogleTranslate(B740,""ja"",""en"")"),".")</f>
        <v>.</v>
      </c>
    </row>
    <row r="741" spans="1:4" ht="15.75" customHeight="1" x14ac:dyDescent="0.25">
      <c r="A741" s="1" t="s">
        <v>1422</v>
      </c>
      <c r="B741" s="1" t="s">
        <v>1418</v>
      </c>
      <c r="C741" s="1" t="s">
        <v>1423</v>
      </c>
      <c r="D741" s="1" t="str">
        <f ca="1">IFERROR(__xludf.DUMMYFUNCTION("GoogleTranslate(B741,""ja"",""en"")"),"total")</f>
        <v>total</v>
      </c>
    </row>
    <row r="742" spans="1:4" ht="15.75" customHeight="1" x14ac:dyDescent="0.25">
      <c r="A742" s="1" t="s">
        <v>1424</v>
      </c>
      <c r="B742" s="1" t="s">
        <v>4595</v>
      </c>
      <c r="C742" s="1" t="s">
        <v>1425</v>
      </c>
      <c r="D742" s="1" t="str">
        <f ca="1">IFERROR(__xludf.DUMMYFUNCTION("GoogleTranslate(B742,""ja"",""en"")"),"Baba")</f>
        <v>Baba</v>
      </c>
    </row>
    <row r="743" spans="1:4" ht="15.75" customHeight="1" x14ac:dyDescent="0.25">
      <c r="A743" s="1" t="s">
        <v>1426</v>
      </c>
      <c r="B743" s="1" t="s">
        <v>4596</v>
      </c>
      <c r="C743" s="1" t="s">
        <v>1427</v>
      </c>
      <c r="D743" s="1" t="str">
        <f ca="1">IFERROR(__xludf.DUMMYFUNCTION("GoogleTranslate(B743,""ja"",""en"")"),"Today even me playing, thank you very much. [N] Let the betting point of reward to get!")</f>
        <v>Today even me playing, thank you very much. [N] Let the betting point of reward to get!</v>
      </c>
    </row>
    <row r="744" spans="1:4" ht="15.75" customHeight="1" x14ac:dyDescent="0.25">
      <c r="A744" s="1" t="s">
        <v>1428</v>
      </c>
      <c r="B744" s="1" t="s">
        <v>4597</v>
      </c>
      <c r="C744" s="1" t="s">
        <v>1429</v>
      </c>
      <c r="D744" s="1" t="str">
        <f ca="1">IFERROR(__xludf.DUMMYFUNCTION("GoogleTranslate(B744,""ja"",""en"")"),"Choose your favorite tag, please go flipping through. And it would turn the [n] Baba, where is the end of the game.")</f>
        <v>Choose your favorite tag, please go flipping through. And it would turn the [n] Baba, where is the end of the game.</v>
      </c>
    </row>
    <row r="745" spans="1:4" ht="15.75" customHeight="1" x14ac:dyDescent="0.25">
      <c r="A745" s="1" t="s">
        <v>1430</v>
      </c>
      <c r="B745" s="1" t="s">
        <v>4598</v>
      </c>
      <c r="C745" s="1" t="s">
        <v>1431</v>
      </c>
      <c r="D745" s="1" t="str">
        <f ca="1">IFERROR(__xludf.DUMMYFUNCTION("GoogleTranslate(B745,""ja"",""en"")"),"Because it was tag of ""% s"", it is% d point addition. [N] Please choose the following tag.")</f>
        <v>Because it was tag of "% s", it is% d point addition. [N] Please choose the following tag.</v>
      </c>
    </row>
    <row r="746" spans="1:4" ht="15.75" customHeight="1" x14ac:dyDescent="0.25">
      <c r="A746" s="1" t="s">
        <v>1432</v>
      </c>
      <c r="B746" s="1" t="s">
        <v>4599</v>
      </c>
      <c r="C746" s="1" t="s">
        <v>1433</v>
      </c>
      <c r="D746" s="1" t="str">
        <f ca="1">IFERROR(__xludf.DUMMYFUNCTION("GoogleTranslate(B746,""ja"",""en"")"),"I have turned over a suddenly Baba! [N] I'm sorry, but it is the end of the game in the first sheet.")</f>
        <v>I have turned over a suddenly Baba! [N] I'm sorry, but it is the end of the game in the first sheet.</v>
      </c>
    </row>
    <row r="747" spans="1:4" ht="15.75" customHeight="1" x14ac:dyDescent="0.25">
      <c r="A747" s="1" t="s">
        <v>1434</v>
      </c>
      <c r="B747" s="1" t="s">
        <v>4600</v>
      </c>
      <c r="C747" s="1" t="s">
        <v>1435</v>
      </c>
      <c r="D747" s="1" t="str">
        <f ca="1">IFERROR(__xludf.DUMMYFUNCTION("GoogleTranslate(B747,""ja"",""en"")"),"That's too bad. Since turned over the [n] Baba, is the end of the game here.")</f>
        <v>That's too bad. Since turned over the [n] Baba, is the end of the game here.</v>
      </c>
    </row>
    <row r="748" spans="1:4" ht="15.75" customHeight="1" x14ac:dyDescent="0.25">
      <c r="A748" s="1" t="s">
        <v>1436</v>
      </c>
      <c r="B748" s="1" t="s">
        <v>4601</v>
      </c>
      <c r="C748" s="1" t="s">
        <v>1437</v>
      </c>
      <c r="D748" s="1" t="str">
        <f ca="1">IFERROR(__xludf.DUMMYFUNCTION("GoogleTranslate(B748,""ja"",""en"")"),"Congratulations! Until [n] last came to an end without blind Baba!")</f>
        <v>Congratulations! Until [n] last came to an end without blind Baba!</v>
      </c>
    </row>
    <row r="749" spans="1:4" ht="15.75" customHeight="1" x14ac:dyDescent="0.25">
      <c r="A749" s="1" t="s">
        <v>1438</v>
      </c>
      <c r="B749" s="1" t="s">
        <v>4602</v>
      </c>
      <c r="C749" s="1" t="s">
        <v>1439</v>
      </c>
      <c r="D749" s="1" t="str">
        <f ca="1">IFERROR(__xludf.DUMMYFUNCTION("GoogleTranslate(B749,""ja"",""en"")"),"Unfortunately chagrin reward")</f>
        <v>Unfortunately chagrin reward</v>
      </c>
    </row>
    <row r="750" spans="1:4" ht="15.75" customHeight="1" x14ac:dyDescent="0.25">
      <c r="A750" s="1" t="s">
        <v>1440</v>
      </c>
      <c r="B750" s="1" t="s">
        <v>4603</v>
      </c>
      <c r="C750" s="1" t="s">
        <v>1441</v>
      </c>
      <c r="D750" s="1" t="str">
        <f ca="1">IFERROR(__xludf.DUMMYFUNCTION("GoogleTranslate(B750,""ja"",""en"")"),"% D sheets success fee")</f>
        <v>% D sheets success fee</v>
      </c>
    </row>
    <row r="751" spans="1:4" ht="15.75" customHeight="1" x14ac:dyDescent="0.25">
      <c r="A751" s="1" t="s">
        <v>1442</v>
      </c>
      <c r="B751" s="1" t="s">
        <v>4604</v>
      </c>
      <c r="C751" s="1" t="s">
        <v>1443</v>
      </c>
      <c r="D751" s="1" t="str">
        <f ca="1">IFERROR(__xludf.DUMMYFUNCTION("GoogleTranslate(B751,""ja"",""en"")"),"Perfect achievement reward")</f>
        <v>Perfect achievement reward</v>
      </c>
    </row>
    <row r="752" spans="1:4" ht="15.75" customHeight="1" x14ac:dyDescent="0.25">
      <c r="A752" s="1" t="s">
        <v>1444</v>
      </c>
      <c r="B752" s="1" t="s">
        <v>4605</v>
      </c>
      <c r="C752" s="1" t="s">
        <v>1445</v>
      </c>
      <c r="D752" s="1" t="str">
        <f ca="1">IFERROR(__xludf.DUMMYFUNCTION("GoogleTranslate(B752,""ja"",""en"")"),"% Turning up the d-th!")</f>
        <v>% Turning up the d-th!</v>
      </c>
    </row>
    <row r="753" spans="1:4" ht="15.75" customHeight="1" x14ac:dyDescent="0.25">
      <c r="A753" s="1" t="s">
        <v>1446</v>
      </c>
      <c r="B753" s="1" t="s">
        <v>4606</v>
      </c>
      <c r="C753" s="1" t="s">
        <v>1447</v>
      </c>
      <c r="D753" s="1" t="str">
        <f ca="1">IFERROR(__xludf.DUMMYFUNCTION("GoogleTranslate(B753,""ja"",""en"")"),"% Fail ...... in the d-th")</f>
        <v>% Fail ...... in the d-th</v>
      </c>
    </row>
    <row r="754" spans="1:4" ht="15.75" customHeight="1" x14ac:dyDescent="0.25">
      <c r="A754" s="1" t="s">
        <v>1448</v>
      </c>
      <c r="B754" s="1" t="s">
        <v>4607</v>
      </c>
      <c r="C754" s="1" t="s">
        <v>1449</v>
      </c>
      <c r="D754" s="1" t="str">
        <f ca="1">IFERROR(__xludf.DUMMYFUNCTION("GoogleTranslate(B754,""ja"",""en"")"),"Great success!")</f>
        <v>Great success!</v>
      </c>
    </row>
    <row r="755" spans="1:4" ht="15.75" customHeight="1" x14ac:dyDescent="0.25">
      <c r="A755" s="1" t="s">
        <v>1450</v>
      </c>
      <c r="B755" s="1" t="s">
        <v>4608</v>
      </c>
      <c r="C755" s="1" t="s">
        <v>1451</v>
      </c>
      <c r="D755" s="1" t="str">
        <f ca="1">IFERROR(__xludf.DUMMYFUNCTION("GoogleTranslate(B755,""ja"",""en"")"),"book")</f>
        <v>book</v>
      </c>
    </row>
    <row r="756" spans="1:4" ht="15.75" customHeight="1" x14ac:dyDescent="0.25">
      <c r="A756" s="1" t="s">
        <v>1452</v>
      </c>
      <c r="B756" s="1" t="s">
        <v>4609</v>
      </c>
      <c r="C756" s="1" t="s">
        <v>1453</v>
      </c>
      <c r="D756" s="1" t="str">
        <f ca="1">IFERROR(__xludf.DUMMYFUNCTION("GoogleTranslate(B756,""ja"",""en"")"),"Money")</f>
        <v>Money</v>
      </c>
    </row>
    <row r="757" spans="1:4" ht="15.75" customHeight="1" x14ac:dyDescent="0.25">
      <c r="A757" s="1" t="s">
        <v>1454</v>
      </c>
      <c r="B757" s="1" t="s">
        <v>4610</v>
      </c>
      <c r="C757" s="1" t="s">
        <v>381</v>
      </c>
      <c r="D757" s="1" t="str">
        <f ca="1">IFERROR(__xludf.DUMMYFUNCTION("GoogleTranslate(B757,""ja"",""en"")"),"That")</f>
        <v>That</v>
      </c>
    </row>
    <row r="758" spans="1:4" ht="15.75" customHeight="1" x14ac:dyDescent="0.25">
      <c r="A758" s="1" t="s">
        <v>1455</v>
      </c>
      <c r="B758" s="1" t="s">
        <v>4611</v>
      </c>
      <c r="C758" s="1" t="s">
        <v>381</v>
      </c>
      <c r="D758" s="1" t="str">
        <f ca="1">IFERROR(__xludf.DUMMYFUNCTION("GoogleTranslate(B758,""ja"",""en"")"),"That")</f>
        <v>That</v>
      </c>
    </row>
    <row r="759" spans="1:4" ht="15.75" customHeight="1" x14ac:dyDescent="0.25">
      <c r="A759" s="1" t="s">
        <v>1456</v>
      </c>
      <c r="B759" s="1" t="s">
        <v>1446</v>
      </c>
      <c r="C759" s="1" t="s">
        <v>1457</v>
      </c>
      <c r="D759" s="1" t="str">
        <f ca="1">IFERROR(__xludf.DUMMYFUNCTION("GoogleTranslate(B759,""ja"",""en"")"),"No")</f>
        <v>No</v>
      </c>
    </row>
    <row r="760" spans="1:4" ht="15.75" customHeight="1" x14ac:dyDescent="0.25">
      <c r="A760" s="1" t="s">
        <v>1458</v>
      </c>
      <c r="B760" s="1" t="s">
        <v>4612</v>
      </c>
      <c r="C760" s="1" t="s">
        <v>1459</v>
      </c>
      <c r="D760" s="1" t="str">
        <f ca="1">IFERROR(__xludf.DUMMYFUNCTION("GoogleTranslate(B760,""ja"",""en"")"),"Cormorant")</f>
        <v>Cormorant</v>
      </c>
    </row>
    <row r="761" spans="1:4" ht="15.75" customHeight="1" x14ac:dyDescent="0.25">
      <c r="A761" s="1" t="s">
        <v>1460</v>
      </c>
      <c r="B761" s="1" t="s">
        <v>4613</v>
      </c>
      <c r="C761" s="1" t="s">
        <v>1461</v>
      </c>
      <c r="D761" s="1" t="str">
        <f ca="1">IFERROR(__xludf.DUMMYFUNCTION("GoogleTranslate(B761,""ja"",""en"")"),"Flop")</f>
        <v>Flop</v>
      </c>
    </row>
    <row r="762" spans="1:4" ht="15.75" customHeight="1" x14ac:dyDescent="0.25">
      <c r="A762" s="1" t="s">
        <v>1462</v>
      </c>
      <c r="B762" s="1" t="s">
        <v>4614</v>
      </c>
      <c r="C762" s="1" t="s">
        <v>1461</v>
      </c>
      <c r="D762" s="1" t="str">
        <f ca="1">IFERROR(__xludf.DUMMYFUNCTION("GoogleTranslate(B762,""ja"",""en"")"),"Flop")</f>
        <v>Flop</v>
      </c>
    </row>
    <row r="763" spans="1:4" ht="15.75" customHeight="1" x14ac:dyDescent="0.25">
      <c r="A763" s="1" t="s">
        <v>1463</v>
      </c>
      <c r="B763" s="1" t="s">
        <v>4615</v>
      </c>
      <c r="C763" s="1" t="s">
        <v>216</v>
      </c>
      <c r="D763" s="1" t="str">
        <f ca="1">IFERROR(__xludf.DUMMYFUNCTION("GoogleTranslate(B763,""ja"",""en"")"),"?")</f>
        <v>?</v>
      </c>
    </row>
    <row r="764" spans="1:4" ht="15.75" customHeight="1" x14ac:dyDescent="0.25">
      <c r="A764" s="1" t="s">
        <v>1464</v>
      </c>
      <c r="B764" s="1" t="s">
        <v>1455</v>
      </c>
      <c r="C764" s="1" t="s">
        <v>1465</v>
      </c>
      <c r="D764" s="1" t="str">
        <f ca="1">IFERROR(__xludf.DUMMYFUNCTION("GoogleTranslate(B764,""ja"",""en"")"),"Act")</f>
        <v>Act</v>
      </c>
    </row>
    <row r="765" spans="1:4" ht="15.75" customHeight="1" x14ac:dyDescent="0.25">
      <c r="A765" s="1" t="s">
        <v>1466</v>
      </c>
      <c r="B765" s="1" t="s">
        <v>1456</v>
      </c>
      <c r="C765" s="1" t="s">
        <v>216</v>
      </c>
      <c r="D765" s="1" t="str">
        <f ca="1">IFERROR(__xludf.DUMMYFUNCTION("GoogleTranslate(B765,""ja"",""en"")"),"?")</f>
        <v>?</v>
      </c>
    </row>
    <row r="766" spans="1:4" ht="15.75" customHeight="1" x14ac:dyDescent="0.25">
      <c r="A766" s="1" t="s">
        <v>1467</v>
      </c>
      <c r="B766" s="1" t="s">
        <v>4616</v>
      </c>
      <c r="C766" s="1" t="s">
        <v>1468</v>
      </c>
      <c r="D766" s="1" t="str">
        <f ca="1">IFERROR(__xludf.DUMMYFUNCTION("GoogleTranslate(B766,""ja"",""en"")"),"Oh")</f>
        <v>Oh</v>
      </c>
    </row>
    <row r="767" spans="1:4" ht="15.75" customHeight="1" x14ac:dyDescent="0.25">
      <c r="A767" s="1" t="s">
        <v>1469</v>
      </c>
      <c r="B767" s="1" t="s">
        <v>4617</v>
      </c>
      <c r="C767" s="1" t="s">
        <v>1468</v>
      </c>
      <c r="D767" s="1" t="str">
        <f ca="1">IFERROR(__xludf.DUMMYFUNCTION("GoogleTranslate(B767,""ja"",""en"")"),"Oh")</f>
        <v>Oh</v>
      </c>
    </row>
    <row r="768" spans="1:4" ht="15.75" customHeight="1" x14ac:dyDescent="0.25">
      <c r="A768" s="1" t="s">
        <v>1470</v>
      </c>
      <c r="B768" s="1" t="s">
        <v>4618</v>
      </c>
      <c r="C768" s="1" t="s">
        <v>1468</v>
      </c>
      <c r="D768" s="1" t="str">
        <f ca="1">IFERROR(__xludf.DUMMYFUNCTION("GoogleTranslate(B768,""ja"",""en"")"),"Oh")</f>
        <v>Oh</v>
      </c>
    </row>
    <row r="769" spans="1:4" ht="15.75" customHeight="1" x14ac:dyDescent="0.25">
      <c r="A769" s="1" t="s">
        <v>1471</v>
      </c>
      <c r="B769" s="1" t="s">
        <v>4619</v>
      </c>
      <c r="C769" s="1" t="s">
        <v>381</v>
      </c>
      <c r="D769" s="1" t="str">
        <f ca="1">IFERROR(__xludf.DUMMYFUNCTION("GoogleTranslate(B769,""ja"",""en"")"),"That")</f>
        <v>That</v>
      </c>
    </row>
    <row r="770" spans="1:4" ht="15.75" customHeight="1" x14ac:dyDescent="0.25">
      <c r="A770" s="1" t="s">
        <v>1472</v>
      </c>
      <c r="B770" s="1" t="s">
        <v>1464</v>
      </c>
      <c r="C770" s="1" t="s">
        <v>1473</v>
      </c>
      <c r="D770" s="1" t="str">
        <f ca="1">IFERROR(__xludf.DUMMYFUNCTION("GoogleTranslate(B770,""ja"",""en"")"),"Stop")</f>
        <v>Stop</v>
      </c>
    </row>
    <row r="771" spans="1:4" ht="15.75" customHeight="1" x14ac:dyDescent="0.25">
      <c r="A771" s="1" t="s">
        <v>1474</v>
      </c>
      <c r="B771" s="1" t="s">
        <v>4620</v>
      </c>
      <c r="C771" s="1" t="s">
        <v>381</v>
      </c>
      <c r="D771" s="1" t="str">
        <f ca="1">IFERROR(__xludf.DUMMYFUNCTION("GoogleTranslate(B771,""ja"",""en"")"),"That")</f>
        <v>That</v>
      </c>
    </row>
    <row r="772" spans="1:4" ht="15.75" customHeight="1" x14ac:dyDescent="0.25">
      <c r="A772" s="1" t="s">
        <v>1475</v>
      </c>
      <c r="B772" s="1" t="s">
        <v>4621</v>
      </c>
      <c r="C772" s="1" t="s">
        <v>1476</v>
      </c>
      <c r="D772" s="1" t="str">
        <f ca="1">IFERROR(__xludf.DUMMYFUNCTION("GoogleTranslate(B772,""ja"",""en"")"),"dividend")</f>
        <v>dividend</v>
      </c>
    </row>
    <row r="773" spans="1:4" ht="15.75" customHeight="1" x14ac:dyDescent="0.25">
      <c r="A773" s="1" t="s">
        <v>1477</v>
      </c>
      <c r="B773" s="1" t="s">
        <v>4622</v>
      </c>
      <c r="C773" s="1" t="s">
        <v>1478</v>
      </c>
      <c r="D773" s="1" t="str">
        <f ca="1">IFERROR(__xludf.DUMMYFUNCTION("GoogleTranslate(B773,""ja"",""en"")"),"Acquisition")</f>
        <v>Acquisition</v>
      </c>
    </row>
    <row r="774" spans="1:4" ht="15.75" customHeight="1" x14ac:dyDescent="0.25">
      <c r="A774" s="1" t="s">
        <v>1479</v>
      </c>
      <c r="B774" s="1" t="s">
        <v>4623</v>
      </c>
      <c r="C774" s="1" t="s">
        <v>1368</v>
      </c>
      <c r="D774" s="1" t="str">
        <f ca="1">IFERROR(__xludf.DUMMYFUNCTION("GoogleTranslate(B774,""ja"",""en"")"),"To")</f>
        <v>To</v>
      </c>
    </row>
    <row r="775" spans="1:4" ht="15.75" customHeight="1" x14ac:dyDescent="0.25">
      <c r="A775" s="1" t="s">
        <v>1480</v>
      </c>
      <c r="B775" s="1" t="s">
        <v>4624</v>
      </c>
      <c r="C775" s="1" t="s">
        <v>1368</v>
      </c>
      <c r="D775" s="1" t="str">
        <f ca="1">IFERROR(__xludf.DUMMYFUNCTION("GoogleTranslate(B775,""ja"",""en"")"),"To")</f>
        <v>To</v>
      </c>
    </row>
    <row r="776" spans="1:4" ht="15.75" customHeight="1" x14ac:dyDescent="0.25">
      <c r="A776" s="1" t="s">
        <v>1481</v>
      </c>
      <c r="B776" s="1" t="s">
        <v>4625</v>
      </c>
      <c r="C776" s="1" t="s">
        <v>1368</v>
      </c>
      <c r="D776" s="1" t="str">
        <f ca="1">IFERROR(__xludf.DUMMYFUNCTION("GoogleTranslate(B776,""ja"",""en"")"),"To")</f>
        <v>To</v>
      </c>
    </row>
    <row r="777" spans="1:4" ht="15.75" customHeight="1" x14ac:dyDescent="0.25">
      <c r="A777" s="1" t="s">
        <v>1482</v>
      </c>
      <c r="B777" s="1" t="s">
        <v>4626</v>
      </c>
      <c r="C777" s="1" t="s">
        <v>1483</v>
      </c>
      <c r="D777" s="1" t="str">
        <f ca="1">IFERROR(__xludf.DUMMYFUNCTION("GoogleTranslate(B777,""ja"",""en"")"),"Le")</f>
        <v>Le</v>
      </c>
    </row>
    <row r="778" spans="1:4" ht="15.75" customHeight="1" x14ac:dyDescent="0.25">
      <c r="A778" s="1" t="s">
        <v>1484</v>
      </c>
      <c r="B778" s="1" t="s">
        <v>4627</v>
      </c>
      <c r="C778" s="1" t="s">
        <v>1485</v>
      </c>
      <c r="D778" s="1" t="str">
        <f ca="1">IFERROR(__xludf.DUMMYFUNCTION("GoogleTranslate(B778,""ja"",""en"")"),"List")</f>
        <v>List</v>
      </c>
    </row>
    <row r="779" spans="1:4" ht="15.75" customHeight="1" x14ac:dyDescent="0.25">
      <c r="A779" s="1" t="s">
        <v>1486</v>
      </c>
      <c r="B779" s="1" t="s">
        <v>4628</v>
      </c>
      <c r="C779" s="1" t="s">
        <v>1487</v>
      </c>
      <c r="D779" s="1" t="str">
        <f ca="1">IFERROR(__xludf.DUMMYFUNCTION("GoogleTranslate(B779,""ja"",""en"")"),"Ha")</f>
        <v>Ha</v>
      </c>
    </row>
    <row r="780" spans="1:4" ht="15.75" customHeight="1" x14ac:dyDescent="0.25">
      <c r="A780" s="1" t="s">
        <v>1488</v>
      </c>
      <c r="B780" s="1" t="s">
        <v>1474</v>
      </c>
      <c r="C780" s="1" t="s">
        <v>1489</v>
      </c>
      <c r="D780" s="1" t="str">
        <f ca="1">IFERROR(__xludf.DUMMYFUNCTION("GoogleTranslate(B780,""ja"",""en"")"),"Beam")</f>
        <v>Beam</v>
      </c>
    </row>
    <row r="781" spans="1:4" ht="15.75" customHeight="1" x14ac:dyDescent="0.25">
      <c r="A781" s="1" t="s">
        <v>1490</v>
      </c>
      <c r="B781" s="1" t="s">
        <v>1475</v>
      </c>
      <c r="C781" s="1" t="s">
        <v>1483</v>
      </c>
      <c r="D781" s="1" t="str">
        <f ca="1">IFERROR(__xludf.DUMMYFUNCTION("GoogleTranslate(B781,""ja"",""en"")"),"Le")</f>
        <v>Le</v>
      </c>
    </row>
    <row r="782" spans="1:4" ht="15.75" customHeight="1" x14ac:dyDescent="0.25">
      <c r="A782" s="1" t="s">
        <v>1491</v>
      </c>
      <c r="B782" s="1" t="s">
        <v>4629</v>
      </c>
      <c r="C782" s="1" t="s">
        <v>1492</v>
      </c>
      <c r="D782" s="1" t="str">
        <f ca="1">IFERROR(__xludf.DUMMYFUNCTION("GoogleTranslate(B782,""ja"",""en"")"),"Texas hold'em")</f>
        <v>Texas hold'em</v>
      </c>
    </row>
    <row r="783" spans="1:4" ht="15.75" customHeight="1" x14ac:dyDescent="0.25">
      <c r="A783" s="1" t="s">
        <v>1493</v>
      </c>
      <c r="B783" s="1" t="s">
        <v>1481</v>
      </c>
      <c r="C783" s="1" t="s">
        <v>1494</v>
      </c>
      <c r="D783" s="1" t="str">
        <f ca="1">IFERROR(__xludf.DUMMYFUNCTION("GoogleTranslate(B783,""ja"",""en"")"),"Pineapple Hold'em")</f>
        <v>Pineapple Hold'em</v>
      </c>
    </row>
    <row r="784" spans="1:4" ht="15.75" customHeight="1" x14ac:dyDescent="0.25">
      <c r="A784" s="1" t="s">
        <v>1495</v>
      </c>
      <c r="B784" s="1" t="s">
        <v>4630</v>
      </c>
      <c r="C784" s="1" t="s">
        <v>1496</v>
      </c>
      <c r="D784" s="1" t="str">
        <f ca="1">IFERROR(__xludf.DUMMYFUNCTION("GoogleTranslate(B784,""ja"",""en"")"),"Omaha Hold'em")</f>
        <v>Omaha Hold'em</v>
      </c>
    </row>
    <row r="785" spans="1:4" ht="15.75" customHeight="1" x14ac:dyDescent="0.25">
      <c r="A785" s="1" t="s">
        <v>1497</v>
      </c>
      <c r="B785" s="1" t="s">
        <v>4631</v>
      </c>
      <c r="C785" s="1" t="s">
        <v>1498</v>
      </c>
      <c r="D785" s="1" t="str">
        <f ca="1">IFERROR(__xludf.DUMMYFUNCTION("GoogleTranslate(B785,""ja"",""en"")"),"Trial play practice")</f>
        <v>Trial play practice</v>
      </c>
    </row>
    <row r="786" spans="1:4" ht="15.75" customHeight="1" x14ac:dyDescent="0.25">
      <c r="A786" s="1" t="s">
        <v>1499</v>
      </c>
      <c r="B786" s="1" t="s">
        <v>1490</v>
      </c>
      <c r="C786" s="1" t="s">
        <v>1500</v>
      </c>
      <c r="D786" s="1" t="str">
        <f ca="1">IFERROR(__xludf.DUMMYFUNCTION("GoogleTranslate(B786,""ja"",""en"")"),"First, from a shared bill five and two two dealt with [n] hand using any of the five [n], to create a role, and game.")</f>
        <v>First, from a shared bill five and two two dealt with [n] hand using any of the five [n], to create a role, and game.</v>
      </c>
    </row>
    <row r="787" spans="1:4" ht="15.75" customHeight="1" x14ac:dyDescent="0.25">
      <c r="A787" s="1" t="s">
        <v>1501</v>
      </c>
      <c r="B787" s="1" t="s">
        <v>4632</v>
      </c>
      <c r="C787" s="1" t="s">
        <v>1502</v>
      </c>
      <c r="D787" s="1" t="str">
        <f ca="1">IFERROR(__xludf.DUMMYFUNCTION("GoogleTranslate(B787,""ja"",""en"")"),"It is dealt first three, using any of the five [n] from the shared bill five and two unnecessary one piece of discarded [n] hand from there, create a role, and game.")</f>
        <v>It is dealt first three, using any of the five [n] from the shared bill five and two unnecessary one piece of discarded [n] hand from there, create a role, and game.</v>
      </c>
    </row>
    <row r="788" spans="1:4" ht="15.75" customHeight="1" x14ac:dyDescent="0.25">
      <c r="A788" s="1" t="s">
        <v>1503</v>
      </c>
      <c r="B788" s="1" t="s">
        <v>4633</v>
      </c>
      <c r="C788" s="1" t="s">
        <v>1504</v>
      </c>
      <c r="D788" s="1" t="str">
        <f ca="1">IFERROR(__xludf.DUMMYFUNCTION("GoogleTranslate(B788,""ja"",""en"")"),"It has been dealt first four, using a shared bill three from the shared bill five and hand 4 bill [n] and the two any of your hand to make a [n] role, and game.")</f>
        <v>It has been dealt first four, using a shared bill three from the shared bill five and hand 4 bill [n] and the two any of your hand to make a [n] role, and game.</v>
      </c>
    </row>
    <row r="789" spans="1:4" ht="15.75" customHeight="1" x14ac:dyDescent="0.25">
      <c r="A789" s="1" t="s">
        <v>1505</v>
      </c>
      <c r="B789" s="1" t="s">
        <v>4634</v>
      </c>
      <c r="C789" s="1" t="s">
        <v>1506</v>
      </c>
      <c r="D789" s="1" t="str">
        <f ca="1">IFERROR(__xludf.DUMMYFUNCTION("GoogleTranslate(B789,""ja"",""en"")"),"How to play each poker game [n] also sprinkled actual play, and practice.")</f>
        <v>How to play each poker game [n] also sprinkled actual play, and practice.</v>
      </c>
    </row>
    <row r="790" spans="1:4" ht="15.75" customHeight="1" x14ac:dyDescent="0.25">
      <c r="A790" s="1" t="s">
        <v>1507</v>
      </c>
      <c r="B790" s="1" t="s">
        <v>4635</v>
      </c>
      <c r="C790" s="1" t="s">
        <v>1508</v>
      </c>
      <c r="D790" s="1" t="str">
        <f ca="1">IFERROR(__xludf.DUMMYFUNCTION("GoogleTranslate(B790,""ja"",""en"")"),"Texas trial play practice")</f>
        <v>Texas trial play practice</v>
      </c>
    </row>
    <row r="791" spans="1:4" ht="15.75" customHeight="1" x14ac:dyDescent="0.25">
      <c r="A791" s="1" t="s">
        <v>1509</v>
      </c>
      <c r="B791" s="1" t="s">
        <v>4636</v>
      </c>
      <c r="C791" s="1" t="s">
        <v>1510</v>
      </c>
      <c r="D791" s="1" t="str">
        <f ca="1">IFERROR(__xludf.DUMMYFUNCTION("GoogleTranslate(B791,""ja"",""en"")"),"Pineapple trial play practice")</f>
        <v>Pineapple trial play practice</v>
      </c>
    </row>
    <row r="792" spans="1:4" ht="15.75" customHeight="1" x14ac:dyDescent="0.25">
      <c r="A792" s="1" t="s">
        <v>1511</v>
      </c>
      <c r="B792" s="1" t="s">
        <v>4637</v>
      </c>
      <c r="C792" s="1" t="s">
        <v>1512</v>
      </c>
      <c r="D792" s="1" t="str">
        <f ca="1">IFERROR(__xludf.DUMMYFUNCTION("GoogleTranslate(B792,""ja"",""en"")"),"Omaha trial play practice")</f>
        <v>Omaha trial play practice</v>
      </c>
    </row>
    <row r="793" spans="1:4" ht="15.75" customHeight="1" x14ac:dyDescent="0.25">
      <c r="A793" s="1" t="s">
        <v>1513</v>
      </c>
      <c r="B793" s="1" t="s">
        <v>4638</v>
      </c>
      <c r="C793" s="1" t="s">
        <v>1514</v>
      </c>
      <c r="D793" s="1" t="str">
        <f ca="1">IFERROR(__xludf.DUMMYFUNCTION("GoogleTranslate(B793,""ja"",""en"")"),"How to play Texas Hold'em [n] also sprinkled actual play, and practice.")</f>
        <v>How to play Texas Hold'em [n] also sprinkled actual play, and practice.</v>
      </c>
    </row>
    <row r="794" spans="1:4" ht="15.75" customHeight="1" x14ac:dyDescent="0.25">
      <c r="A794" s="1" t="s">
        <v>1515</v>
      </c>
      <c r="B794" s="1" t="s">
        <v>4639</v>
      </c>
      <c r="C794" s="1" t="s">
        <v>1516</v>
      </c>
      <c r="D794" s="1" t="str">
        <f ca="1">IFERROR(__xludf.DUMMYFUNCTION("GoogleTranslate(B794,""ja"",""en"")"),"How to play Pineapple Hold'em [n] also sprinkled actual play, and practice.")</f>
        <v>How to play Pineapple Hold'em [n] also sprinkled actual play, and practice.</v>
      </c>
    </row>
    <row r="795" spans="1:4" ht="15.75" customHeight="1" x14ac:dyDescent="0.25">
      <c r="A795" s="1" t="s">
        <v>1517</v>
      </c>
      <c r="B795" s="1" t="s">
        <v>4640</v>
      </c>
      <c r="C795" s="1" t="s">
        <v>1518</v>
      </c>
      <c r="D795" s="1" t="str">
        <f ca="1">IFERROR(__xludf.DUMMYFUNCTION("GoogleTranslate(B795,""ja"",""en"")"),"How to play Omaha Hold'em [n] also sprinkled actual play, and practice.")</f>
        <v>How to play Omaha Hold'em [n] also sprinkled actual play, and practice.</v>
      </c>
    </row>
    <row r="796" spans="1:4" ht="15.75" customHeight="1" x14ac:dyDescent="0.25">
      <c r="A796" s="1" t="s">
        <v>1519</v>
      </c>
      <c r="B796" s="1" t="s">
        <v>4641</v>
      </c>
      <c r="C796" s="1" t="s">
        <v>1520</v>
      </c>
      <c r="D796" s="1" t="str">
        <f ca="1">IFERROR(__xludf.DUMMYFUNCTION("GoogleTranslate(B796,""ja"",""en"")"),"It hardball!")</f>
        <v>It hardball!</v>
      </c>
    </row>
    <row r="797" spans="1:4" ht="15.75" customHeight="1" x14ac:dyDescent="0.25">
      <c r="A797" s="1" t="s">
        <v>1521</v>
      </c>
      <c r="B797" s="1" t="s">
        <v>4642</v>
      </c>
      <c r="C797" s="1" t="s">
        <v>1522</v>
      </c>
      <c r="D797" s="1" t="str">
        <f ca="1">IFERROR(__xludf.DUMMYFUNCTION("GoogleTranslate(B797,""ja"",""en"")"),"It would be a good luck")</f>
        <v>It would be a good luck</v>
      </c>
    </row>
    <row r="798" spans="1:4" ht="15.75" customHeight="1" x14ac:dyDescent="0.25">
      <c r="A798" s="1" t="s">
        <v>1523</v>
      </c>
      <c r="B798" s="1" t="s">
        <v>4643</v>
      </c>
      <c r="C798" s="1" t="s">
        <v>1524</v>
      </c>
      <c r="D798" s="1" t="str">
        <f ca="1">IFERROR(__xludf.DUMMYFUNCTION("GoogleTranslate(B798,""ja"",""en"")"),"And early")</f>
        <v>And early</v>
      </c>
    </row>
    <row r="799" spans="1:4" ht="15.75" customHeight="1" x14ac:dyDescent="0.25">
      <c r="A799" s="1" t="s">
        <v>1525</v>
      </c>
      <c r="B799" s="1" t="s">
        <v>1517</v>
      </c>
      <c r="C799" s="1" t="s">
        <v>1526</v>
      </c>
      <c r="D799" s="1" t="str">
        <f ca="1">IFERROR(__xludf.DUMMYFUNCTION("GoogleTranslate(B799,""ja"",""en"")"),"Disappointed ...")</f>
        <v>Disappointed ...</v>
      </c>
    </row>
    <row r="800" spans="1:4" ht="15.75" customHeight="1" x14ac:dyDescent="0.25">
      <c r="A800" s="1" t="s">
        <v>1527</v>
      </c>
      <c r="B800" s="1" t="s">
        <v>4644</v>
      </c>
      <c r="C800" s="1" t="s">
        <v>1528</v>
      </c>
      <c r="D800" s="1" t="str">
        <f ca="1">IFERROR(__xludf.DUMMYFUNCTION("GoogleTranslate(B800,""ja"",""en"")"),"No way ... !?")</f>
        <v>No way ... !?</v>
      </c>
    </row>
    <row r="801" spans="1:4" ht="15.75" customHeight="1" x14ac:dyDescent="0.25">
      <c r="A801" s="1" t="s">
        <v>1529</v>
      </c>
      <c r="B801" s="1" t="s">
        <v>4645</v>
      </c>
      <c r="C801" s="1" t="s">
        <v>1530</v>
      </c>
      <c r="D801" s="1" t="str">
        <f ca="1">IFERROR(__xludf.DUMMYFUNCTION("GoogleTranslate(B801,""ja"",""en"")"),"Useless, when absorbing it!")</f>
        <v>Useless, when absorbing it!</v>
      </c>
    </row>
    <row r="802" spans="1:4" ht="15.75" customHeight="1" x14ac:dyDescent="0.25">
      <c r="A802" s="1" t="s">
        <v>1531</v>
      </c>
      <c r="B802" s="1" t="s">
        <v>4646</v>
      </c>
      <c r="C802" s="1" t="s">
        <v>1532</v>
      </c>
      <c r="D802" s="1" t="str">
        <f ca="1">IFERROR(__xludf.DUMMYFUNCTION("GoogleTranslate(B802,""ja"",""en"")"),"It is falling apart ...")</f>
        <v>It is falling apart ...</v>
      </c>
    </row>
    <row r="803" spans="1:4" ht="15.75" customHeight="1" x14ac:dyDescent="0.25">
      <c r="A803" s="1" t="s">
        <v>1533</v>
      </c>
      <c r="B803" s="1" t="s">
        <v>4647</v>
      </c>
      <c r="C803" s="1" t="s">
        <v>1534</v>
      </c>
      <c r="D803" s="1" t="str">
        <f ca="1">IFERROR(__xludf.DUMMYFUNCTION("GoogleTranslate(B803,""ja"",""en"")"),"Do not win 's this ...")</f>
        <v>Do not win 's this ...</v>
      </c>
    </row>
    <row r="804" spans="1:4" ht="15.75" customHeight="1" x14ac:dyDescent="0.25">
      <c r="A804" s="1" t="s">
        <v>1535</v>
      </c>
      <c r="B804" s="1" t="s">
        <v>1521</v>
      </c>
      <c r="C804" s="1" t="s">
        <v>1536</v>
      </c>
      <c r="D804" s="1" t="str">
        <f ca="1">IFERROR(__xludf.DUMMYFUNCTION("GoogleTranslate(B804,""ja"",""en"")"),"Be This win confirmed ...")</f>
        <v>Be This win confirmed ...</v>
      </c>
    </row>
    <row r="805" spans="1:4" ht="15.75" customHeight="1" x14ac:dyDescent="0.25">
      <c r="A805" s="1" t="s">
        <v>1537</v>
      </c>
      <c r="B805" s="1" t="s">
        <v>4648</v>
      </c>
      <c r="C805" s="1" t="s">
        <v>1538</v>
      </c>
      <c r="D805" s="1" t="str">
        <f ca="1">IFERROR(__xludf.DUMMYFUNCTION("GoogleTranslate(B805,""ja"",""en"")"),"Raise more!")</f>
        <v>Raise more!</v>
      </c>
    </row>
    <row r="806" spans="1:4" ht="15.75" customHeight="1" x14ac:dyDescent="0.25">
      <c r="A806" s="1" t="s">
        <v>1539</v>
      </c>
      <c r="B806" s="1" t="s">
        <v>1527</v>
      </c>
      <c r="C806" s="1" t="s">
        <v>1540</v>
      </c>
      <c r="D806" s="1" t="str">
        <f ca="1">IFERROR(__xludf.DUMMYFUNCTION("GoogleTranslate(B806,""ja"",""en"")"),"Or try going out ...")</f>
        <v>Or try going out ...</v>
      </c>
    </row>
    <row r="807" spans="1:4" ht="15.75" customHeight="1" x14ac:dyDescent="0.25">
      <c r="A807" s="1" t="s">
        <v>1541</v>
      </c>
      <c r="B807" s="1" t="s">
        <v>4649</v>
      </c>
      <c r="C807" s="1" t="s">
        <v>1542</v>
      </c>
      <c r="D807" s="1" t="str">
        <f ca="1">IFERROR(__xludf.DUMMYFUNCTION("GoogleTranslate(B807,""ja"",""en"")"),"We should descend ...")</f>
        <v>We should descend ...</v>
      </c>
    </row>
    <row r="808" spans="1:4" ht="15.75" customHeight="1" x14ac:dyDescent="0.25">
      <c r="A808" s="1" t="s">
        <v>1543</v>
      </c>
      <c r="B808" s="1" t="s">
        <v>1531</v>
      </c>
      <c r="C808" s="1" t="s">
        <v>1544</v>
      </c>
      <c r="D808" s="1" t="str">
        <f ca="1">IFERROR(__xludf.DUMMYFUNCTION("GoogleTranslate(B808,""ja"",""en"")"),"This game is get off ...")</f>
        <v>This game is get off ...</v>
      </c>
    </row>
    <row r="809" spans="1:4" ht="15.75" customHeight="1" x14ac:dyDescent="0.25">
      <c r="A809" s="1" t="s">
        <v>1545</v>
      </c>
      <c r="B809" s="1" t="s">
        <v>4650</v>
      </c>
      <c r="C809" s="1" t="s">
        <v>1546</v>
      </c>
      <c r="D809" s="1" t="str">
        <f ca="1">IFERROR(__xludf.DUMMYFUNCTION("GoogleTranslate(B809,""ja"",""en"")"),"The Ahahahaha!")</f>
        <v>The Ahahahaha!</v>
      </c>
    </row>
    <row r="810" spans="1:4" ht="15.75" customHeight="1" x14ac:dyDescent="0.25">
      <c r="A810" s="1" t="s">
        <v>1547</v>
      </c>
      <c r="B810" s="1" t="s">
        <v>1535</v>
      </c>
      <c r="C810" s="1" t="s">
        <v>1548</v>
      </c>
      <c r="D810" s="1" t="str">
        <f ca="1">IFERROR(__xludf.DUMMYFUNCTION("GoogleTranslate(B810,""ja"",""en"")"),"Meramera! (Angry)")</f>
        <v>Meramera! (Angry)</v>
      </c>
    </row>
    <row r="811" spans="1:4" ht="15.75" customHeight="1" x14ac:dyDescent="0.25">
      <c r="A811" s="1" t="s">
        <v>1549</v>
      </c>
      <c r="B811" s="1" t="s">
        <v>1537</v>
      </c>
      <c r="C811" s="1" t="s">
        <v>1550</v>
      </c>
      <c r="D811" s="1" t="str">
        <f ca="1">IFERROR(__xludf.DUMMYFUNCTION("GoogleTranslate(B811,""ja"",""en"")"),"Griping ... (tears)")</f>
        <v>Griping ... (tears)</v>
      </c>
    </row>
    <row r="812" spans="1:4" ht="15.75" customHeight="1" x14ac:dyDescent="0.25">
      <c r="A812" s="1" t="s">
        <v>1551</v>
      </c>
      <c r="B812" s="1" t="s">
        <v>1539</v>
      </c>
      <c r="C812" s="1" t="s">
        <v>1552</v>
      </c>
      <c r="D812" s="1" t="str">
        <f ca="1">IFERROR(__xludf.DUMMYFUNCTION("GoogleTranslate(B812,""ja"",""en"")"),"Throb…")</f>
        <v>Throb…</v>
      </c>
    </row>
    <row r="813" spans="1:4" ht="15.75" customHeight="1" x14ac:dyDescent="0.25">
      <c r="A813" s="1" t="s">
        <v>1553</v>
      </c>
      <c r="B813" s="1" t="s">
        <v>4651</v>
      </c>
      <c r="C813" s="1" t="s">
        <v>1554</v>
      </c>
      <c r="D813" s="1" t="str">
        <f ca="1">IFERROR(__xludf.DUMMYFUNCTION("GoogleTranslate(B813,""ja"",""en"")"),"Yay ♪")</f>
        <v>Yay ♪</v>
      </c>
    </row>
    <row r="814" spans="1:4" ht="15.75" customHeight="1" x14ac:dyDescent="0.25">
      <c r="A814" s="1" t="s">
        <v>1555</v>
      </c>
      <c r="B814" s="1" t="s">
        <v>4652</v>
      </c>
      <c r="C814" s="1" t="s">
        <v>1556</v>
      </c>
      <c r="D814" s="1" t="str">
        <f ca="1">IFERROR(__xludf.DUMMYFUNCTION("GoogleTranslate(B814,""ja"",""en"")"),"They got me!")</f>
        <v>They got me!</v>
      </c>
    </row>
    <row r="815" spans="1:4" ht="15.75" customHeight="1" x14ac:dyDescent="0.25">
      <c r="A815" s="1" t="s">
        <v>1557</v>
      </c>
      <c r="B815" s="1" t="s">
        <v>4653</v>
      </c>
      <c r="C815" s="1" t="s">
        <v>1558</v>
      </c>
      <c r="D815" s="1" t="str">
        <f ca="1">IFERROR(__xludf.DUMMYFUNCTION("GoogleTranslate(B815,""ja"",""en"")"),"Top form!")</f>
        <v>Top form!</v>
      </c>
    </row>
    <row r="816" spans="1:4" ht="15.75" customHeight="1" x14ac:dyDescent="0.25">
      <c r="A816" s="1" t="s">
        <v>1559</v>
      </c>
      <c r="B816" s="1" t="s">
        <v>1545</v>
      </c>
      <c r="C816" s="1" t="s">
        <v>1560</v>
      </c>
      <c r="D816" s="1" t="str">
        <f ca="1">IFERROR(__xludf.DUMMYFUNCTION("GoogleTranslate(B816,""ja"",""en"")"),"Failed Naa was ...")</f>
        <v>Failed Naa was ...</v>
      </c>
    </row>
    <row r="817" spans="1:4" ht="15.75" customHeight="1" x14ac:dyDescent="0.25">
      <c r="A817" s="1" t="s">
        <v>1561</v>
      </c>
      <c r="B817" s="1" t="s">
        <v>1547</v>
      </c>
      <c r="C817" s="1" t="s">
        <v>1562</v>
      </c>
      <c r="D817" s="1" t="str">
        <f ca="1">IFERROR(__xludf.DUMMYFUNCTION("GoogleTranslate(B817,""ja"",""en"")"),"Cheers for good work!")</f>
        <v>Cheers for good work!</v>
      </c>
    </row>
    <row r="818" spans="1:4" ht="15.75" customHeight="1" x14ac:dyDescent="0.25">
      <c r="A818" s="1" t="s">
        <v>1563</v>
      </c>
      <c r="B818" s="1" t="s">
        <v>4654</v>
      </c>
      <c r="C818" s="1" t="s">
        <v>1564</v>
      </c>
      <c r="D818" s="1" t="str">
        <f ca="1">IFERROR(__xludf.DUMMYFUNCTION("GoogleTranslate(B818,""ja"",""en"")"),"was fun~!")</f>
        <v>was fun~!</v>
      </c>
    </row>
    <row r="819" spans="1:4" ht="15.75" customHeight="1" x14ac:dyDescent="0.25">
      <c r="A819" s="1" t="s">
        <v>1565</v>
      </c>
      <c r="B819" s="1" t="s">
        <v>4655</v>
      </c>
      <c r="C819" s="1" t="s">
        <v>1566</v>
      </c>
      <c r="D819" s="1" t="str">
        <f ca="1">IFERROR(__xludf.DUMMYFUNCTION("GoogleTranslate(B819,""ja"",""en"")"),"Naa mortifying ...")</f>
        <v>Naa mortifying ...</v>
      </c>
    </row>
    <row r="820" spans="1:4" ht="15.75" customHeight="1" x14ac:dyDescent="0.25">
      <c r="A820" s="1" t="s">
        <v>1567</v>
      </c>
      <c r="B820" s="1" t="s">
        <v>1551</v>
      </c>
      <c r="C820" s="1" t="s">
        <v>1568</v>
      </c>
      <c r="D820" s="1" t="str">
        <f ca="1">IFERROR(__xludf.DUMMYFUNCTION("GoogleTranslate(B820,""ja"",""en"")"),"Following what is win!")</f>
        <v>Following what is win!</v>
      </c>
    </row>
    <row r="821" spans="1:4" ht="15.75" customHeight="1" x14ac:dyDescent="0.25">
      <c r="A821" s="1" t="s">
        <v>1569</v>
      </c>
      <c r="B821" s="1" t="s">
        <v>4656</v>
      </c>
      <c r="C821" s="1" t="s">
        <v>1570</v>
      </c>
      <c r="D821" s="1" t="str">
        <f ca="1">IFERROR(__xludf.DUMMYFUNCTION("GoogleTranslate(B821,""ja"",""en"")"),"after")</f>
        <v>after</v>
      </c>
    </row>
    <row r="822" spans="1:4" ht="15.75" customHeight="1" x14ac:dyDescent="0.25">
      <c r="A822" s="1" t="s">
        <v>1571</v>
      </c>
      <c r="B822" s="1" t="s">
        <v>4657</v>
      </c>
      <c r="C822" s="1" t="s">
        <v>1572</v>
      </c>
      <c r="D822" s="1" t="str">
        <f ca="1">IFERROR(__xludf.DUMMYFUNCTION("GoogleTranslate(B822,""ja"",""en"")"),"0")</f>
        <v>0</v>
      </c>
    </row>
    <row r="823" spans="1:4" ht="15.75" customHeight="1" x14ac:dyDescent="0.25">
      <c r="A823" s="1" t="s">
        <v>1573</v>
      </c>
      <c r="B823" s="1" t="s">
        <v>4658</v>
      </c>
      <c r="C823" s="1" t="s">
        <v>1574</v>
      </c>
      <c r="D823" s="1" t="str">
        <f ca="1">IFERROR(__xludf.DUMMYFUNCTION("GoogleTranslate(B823,""ja"",""en"")"),"1")</f>
        <v>1</v>
      </c>
    </row>
    <row r="824" spans="1:4" ht="15.75" customHeight="1" x14ac:dyDescent="0.25">
      <c r="A824" s="1" t="s">
        <v>1575</v>
      </c>
      <c r="B824" s="1" t="s">
        <v>4659</v>
      </c>
      <c r="C824" s="1" t="s">
        <v>1576</v>
      </c>
      <c r="D824" s="1" t="str">
        <f ca="1">IFERROR(__xludf.DUMMYFUNCTION("GoogleTranslate(B824,""ja"",""en"")"),"2")</f>
        <v>2</v>
      </c>
    </row>
    <row r="825" spans="1:4" ht="15.75" customHeight="1" x14ac:dyDescent="0.25">
      <c r="A825" s="1" t="s">
        <v>1577</v>
      </c>
      <c r="B825" s="1" t="s">
        <v>4660</v>
      </c>
      <c r="C825" s="1" t="s">
        <v>1578</v>
      </c>
      <c r="D825" s="1" t="str">
        <f ca="1">IFERROR(__xludf.DUMMYFUNCTION("GoogleTranslate(B825,""ja"",""en"")"),"3")</f>
        <v>3</v>
      </c>
    </row>
    <row r="826" spans="1:4" ht="15.75" customHeight="1" x14ac:dyDescent="0.25">
      <c r="A826" s="1" t="s">
        <v>1579</v>
      </c>
      <c r="B826" s="1" t="s">
        <v>4661</v>
      </c>
      <c r="C826" s="1" t="s">
        <v>1580</v>
      </c>
      <c r="D826" s="1" t="str">
        <f ca="1">IFERROR(__xludf.DUMMYFUNCTION("GoogleTranslate(B826,""ja"",""en"")"),"4")</f>
        <v>4</v>
      </c>
    </row>
    <row r="827" spans="1:4" ht="15.75" customHeight="1" x14ac:dyDescent="0.25">
      <c r="A827" s="1" t="s">
        <v>1581</v>
      </c>
      <c r="B827" s="1" t="s">
        <v>4662</v>
      </c>
      <c r="C827" s="1" t="s">
        <v>1582</v>
      </c>
      <c r="D827" s="1" t="str">
        <f ca="1">IFERROR(__xludf.DUMMYFUNCTION("GoogleTranslate(B827,""ja"",""en"")"),"5")</f>
        <v>5</v>
      </c>
    </row>
    <row r="828" spans="1:4" ht="15.75" customHeight="1" x14ac:dyDescent="0.25">
      <c r="A828" s="1" t="s">
        <v>1583</v>
      </c>
      <c r="B828" s="1" t="s">
        <v>4663</v>
      </c>
      <c r="C828" s="1" t="s">
        <v>1584</v>
      </c>
      <c r="D828" s="1" t="str">
        <f ca="1">IFERROR(__xludf.DUMMYFUNCTION("GoogleTranslate(B828,""ja"",""en"")"),"6")</f>
        <v>6</v>
      </c>
    </row>
    <row r="829" spans="1:4" ht="15.75" customHeight="1" x14ac:dyDescent="0.25">
      <c r="A829" s="1" t="s">
        <v>1585</v>
      </c>
      <c r="B829" s="1" t="s">
        <v>4664</v>
      </c>
      <c r="C829" s="1" t="s">
        <v>1586</v>
      </c>
      <c r="D829" s="1" t="str">
        <f ca="1">IFERROR(__xludf.DUMMYFUNCTION("GoogleTranslate(B829,""ja"",""en"")"),"7")</f>
        <v>7</v>
      </c>
    </row>
    <row r="830" spans="1:4" ht="15.75" customHeight="1" x14ac:dyDescent="0.25">
      <c r="A830" s="1" t="s">
        <v>1587</v>
      </c>
      <c r="B830" s="1" t="s">
        <v>4665</v>
      </c>
      <c r="C830" s="1" t="s">
        <v>1588</v>
      </c>
      <c r="D830" s="1" t="str">
        <f ca="1">IFERROR(__xludf.DUMMYFUNCTION("GoogleTranslate(B830,""ja"",""en"")"),"8")</f>
        <v>8</v>
      </c>
    </row>
    <row r="831" spans="1:4" ht="15.75" customHeight="1" x14ac:dyDescent="0.25">
      <c r="A831" s="1" t="s">
        <v>1589</v>
      </c>
      <c r="B831" s="1" t="s">
        <v>4666</v>
      </c>
      <c r="C831" s="1" t="s">
        <v>1590</v>
      </c>
      <c r="D831" s="1" t="str">
        <f ca="1">IFERROR(__xludf.DUMMYFUNCTION("GoogleTranslate(B831,""ja"",""en"")"),"9")</f>
        <v>9</v>
      </c>
    </row>
    <row r="832" spans="1:4" ht="15.75" customHeight="1" x14ac:dyDescent="0.25">
      <c r="A832" s="1" t="s">
        <v>1591</v>
      </c>
      <c r="B832" s="1" t="s">
        <v>4667</v>
      </c>
      <c r="C832" s="1" t="s">
        <v>216</v>
      </c>
      <c r="D832" s="1" t="str">
        <f ca="1">IFERROR(__xludf.DUMMYFUNCTION("GoogleTranslate(B832,""ja"",""en"")"),"?")</f>
        <v>?</v>
      </c>
    </row>
    <row r="833" spans="1:4" ht="15.75" customHeight="1" x14ac:dyDescent="0.25">
      <c r="A833" s="1" t="s">
        <v>1592</v>
      </c>
      <c r="B833" s="1" t="s">
        <v>4668</v>
      </c>
      <c r="C833" s="1" t="s">
        <v>1593</v>
      </c>
      <c r="D833" s="1" t="str">
        <f ca="1">IFERROR(__xludf.DUMMYFUNCTION("GoogleTranslate(B833,""ja"",""en"")"),"Not victory")</f>
        <v>Not victory</v>
      </c>
    </row>
    <row r="834" spans="1:4" ht="15.75" customHeight="1" x14ac:dyDescent="0.25">
      <c r="A834" s="1" t="s">
        <v>1594</v>
      </c>
      <c r="B834" s="1" t="s">
        <v>4669</v>
      </c>
      <c r="C834" s="1" t="s">
        <v>1595</v>
      </c>
      <c r="D834" s="1" t="str">
        <f ca="1">IFERROR(__xludf.DUMMYFUNCTION("GoogleTranslate(B834,""ja"",""en"")"),"victory")</f>
        <v>victory</v>
      </c>
    </row>
    <row r="835" spans="1:4" ht="15.75" customHeight="1" x14ac:dyDescent="0.25">
      <c r="A835" s="1" t="s">
        <v>1596</v>
      </c>
      <c r="B835" s="1" t="s">
        <v>4670</v>
      </c>
      <c r="C835" s="1" t="s">
        <v>1597</v>
      </c>
      <c r="D835" s="1" t="str">
        <f ca="1">IFERROR(__xludf.DUMMYFUNCTION("GoogleTranslate(B835,""ja"",""en"")"),"Electric catfish")</f>
        <v>Electric catfish</v>
      </c>
    </row>
    <row r="836" spans="1:4" ht="15.75" customHeight="1" x14ac:dyDescent="0.25">
      <c r="A836" s="1" t="s">
        <v>1598</v>
      </c>
      <c r="B836" s="1" t="s">
        <v>4671</v>
      </c>
      <c r="C836" s="1" t="s">
        <v>1599</v>
      </c>
      <c r="D836" s="1" t="str">
        <f ca="1">IFERROR(__xludf.DUMMYFUNCTION("GoogleTranslate(B836,""ja"",""en"")"),"salmon")</f>
        <v>salmon</v>
      </c>
    </row>
    <row r="837" spans="1:4" ht="15.75" customHeight="1" x14ac:dyDescent="0.25">
      <c r="A837" s="1" t="s">
        <v>1600</v>
      </c>
      <c r="B837" s="1" t="s">
        <v>4672</v>
      </c>
      <c r="C837" s="1" t="s">
        <v>1601</v>
      </c>
      <c r="D837" s="1" t="str">
        <f ca="1">IFERROR(__xludf.DUMMYFUNCTION("GoogleTranslate(B837,""ja"",""en"")"),"Soft-shelled turtle")</f>
        <v>Soft-shelled turtle</v>
      </c>
    </row>
    <row r="838" spans="1:4" ht="15.75" customHeight="1" x14ac:dyDescent="0.25">
      <c r="A838" s="1" t="s">
        <v>1602</v>
      </c>
      <c r="B838" s="1" t="s">
        <v>4673</v>
      </c>
      <c r="C838" s="1" t="s">
        <v>1603</v>
      </c>
      <c r="D838" s="1" t="str">
        <f ca="1">IFERROR(__xludf.DUMMYFUNCTION("GoogleTranslate(B838,""ja"",""en"")"),"eel")</f>
        <v>eel</v>
      </c>
    </row>
    <row r="839" spans="1:4" ht="15.75" customHeight="1" x14ac:dyDescent="0.25">
      <c r="A839" s="1" t="s">
        <v>1604</v>
      </c>
      <c r="B839" s="1" t="s">
        <v>4674</v>
      </c>
      <c r="C839" s="1" t="s">
        <v>1605</v>
      </c>
      <c r="D839" s="1" t="str">
        <f ca="1">IFERROR(__xludf.DUMMYFUNCTION("GoogleTranslate(B839,""ja"",""en"")"),"Ayu")</f>
        <v>Ayu</v>
      </c>
    </row>
    <row r="840" spans="1:4" ht="15.75" customHeight="1" x14ac:dyDescent="0.25">
      <c r="A840" s="1" t="s">
        <v>1606</v>
      </c>
      <c r="B840" s="1" t="s">
        <v>4675</v>
      </c>
      <c r="C840" s="1" t="s">
        <v>1607</v>
      </c>
      <c r="D840" s="1" t="str">
        <f ca="1">IFERROR(__xludf.DUMMYFUNCTION("GoogleTranslate(B840,""ja"",""en"")"),"Red sea bream")</f>
        <v>Red sea bream</v>
      </c>
    </row>
    <row r="841" spans="1:4" ht="15.75" customHeight="1" x14ac:dyDescent="0.25">
      <c r="A841" s="1" t="s">
        <v>1608</v>
      </c>
      <c r="B841" s="1" t="s">
        <v>4676</v>
      </c>
      <c r="C841" s="1" t="s">
        <v>1609</v>
      </c>
      <c r="D841" s="1" t="str">
        <f ca="1">IFERROR(__xludf.DUMMYFUNCTION("GoogleTranslate(B841,""ja"",""en"")"),"Prawn")</f>
        <v>Prawn</v>
      </c>
    </row>
    <row r="842" spans="1:4" ht="15.75" customHeight="1" x14ac:dyDescent="0.25">
      <c r="A842" s="1" t="s">
        <v>1610</v>
      </c>
      <c r="B842" s="1" t="s">
        <v>4677</v>
      </c>
      <c r="C842" s="1" t="s">
        <v>354</v>
      </c>
      <c r="D842" s="1" t="str">
        <f ca="1">IFERROR(__xludf.DUMMYFUNCTION("GoogleTranslate(B842,""ja"",""en"")"),"Have")</f>
        <v>Have</v>
      </c>
    </row>
    <row r="843" spans="1:4" ht="15.75" customHeight="1" x14ac:dyDescent="0.25">
      <c r="A843" s="1" t="s">
        <v>1611</v>
      </c>
      <c r="B843" s="1" t="s">
        <v>4678</v>
      </c>
      <c r="C843" s="1" t="s">
        <v>1612</v>
      </c>
      <c r="D843" s="1" t="str">
        <f ca="1">IFERROR(__xludf.DUMMYFUNCTION("GoogleTranslate(B843,""ja"",""en"")"),"Fugu")</f>
        <v>Fugu</v>
      </c>
    </row>
    <row r="844" spans="1:4" ht="15.75" customHeight="1" x14ac:dyDescent="0.25">
      <c r="A844" s="1" t="s">
        <v>1613</v>
      </c>
      <c r="B844" s="1" t="s">
        <v>4679</v>
      </c>
      <c r="C844" s="1" t="s">
        <v>1614</v>
      </c>
      <c r="D844" s="1" t="str">
        <f ca="1">IFERROR(__xludf.DUMMYFUNCTION("GoogleTranslate(B844,""ja"",""en"")"),"Shirasu")</f>
        <v>Shirasu</v>
      </c>
    </row>
    <row r="845" spans="1:4" ht="15.75" customHeight="1" x14ac:dyDescent="0.25">
      <c r="A845" s="1" t="s">
        <v>1615</v>
      </c>
      <c r="B845" s="1" t="s">
        <v>1606</v>
      </c>
      <c r="C845" s="1" t="s">
        <v>1616</v>
      </c>
      <c r="D845" s="1" t="str">
        <f ca="1">IFERROR(__xludf.DUMMYFUNCTION("GoogleTranslate(B845,""ja"",""en"")"),"Hatsutsurimaru")</f>
        <v>Hatsutsurimaru</v>
      </c>
    </row>
    <row r="846" spans="1:4" ht="15.75" customHeight="1" x14ac:dyDescent="0.25">
      <c r="A846" s="1" t="s">
        <v>1617</v>
      </c>
      <c r="B846" s="1" t="s">
        <v>1608</v>
      </c>
      <c r="C846" s="1" t="s">
        <v>1618</v>
      </c>
      <c r="D846" s="1" t="str">
        <f ca="1">IFERROR(__xludf.DUMMYFUNCTION("GoogleTranslate(B846,""ja"",""en"")"),"Freshwater round")</f>
        <v>Freshwater round</v>
      </c>
    </row>
    <row r="847" spans="1:4" ht="15.75" customHeight="1" x14ac:dyDescent="0.25">
      <c r="A847" s="1" t="s">
        <v>1619</v>
      </c>
      <c r="B847" s="1" t="s">
        <v>4680</v>
      </c>
      <c r="C847" s="1" t="s">
        <v>1620</v>
      </c>
      <c r="D847" s="1" t="str">
        <f ca="1">IFERROR(__xludf.DUMMYFUNCTION("GoogleTranslate(B847,""ja"",""en"")"),"Fishing river")</f>
        <v>Fishing river</v>
      </c>
    </row>
    <row r="848" spans="1:4" ht="15.75" customHeight="1" x14ac:dyDescent="0.25">
      <c r="A848" s="1" t="s">
        <v>1621</v>
      </c>
      <c r="B848" s="1" t="s">
        <v>1610</v>
      </c>
      <c r="C848" s="1" t="s">
        <v>1622</v>
      </c>
      <c r="D848" s="1" t="str">
        <f ca="1">IFERROR(__xludf.DUMMYFUNCTION("GoogleTranslate(B848,""ja"",""en"")"),"Umimaru")</f>
        <v>Umimaru</v>
      </c>
    </row>
    <row r="849" spans="1:4" ht="15.75" customHeight="1" x14ac:dyDescent="0.25">
      <c r="A849" s="1" t="s">
        <v>1623</v>
      </c>
      <c r="B849" s="1" t="s">
        <v>1611</v>
      </c>
      <c r="C849" s="1" t="s">
        <v>1624</v>
      </c>
      <c r="D849" s="1" t="str">
        <f ca="1">IFERROR(__xludf.DUMMYFUNCTION("GoogleTranslate(B849,""ja"",""en"")"),"Great Sea King")</f>
        <v>Great Sea King</v>
      </c>
    </row>
    <row r="850" spans="1:4" ht="15.75" customHeight="1" x14ac:dyDescent="0.25">
      <c r="A850" s="1" t="s">
        <v>1625</v>
      </c>
      <c r="B850" s="1" t="s">
        <v>4681</v>
      </c>
      <c r="C850" s="1" t="s">
        <v>1626</v>
      </c>
      <c r="D850" s="1" t="str">
        <f ca="1">IFERROR(__xludf.DUMMYFUNCTION("GoogleTranslate(B850,""ja"",""en"")"),"Ultra-Fishing God")</f>
        <v>Ultra-Fishing God</v>
      </c>
    </row>
    <row r="851" spans="1:4" ht="15.75" customHeight="1" x14ac:dyDescent="0.25">
      <c r="A851" s="1" t="s">
        <v>1627</v>
      </c>
      <c r="B851" s="1" t="s">
        <v>4682</v>
      </c>
      <c r="C851" s="1" t="s">
        <v>1628</v>
      </c>
      <c r="D851" s="1" t="str">
        <f ca="1">IFERROR(__xludf.DUMMYFUNCTION("GoogleTranslate(B851,""ja"",""en"")"),"Ujigawa")</f>
        <v>Ujigawa</v>
      </c>
    </row>
    <row r="852" spans="1:4" ht="15.75" customHeight="1" x14ac:dyDescent="0.25">
      <c r="A852" s="1" t="s">
        <v>1629</v>
      </c>
      <c r="B852" s="1" t="s">
        <v>4683</v>
      </c>
      <c r="C852" s="1" t="s">
        <v>1630</v>
      </c>
      <c r="D852" s="1" t="str">
        <f ca="1">IFERROR(__xludf.DUMMYFUNCTION("GoogleTranslate(B852,""ja"",""en"")"),"Kamogawa")</f>
        <v>Kamogawa</v>
      </c>
    </row>
    <row r="853" spans="1:4" ht="15.75" customHeight="1" x14ac:dyDescent="0.25">
      <c r="A853" s="1" t="s">
        <v>1631</v>
      </c>
      <c r="B853" s="1" t="s">
        <v>4684</v>
      </c>
      <c r="C853" s="1" t="s">
        <v>1632</v>
      </c>
      <c r="D853" s="1" t="str">
        <f ca="1">IFERROR(__xludf.DUMMYFUNCTION("GoogleTranslate(B853,""ja"",""en"")"),"Iso of reefs")</f>
        <v>Iso of reefs</v>
      </c>
    </row>
    <row r="854" spans="1:4" ht="15.75" customHeight="1" x14ac:dyDescent="0.25">
      <c r="A854" s="1" t="s">
        <v>1633</v>
      </c>
      <c r="B854" s="1" t="s">
        <v>4685</v>
      </c>
      <c r="C854" s="1" t="s">
        <v>1634</v>
      </c>
      <c r="D854" s="1" t="str">
        <f ca="1">IFERROR(__xludf.DUMMYFUNCTION("GoogleTranslate(B854,""ja"",""en"")"),"Higashioki")</f>
        <v>Higashioki</v>
      </c>
    </row>
    <row r="855" spans="1:4" ht="15.75" customHeight="1" x14ac:dyDescent="0.25">
      <c r="A855" s="1" t="s">
        <v>1635</v>
      </c>
      <c r="B855" s="1" t="s">
        <v>1617</v>
      </c>
      <c r="C855" s="1" t="s">
        <v>1636</v>
      </c>
      <c r="D855" s="1" t="str">
        <f ca="1">IFERROR(__xludf.DUMMYFUNCTION("GoogleTranslate(B855,""ja"",""en"")"),"Ground bait")</f>
        <v>Ground bait</v>
      </c>
    </row>
    <row r="856" spans="1:4" ht="15.75" customHeight="1" x14ac:dyDescent="0.25">
      <c r="A856" s="1" t="s">
        <v>1637</v>
      </c>
      <c r="B856" s="1" t="s">
        <v>4686</v>
      </c>
      <c r="C856" s="1" t="s">
        <v>1638</v>
      </c>
      <c r="D856" s="1" t="str">
        <f ca="1">IFERROR(__xludf.DUMMYFUNCTION("GoogleTranslate(B856,""ja"",""en"")"),"Turned")</f>
        <v>Turned</v>
      </c>
    </row>
    <row r="857" spans="1:4" ht="15.75" customHeight="1" x14ac:dyDescent="0.25">
      <c r="A857" s="1" t="s">
        <v>1639</v>
      </c>
      <c r="B857" s="1" t="s">
        <v>4687</v>
      </c>
      <c r="C857" s="1" t="s">
        <v>1640</v>
      </c>
      <c r="D857" s="1" t="str">
        <f ca="1">IFERROR(__xludf.DUMMYFUNCTION("GoogleTranslate(B857,""ja"",""en"")"),"Fishing tackle")</f>
        <v>Fishing tackle</v>
      </c>
    </row>
    <row r="858" spans="1:4" ht="15.75" customHeight="1" x14ac:dyDescent="0.25">
      <c r="A858" s="1" t="s">
        <v>1641</v>
      </c>
      <c r="B858" s="1" t="s">
        <v>4688</v>
      </c>
      <c r="C858" s="1" t="s">
        <v>1642</v>
      </c>
      <c r="D858" s="1" t="str">
        <f ca="1">IFERROR(__xludf.DUMMYFUNCTION("GoogleTranslate(B858,""ja"",""en"")"),"Freshwater fish bite")</f>
        <v>Freshwater fish bite</v>
      </c>
    </row>
    <row r="859" spans="1:4" ht="15.75" customHeight="1" x14ac:dyDescent="0.25">
      <c r="A859" s="1" t="s">
        <v>1643</v>
      </c>
      <c r="B859" s="1" t="s">
        <v>4689</v>
      </c>
      <c r="C859" s="1" t="s">
        <v>1644</v>
      </c>
      <c r="D859" s="1" t="str">
        <f ca="1">IFERROR(__xludf.DUMMYFUNCTION("GoogleTranslate(B859,""ja"",""en"")"),"Bite saltwater fish")</f>
        <v>Bite saltwater fish</v>
      </c>
    </row>
    <row r="860" spans="1:4" ht="15.75" customHeight="1" x14ac:dyDescent="0.25">
      <c r="A860" s="1" t="s">
        <v>1645</v>
      </c>
      <c r="B860" s="1" t="s">
        <v>4690</v>
      </c>
      <c r="C860" s="1" t="s">
        <v>1646</v>
      </c>
      <c r="D860" s="1" t="str">
        <f ca="1">IFERROR(__xludf.DUMMYFUNCTION("GoogleTranslate(B860,""ja"",""en"")"),"Flying distance")</f>
        <v>Flying distance</v>
      </c>
    </row>
    <row r="861" spans="1:4" ht="15.75" customHeight="1" x14ac:dyDescent="0.25">
      <c r="A861" s="1" t="s">
        <v>1647</v>
      </c>
      <c r="B861" s="1" t="s">
        <v>4691</v>
      </c>
      <c r="C861" s="1" t="s">
        <v>1648</v>
      </c>
      <c r="D861" s="1" t="str">
        <f ca="1">IFERROR(__xludf.DUMMYFUNCTION("GoogleTranslate(B861,""ja"",""en"")"),"Atari sensitivity")</f>
        <v>Atari sensitivity</v>
      </c>
    </row>
    <row r="862" spans="1:4" ht="15.75" customHeight="1" x14ac:dyDescent="0.25">
      <c r="A862" s="1" t="s">
        <v>1649</v>
      </c>
      <c r="B862" s="1" t="s">
        <v>4692</v>
      </c>
      <c r="C862" s="1" t="s">
        <v>1650</v>
      </c>
      <c r="D862" s="1" t="str">
        <f ca="1">IFERROR(__xludf.DUMMYFUNCTION("GoogleTranslate(B862,""ja"",""en"")"),"It can also be used in the river in the sea, fishing for beginners. [N] performance is not so good.")</f>
        <v>It can also be used in the river in the sea, fishing for beginners. [N] performance is not so good.</v>
      </c>
    </row>
    <row r="863" spans="1:4" ht="15.75" customHeight="1" x14ac:dyDescent="0.25">
      <c r="A863" s="1" t="s">
        <v>1651</v>
      </c>
      <c r="B863" s="1" t="s">
        <v>4693</v>
      </c>
      <c r="C863" s="1" t="s">
        <v>1652</v>
      </c>
      <c r="D863" s="1" t="str">
        <f ca="1">IFERROR(__xludf.DUMMYFUNCTION("GoogleTranslate(B863,""ja"",""en"")"),"Fishing equipment suitable for river fishing. [N] river fish of Atari is easy to take, may be reaction.")</f>
        <v>Fishing equipment suitable for river fishing. [N] river fish of Atari is easy to take, may be reaction.</v>
      </c>
    </row>
    <row r="864" spans="1:4" ht="15.75" customHeight="1" x14ac:dyDescent="0.25">
      <c r="A864" s="1" t="s">
        <v>1653</v>
      </c>
      <c r="B864" s="1" t="s">
        <v>1649</v>
      </c>
      <c r="C864" s="1" t="s">
        <v>1654</v>
      </c>
      <c r="D864" s="1" t="str">
        <f ca="1">IFERROR(__xludf.DUMMYFUNCTION("GoogleTranslate(B864,""ja"",""en"")"),"The most suitable fishing tackle in the river fishing. [N] river fish of the reaction is also excellent, easy to match. [N] also thrown far.")</f>
        <v>The most suitable fishing tackle in the river fishing. [N] river fish of the reaction is also excellent, easy to match. [N] also thrown far.</v>
      </c>
    </row>
    <row r="865" spans="1:4" ht="15.75" customHeight="1" x14ac:dyDescent="0.25">
      <c r="A865" s="1" t="s">
        <v>1655</v>
      </c>
      <c r="B865" s="1" t="s">
        <v>4694</v>
      </c>
      <c r="C865" s="1" t="s">
        <v>1656</v>
      </c>
      <c r="D865" s="1" t="str">
        <f ca="1">IFERROR(__xludf.DUMMYFUNCTION("GoogleTranslate(B865,""ja"",""en"")"),"Fishing equipment that is suitable for sea fishing. [N] Atari is likely to take the fish the sea, may be reaction.")</f>
        <v>Fishing equipment that is suitable for sea fishing. [N] Atari is likely to take the fish the sea, may be reaction.</v>
      </c>
    </row>
    <row r="866" spans="1:4" ht="15.75" customHeight="1" x14ac:dyDescent="0.25">
      <c r="A866" s="1" t="s">
        <v>1657</v>
      </c>
      <c r="B866" s="1" t="s">
        <v>4695</v>
      </c>
      <c r="C866" s="1" t="s">
        <v>1658</v>
      </c>
      <c r="D866" s="1" t="str">
        <f ca="1">IFERROR(__xludf.DUMMYFUNCTION("GoogleTranslate(B866,""ja"",""en"")"),"The most suitable fishing tool to sea fishing. [N] reaction of Umigyo excellent, easy to match. [N] also thrown far.")</f>
        <v>The most suitable fishing tool to sea fishing. [N] reaction of Umigyo excellent, easy to match. [N] also thrown far.</v>
      </c>
    </row>
    <row r="867" spans="1:4" ht="15.75" customHeight="1" x14ac:dyDescent="0.25">
      <c r="A867" s="1" t="s">
        <v>1659</v>
      </c>
      <c r="B867" s="1" t="s">
        <v>4696</v>
      </c>
      <c r="C867" s="1" t="s">
        <v>1660</v>
      </c>
      <c r="D867" s="1" t="str">
        <f ca="1">IFERROR(__xludf.DUMMYFUNCTION("GoogleTranslate(B867,""ja"",""en"")"),"Fishing tackle of the highest performance can also be used in a river in the sea. [N] be the best Atari of the sensitivity of the fish. [N] distance also be thrown to the most distant.")</f>
        <v>Fishing tackle of the highest performance can also be used in a river in the sea. [N] be the best Atari of the sensitivity of the fish. [N] distance also be thrown to the most distant.</v>
      </c>
    </row>
    <row r="868" spans="1:4" ht="15.75" customHeight="1" x14ac:dyDescent="0.25">
      <c r="A868" s="1" t="s">
        <v>1661</v>
      </c>
      <c r="B868" s="1" t="s">
        <v>4697</v>
      </c>
      <c r="C868" s="1" t="s">
        <v>1662</v>
      </c>
      <c r="D868" s="1" t="str">
        <f ca="1">IFERROR(__xludf.DUMMYFUNCTION("GoogleTranslate(B868,""ja"",""en"")"),"Raise the rod")</f>
        <v>Raise the rod</v>
      </c>
    </row>
    <row r="869" spans="1:4" ht="15.75" customHeight="1" x14ac:dyDescent="0.25">
      <c r="A869" s="1" t="s">
        <v>1663</v>
      </c>
      <c r="B869" s="1" t="s">
        <v>4698</v>
      </c>
      <c r="C869" s="1" t="s">
        <v>1664</v>
      </c>
      <c r="D869" s="1" t="str">
        <f ca="1">IFERROR(__xludf.DUMMYFUNCTION("GoogleTranslate(B869,""ja"",""en"")"),"Match")</f>
        <v>Match</v>
      </c>
    </row>
    <row r="870" spans="1:4" ht="15.75" customHeight="1" x14ac:dyDescent="0.25">
      <c r="A870" s="1" t="s">
        <v>1665</v>
      </c>
      <c r="B870" s="1" t="s">
        <v>4699</v>
      </c>
      <c r="C870" s="1" t="s">
        <v>1666</v>
      </c>
      <c r="D870" s="1" t="str">
        <f ca="1">IFERROR(__xludf.DUMMYFUNCTION("GoogleTranslate(B870,""ja"",""en"")"),"% D scale% d dimensions")</f>
        <v>% D scale% d dimensions</v>
      </c>
    </row>
    <row r="871" spans="1:4" ht="15.75" customHeight="1" x14ac:dyDescent="0.25">
      <c r="A871" s="1" t="s">
        <v>1667</v>
      </c>
      <c r="B871" s="1" t="s">
        <v>4700</v>
      </c>
      <c r="C871" s="1" t="s">
        <v>1668</v>
      </c>
      <c r="D871" s="1" t="str">
        <f ca="1">IFERROR(__xludf.DUMMYFUNCTION("GoogleTranslate(B871,""ja"",""en"")"),"Luxury ground bait")</f>
        <v>Luxury ground bait</v>
      </c>
    </row>
    <row r="872" spans="1:4" ht="15.75" customHeight="1" x14ac:dyDescent="0.25">
      <c r="A872" s="1" t="s">
        <v>1669</v>
      </c>
      <c r="B872" s="1" t="s">
        <v>4701</v>
      </c>
      <c r="C872" s="1" t="s">
        <v>1670</v>
      </c>
      <c r="D872" s="1" t="str">
        <f ca="1">IFERROR(__xludf.DUMMYFUNCTION("GoogleTranslate(B872,""ja"",""en"")"),"Specialties ground bait")</f>
        <v>Specialties ground bait</v>
      </c>
    </row>
    <row r="873" spans="1:4" ht="15.75" customHeight="1" x14ac:dyDescent="0.25">
      <c r="A873" s="1" t="s">
        <v>1671</v>
      </c>
      <c r="B873" s="1" t="s">
        <v>4702</v>
      </c>
      <c r="C873" s="1" t="s">
        <v>1672</v>
      </c>
      <c r="D873" s="1" t="str">
        <f ca="1">IFERROR(__xludf.DUMMYFUNCTION("GoogleTranslate(B873,""ja"",""en"")"),"The ultimate ground bait")</f>
        <v>The ultimate ground bait</v>
      </c>
    </row>
    <row r="874" spans="1:4" ht="15.75" customHeight="1" x14ac:dyDescent="0.25">
      <c r="A874" s="1" t="s">
        <v>1673</v>
      </c>
      <c r="B874" s="1" t="s">
        <v>4703</v>
      </c>
      <c r="C874" s="1" t="s">
        <v>1674</v>
      </c>
      <c r="D874" s="1" t="str">
        <f ca="1">IFERROR(__xludf.DUMMYFUNCTION("GoogleTranslate(B874,""ja"",""en"")"),"And the premonition of the melee.")</f>
        <v>And the premonition of the melee.</v>
      </c>
    </row>
    <row r="875" spans="1:4" ht="15.75" customHeight="1" x14ac:dyDescent="0.25">
      <c r="A875" s="1" t="s">
        <v>1675</v>
      </c>
      <c r="B875" s="1" t="s">
        <v>4704</v>
      </c>
      <c r="C875" s="1" t="s">
        <v>1676</v>
      </c>
      <c r="D875" s="1" t="str">
        <f ca="1">IFERROR(__xludf.DUMMYFUNCTION("GoogleTranslate(B875,""ja"",""en"")"),"It is going to be a battle of 2 strong.")</f>
        <v>It is going to be a battle of 2 strong.</v>
      </c>
    </row>
    <row r="876" spans="1:4" ht="15.75" customHeight="1" x14ac:dyDescent="0.25">
      <c r="A876" s="1" t="s">
        <v>1677</v>
      </c>
      <c r="B876" s="1" t="s">
        <v>4705</v>
      </c>
      <c r="C876" s="1" t="s">
        <v>1678</v>
      </c>
      <c r="D876" s="1" t="str">
        <f ca="1">IFERROR(__xludf.DUMMYFUNCTION("GoogleTranslate(B876,""ja"",""en"")"),"Now do will be what kind of consequences?")</f>
        <v>Now do will be what kind of consequences?</v>
      </c>
    </row>
    <row r="877" spans="1:4" ht="15.75" customHeight="1" x14ac:dyDescent="0.25">
      <c r="A877" s="1" t="s">
        <v>1679</v>
      </c>
      <c r="B877" s="1" t="s">
        <v>4706</v>
      </c>
      <c r="C877" s="1" t="s">
        <v>1680</v>
      </c>
      <c r="D877" s="1" t="str">
        <f ca="1">IFERROR(__xludf.DUMMYFUNCTION("GoogleTranslate(B877,""ja"",""en"")"),"Short distance champion is determined finally.")</f>
        <v>Short distance champion is determined finally.</v>
      </c>
    </row>
    <row r="878" spans="1:4" ht="15.75" customHeight="1" x14ac:dyDescent="0.25">
      <c r="A878" s="1" t="s">
        <v>1681</v>
      </c>
      <c r="B878" s="1" t="s">
        <v>4707</v>
      </c>
      <c r="C878" s="1" t="s">
        <v>1682</v>
      </c>
      <c r="D878" s="1" t="str">
        <f ca="1">IFERROR(__xludf.DUMMYFUNCTION("GoogleTranslate(B878,""ja"",""en"")"),"Now, here it will determine the medium-range strongest.")</f>
        <v>Now, here it will determine the medium-range strongest.</v>
      </c>
    </row>
    <row r="879" spans="1:4" ht="15.75" customHeight="1" x14ac:dyDescent="0.25">
      <c r="A879" s="1" t="s">
        <v>1683</v>
      </c>
      <c r="B879" s="1" t="s">
        <v>4708</v>
      </c>
      <c r="C879" s="1" t="s">
        <v>1684</v>
      </c>
      <c r="D879" s="1" t="str">
        <f ca="1">IFERROR(__xludf.DUMMYFUNCTION("GoogleTranslate(B879,""ja"",""en"")"),"Which bird strongest bird in the long distance?")</f>
        <v>Which bird strongest bird in the long distance?</v>
      </c>
    </row>
    <row r="880" spans="1:4" ht="15.75" customHeight="1" x14ac:dyDescent="0.25">
      <c r="A880" s="1" t="s">
        <v>1685</v>
      </c>
      <c r="B880" s="1" t="s">
        <v>4709</v>
      </c>
      <c r="C880" s="1" t="s">
        <v>1686</v>
      </c>
      <c r="D880" s="1" t="str">
        <f ca="1">IFERROR(__xludf.DUMMYFUNCTION("GoogleTranslate(B880,""ja"",""en"")"),"Won birds in this competition is given the crest of glory.")</f>
        <v>Won birds in this competition is given the crest of glory.</v>
      </c>
    </row>
    <row r="881" spans="1:4" ht="15.75" customHeight="1" x14ac:dyDescent="0.25">
      <c r="A881" s="1" t="s">
        <v>1687</v>
      </c>
      <c r="B881" s="1" t="s">
        <v>4710</v>
      </c>
      <c r="C881" s="1" t="s">
        <v>1688</v>
      </c>
      <c r="D881" s="1" t="str">
        <f ca="1">IFERROR(__xludf.DUMMYFUNCTION("GoogleTranslate(B881,""ja"",""en"")"),"Won birds in this competition is called the Phoenix.")</f>
        <v>Won birds in this competition is called the Phoenix.</v>
      </c>
    </row>
    <row r="882" spans="1:4" ht="15.75" customHeight="1" x14ac:dyDescent="0.25">
      <c r="A882" s="1" t="s">
        <v>1689</v>
      </c>
      <c r="B882" s="1" t="s">
        <v>4711</v>
      </c>
      <c r="C882" s="1" t="s">
        <v>1690</v>
      </c>
      <c r="D882" s="1" t="str">
        <f ca="1">IFERROR(__xludf.DUMMYFUNCTION("GoogleTranslate(B882,""ja"",""en"")"),"Whether Japan's laurels is to shine in what bird? [N] finally determined birds in the bird.")</f>
        <v>Whether Japan's laurels is to shine in what bird? [N] finally determined birds in the bird.</v>
      </c>
    </row>
    <row r="883" spans="1:4" ht="15.75" customHeight="1" x14ac:dyDescent="0.25">
      <c r="A883" s="1" t="s">
        <v>1691</v>
      </c>
      <c r="B883" s="1" t="s">
        <v>4712</v>
      </c>
      <c r="C883" s="1" t="s">
        <v>1692</v>
      </c>
      <c r="D883" s="1" t="str">
        <f ca="1">IFERROR(__xludf.DUMMYFUNCTION("GoogleTranslate(B883,""ja"",""en"")"),"Hurriedly you a special race is held. [N] is the single combat warfare by two birds that were selected.")</f>
        <v>Hurriedly you a special race is held. [N] is the single combat warfare by two birds that were selected.</v>
      </c>
    </row>
    <row r="884" spans="1:4" ht="15.75" customHeight="1" x14ac:dyDescent="0.25">
      <c r="A884" s="1" t="s">
        <v>1693</v>
      </c>
      <c r="B884" s="1" t="s">
        <v>4713</v>
      </c>
      <c r="C884" s="1" t="s">
        <v>1694</v>
      </c>
      <c r="D884" s="1" t="str">
        <f ca="1">IFERROR(__xludf.DUMMYFUNCTION("GoogleTranslate(B884,""ja"",""en"")"),"Short-range general competition")</f>
        <v>Short-range general competition</v>
      </c>
    </row>
    <row r="885" spans="1:4" ht="15.75" customHeight="1" x14ac:dyDescent="0.25">
      <c r="A885" s="1" t="s">
        <v>1695</v>
      </c>
      <c r="B885" s="1" t="s">
        <v>4714</v>
      </c>
      <c r="C885" s="1" t="s">
        <v>1696</v>
      </c>
      <c r="D885" s="1" t="str">
        <f ca="1">IFERROR(__xludf.DUMMYFUNCTION("GoogleTranslate(B885,""ja"",""en"")"),"Middle-distance general competition")</f>
        <v>Middle-distance general competition</v>
      </c>
    </row>
    <row r="886" spans="1:4" ht="15.75" customHeight="1" x14ac:dyDescent="0.25">
      <c r="A886" s="1" t="s">
        <v>1697</v>
      </c>
      <c r="B886" s="1" t="s">
        <v>4715</v>
      </c>
      <c r="C886" s="1" t="s">
        <v>1698</v>
      </c>
      <c r="D886" s="1" t="str">
        <f ca="1">IFERROR(__xludf.DUMMYFUNCTION("GoogleTranslate(B886,""ja"",""en"")"),"Long-distance general competition")</f>
        <v>Long-distance general competition</v>
      </c>
    </row>
    <row r="887" spans="1:4" ht="15.75" customHeight="1" x14ac:dyDescent="0.25">
      <c r="A887" s="1" t="s">
        <v>1699</v>
      </c>
      <c r="B887" s="1" t="s">
        <v>4716</v>
      </c>
      <c r="C887" s="1" t="s">
        <v>1700</v>
      </c>
      <c r="D887" s="1" t="str">
        <f ca="1">IFERROR(__xludf.DUMMYFUNCTION("GoogleTranslate(B887,""ja"",""en"")"),"Short distance [n] general competitive")</f>
        <v>Short distance [n] general competitive</v>
      </c>
    </row>
    <row r="888" spans="1:4" ht="15.75" customHeight="1" x14ac:dyDescent="0.25">
      <c r="A888" s="1" t="s">
        <v>1701</v>
      </c>
      <c r="B888" s="1" t="s">
        <v>4717</v>
      </c>
      <c r="C888" s="1" t="s">
        <v>1702</v>
      </c>
      <c r="D888" s="1" t="str">
        <f ca="1">IFERROR(__xludf.DUMMYFUNCTION("GoogleTranslate(B888,""ja"",""en"")"),"Middle distance [n] general competitive")</f>
        <v>Middle distance [n] general competitive</v>
      </c>
    </row>
    <row r="889" spans="1:4" ht="15.75" customHeight="1" x14ac:dyDescent="0.25">
      <c r="A889" s="1" t="s">
        <v>1703</v>
      </c>
      <c r="B889" s="1" t="s">
        <v>4718</v>
      </c>
      <c r="C889" s="1" t="s">
        <v>1704</v>
      </c>
      <c r="D889" s="1" t="str">
        <f ca="1">IFERROR(__xludf.DUMMYFUNCTION("GoogleTranslate(B889,""ja"",""en"")"),"Long-distance [n] general competitive")</f>
        <v>Long-distance [n] general competitive</v>
      </c>
    </row>
    <row r="890" spans="1:4" ht="15.75" customHeight="1" x14ac:dyDescent="0.25">
      <c r="A890" s="1" t="s">
        <v>1705</v>
      </c>
      <c r="B890" s="1" t="s">
        <v>4719</v>
      </c>
      <c r="C890" s="1" t="s">
        <v>1706</v>
      </c>
      <c r="D890" s="1" t="str">
        <f ca="1">IFERROR(__xludf.DUMMYFUNCTION("GoogleTranslate(B890,""ja"",""en"")"),"% S vs.% s")</f>
        <v>% S vs.% s</v>
      </c>
    </row>
    <row r="891" spans="1:4" ht="15.75" customHeight="1" x14ac:dyDescent="0.25">
      <c r="A891" s="1" t="s">
        <v>1707</v>
      </c>
      <c r="B891" s="1" t="s">
        <v>4720</v>
      </c>
      <c r="C891" s="1" t="s">
        <v>1708</v>
      </c>
      <c r="D891" s="1" t="str">
        <f ca="1">IFERROR(__xludf.DUMMYFUNCTION("GoogleTranslate(B891,""ja"",""en"")"),"Mukuro short distance crown skirmish")</f>
        <v>Mukuro short distance crown skirmish</v>
      </c>
    </row>
    <row r="892" spans="1:4" ht="15.75" customHeight="1" x14ac:dyDescent="0.25">
      <c r="A892" s="1" t="s">
        <v>1709</v>
      </c>
      <c r="B892" s="1" t="s">
        <v>4721</v>
      </c>
      <c r="C892" s="1" t="s">
        <v>1710</v>
      </c>
      <c r="D892" s="1" t="str">
        <f ca="1">IFERROR(__xludf.DUMMYFUNCTION("GoogleTranslate(B892,""ja"",""en"")"),"Mukuro middle distance crown skirmish")</f>
        <v>Mukuro middle distance crown skirmish</v>
      </c>
    </row>
    <row r="893" spans="1:4" ht="15.75" customHeight="1" x14ac:dyDescent="0.25">
      <c r="A893" s="1" t="s">
        <v>1711</v>
      </c>
      <c r="B893" s="1" t="s">
        <v>4722</v>
      </c>
      <c r="C893" s="1" t="s">
        <v>1712</v>
      </c>
      <c r="D893" s="1" t="str">
        <f ca="1">IFERROR(__xludf.DUMMYFUNCTION("GoogleTranslate(B893,""ja"",""en"")"),"Mukuro long distance crown skirmish")</f>
        <v>Mukuro long distance crown skirmish</v>
      </c>
    </row>
    <row r="894" spans="1:4" ht="15.75" customHeight="1" x14ac:dyDescent="0.25">
      <c r="A894" s="1" t="s">
        <v>1713</v>
      </c>
      <c r="B894" s="1" t="s">
        <v>4723</v>
      </c>
      <c r="C894" s="1" t="s">
        <v>1714</v>
      </c>
      <c r="D894" s="1" t="str">
        <f ca="1">IFERROR(__xludf.DUMMYFUNCTION("GoogleTranslate(B894,""ja"",""en"")"),"Gin'niwatorihai")</f>
        <v>Gin'niwatorihai</v>
      </c>
    </row>
    <row r="895" spans="1:4" ht="15.75" customHeight="1" x14ac:dyDescent="0.25">
      <c r="A895" s="1" t="s">
        <v>1715</v>
      </c>
      <c r="B895" s="1" t="s">
        <v>4724</v>
      </c>
      <c r="C895" s="1" t="s">
        <v>1716</v>
      </c>
      <c r="D895" s="1" t="str">
        <f ca="1">IFERROR(__xludf.DUMMYFUNCTION("GoogleTranslate(B895,""ja"",""en"")"),"Jinji Cup")</f>
        <v>Jinji Cup</v>
      </c>
    </row>
    <row r="896" spans="1:4" ht="15.75" customHeight="1" x14ac:dyDescent="0.25">
      <c r="A896" s="1" t="s">
        <v>1717</v>
      </c>
      <c r="B896" s="1" t="s">
        <v>4725</v>
      </c>
      <c r="C896" s="1" t="s">
        <v>1718</v>
      </c>
      <c r="D896" s="1" t="str">
        <f ca="1">IFERROR(__xludf.DUMMYFUNCTION("GoogleTranslate(B896,""ja"",""en"")"),"Kamogawa Memorial")</f>
        <v>Kamogawa Memorial</v>
      </c>
    </row>
    <row r="897" spans="1:4" ht="15.75" customHeight="1" x14ac:dyDescent="0.25">
      <c r="A897" s="1" t="s">
        <v>1719</v>
      </c>
      <c r="B897" s="1" t="s">
        <v>4726</v>
      </c>
      <c r="C897" s="1" t="s">
        <v>1720</v>
      </c>
      <c r="D897" s="1" t="str">
        <f ca="1">IFERROR(__xludf.DUMMYFUNCTION("GoogleTranslate(B897,""ja"",""en"")"),"Mukuro Memorial")</f>
        <v>Mukuro Memorial</v>
      </c>
    </row>
    <row r="898" spans="1:4" ht="15.75" customHeight="1" x14ac:dyDescent="0.25">
      <c r="A898" s="1" t="s">
        <v>1721</v>
      </c>
      <c r="B898" s="1" t="s">
        <v>1705</v>
      </c>
      <c r="C898" s="1" t="s">
        <v>1722</v>
      </c>
      <c r="D898" s="1" t="str">
        <f ca="1">IFERROR(__xludf.DUMMYFUNCTION("GoogleTranslate(B898,""ja"",""en"")"),"Mukuro short distance crown")</f>
        <v>Mukuro short distance crown</v>
      </c>
    </row>
    <row r="899" spans="1:4" ht="15.75" customHeight="1" x14ac:dyDescent="0.25">
      <c r="A899" s="1" t="s">
        <v>1723</v>
      </c>
      <c r="B899" s="1" t="s">
        <v>1707</v>
      </c>
      <c r="C899" s="1" t="s">
        <v>1724</v>
      </c>
      <c r="D899" s="1" t="str">
        <f ca="1">IFERROR(__xludf.DUMMYFUNCTION("GoogleTranslate(B899,""ja"",""en"")"),"Mukuro middle distance crown")</f>
        <v>Mukuro middle distance crown</v>
      </c>
    </row>
    <row r="900" spans="1:4" ht="15.75" customHeight="1" x14ac:dyDescent="0.25">
      <c r="A900" s="1" t="s">
        <v>1725</v>
      </c>
      <c r="B900" s="1" t="s">
        <v>4727</v>
      </c>
      <c r="C900" s="1" t="s">
        <v>1726</v>
      </c>
      <c r="D900" s="1" t="str">
        <f ca="1">IFERROR(__xludf.DUMMYFUNCTION("GoogleTranslate(B900,""ja"",""en"")"),"Mukuro long distance crown")</f>
        <v>Mukuro long distance crown</v>
      </c>
    </row>
    <row r="901" spans="1:4" ht="15.75" customHeight="1" x14ac:dyDescent="0.25">
      <c r="A901" s="1" t="s">
        <v>1727</v>
      </c>
      <c r="B901" s="1" t="s">
        <v>4728</v>
      </c>
      <c r="C901" s="1" t="s">
        <v>1728</v>
      </c>
      <c r="D901" s="1" t="str">
        <f ca="1">IFERROR(__xludf.DUMMYFUNCTION("GoogleTranslate(B901,""ja"",""en"")"),"Mukuro large cockscomb")</f>
        <v>Mukuro large cockscomb</v>
      </c>
    </row>
    <row r="902" spans="1:4" ht="15.75" customHeight="1" x14ac:dyDescent="0.25">
      <c r="A902" s="1" t="s">
        <v>1729</v>
      </c>
      <c r="B902" s="1" t="s">
        <v>1711</v>
      </c>
      <c r="C902" s="1" t="s">
        <v>1730</v>
      </c>
      <c r="D902" s="1" t="str">
        <f ca="1">IFERROR(__xludf.DUMMYFUNCTION("GoogleTranslate(B902,""ja"",""en"")"),"Phoenix Award")</f>
        <v>Phoenix Award</v>
      </c>
    </row>
    <row r="903" spans="1:4" ht="15.75" customHeight="1" x14ac:dyDescent="0.25">
      <c r="A903" s="1" t="s">
        <v>1731</v>
      </c>
      <c r="B903" s="1" t="s">
        <v>4729</v>
      </c>
      <c r="C903" s="1" t="s">
        <v>1732</v>
      </c>
      <c r="D903" s="1" t="str">
        <f ca="1">IFERROR(__xludf.DUMMYFUNCTION("GoogleTranslate(B903,""ja"",""en"")"),"Japan Yuniwatori")</f>
        <v>Japan Yuniwatori</v>
      </c>
    </row>
    <row r="904" spans="1:4" ht="15.75" customHeight="1" x14ac:dyDescent="0.25">
      <c r="A904" s="1" t="s">
        <v>1733</v>
      </c>
      <c r="B904" s="1" t="s">
        <v>1713</v>
      </c>
      <c r="C904" s="1" t="s">
        <v>1734</v>
      </c>
      <c r="D904" s="1" t="str">
        <f ca="1">IFERROR(__xludf.DUMMYFUNCTION("GoogleTranslate(B904,""ja"",""en"")"),"Duel against")</f>
        <v>Duel against</v>
      </c>
    </row>
    <row r="905" spans="1:4" ht="15.75" customHeight="1" x14ac:dyDescent="0.25">
      <c r="A905" s="1" t="s">
        <v>1735</v>
      </c>
      <c r="B905" s="1" t="s">
        <v>4730</v>
      </c>
      <c r="C905" s="1" t="s">
        <v>1736</v>
      </c>
      <c r="D905" s="1" t="str">
        <f ca="1">IFERROR(__xludf.DUMMYFUNCTION("GoogleTranslate(B905,""ja"",""en"")"),"Mukuro short distance [n] crown skirmish")</f>
        <v>Mukuro short distance [n] crown skirmish</v>
      </c>
    </row>
    <row r="906" spans="1:4" ht="15.75" customHeight="1" x14ac:dyDescent="0.25">
      <c r="A906" s="1" t="s">
        <v>1737</v>
      </c>
      <c r="B906" s="1" t="s">
        <v>4731</v>
      </c>
      <c r="C906" s="1" t="s">
        <v>1738</v>
      </c>
      <c r="D906" s="1" t="str">
        <f ca="1">IFERROR(__xludf.DUMMYFUNCTION("GoogleTranslate(B906,""ja"",""en"")"),"Mukuro middle distance [n] crown skirmish")</f>
        <v>Mukuro middle distance [n] crown skirmish</v>
      </c>
    </row>
    <row r="907" spans="1:4" ht="15.75" customHeight="1" x14ac:dyDescent="0.25">
      <c r="A907" s="1" t="s">
        <v>1739</v>
      </c>
      <c r="B907" s="1" t="s">
        <v>4732</v>
      </c>
      <c r="C907" s="1" t="s">
        <v>1740</v>
      </c>
      <c r="D907" s="1" t="str">
        <f ca="1">IFERROR(__xludf.DUMMYFUNCTION("GoogleTranslate(B907,""ja"",""en"")"),"Mukuro long-distance king [n] crown skirmish")</f>
        <v>Mukuro long-distance king [n] crown skirmish</v>
      </c>
    </row>
    <row r="908" spans="1:4" ht="15.75" customHeight="1" x14ac:dyDescent="0.25">
      <c r="A908" s="1" t="s">
        <v>1741</v>
      </c>
      <c r="B908" s="1" t="s">
        <v>4733</v>
      </c>
      <c r="C908" s="1" t="s">
        <v>1742</v>
      </c>
      <c r="D908" s="1" t="str">
        <f ca="1">IFERROR(__xludf.DUMMYFUNCTION("GoogleTranslate(B908,""ja"",""en"")"),"Mukuro short distance [n] crown")</f>
        <v>Mukuro short distance [n] crown</v>
      </c>
    </row>
    <row r="909" spans="1:4" ht="15.75" customHeight="1" x14ac:dyDescent="0.25">
      <c r="A909" s="1" t="s">
        <v>1743</v>
      </c>
      <c r="B909" s="1" t="s">
        <v>4734</v>
      </c>
      <c r="C909" s="1" t="s">
        <v>1744</v>
      </c>
      <c r="D909" s="1" t="str">
        <f ca="1">IFERROR(__xludf.DUMMYFUNCTION("GoogleTranslate(B909,""ja"",""en"")"),"Mukuro middle distance [n] crown")</f>
        <v>Mukuro middle distance [n] crown</v>
      </c>
    </row>
    <row r="910" spans="1:4" ht="15.75" customHeight="1" x14ac:dyDescent="0.25">
      <c r="A910" s="1" t="s">
        <v>1745</v>
      </c>
      <c r="B910" s="1" t="s">
        <v>4735</v>
      </c>
      <c r="C910" s="1" t="s">
        <v>1746</v>
      </c>
      <c r="D910" s="1" t="str">
        <f ca="1">IFERROR(__xludf.DUMMYFUNCTION("GoogleTranslate(B910,""ja"",""en"")"),"Mukuro long distance [n] crown")</f>
        <v>Mukuro long distance [n] crown</v>
      </c>
    </row>
    <row r="911" spans="1:4" ht="15.75" customHeight="1" x14ac:dyDescent="0.25">
      <c r="A911" s="1" t="s">
        <v>1747</v>
      </c>
      <c r="B911" s="1" t="s">
        <v>4736</v>
      </c>
      <c r="C911" s="1" t="s">
        <v>1748</v>
      </c>
      <c r="D911" s="1" t="str">
        <f ca="1">IFERROR(__xludf.DUMMYFUNCTION("GoogleTranslate(B911,""ja"",""en"")"),"Each feather, we're poised.")</f>
        <v>Each feather, we're poised.</v>
      </c>
    </row>
    <row r="912" spans="1:4" ht="15.75" customHeight="1" x14ac:dyDescent="0.25">
      <c r="A912" s="1" t="s">
        <v>1749</v>
      </c>
      <c r="B912" s="1" t="s">
        <v>4737</v>
      </c>
      <c r="C912" s="1" t="s">
        <v>1750</v>
      </c>
      <c r="D912" s="1" t="str">
        <f ca="1">IFERROR(__xludf.DUMMYFUNCTION("GoogleTranslate(B912,""ja"",""en"")"),"Ready.")</f>
        <v>Ready.</v>
      </c>
    </row>
    <row r="913" spans="1:4" ht="15.75" customHeight="1" x14ac:dyDescent="0.25">
      <c r="A913" s="1" t="s">
        <v>1751</v>
      </c>
      <c r="B913" s="1" t="s">
        <v>4738</v>
      </c>
      <c r="C913" s="1" t="s">
        <v>1752</v>
      </c>
      <c r="D913" s="1" t="str">
        <f ca="1">IFERROR(__xludf.DUMMYFUNCTION("GoogleTranslate(B913,""ja"",""en"")"),"Each feather beautiful turnout!")</f>
        <v>Each feather beautiful turnout!</v>
      </c>
    </row>
    <row r="914" spans="1:4" ht="15.75" customHeight="1" x14ac:dyDescent="0.25">
      <c r="A914" s="1" t="s">
        <v>1753</v>
      </c>
      <c r="B914" s="1" t="s">
        <v>4739</v>
      </c>
      <c r="C914" s="1" t="s">
        <v>1754</v>
      </c>
      <c r="D914" s="1" t="str">
        <f ca="1">IFERROR(__xludf.DUMMYFUNCTION("GoogleTranslate(B914,""ja"",""en"")"),"Late it was! % S")</f>
        <v>Late it was! % S</v>
      </c>
    </row>
    <row r="915" spans="1:4" ht="15.75" customHeight="1" x14ac:dyDescent="0.25">
      <c r="A915" s="1" t="s">
        <v>1755</v>
      </c>
      <c r="B915" s="1" t="s">
        <v>4740</v>
      </c>
      <c r="C915" s="1" t="s">
        <v>1756</v>
      </c>
      <c r="D915" s="1" t="str">
        <f ca="1">IFERROR(__xludf.DUMMYFUNCTION("GoogleTranslate(B915,""ja"",""en"")"),"Good turnout! % S")</f>
        <v>Good turnout! % S</v>
      </c>
    </row>
    <row r="916" spans="1:4" ht="15.75" customHeight="1" x14ac:dyDescent="0.25">
      <c r="A916" s="1" t="s">
        <v>1757</v>
      </c>
      <c r="B916" s="1" t="s">
        <v>4741</v>
      </c>
      <c r="C916" s="1" t="s">
        <v>1758</v>
      </c>
      <c r="D916" s="1" t="str">
        <f ca="1">IFERROR(__xludf.DUMMYFUNCTION("GoogleTranslate(B916,""ja"",""en"")"),"Current top% s")</f>
        <v>Current top% s</v>
      </c>
    </row>
    <row r="917" spans="1:4" ht="15.75" customHeight="1" x14ac:dyDescent="0.25">
      <c r="A917" s="1" t="s">
        <v>1759</v>
      </c>
      <c r="B917" s="1" t="s">
        <v>4742</v>
      </c>
      <c r="C917" s="1" t="s">
        <v>1760</v>
      </c>
      <c r="D917" s="1" t="str">
        <f ca="1">IFERROR(__xludf.DUMMYFUNCTION("GoogleTranslate(B917,""ja"",""en"")"),"Top horizontal clear distinction!")</f>
        <v>Top horizontal clear distinction!</v>
      </c>
    </row>
    <row r="918" spans="1:4" ht="15.75" customHeight="1" x14ac:dyDescent="0.25">
      <c r="A918" s="1" t="s">
        <v>1761</v>
      </c>
      <c r="B918" s="1" t="s">
        <v>4743</v>
      </c>
      <c r="C918" s="1" t="s">
        <v>1762</v>
      </c>
      <c r="D918" s="1" t="str">
        <f ca="1">IFERROR(__xludf.DUMMYFUNCTION("GoogleTranslate(B918,""ja"",""en"")"),"At once it came out! % S")</f>
        <v>At once it came out! % S</v>
      </c>
    </row>
    <row r="919" spans="1:4" ht="15.75" customHeight="1" x14ac:dyDescent="0.25">
      <c r="A919" s="1" t="s">
        <v>1763</v>
      </c>
      <c r="B919" s="1" t="s">
        <v>4744</v>
      </c>
      <c r="C919" s="1" t="s">
        <v>1764</v>
      </c>
      <c r="D919" s="1" t="str">
        <f ca="1">IFERROR(__xludf.DUMMYFUNCTION("GoogleTranslate(B919,""ja"",""en"")"),"% S one step ahead")</f>
        <v>% S one step ahead</v>
      </c>
    </row>
    <row r="920" spans="1:4" ht="15.75" customHeight="1" x14ac:dyDescent="0.25">
      <c r="A920" s="1" t="s">
        <v>1765</v>
      </c>
      <c r="B920" s="1" t="s">
        <v>4745</v>
      </c>
      <c r="C920" s="1" t="s">
        <v>1766</v>
      </c>
      <c r="D920" s="1" t="str">
        <f ca="1">IFERROR(__xludf.DUMMYFUNCTION("GoogleTranslate(B920,""ja"",""en"")"),"At once it came over from% s behind!")</f>
        <v>At once it came over from% s behind!</v>
      </c>
    </row>
    <row r="921" spans="1:4" ht="15.75" customHeight="1" x14ac:dyDescent="0.25">
      <c r="A921" s="1" t="s">
        <v>1767</v>
      </c>
      <c r="B921" s="1" t="s">
        <v>4746</v>
      </c>
      <c r="C921" s="1" t="s">
        <v>1768</v>
      </c>
      <c r="D921" s="1" t="str">
        <f ca="1">IFERROR(__xludf.DUMMYFUNCTION("GoogleTranslate(B921,""ja"",""en"")"),"% S running away!")</f>
        <v>% S running away!</v>
      </c>
    </row>
    <row r="922" spans="1:4" ht="15.75" customHeight="1" x14ac:dyDescent="0.25">
      <c r="A922" s="1" t="s">
        <v>1769</v>
      </c>
      <c r="B922" s="1" t="s">
        <v>4747</v>
      </c>
      <c r="C922" s="1" t="s">
        <v>1770</v>
      </c>
      <c r="D922" s="1" t="str">
        <f ca="1">IFERROR(__xludf.DUMMYFUNCTION("GoogleTranslate(B922,""ja"",""en"")"),"Over which it ran into the end point in each wing all at once")</f>
        <v>Over which it ran into the end point in each wing all at once</v>
      </c>
    </row>
    <row r="923" spans="1:4" ht="15.75" customHeight="1" x14ac:dyDescent="0.25">
      <c r="A923" s="1" t="s">
        <v>1771</v>
      </c>
      <c r="B923" s="1" t="s">
        <v>4748</v>
      </c>
      <c r="C923" s="1" t="s">
        <v>1772</v>
      </c>
      <c r="D923" s="1" t="str">
        <f ca="1">IFERROR(__xludf.DUMMYFUNCTION("GoogleTranslate(B923,""ja"",""en"")"),"It's pretty melee!")</f>
        <v>It's pretty melee!</v>
      </c>
    </row>
    <row r="924" spans="1:4" ht="15.75" customHeight="1" x14ac:dyDescent="0.25">
      <c r="A924" s="1" t="s">
        <v>1773</v>
      </c>
      <c r="B924" s="1" t="s">
        <v>1765</v>
      </c>
      <c r="C924" s="1" t="s">
        <v>1774</v>
      </c>
      <c r="D924" s="1" t="str">
        <f ca="1">IFERROR(__xludf.DUMMYFUNCTION("GoogleTranslate(B924,""ja"",""en"")"),"Large good fight! % S")</f>
        <v>Large good fight! % S</v>
      </c>
    </row>
    <row r="925" spans="1:4" ht="15.75" customHeight="1" x14ac:dyDescent="0.25">
      <c r="A925" s="1" t="s">
        <v>1775</v>
      </c>
      <c r="B925" s="1" t="s">
        <v>4749</v>
      </c>
      <c r="C925" s="1" t="s">
        <v>1776</v>
      </c>
      <c r="D925" s="1" t="str">
        <f ca="1">IFERROR(__xludf.DUMMYFUNCTION("GoogleTranslate(B925,""ja"",""en"")"),"It is expected! % S")</f>
        <v>It is expected! % S</v>
      </c>
    </row>
    <row r="926" spans="1:4" ht="15.75" customHeight="1" x14ac:dyDescent="0.25">
      <c r="A926" s="1" t="s">
        <v>1777</v>
      </c>
      <c r="B926" s="1" t="s">
        <v>4750</v>
      </c>
      <c r="C926" s="1" t="s">
        <v>1778</v>
      </c>
      <c r="D926" s="1" t="str">
        <f ca="1">IFERROR(__xludf.DUMMYFUNCTION("GoogleTranslate(B926,""ja"",""en"")"),"This is unexpected! % S")</f>
        <v>This is unexpected! % S</v>
      </c>
    </row>
    <row r="927" spans="1:4" ht="15.75" customHeight="1" x14ac:dyDescent="0.25">
      <c r="A927" s="1" t="s">
        <v>1779</v>
      </c>
      <c r="B927" s="1" t="s">
        <v>4751</v>
      </c>
      <c r="C927" s="1" t="s">
        <v>1780</v>
      </c>
      <c r="D927" s="1" t="str">
        <f ca="1">IFERROR(__xludf.DUMMYFUNCTION("GoogleTranslate(B927,""ja"",""en"")"),"Still strong! % S")</f>
        <v>Still strong! % S</v>
      </c>
    </row>
    <row r="928" spans="1:4" ht="15.75" customHeight="1" x14ac:dyDescent="0.25">
      <c r="A928" s="1" t="s">
        <v>1781</v>
      </c>
      <c r="B928" s="1" t="s">
        <v>1771</v>
      </c>
      <c r="C928" s="1" t="s">
        <v>1782</v>
      </c>
      <c r="D928" s="1" t="str">
        <f ca="1">IFERROR(__xludf.DUMMYFUNCTION("GoogleTranslate(B928,""ja"",""en"")"),"One outfit% s [n] 2 pieces% s")</f>
        <v>One outfit% s [n] 2 pieces% s</v>
      </c>
    </row>
    <row r="929" spans="1:4" ht="15.75" customHeight="1" x14ac:dyDescent="0.25">
      <c r="A929" s="1" t="s">
        <v>1783</v>
      </c>
      <c r="B929" s="1" t="s">
        <v>4752</v>
      </c>
      <c r="C929" s="1" t="s">
        <v>1784</v>
      </c>
      <c r="D929" s="1" t="str">
        <f ca="1">IFERROR(__xludf.DUMMYFUNCTION("GoogleTranslate(B929,""ja"",""en"")"),"Bird ticket purchase")</f>
        <v>Bird ticket purchase</v>
      </c>
    </row>
    <row r="930" spans="1:4" ht="15.75" customHeight="1" x14ac:dyDescent="0.25">
      <c r="A930" s="1" t="s">
        <v>1785</v>
      </c>
      <c r="B930" s="1" t="s">
        <v>4753</v>
      </c>
      <c r="C930" s="1" t="s">
        <v>1786</v>
      </c>
      <c r="D930" s="1" t="str">
        <f ca="1">IFERROR(__xludf.DUMMYFUNCTION("GoogleTranslate(B930,""ja"",""en"")"),"Start competition")</f>
        <v>Start competition</v>
      </c>
    </row>
    <row r="931" spans="1:4" ht="15.75" customHeight="1" x14ac:dyDescent="0.25">
      <c r="A931" s="1" t="s">
        <v>1787</v>
      </c>
      <c r="B931" s="1" t="s">
        <v>4754</v>
      </c>
      <c r="C931" s="1" t="s">
        <v>1788</v>
      </c>
      <c r="D931" s="1" t="str">
        <f ca="1">IFERROR(__xludf.DUMMYFUNCTION("GoogleTranslate(B931,""ja"",""en"")"),"View the competition schedule")</f>
        <v>View the competition schedule</v>
      </c>
    </row>
    <row r="932" spans="1:4" ht="15.75" customHeight="1" x14ac:dyDescent="0.25">
      <c r="A932" s="1" t="s">
        <v>1789</v>
      </c>
      <c r="B932" s="1" t="s">
        <v>1777</v>
      </c>
      <c r="C932" s="1" t="s">
        <v>1790</v>
      </c>
      <c r="D932" s="1" t="str">
        <f ca="1">IFERROR(__xludf.DUMMYFUNCTION("GoogleTranslate(B932,""ja"",""en"")"),"Stop Keiniwatori")</f>
        <v>Stop Keiniwatori</v>
      </c>
    </row>
    <row r="933" spans="1:4" ht="15.75" customHeight="1" x14ac:dyDescent="0.25">
      <c r="A933" s="1" t="s">
        <v>1791</v>
      </c>
      <c r="B933" s="1" t="s">
        <v>4755</v>
      </c>
      <c r="C933" s="1" t="s">
        <v>1792</v>
      </c>
      <c r="D933" s="1" t="str">
        <f ca="1">IFERROR(__xludf.DUMMYFUNCTION("GoogleTranslate(B933,""ja"",""en"")"),"Win Purchase")</f>
        <v>Win Purchase</v>
      </c>
    </row>
    <row r="934" spans="1:4" ht="15.75" customHeight="1" x14ac:dyDescent="0.25">
      <c r="A934" s="1" t="s">
        <v>1793</v>
      </c>
      <c r="B934" s="1" t="s">
        <v>4756</v>
      </c>
      <c r="C934" s="1" t="s">
        <v>1794</v>
      </c>
      <c r="D934" s="1" t="str">
        <f ca="1">IFERROR(__xludf.DUMMYFUNCTION("GoogleTranslate(B934,""ja"",""en"")"),"Tolylene purchase")</f>
        <v>Tolylene purchase</v>
      </c>
    </row>
    <row r="935" spans="1:4" ht="15.75" customHeight="1" x14ac:dyDescent="0.25">
      <c r="A935" s="1" t="s">
        <v>1795</v>
      </c>
      <c r="B935" s="1" t="s">
        <v>4757</v>
      </c>
      <c r="C935" s="1" t="s">
        <v>1796</v>
      </c>
      <c r="D935" s="1" t="str">
        <f ca="1">IFERROR(__xludf.DUMMYFUNCTION("GoogleTranslate(B935,""ja"",""en"")"),"Birds single purchase")</f>
        <v>Birds single purchase</v>
      </c>
    </row>
    <row r="936" spans="1:4" ht="15.75" customHeight="1" x14ac:dyDescent="0.25">
      <c r="A936" s="1" t="s">
        <v>1797</v>
      </c>
      <c r="B936" s="1" t="s">
        <v>4758</v>
      </c>
      <c r="C936" s="1" t="s">
        <v>1798</v>
      </c>
      <c r="D936" s="1" t="str">
        <f ca="1">IFERROR(__xludf.DUMMYFUNCTION("GoogleTranslate(B936,""ja"",""en"")"),"Purchased from dividend List")</f>
        <v>Purchased from dividend List</v>
      </c>
    </row>
    <row r="937" spans="1:4" ht="15.75" customHeight="1" x14ac:dyDescent="0.25">
      <c r="A937" s="1" t="s">
        <v>1799</v>
      </c>
      <c r="B937" s="1" t="s">
        <v>4759</v>
      </c>
      <c r="C937" s="1" t="s">
        <v>1800</v>
      </c>
      <c r="D937" s="1" t="str">
        <f ca="1">IFERROR(__xludf.DUMMYFUNCTION("GoogleTranslate(B937,""ja"",""en"")"),"Purchase bird ticket confirmation")</f>
        <v>Purchase bird ticket confirmation</v>
      </c>
    </row>
    <row r="938" spans="1:4" ht="15.75" customHeight="1" x14ac:dyDescent="0.25">
      <c r="A938" s="1" t="s">
        <v>1801</v>
      </c>
      <c r="B938" s="1" t="s">
        <v>4760</v>
      </c>
      <c r="C938" s="1" t="s">
        <v>1802</v>
      </c>
      <c r="D938" s="1" t="str">
        <f ca="1">IFERROR(__xludf.DUMMYFUNCTION("GoogleTranslate(B938,""ja"",""en"")"),"Buy Exit")</f>
        <v>Buy Exit</v>
      </c>
    </row>
    <row r="939" spans="1:4" ht="15.75" customHeight="1" x14ac:dyDescent="0.25">
      <c r="A939" s="1" t="s">
        <v>1803</v>
      </c>
      <c r="B939" s="1" t="s">
        <v>4761</v>
      </c>
      <c r="C939" s="1" t="s">
        <v>1804</v>
      </c>
      <c r="D939" s="1" t="str">
        <f ca="1">IFERROR(__xludf.DUMMYFUNCTION("GoogleTranslate(B939,""ja"",""en"")"),"Until the competition starts")</f>
        <v>Until the competition starts</v>
      </c>
    </row>
    <row r="940" spans="1:4" ht="15.75" customHeight="1" x14ac:dyDescent="0.25">
      <c r="A940" s="1" t="s">
        <v>1805</v>
      </c>
      <c r="B940" s="1" t="s">
        <v>4762</v>
      </c>
      <c r="C940" s="1" t="s">
        <v>1806</v>
      </c>
      <c r="D940" s="1" t="str">
        <f ca="1">IFERROR(__xludf.DUMMYFUNCTION("GoogleTranslate(B940,""ja"",""en"")"),"Second")</f>
        <v>Second</v>
      </c>
    </row>
    <row r="941" spans="1:4" ht="15.75" customHeight="1" x14ac:dyDescent="0.25">
      <c r="A941" s="1" t="s">
        <v>1807</v>
      </c>
      <c r="B941" s="1" t="s">
        <v>4763</v>
      </c>
      <c r="C941" s="1" t="s">
        <v>1808</v>
      </c>
      <c r="D941" s="1" t="str">
        <f ca="1">IFERROR(__xludf.DUMMYFUNCTION("GoogleTranslate(B941,""ja"",""en"")"),"one")</f>
        <v>one</v>
      </c>
    </row>
    <row r="942" spans="1:4" ht="15.75" customHeight="1" x14ac:dyDescent="0.25">
      <c r="A942" s="1" t="s">
        <v>1809</v>
      </c>
      <c r="B942" s="1" t="s">
        <v>4764</v>
      </c>
      <c r="C942" s="1" t="s">
        <v>1810</v>
      </c>
      <c r="D942" s="1" t="str">
        <f ca="1">IFERROR(__xludf.DUMMYFUNCTION("GoogleTranslate(B942,""ja"",""en"")"),"two")</f>
        <v>two</v>
      </c>
    </row>
    <row r="943" spans="1:4" ht="15.75" customHeight="1" x14ac:dyDescent="0.25">
      <c r="A943" s="1" t="s">
        <v>1811</v>
      </c>
      <c r="B943" s="1" t="s">
        <v>4765</v>
      </c>
      <c r="C943" s="1" t="s">
        <v>1812</v>
      </c>
      <c r="D943" s="1" t="str">
        <f ca="1">IFERROR(__xludf.DUMMYFUNCTION("GoogleTranslate(B943,""ja"",""en"")"),"three")</f>
        <v>three</v>
      </c>
    </row>
    <row r="944" spans="1:4" ht="15.75" customHeight="1" x14ac:dyDescent="0.25">
      <c r="A944" s="1" t="s">
        <v>1813</v>
      </c>
      <c r="B944" s="1" t="s">
        <v>4766</v>
      </c>
      <c r="C944" s="1" t="s">
        <v>1814</v>
      </c>
      <c r="D944" s="1" t="str">
        <f ca="1">IFERROR(__xludf.DUMMYFUNCTION("GoogleTranslate(B944,""ja"",""en"")"),"four")</f>
        <v>four</v>
      </c>
    </row>
    <row r="945" spans="1:4" ht="15.75" customHeight="1" x14ac:dyDescent="0.25">
      <c r="A945" s="1" t="s">
        <v>1815</v>
      </c>
      <c r="B945" s="1" t="s">
        <v>4767</v>
      </c>
      <c r="C945" s="1" t="s">
        <v>1816</v>
      </c>
      <c r="D945" s="1" t="str">
        <f ca="1">IFERROR(__xludf.DUMMYFUNCTION("GoogleTranslate(B945,""ja"",""en"")"),"Five")</f>
        <v>Five</v>
      </c>
    </row>
    <row r="946" spans="1:4" ht="15.75" customHeight="1" x14ac:dyDescent="0.25">
      <c r="A946" s="1" t="s">
        <v>1817</v>
      </c>
      <c r="B946" s="1" t="s">
        <v>1811</v>
      </c>
      <c r="C946" s="1" t="s">
        <v>1818</v>
      </c>
      <c r="D946" s="1" t="str">
        <f ca="1">IFERROR(__xludf.DUMMYFUNCTION("GoogleTranslate(B946,""ja"",""en"")"),"Buy the bird tickets Kifuda.")</f>
        <v>Buy the bird tickets Kifuda.</v>
      </c>
    </row>
    <row r="947" spans="1:4" ht="15.75" customHeight="1" x14ac:dyDescent="0.25">
      <c r="A947" s="1" t="s">
        <v>1819</v>
      </c>
      <c r="B947" s="1" t="s">
        <v>4768</v>
      </c>
      <c r="C947" s="1" t="s">
        <v>1820</v>
      </c>
      <c r="D947" s="1" t="str">
        <f ca="1">IFERROR(__xludf.DUMMYFUNCTION("GoogleTranslate(B947,""ja"",""en"")"),"To start the competition.")</f>
        <v>To start the competition.</v>
      </c>
    </row>
    <row r="948" spans="1:4" ht="15.75" customHeight="1" x14ac:dyDescent="0.25">
      <c r="A948" s="1" t="s">
        <v>1821</v>
      </c>
      <c r="B948" s="1" t="s">
        <v>4769</v>
      </c>
      <c r="C948" s="1" t="s">
        <v>1822</v>
      </c>
      <c r="D948" s="1" t="str">
        <f ca="1">IFERROR(__xludf.DUMMYFUNCTION("GoogleTranslate(B948,""ja"",""en"")"),"You can see the schedule of the competition to be held in the future.")</f>
        <v>You can see the schedule of the competition to be held in the future.</v>
      </c>
    </row>
    <row r="949" spans="1:4" ht="15.75" customHeight="1" x14ac:dyDescent="0.25">
      <c r="A949" s="1" t="s">
        <v>1823</v>
      </c>
      <c r="B949" s="1" t="s">
        <v>4770</v>
      </c>
      <c r="C949" s="1" t="s">
        <v>1824</v>
      </c>
      <c r="D949" s="1" t="str">
        <f ca="1">IFERROR(__xludf.DUMMYFUNCTION("GoogleTranslate(B949,""ja"",""en"")"),"Exit the Keiniwatori.")</f>
        <v>Exit the Keiniwatori.</v>
      </c>
    </row>
    <row r="950" spans="1:4" ht="15.75" customHeight="1" x14ac:dyDescent="0.25">
      <c r="A950" s="1" t="s">
        <v>1825</v>
      </c>
      <c r="B950" s="1" t="s">
        <v>1817</v>
      </c>
      <c r="C950" s="1" t="s">
        <v>1826</v>
      </c>
      <c r="D950" s="1" t="str">
        <f ca="1">IFERROR(__xludf.DUMMYFUNCTION("GoogleTranslate(B950,""ja"",""en"")"),"Buy a bird tickets to predict the 1 wearing a chicken.")</f>
        <v>Buy a bird tickets to predict the 1 wearing a chicken.</v>
      </c>
    </row>
    <row r="951" spans="1:4" ht="15.75" customHeight="1" x14ac:dyDescent="0.25">
      <c r="A951" s="1" t="s">
        <v>1827</v>
      </c>
      <c r="B951" s="1" t="s">
        <v>4771</v>
      </c>
      <c r="C951" s="1" t="s">
        <v>1828</v>
      </c>
      <c r="D951" s="1" t="str">
        <f ca="1">IFERROR(__xludf.DUMMYFUNCTION("GoogleTranslate(B951,""ja"",""en"")"),"Buy a bird tickets to predict the 1 wearing two pieces, regardless of the order of finish.")</f>
        <v>Buy a bird tickets to predict the 1 wearing two pieces, regardless of the order of finish.</v>
      </c>
    </row>
    <row r="952" spans="1:4" ht="15.75" customHeight="1" x14ac:dyDescent="0.25">
      <c r="A952" s="1" t="s">
        <v>1829</v>
      </c>
      <c r="B952" s="1" t="s">
        <v>4772</v>
      </c>
      <c r="C952" s="1" t="s">
        <v>1830</v>
      </c>
      <c r="D952" s="1" t="str">
        <f ca="1">IFERROR(__xludf.DUMMYFUNCTION("GoogleTranslate(B952,""ja"",""en"")"),"Buy a bird tickets to predict the order of finish. [N] can be expected up to a maximum of 5 pieces.")</f>
        <v>Buy a bird tickets to predict the order of finish. [N] can be expected up to a maximum of 5 pieces.</v>
      </c>
    </row>
    <row r="953" spans="1:4" ht="15.75" customHeight="1" x14ac:dyDescent="0.25">
      <c r="A953" s="1" t="s">
        <v>1831</v>
      </c>
      <c r="B953" s="1" t="s">
        <v>1827</v>
      </c>
      <c r="C953" s="1" t="s">
        <v>1832</v>
      </c>
      <c r="D953" s="1" t="str">
        <f ca="1">IFERROR(__xludf.DUMMYFUNCTION("GoogleTranslate(B953,""ja"",""en"")"),"Buy the bird tickets from the dividend list.")</f>
        <v>Buy the bird tickets from the dividend list.</v>
      </c>
    </row>
    <row r="954" spans="1:4" ht="15.75" customHeight="1" x14ac:dyDescent="0.25">
      <c r="A954" s="1" t="s">
        <v>1833</v>
      </c>
      <c r="B954" s="1" t="s">
        <v>4773</v>
      </c>
      <c r="C954" s="1" t="s">
        <v>1834</v>
      </c>
      <c r="D954" s="1" t="str">
        <f ca="1">IFERROR(__xludf.DUMMYFUNCTION("GoogleTranslate(B954,""ja"",""en"")"),"You can see the purchased bird tickets.")</f>
        <v>You can see the purchased bird tickets.</v>
      </c>
    </row>
    <row r="955" spans="1:4" ht="15.75" customHeight="1" x14ac:dyDescent="0.25">
      <c r="A955" s="1" t="s">
        <v>1835</v>
      </c>
      <c r="B955" s="1" t="s">
        <v>4774</v>
      </c>
      <c r="C955" s="1" t="s">
        <v>1836</v>
      </c>
      <c r="D955" s="1" t="str">
        <f ca="1">IFERROR(__xludf.DUMMYFUNCTION("GoogleTranslate(B955,""ja"",""en"")"),"Exit the purchase of bird tickets.")</f>
        <v>Exit the purchase of bird tickets.</v>
      </c>
    </row>
    <row r="956" spans="1:4" ht="15.75" customHeight="1" x14ac:dyDescent="0.25">
      <c r="A956" s="1" t="s">
        <v>1837</v>
      </c>
      <c r="B956" s="1" t="s">
        <v>4775</v>
      </c>
      <c r="C956" s="1" t="s">
        <v>1838</v>
      </c>
      <c r="D956" s="1" t="str">
        <f ca="1">IFERROR(__xludf.DUMMYFUNCTION("GoogleTranslate(B956,""ja"",""en"")"),"We expect only one wearing a chicken. [N] to increase or decrease the betting points on the left and right to choose the chicken to buy. [N] purchased in `` final '',: cancel at &lt;Sign C&gt; button.")</f>
        <v>We expect only one wearing a chicken. [N] to increase or decrease the betting points on the left and right to choose the chicken to buy. [N] purchased in `` final '',: cancel at &lt;Sign C&gt; button.</v>
      </c>
    </row>
    <row r="957" spans="1:4" ht="15.75" customHeight="1" x14ac:dyDescent="0.25">
      <c r="A957" s="1" t="s">
        <v>1839</v>
      </c>
      <c r="B957" s="1" t="s">
        <v>4776</v>
      </c>
      <c r="C957" s="1" t="s">
        <v>1840</v>
      </c>
      <c r="D957" s="1" t="str">
        <f ca="1">IFERROR(__xludf.DUMMYFUNCTION("GoogleTranslate(B957,""ja"",""en"")"),"You expect one wearing two pieces, regardless of the order of finish. [N] 1 wind up of the chicken: Please choose at &lt;Sign D&gt; button.")</f>
        <v>You expect one wearing two pieces, regardless of the order of finish. [N] 1 wind up of the chicken: Please choose at &lt;Sign D&gt; button.</v>
      </c>
    </row>
    <row r="958" spans="1:4" ht="15.75" customHeight="1" x14ac:dyDescent="0.25">
      <c r="A958" s="1" t="s">
        <v>1841</v>
      </c>
      <c r="B958" s="1" t="s">
        <v>4777</v>
      </c>
      <c r="C958" s="1" t="s">
        <v>1842</v>
      </c>
      <c r="D958" s="1" t="str">
        <f ca="1">IFERROR(__xludf.DUMMYFUNCTION("GoogleTranslate(B958,""ja"",""en"")"),"To increase or decrease the betting points on the left and right to choose the 2 siding of chicken. [N] purchased in `` final '',: cancel at &lt;Sign C&gt; button.")</f>
        <v>To increase or decrease the betting points on the left and right to choose the 2 siding of chicken. [N] purchased in `` final '',: cancel at &lt;Sign C&gt; button.</v>
      </c>
    </row>
    <row r="959" spans="1:4" ht="15.75" customHeight="1" x14ac:dyDescent="0.25">
      <c r="A959" s="1" t="s">
        <v>1843</v>
      </c>
      <c r="B959" s="1" t="s">
        <v>4778</v>
      </c>
      <c r="C959" s="1" t="s">
        <v>1844</v>
      </c>
      <c r="D959" s="1" t="str">
        <f ca="1">IFERROR(__xludf.DUMMYFUNCTION("GoogleTranslate(B959,""ja"",""en"")"),"Buy a bird tickets to predict the order of finish. [N] 1 wearing expected of a chicken: Please choose at &lt;Sign D&gt; button.")</f>
        <v>Buy a bird tickets to predict the order of finish. [N] 1 wearing expected of a chicken: Please choose at &lt;Sign D&gt; button.</v>
      </c>
    </row>
    <row r="960" spans="1:4" ht="15.75" customHeight="1" x14ac:dyDescent="0.25">
      <c r="A960" s="1" t="s">
        <v>1845</v>
      </c>
      <c r="B960" s="1" t="s">
        <v>4779</v>
      </c>
      <c r="C960" s="1" t="s">
        <v>1846</v>
      </c>
      <c r="D960" s="1" t="str">
        <f ca="1">IFERROR(__xludf.DUMMYFUNCTION("GoogleTranslate(B960,""ja"",""en"")"),"To increase or decrease the betting points on the left and right to choose the two pieces expected of chicken. [N] &lt;Sign: D&gt; You can expect more of the order wear buttons. [N] purchased in `` final '',: cancel at &lt;Sign C&gt; button.")</f>
        <v>To increase or decrease the betting points on the left and right to choose the two pieces expected of chicken. [N] &lt;Sign: D&gt; You can expect more of the order wear buttons. [N] purchased in `` final '',: cancel at &lt;Sign C&gt; button.</v>
      </c>
    </row>
    <row r="961" spans="1:4" ht="15.75" customHeight="1" x14ac:dyDescent="0.25">
      <c r="A961" s="1" t="s">
        <v>1847</v>
      </c>
      <c r="B961" s="1" t="s">
        <v>4780</v>
      </c>
      <c r="C961" s="1" t="s">
        <v>1848</v>
      </c>
      <c r="D961" s="1" t="str">
        <f ca="1">IFERROR(__xludf.DUMMYFUNCTION("GoogleTranslate(B961,""ja"",""en"")"),"3 Select the wearing expected of chicken to increase or decrease the betting points on the left and right. [N] &lt;Sign: D&gt; You can expect more of the order wear buttons. [N] purchased in `` final '',: cancel at &lt;Sign C&gt; button.")</f>
        <v>3 Select the wearing expected of chicken to increase or decrease the betting points on the left and right. [N] &lt;Sign: D&gt; You can expect more of the order wear buttons. [N] purchased in `` final '',: cancel at &lt;Sign C&gt; button.</v>
      </c>
    </row>
    <row r="962" spans="1:4" ht="15.75" customHeight="1" x14ac:dyDescent="0.25">
      <c r="A962" s="1" t="s">
        <v>1849</v>
      </c>
      <c r="B962" s="1" t="s">
        <v>4781</v>
      </c>
      <c r="C962" s="1" t="s">
        <v>1850</v>
      </c>
      <c r="D962" s="1" t="str">
        <f ca="1">IFERROR(__xludf.DUMMYFUNCTION("GoogleTranslate(B962,""ja"",""en"")"),"4 Select wearing expected of chicken to increase or decrease the betting points on the left and right. [N] &lt;Sign: D&gt; You can expect more of the order wear buttons. [N] purchased in `` final '',: cancel at &lt;Sign C&gt; button.")</f>
        <v>4 Select wearing expected of chicken to increase or decrease the betting points on the left and right. [N] &lt;Sign: D&gt; You can expect more of the order wear buttons. [N] purchased in `` final '',: cancel at &lt;Sign C&gt; button.</v>
      </c>
    </row>
    <row r="963" spans="1:4" ht="15.75" customHeight="1" x14ac:dyDescent="0.25">
      <c r="A963" s="1" t="s">
        <v>1851</v>
      </c>
      <c r="B963" s="1" t="s">
        <v>4782</v>
      </c>
      <c r="C963" s="1" t="s">
        <v>1852</v>
      </c>
      <c r="D963" s="1" t="str">
        <f ca="1">IFERROR(__xludf.DUMMYFUNCTION("GoogleTranslate(B963,""ja"",""en"")"),"To increase or decrease the betting points on the left and right. Buy `` final '',: cancel at &lt;Sign C&gt; button.")</f>
        <v>To increase or decrease the betting points on the left and right. Buy `` final '',: cancel at &lt;Sign C&gt; button.</v>
      </c>
    </row>
    <row r="964" spans="1:4" ht="15.75" customHeight="1" x14ac:dyDescent="0.25">
      <c r="A964" s="1" t="s">
        <v>1853</v>
      </c>
      <c r="B964" s="1" t="s">
        <v>4783</v>
      </c>
      <c r="C964" s="1" t="s">
        <v>1854</v>
      </c>
      <c r="D964" s="1" t="str">
        <f ca="1">IFERROR(__xludf.DUMMYFUNCTION("GoogleTranslate(B964,""ja"",""en"")"),"Select the dividend you want to buy: Please press the &lt;Sign D&gt; button. [N] ◎ is already purchased. &lt;Sign: 6&gt;,: Switches the display in the &lt;Sign 4&gt; button.")</f>
        <v>Select the dividend you want to buy: Please press the &lt;Sign D&gt; button. [N] ◎ is already purchased. &lt;Sign: 6&gt;,: Switches the display in the &lt;Sign 4&gt; button.</v>
      </c>
    </row>
    <row r="965" spans="1:4" ht="15.75" customHeight="1" x14ac:dyDescent="0.25">
      <c r="A965" s="1" t="s">
        <v>1855</v>
      </c>
      <c r="B965" s="1" t="s">
        <v>1853</v>
      </c>
      <c r="C965" s="1" t="s">
        <v>1856</v>
      </c>
      <c r="D965" s="1" t="str">
        <f ca="1">IFERROR(__xludf.DUMMYFUNCTION("GoogleTranslate(B965,""ja"",""en"")"),"To increase or decrease the betting points on the left and right. [N] &lt;Sign: D&gt; Buy button,: cancel at &lt;Sign C&gt; button.")</f>
        <v>To increase or decrease the betting points on the left and right. [N] &lt;Sign: D&gt; Buy button,: cancel at &lt;Sign C&gt; button.</v>
      </c>
    </row>
    <row r="966" spans="1:4" ht="15.75" customHeight="1" x14ac:dyDescent="0.25">
      <c r="A966" s="1" t="s">
        <v>1857</v>
      </c>
      <c r="B966" s="1" t="s">
        <v>4784</v>
      </c>
      <c r="C966" s="1" t="s">
        <v>1858</v>
      </c>
      <c r="D966" s="1" t="str">
        <f ca="1">IFERROR(__xludf.DUMMYFUNCTION("GoogleTranslate(B966,""ja"",""en"")"),"Purchased bird tickets.")</f>
        <v>Purchased bird tickets.</v>
      </c>
    </row>
    <row r="967" spans="1:4" ht="15.75" customHeight="1" x14ac:dyDescent="0.25">
      <c r="A967" s="1" t="s">
        <v>1859</v>
      </c>
      <c r="B967" s="1" t="s">
        <v>4785</v>
      </c>
      <c r="C967" s="1" t="s">
        <v>1860</v>
      </c>
      <c r="D967" s="1" t="str">
        <f ca="1">IFERROR(__xludf.DUMMYFUNCTION("GoogleTranslate(B967,""ja"",""en"")"),"Currently being held, the competition of the race bird decision, [n]: You can see the details in the &lt;Sign 1&gt; button.")</f>
        <v>Currently being held, the competition of the race bird decision, [n]: You can see the details in the &lt;Sign 1&gt; button.</v>
      </c>
    </row>
    <row r="968" spans="1:4" ht="15.75" customHeight="1" x14ac:dyDescent="0.25">
      <c r="A968" s="1" t="s">
        <v>1861</v>
      </c>
      <c r="B968" s="1" t="s">
        <v>4786</v>
      </c>
      <c r="C968" s="1" t="s">
        <v>1862</v>
      </c>
      <c r="D968" s="1" t="str">
        <f ca="1">IFERROR(__xludf.DUMMYFUNCTION("GoogleTranslate(B968,""ja"",""en"")"),"It is raced bird current competitions now.")</f>
        <v>It is raced bird current competitions now.</v>
      </c>
    </row>
    <row r="969" spans="1:4" ht="15.75" customHeight="1" x14ac:dyDescent="0.25">
      <c r="A969" s="1" t="s">
        <v>1863</v>
      </c>
      <c r="B969" s="1" t="s">
        <v>4787</v>
      </c>
      <c r="C969" s="1" t="s">
        <v>1864</v>
      </c>
      <c r="D969" s="1" t="str">
        <f ca="1">IFERROR(__xludf.DUMMYFUNCTION("GoogleTranslate(B969,""ja"",""en"")"),"This race birds for the next race")</f>
        <v>This race birds for the next race</v>
      </c>
    </row>
    <row r="970" spans="1:4" ht="15.75" customHeight="1" x14ac:dyDescent="0.25">
      <c r="A970" s="1" t="s">
        <v>1865</v>
      </c>
      <c r="B970" s="1" t="s">
        <v>4788</v>
      </c>
      <c r="C970" s="1" t="s">
        <v>1866</v>
      </c>
      <c r="D970" s="1" t="str">
        <f ca="1">IFERROR(__xludf.DUMMYFUNCTION("GoogleTranslate(B970,""ja"",""en"")"),"After next is raced bird race.")</f>
        <v>After next is raced bird race.</v>
      </c>
    </row>
    <row r="971" spans="1:4" ht="15.75" customHeight="1" x14ac:dyDescent="0.25">
      <c r="A971" s="1" t="s">
        <v>1867</v>
      </c>
      <c r="B971" s="1" t="s">
        <v>4789</v>
      </c>
      <c r="C971" s="1" t="s">
        <v>1868</v>
      </c>
      <c r="D971" s="1" t="str">
        <f ca="1">IFERROR(__xludf.DUMMYFUNCTION("GoogleTranslate(B971,""ja"",""en"")"),"Hurriedly you a special race is held. [N] is the single combat warfare by two birds that were selected.")</f>
        <v>Hurriedly you a special race is held. [N] is the single combat warfare by two birds that were selected.</v>
      </c>
    </row>
    <row r="972" spans="1:4" ht="15.75" customHeight="1" x14ac:dyDescent="0.25">
      <c r="A972" s="1" t="s">
        <v>1869</v>
      </c>
      <c r="B972" s="1" t="s">
        <v>4790</v>
      </c>
      <c r="C972" s="1" t="s">
        <v>1870</v>
      </c>
      <c r="D972" s="1" t="str">
        <f ca="1">IFERROR(__xludf.DUMMYFUNCTION("GoogleTranslate(B972,""ja"",""en"")"),"Detail View")</f>
        <v>Detail View</v>
      </c>
    </row>
    <row r="973" spans="1:4" ht="15.75" customHeight="1" x14ac:dyDescent="0.25">
      <c r="A973" s="1" t="s">
        <v>1871</v>
      </c>
      <c r="B973" s="1" t="s">
        <v>4791</v>
      </c>
      <c r="C973" s="1" t="s">
        <v>1872</v>
      </c>
      <c r="D973" s="1" t="str">
        <f ca="1">IFERROR(__xludf.DUMMYFUNCTION("GoogleTranslate(B973,""ja"",""en"")"),"Display switching")</f>
        <v>Display switching</v>
      </c>
    </row>
    <row r="974" spans="1:4" ht="15.75" customHeight="1" x14ac:dyDescent="0.25">
      <c r="A974" s="1" t="s">
        <v>1873</v>
      </c>
      <c r="B974" s="1" t="s">
        <v>4792</v>
      </c>
      <c r="C974" s="1" t="s">
        <v>1874</v>
      </c>
      <c r="D974" s="1" t="str">
        <f ca="1">IFERROR(__xludf.DUMMYFUNCTION("GoogleTranslate(B974,""ja"",""en"")"),"Point of view switching")</f>
        <v>Point of view switching</v>
      </c>
    </row>
    <row r="975" spans="1:4" ht="15.75" customHeight="1" x14ac:dyDescent="0.25">
      <c r="A975" s="1" t="s">
        <v>1875</v>
      </c>
      <c r="B975" s="1" t="s">
        <v>4793</v>
      </c>
      <c r="C975" s="1" t="s">
        <v>1876</v>
      </c>
      <c r="D975" s="1" t="str">
        <f ca="1">IFERROR(__xludf.DUMMYFUNCTION("GoogleTranslate(B975,""ja"",""en"")"),"飜")</f>
        <v>飜</v>
      </c>
    </row>
    <row r="976" spans="1:4" ht="15.75" customHeight="1" x14ac:dyDescent="0.25">
      <c r="A976" s="1" t="s">
        <v>1877</v>
      </c>
      <c r="B976" s="1" t="s">
        <v>4794</v>
      </c>
      <c r="C976" s="1" t="s">
        <v>1878</v>
      </c>
      <c r="D976" s="1" t="str">
        <f ca="1">IFERROR(__xludf.DUMMYFUNCTION("GoogleTranslate(B976,""ja"",""en"")"),"Marks")</f>
        <v>Marks</v>
      </c>
    </row>
    <row r="977" spans="1:4" ht="15.75" customHeight="1" x14ac:dyDescent="0.25">
      <c r="A977" s="1" t="s">
        <v>1879</v>
      </c>
      <c r="B977" s="1" t="s">
        <v>4795</v>
      </c>
      <c r="C977" s="1" t="s">
        <v>1880</v>
      </c>
      <c r="D977" s="1" t="str">
        <f ca="1">IFERROR(__xludf.DUMMYFUNCTION("GoogleTranslate(B977,""ja"",""en"")"),"La")</f>
        <v>La</v>
      </c>
    </row>
    <row r="978" spans="1:4" ht="15.75" customHeight="1" x14ac:dyDescent="0.25">
      <c r="A978" s="1" t="s">
        <v>1881</v>
      </c>
      <c r="B978" s="1" t="s">
        <v>4796</v>
      </c>
      <c r="C978" s="1" t="s">
        <v>1882</v>
      </c>
      <c r="D978" s="1" t="str">
        <f ca="1">IFERROR(__xludf.DUMMYFUNCTION("GoogleTranslate(B978,""ja"",""en"")"),"rod")</f>
        <v>rod</v>
      </c>
    </row>
    <row r="979" spans="1:4" ht="15.75" customHeight="1" x14ac:dyDescent="0.25">
      <c r="A979" s="1" t="s">
        <v>1883</v>
      </c>
      <c r="B979" s="1" t="s">
        <v>4797</v>
      </c>
      <c r="C979" s="1" t="s">
        <v>216</v>
      </c>
      <c r="D979" s="1" t="str">
        <f ca="1">IFERROR(__xludf.DUMMYFUNCTION("GoogleTranslate(B979,""ja"",""en"")"),"?")</f>
        <v>?</v>
      </c>
    </row>
    <row r="980" spans="1:4" ht="15.75" customHeight="1" x14ac:dyDescent="0.25">
      <c r="A980" s="1" t="s">
        <v>1884</v>
      </c>
      <c r="B980" s="1" t="s">
        <v>4798</v>
      </c>
      <c r="C980" s="1" t="s">
        <v>381</v>
      </c>
      <c r="D980" s="1" t="str">
        <f ca="1">IFERROR(__xludf.DUMMYFUNCTION("GoogleTranslate(B980,""ja"",""en"")"),"That")</f>
        <v>That</v>
      </c>
    </row>
    <row r="981" spans="1:4" ht="15.75" customHeight="1" x14ac:dyDescent="0.25">
      <c r="A981" s="1" t="s">
        <v>1885</v>
      </c>
      <c r="B981" s="1" t="s">
        <v>4799</v>
      </c>
      <c r="C981" s="1" t="s">
        <v>381</v>
      </c>
      <c r="D981" s="1" t="str">
        <f ca="1">IFERROR(__xludf.DUMMYFUNCTION("GoogleTranslate(B981,""ja"",""en"")"),"That")</f>
        <v>That</v>
      </c>
    </row>
    <row r="982" spans="1:4" ht="15.75" customHeight="1" x14ac:dyDescent="0.25">
      <c r="A982" s="1" t="s">
        <v>1886</v>
      </c>
      <c r="B982" s="1" t="s">
        <v>4800</v>
      </c>
      <c r="C982" s="1" t="s">
        <v>1887</v>
      </c>
      <c r="D982" s="1" t="str">
        <f ca="1">IFERROR(__xludf.DUMMYFUNCTION("GoogleTranslate(B982,""ja"",""en"")"),"Identified")</f>
        <v>Identified</v>
      </c>
    </row>
    <row r="983" spans="1:4" ht="15.75" customHeight="1" x14ac:dyDescent="0.25">
      <c r="A983" s="1" t="s">
        <v>1888</v>
      </c>
      <c r="B983" s="1" t="s">
        <v>1873</v>
      </c>
      <c r="C983" s="1" t="s">
        <v>381</v>
      </c>
      <c r="D983" s="1" t="str">
        <f ca="1">IFERROR(__xludf.DUMMYFUNCTION("GoogleTranslate(B983,""ja"",""en"")"),"That")</f>
        <v>That</v>
      </c>
    </row>
    <row r="984" spans="1:4" ht="15.75" customHeight="1" x14ac:dyDescent="0.25">
      <c r="A984" s="1" t="s">
        <v>1889</v>
      </c>
      <c r="B984" s="1" t="s">
        <v>4801</v>
      </c>
      <c r="C984" s="1" t="s">
        <v>1890</v>
      </c>
      <c r="D984" s="1" t="str">
        <f ca="1">IFERROR(__xludf.DUMMYFUNCTION("GoogleTranslate(B984,""ja"",""en"")"),"Game in a weak desk")</f>
        <v>Game in a weak desk</v>
      </c>
    </row>
    <row r="985" spans="1:4" ht="15.75" customHeight="1" x14ac:dyDescent="0.25">
      <c r="A985" s="1" t="s">
        <v>1891</v>
      </c>
      <c r="B985" s="1" t="s">
        <v>4802</v>
      </c>
      <c r="C985" s="1" t="s">
        <v>1892</v>
      </c>
      <c r="D985" s="1" t="str">
        <f ca="1">IFERROR(__xludf.DUMMYFUNCTION("GoogleTranslate(B985,""ja"",""en"")"),"Game in mid-table")</f>
        <v>Game in mid-table</v>
      </c>
    </row>
    <row r="986" spans="1:4" ht="15.75" customHeight="1" x14ac:dyDescent="0.25">
      <c r="A986" s="1" t="s">
        <v>1893</v>
      </c>
      <c r="B986" s="1" t="s">
        <v>1879</v>
      </c>
      <c r="C986" s="1" t="s">
        <v>1894</v>
      </c>
      <c r="D986" s="1" t="str">
        <f ca="1">IFERROR(__xludf.DUMMYFUNCTION("GoogleTranslate(B986,""ja"",""en"")"),"Game with a strong desk")</f>
        <v>Game with a strong desk</v>
      </c>
    </row>
    <row r="987" spans="1:4" ht="15.75" customHeight="1" x14ac:dyDescent="0.25">
      <c r="A987" s="1" t="s">
        <v>1895</v>
      </c>
      <c r="B987" s="1" t="s">
        <v>4803</v>
      </c>
      <c r="C987" s="1" t="s">
        <v>1896</v>
      </c>
      <c r="D987" s="1" t="str">
        <f ca="1">IFERROR(__xludf.DUMMYFUNCTION("GoogleTranslate(B987,""ja"",""en"")"),"Challenge to Keio Mahjong Cup Noboru Ryusen")</f>
        <v>Challenge to Keio Mahjong Cup Noboru Ryusen</v>
      </c>
    </row>
    <row r="988" spans="1:4" ht="15.75" customHeight="1" x14ac:dyDescent="0.25">
      <c r="A988" s="1" t="s">
        <v>1897</v>
      </c>
      <c r="B988" s="1" t="s">
        <v>1885</v>
      </c>
      <c r="C988" s="1" t="s">
        <v>1898</v>
      </c>
      <c r="D988" s="1" t="str">
        <f ca="1">IFERROR(__xludf.DUMMYFUNCTION("GoogleTranslate(B988,""ja"",""en"")"),"Please choose an opponent. [N] to compete with the weak opponent us.")</f>
        <v>Please choose an opponent. [N] to compete with the weak opponent us.</v>
      </c>
    </row>
    <row r="989" spans="1:4" ht="15.75" customHeight="1" x14ac:dyDescent="0.25">
      <c r="A989" s="1" t="s">
        <v>1899</v>
      </c>
      <c r="B989" s="1" t="s">
        <v>4804</v>
      </c>
      <c r="C989" s="1" t="s">
        <v>1900</v>
      </c>
      <c r="D989" s="1" t="str">
        <f ca="1">IFERROR(__xludf.DUMMYFUNCTION("GoogleTranslate(B989,""ja"",""en"")"),"Please choose an opponent. [N] to match and the opponent our normal strength.")</f>
        <v>Please choose an opponent. [N] to match and the opponent our normal strength.</v>
      </c>
    </row>
    <row r="990" spans="1:4" ht="15.75" customHeight="1" x14ac:dyDescent="0.25">
      <c r="A990" s="1" t="s">
        <v>1901</v>
      </c>
      <c r="B990" s="1" t="s">
        <v>4805</v>
      </c>
      <c r="C990" s="1" t="s">
        <v>1902</v>
      </c>
      <c r="D990" s="1" t="str">
        <f ca="1">IFERROR(__xludf.DUMMYFUNCTION("GoogleTranslate(B990,""ja"",""en"")"),"Please choose an opponent. We fight with the [n] strong opponent us.")</f>
        <v>Please choose an opponent. We fight with the [n] strong opponent us.</v>
      </c>
    </row>
    <row r="991" spans="1:4" ht="15.75" customHeight="1" x14ac:dyDescent="0.25">
      <c r="A991" s="1" t="s">
        <v>1903</v>
      </c>
      <c r="B991" s="1" t="s">
        <v>4806</v>
      </c>
      <c r="C991" s="1" t="s">
        <v>1904</v>
      </c>
      <c r="D991" s="1" t="str">
        <f ca="1">IFERROR(__xludf.DUMMYFUNCTION("GoogleTranslate(B991,""ja"",""en"")"),"Please aim to vertex of [n] NoboriRyusen to compete with a variety of opponents. If you pay [n] entry fee once at 500 points, is free from the next time.")</f>
        <v>Please aim to vertex of [n] NoboriRyusen to compete with a variety of opponents. If you pay [n] entry fee once at 500 points, is free from the next time.</v>
      </c>
    </row>
    <row r="992" spans="1:4" ht="15.75" customHeight="1" x14ac:dyDescent="0.25">
      <c r="A992" s="1" t="s">
        <v>1905</v>
      </c>
      <c r="B992" s="1" t="s">
        <v>4807</v>
      </c>
      <c r="C992" s="1" t="s">
        <v>1906</v>
      </c>
      <c r="D992" s="1" t="str">
        <f ca="1">IFERROR(__xludf.DUMMYFUNCTION("GoogleTranslate(B992,""ja"",""en"")"),"Please aim to vertex of [n] NoboriRyusen to compete with a variety of opponents. [N] Please have accumulated more than 500 points.")</f>
        <v>Please aim to vertex of [n] NoboriRyusen to compete with a variety of opponents. [N] Please have accumulated more than 500 points.</v>
      </c>
    </row>
    <row r="993" spans="1:4" ht="15.75" customHeight="1" x14ac:dyDescent="0.25">
      <c r="A993" s="1" t="s">
        <v>1907</v>
      </c>
      <c r="B993" s="1" t="s">
        <v>4808</v>
      </c>
      <c r="C993" s="1" t="s">
        <v>1908</v>
      </c>
      <c r="D993" s="1" t="str">
        <f ca="1">IFERROR(__xludf.DUMMYFUNCTION("GoogleTranslate(B993,""ja"",""en"")"),"Please aim to vertex of [n] NoboriRyusen to compete with a variety of opponents.")</f>
        <v>Please aim to vertex of [n] NoboriRyusen to compete with a variety of opponents.</v>
      </c>
    </row>
    <row r="994" spans="1:4" ht="15.75" customHeight="1" x14ac:dyDescent="0.25">
      <c r="A994" s="1" t="s">
        <v>1909</v>
      </c>
      <c r="B994" s="1" t="s">
        <v>4809</v>
      </c>
      <c r="C994" s="1" t="s">
        <v>1880</v>
      </c>
      <c r="D994" s="1" t="str">
        <f ca="1">IFERROR(__xludf.DUMMYFUNCTION("GoogleTranslate(B994,""ja"",""en"")"),"La")</f>
        <v>La</v>
      </c>
    </row>
    <row r="995" spans="1:4" ht="15.75" customHeight="1" x14ac:dyDescent="0.25">
      <c r="A995" s="1" t="s">
        <v>1910</v>
      </c>
      <c r="B995" s="1" t="s">
        <v>4810</v>
      </c>
      <c r="C995" s="1" t="s">
        <v>1911</v>
      </c>
      <c r="D995" s="1" t="str">
        <f ca="1">IFERROR(__xludf.DUMMYFUNCTION("GoogleTranslate(B995,""ja"",""en"")"),"槓")</f>
        <v>槓</v>
      </c>
    </row>
    <row r="996" spans="1:4" ht="15.75" customHeight="1" x14ac:dyDescent="0.25">
      <c r="A996" s="1" t="s">
        <v>1912</v>
      </c>
      <c r="B996" s="1" t="s">
        <v>4811</v>
      </c>
      <c r="C996" s="1" t="s">
        <v>1913</v>
      </c>
      <c r="D996" s="1" t="str">
        <f ca="1">IFERROR(__xludf.DUMMYFUNCTION("GoogleTranslate(B996,""ja"",""en"")"),"sum")</f>
        <v>sum</v>
      </c>
    </row>
    <row r="997" spans="1:4" ht="15.75" customHeight="1" x14ac:dyDescent="0.25">
      <c r="A997" s="1" t="s">
        <v>1914</v>
      </c>
      <c r="B997" s="1" t="s">
        <v>4812</v>
      </c>
      <c r="C997" s="1" t="s">
        <v>1915</v>
      </c>
      <c r="D997" s="1" t="str">
        <f ca="1">IFERROR(__xludf.DUMMYFUNCTION("GoogleTranslate(B997,""ja"",""en"")"),"Hit")</f>
        <v>Hit</v>
      </c>
    </row>
    <row r="998" spans="1:4" ht="15.75" customHeight="1" x14ac:dyDescent="0.25">
      <c r="A998" s="1" t="s">
        <v>1916</v>
      </c>
      <c r="B998" s="1" t="s">
        <v>4813</v>
      </c>
      <c r="C998" s="1" t="s">
        <v>1917</v>
      </c>
      <c r="D998" s="1" t="str">
        <f ca="1">IFERROR(__xludf.DUMMYFUNCTION("GoogleTranslate(B998,""ja"",""en"")"),"Bureau")</f>
        <v>Bureau</v>
      </c>
    </row>
    <row r="999" spans="1:4" ht="15.75" customHeight="1" x14ac:dyDescent="0.25">
      <c r="A999" s="1" t="s">
        <v>1918</v>
      </c>
      <c r="B999" s="1" t="s">
        <v>4814</v>
      </c>
      <c r="C999" s="1" t="s">
        <v>1917</v>
      </c>
      <c r="D999" s="1" t="str">
        <f ca="1">IFERROR(__xludf.DUMMYFUNCTION("GoogleTranslate(B999,""ja"",""en"")"),"Bureau")</f>
        <v>Bureau</v>
      </c>
    </row>
    <row r="1000" spans="1:4" ht="15.75" customHeight="1" x14ac:dyDescent="0.25">
      <c r="A1000" s="1" t="s">
        <v>1919</v>
      </c>
      <c r="B1000" s="1" t="s">
        <v>4815</v>
      </c>
      <c r="C1000" s="1" t="s">
        <v>1917</v>
      </c>
      <c r="D1000" s="1" t="str">
        <f ca="1">IFERROR(__xludf.DUMMYFUNCTION("GoogleTranslate(B1000,""ja"",""en"")"),"Bureau")</f>
        <v>Bureau</v>
      </c>
    </row>
    <row r="1001" spans="1:4" ht="15.75" customHeight="1" x14ac:dyDescent="0.25">
      <c r="A1001" s="1" t="s">
        <v>1920</v>
      </c>
      <c r="B1001" s="1" t="s">
        <v>4816</v>
      </c>
      <c r="C1001" s="1" t="s">
        <v>1917</v>
      </c>
      <c r="D1001" s="1" t="str">
        <f ca="1">IFERROR(__xludf.DUMMYFUNCTION("GoogleTranslate(B1001,""ja"",""en"")"),"Bureau")</f>
        <v>Bureau</v>
      </c>
    </row>
    <row r="1002" spans="1:4" ht="15.75" customHeight="1" x14ac:dyDescent="0.25">
      <c r="A1002" s="1" t="s">
        <v>1921</v>
      </c>
      <c r="B1002" s="1" t="s">
        <v>4817</v>
      </c>
      <c r="C1002" s="1" t="s">
        <v>1917</v>
      </c>
      <c r="D1002" s="1" t="str">
        <f ca="1">IFERROR(__xludf.DUMMYFUNCTION("GoogleTranslate(B1002,""ja"",""en"")"),"Bureau")</f>
        <v>Bureau</v>
      </c>
    </row>
    <row r="1003" spans="1:4" ht="15.75" customHeight="1" x14ac:dyDescent="0.25">
      <c r="A1003" s="1" t="s">
        <v>1922</v>
      </c>
      <c r="B1003" s="1" t="s">
        <v>4818</v>
      </c>
      <c r="C1003" s="1" t="s">
        <v>1917</v>
      </c>
      <c r="D1003" s="1" t="str">
        <f ca="1">IFERROR(__xludf.DUMMYFUNCTION("GoogleTranslate(B1003,""ja"",""en"")"),"Bureau")</f>
        <v>Bureau</v>
      </c>
    </row>
    <row r="1004" spans="1:4" ht="15.75" customHeight="1" x14ac:dyDescent="0.25">
      <c r="A1004" s="1" t="s">
        <v>1923</v>
      </c>
      <c r="B1004" s="1" t="s">
        <v>4819</v>
      </c>
      <c r="C1004" s="1" t="s">
        <v>1917</v>
      </c>
      <c r="D1004" s="1" t="str">
        <f ca="1">IFERROR(__xludf.DUMMYFUNCTION("GoogleTranslate(B1004,""ja"",""en"")"),"Bureau")</f>
        <v>Bureau</v>
      </c>
    </row>
    <row r="1005" spans="1:4" ht="15.75" customHeight="1" x14ac:dyDescent="0.25">
      <c r="A1005" s="1" t="s">
        <v>1924</v>
      </c>
      <c r="B1005" s="1" t="s">
        <v>4820</v>
      </c>
      <c r="C1005" s="1" t="s">
        <v>1917</v>
      </c>
      <c r="D1005" s="1" t="str">
        <f ca="1">IFERROR(__xludf.DUMMYFUNCTION("GoogleTranslate(B1005,""ja"",""en"")"),"Bureau")</f>
        <v>Bureau</v>
      </c>
    </row>
    <row r="1006" spans="1:4" ht="15.75" customHeight="1" x14ac:dyDescent="0.25">
      <c r="A1006" s="1" t="s">
        <v>1925</v>
      </c>
      <c r="B1006" s="1" t="s">
        <v>4821</v>
      </c>
      <c r="C1006" s="1" t="s">
        <v>1917</v>
      </c>
      <c r="D1006" s="1" t="str">
        <f ca="1">IFERROR(__xludf.DUMMYFUNCTION("GoogleTranslate(B1006,""ja"",""en"")"),"Bureau")</f>
        <v>Bureau</v>
      </c>
    </row>
    <row r="1007" spans="1:4" ht="15.75" customHeight="1" x14ac:dyDescent="0.25">
      <c r="A1007" s="1" t="s">
        <v>1926</v>
      </c>
      <c r="B1007" s="1" t="s">
        <v>4822</v>
      </c>
      <c r="C1007" s="1" t="s">
        <v>1917</v>
      </c>
      <c r="D1007" s="1" t="str">
        <f ca="1">IFERROR(__xludf.DUMMYFUNCTION("GoogleTranslate(B1007,""ja"",""en"")"),"Bureau")</f>
        <v>Bureau</v>
      </c>
    </row>
    <row r="1008" spans="1:4" ht="15.75" customHeight="1" x14ac:dyDescent="0.25">
      <c r="A1008" s="1" t="s">
        <v>1927</v>
      </c>
      <c r="B1008" s="1" t="s">
        <v>4823</v>
      </c>
      <c r="C1008" s="1" t="s">
        <v>1917</v>
      </c>
      <c r="D1008" s="1" t="str">
        <f ca="1">IFERROR(__xludf.DUMMYFUNCTION("GoogleTranslate(B1008,""ja"",""en"")"),"Bureau")</f>
        <v>Bureau</v>
      </c>
    </row>
    <row r="1009" spans="1:4" ht="15.75" customHeight="1" x14ac:dyDescent="0.25">
      <c r="A1009" s="1" t="s">
        <v>1928</v>
      </c>
      <c r="B1009" s="1" t="s">
        <v>4824</v>
      </c>
      <c r="C1009" s="1" t="s">
        <v>1917</v>
      </c>
      <c r="D1009" s="1" t="str">
        <f ca="1">IFERROR(__xludf.DUMMYFUNCTION("GoogleTranslate(B1009,""ja"",""en"")"),"Bureau")</f>
        <v>Bureau</v>
      </c>
    </row>
    <row r="1010" spans="1:4" ht="15.75" customHeight="1" x14ac:dyDescent="0.25">
      <c r="A1010" s="1" t="s">
        <v>1929</v>
      </c>
      <c r="B1010" s="1" t="s">
        <v>4825</v>
      </c>
      <c r="C1010" s="1" t="s">
        <v>1917</v>
      </c>
      <c r="D1010" s="1" t="str">
        <f ca="1">IFERROR(__xludf.DUMMYFUNCTION("GoogleTranslate(B1010,""ja"",""en"")"),"Bureau")</f>
        <v>Bureau</v>
      </c>
    </row>
    <row r="1011" spans="1:4" ht="15.75" customHeight="1" x14ac:dyDescent="0.25">
      <c r="A1011" s="1" t="s">
        <v>1930</v>
      </c>
      <c r="B1011" s="1" t="s">
        <v>4826</v>
      </c>
      <c r="C1011" s="1" t="s">
        <v>1917</v>
      </c>
      <c r="D1011" s="1" t="str">
        <f ca="1">IFERROR(__xludf.DUMMYFUNCTION("GoogleTranslate(B1011,""ja"",""en"")"),"Bureau")</f>
        <v>Bureau</v>
      </c>
    </row>
    <row r="1012" spans="1:4" ht="15.75" customHeight="1" x14ac:dyDescent="0.25">
      <c r="A1012" s="1" t="s">
        <v>1931</v>
      </c>
      <c r="B1012" s="1" t="s">
        <v>4827</v>
      </c>
      <c r="C1012" s="1" t="s">
        <v>1917</v>
      </c>
      <c r="D1012" s="1" t="str">
        <f ca="1">IFERROR(__xludf.DUMMYFUNCTION("GoogleTranslate(B1012,""ja"",""en"")"),"Bureau")</f>
        <v>Bureau</v>
      </c>
    </row>
    <row r="1013" spans="1:4" ht="15.75" customHeight="1" x14ac:dyDescent="0.25">
      <c r="A1013" s="1" t="s">
        <v>1932</v>
      </c>
      <c r="B1013" s="1" t="s">
        <v>4828</v>
      </c>
      <c r="C1013" s="1" t="s">
        <v>1917</v>
      </c>
      <c r="D1013" s="1" t="str">
        <f ca="1">IFERROR(__xludf.DUMMYFUNCTION("GoogleTranslate(B1013,""ja"",""en"")"),"Bureau")</f>
        <v>Bureau</v>
      </c>
    </row>
    <row r="1014" spans="1:4" ht="15.75" customHeight="1" x14ac:dyDescent="0.25">
      <c r="A1014" s="1" t="s">
        <v>1933</v>
      </c>
      <c r="B1014" s="1" t="s">
        <v>4829</v>
      </c>
      <c r="C1014" s="1" t="s">
        <v>1934</v>
      </c>
      <c r="D1014" s="1" t="str">
        <f ca="1">IFERROR(__xludf.DUMMYFUNCTION("GoogleTranslate(B1014,""ja"",""en"")"),"Mitsuru")</f>
        <v>Mitsuru</v>
      </c>
    </row>
    <row r="1015" spans="1:4" ht="15.75" customHeight="1" x14ac:dyDescent="0.25">
      <c r="A1015" s="1" t="s">
        <v>1935</v>
      </c>
      <c r="B1015" s="1" t="s">
        <v>4830</v>
      </c>
      <c r="C1015" s="1" t="s">
        <v>1934</v>
      </c>
      <c r="D1015" s="1" t="str">
        <f ca="1">IFERROR(__xludf.DUMMYFUNCTION("GoogleTranslate(B1015,""ja"",""en"")"),"Mitsuru")</f>
        <v>Mitsuru</v>
      </c>
    </row>
    <row r="1016" spans="1:4" ht="15.75" customHeight="1" x14ac:dyDescent="0.25">
      <c r="A1016" s="1" t="s">
        <v>1936</v>
      </c>
      <c r="B1016" s="1" t="s">
        <v>4831</v>
      </c>
      <c r="C1016" s="1" t="s">
        <v>1934</v>
      </c>
      <c r="D1016" s="1" t="str">
        <f ca="1">IFERROR(__xludf.DUMMYFUNCTION("GoogleTranslate(B1016,""ja"",""en"")"),"Mitsuru")</f>
        <v>Mitsuru</v>
      </c>
    </row>
    <row r="1017" spans="1:4" ht="15.75" customHeight="1" x14ac:dyDescent="0.25">
      <c r="A1017" s="1" t="s">
        <v>1937</v>
      </c>
      <c r="B1017" s="1" t="s">
        <v>1922</v>
      </c>
      <c r="C1017" s="1" t="s">
        <v>468</v>
      </c>
      <c r="D1017" s="1" t="str">
        <f ca="1">IFERROR(__xludf.DUMMYFUNCTION("GoogleTranslate(B1017,""ja"",""en"")"),"east")</f>
        <v>east</v>
      </c>
    </row>
    <row r="1018" spans="1:4" ht="15.75" customHeight="1" x14ac:dyDescent="0.25">
      <c r="A1018" s="1" t="s">
        <v>1938</v>
      </c>
      <c r="B1018" s="1" t="s">
        <v>1923</v>
      </c>
      <c r="C1018" s="1" t="s">
        <v>244</v>
      </c>
      <c r="D1018" s="1" t="str">
        <f ca="1">IFERROR(__xludf.DUMMYFUNCTION("GoogleTranslate(B1018,""ja"",""en"")"),"South")</f>
        <v>South</v>
      </c>
    </row>
    <row r="1019" spans="1:4" ht="15.75" customHeight="1" x14ac:dyDescent="0.25">
      <c r="A1019" s="1" t="s">
        <v>1939</v>
      </c>
      <c r="B1019" s="1" t="s">
        <v>1924</v>
      </c>
      <c r="C1019" s="1" t="s">
        <v>470</v>
      </c>
      <c r="D1019" s="1" t="str">
        <f ca="1">IFERROR(__xludf.DUMMYFUNCTION("GoogleTranslate(B1019,""ja"",""en"")"),"West")</f>
        <v>West</v>
      </c>
    </row>
    <row r="1020" spans="1:4" ht="15.75" customHeight="1" x14ac:dyDescent="0.25">
      <c r="A1020" s="1" t="s">
        <v>1940</v>
      </c>
      <c r="B1020" s="1" t="s">
        <v>1925</v>
      </c>
      <c r="C1020" s="1" t="s">
        <v>472</v>
      </c>
      <c r="D1020" s="1" t="str">
        <f ca="1">IFERROR(__xludf.DUMMYFUNCTION("GoogleTranslate(B1020,""ja"",""en"")"),"North")</f>
        <v>North</v>
      </c>
    </row>
    <row r="1021" spans="1:4" ht="15.75" customHeight="1" x14ac:dyDescent="0.25">
      <c r="A1021" s="1" t="s">
        <v>1941</v>
      </c>
      <c r="B1021" s="1" t="s">
        <v>1926</v>
      </c>
      <c r="C1021" s="1" t="s">
        <v>1942</v>
      </c>
      <c r="D1021" s="1" t="str">
        <f ca="1">IFERROR(__xludf.DUMMYFUNCTION("GoogleTranslate(B1021,""ja"",""en"")"),"White")</f>
        <v>White</v>
      </c>
    </row>
    <row r="1022" spans="1:4" ht="15.75" customHeight="1" x14ac:dyDescent="0.25">
      <c r="A1022" s="1" t="s">
        <v>1943</v>
      </c>
      <c r="B1022" s="1" t="s">
        <v>1928</v>
      </c>
      <c r="C1022" s="1" t="s">
        <v>1944</v>
      </c>
      <c r="D1022" s="1" t="str">
        <f ca="1">IFERROR(__xludf.DUMMYFUNCTION("GoogleTranslate(B1022,""ja"",""en"")"),"發")</f>
        <v>發</v>
      </c>
    </row>
    <row r="1023" spans="1:4" ht="15.75" customHeight="1" x14ac:dyDescent="0.25">
      <c r="A1023" s="1" t="s">
        <v>1945</v>
      </c>
      <c r="B1023" s="1" t="s">
        <v>1930</v>
      </c>
      <c r="C1023" s="1" t="s">
        <v>1946</v>
      </c>
      <c r="D1023" s="1" t="str">
        <f ca="1">IFERROR(__xludf.DUMMYFUNCTION("GoogleTranslate(B1023,""ja"",""en"")"),"During ~")</f>
        <v>During ~</v>
      </c>
    </row>
    <row r="1024" spans="1:4" ht="15.75" customHeight="1" x14ac:dyDescent="0.25">
      <c r="A1024" s="1" t="s">
        <v>1947</v>
      </c>
      <c r="B1024" s="1" t="s">
        <v>4832</v>
      </c>
      <c r="C1024" s="1" t="s">
        <v>1948</v>
      </c>
      <c r="D1024" s="1" t="str">
        <f ca="1">IFERROR(__xludf.DUMMYFUNCTION("GoogleTranslate(B1024,""ja"",""en"")"),"mouth")</f>
        <v>mouth</v>
      </c>
    </row>
    <row r="1025" spans="1:4" ht="15.75" customHeight="1" x14ac:dyDescent="0.25">
      <c r="A1025" s="1" t="s">
        <v>1949</v>
      </c>
      <c r="B1025" s="1" t="s">
        <v>4833</v>
      </c>
      <c r="C1025" s="1" t="s">
        <v>1950</v>
      </c>
      <c r="D1025" s="1" t="str">
        <f ca="1">IFERROR(__xludf.DUMMYFUNCTION("GoogleTranslate(B1025,""ja"",""en"")"),"Head")</f>
        <v>Head</v>
      </c>
    </row>
    <row r="1026" spans="1:4" ht="15.75" customHeight="1" x14ac:dyDescent="0.25">
      <c r="A1026" s="1" t="s">
        <v>1951</v>
      </c>
      <c r="B1026" s="1" t="s">
        <v>4834</v>
      </c>
      <c r="C1026" s="1" t="s">
        <v>1913</v>
      </c>
      <c r="D1026" s="1" t="str">
        <f ca="1">IFERROR(__xludf.DUMMYFUNCTION("GoogleTranslate(B1026,""ja"",""en"")"),"sum")</f>
        <v>sum</v>
      </c>
    </row>
    <row r="1027" spans="1:4" ht="15.75" customHeight="1" x14ac:dyDescent="0.25">
      <c r="A1027" s="1" t="s">
        <v>1952</v>
      </c>
      <c r="B1027" s="1" t="s">
        <v>4835</v>
      </c>
      <c r="C1027" s="1" t="s">
        <v>1953</v>
      </c>
      <c r="D1027" s="1" t="str">
        <f ca="1">IFERROR(__xludf.DUMMYFUNCTION("GoogleTranslate(B1027,""ja"",""en"")"),"Time")</f>
        <v>Time</v>
      </c>
    </row>
    <row r="1028" spans="1:4" ht="15.75" customHeight="1" x14ac:dyDescent="0.25">
      <c r="A1028" s="1" t="s">
        <v>1954</v>
      </c>
      <c r="B1028" s="1" t="s">
        <v>4836</v>
      </c>
      <c r="C1028" s="1" t="s">
        <v>1953</v>
      </c>
      <c r="D1028" s="1" t="str">
        <f ca="1">IFERROR(__xludf.DUMMYFUNCTION("GoogleTranslate(B1028,""ja"",""en"")"),"Time")</f>
        <v>Time</v>
      </c>
    </row>
    <row r="1029" spans="1:4" ht="15.75" customHeight="1" x14ac:dyDescent="0.25">
      <c r="A1029" s="1" t="s">
        <v>1955</v>
      </c>
      <c r="B1029" s="1" t="s">
        <v>4837</v>
      </c>
      <c r="C1029" s="1" t="s">
        <v>1956</v>
      </c>
      <c r="D1029" s="1" t="str">
        <f ca="1">IFERROR(__xludf.DUMMYFUNCTION("GoogleTranslate(B1029,""ja"",""en"")"),"Child")</f>
        <v>Child</v>
      </c>
    </row>
    <row r="1030" spans="1:4" ht="15.75" customHeight="1" x14ac:dyDescent="0.25">
      <c r="A1030" s="1" t="s">
        <v>1957</v>
      </c>
      <c r="B1030" s="1" t="s">
        <v>4838</v>
      </c>
      <c r="C1030" s="1" t="s">
        <v>1956</v>
      </c>
      <c r="D1030" s="1" t="str">
        <f ca="1">IFERROR(__xludf.DUMMYFUNCTION("GoogleTranslate(B1030,""ja"",""en"")"),"Child")</f>
        <v>Child</v>
      </c>
    </row>
    <row r="1031" spans="1:4" ht="15.75" customHeight="1" x14ac:dyDescent="0.25">
      <c r="A1031" s="1" t="s">
        <v>1958</v>
      </c>
      <c r="B1031" s="1" t="s">
        <v>1940</v>
      </c>
      <c r="C1031" s="1" t="s">
        <v>1959</v>
      </c>
      <c r="D1031" s="1" t="str">
        <f ca="1">IFERROR(__xludf.DUMMYFUNCTION("GoogleTranslate(B1031,""ja"",""en"")"),"Origin")</f>
        <v>Origin</v>
      </c>
    </row>
    <row r="1032" spans="1:4" ht="15.75" customHeight="1" x14ac:dyDescent="0.25">
      <c r="A1032" s="1" t="s">
        <v>1960</v>
      </c>
      <c r="B1032" s="1" t="s">
        <v>1941</v>
      </c>
      <c r="C1032" s="1" t="s">
        <v>1961</v>
      </c>
      <c r="D1032" s="1" t="str">
        <f ca="1">IFERROR(__xludf.DUMMYFUNCTION("GoogleTranslate(B1032,""ja"",""en"")"),"straight")</f>
        <v>straight</v>
      </c>
    </row>
    <row r="1033" spans="1:4" ht="15.75" customHeight="1" x14ac:dyDescent="0.25">
      <c r="A1033" s="1" t="s">
        <v>1962</v>
      </c>
      <c r="B1033" s="1" t="s">
        <v>4839</v>
      </c>
      <c r="C1033" s="1" t="s">
        <v>1963</v>
      </c>
      <c r="D1033" s="1" t="str">
        <f ca="1">IFERROR(__xludf.DUMMYFUNCTION("GoogleTranslate(B1033,""ja"",""en"")"),"color")</f>
        <v>color</v>
      </c>
    </row>
    <row r="1034" spans="1:4" ht="15.75" customHeight="1" x14ac:dyDescent="0.25">
      <c r="A1034" s="1" t="s">
        <v>1964</v>
      </c>
      <c r="B1034" s="1" t="s">
        <v>1945</v>
      </c>
      <c r="C1034" s="1" t="s">
        <v>1948</v>
      </c>
      <c r="D1034" s="1" t="str">
        <f ca="1">IFERROR(__xludf.DUMMYFUNCTION("GoogleTranslate(B1034,""ja"",""en"")"),"mouth")</f>
        <v>mouth</v>
      </c>
    </row>
    <row r="1035" spans="1:4" ht="15.75" customHeight="1" x14ac:dyDescent="0.25">
      <c r="A1035" s="1" t="s">
        <v>1965</v>
      </c>
      <c r="B1035" s="1" t="s">
        <v>4840</v>
      </c>
      <c r="C1035" s="1" t="s">
        <v>1963</v>
      </c>
      <c r="D1035" s="1" t="str">
        <f ca="1">IFERROR(__xludf.DUMMYFUNCTION("GoogleTranslate(B1035,""ja"",""en"")"),"color")</f>
        <v>color</v>
      </c>
    </row>
    <row r="1036" spans="1:4" ht="15.75" customHeight="1" x14ac:dyDescent="0.25">
      <c r="A1036" s="1" t="s">
        <v>1966</v>
      </c>
      <c r="B1036" s="1" t="s">
        <v>4841</v>
      </c>
      <c r="C1036" s="1" t="s">
        <v>1963</v>
      </c>
      <c r="D1036" s="1" t="str">
        <f ca="1">IFERROR(__xludf.DUMMYFUNCTION("GoogleTranslate(B1036,""ja"",""en"")"),"color")</f>
        <v>color</v>
      </c>
    </row>
    <row r="1037" spans="1:4" ht="15.75" customHeight="1" x14ac:dyDescent="0.25">
      <c r="A1037" s="1" t="s">
        <v>1967</v>
      </c>
      <c r="B1037" s="1" t="s">
        <v>4842</v>
      </c>
      <c r="C1037" s="1" t="s">
        <v>1963</v>
      </c>
      <c r="D1037" s="1" t="str">
        <f ca="1">IFERROR(__xludf.DUMMYFUNCTION("GoogleTranslate(B1037,""ja"",""en"")"),"color")</f>
        <v>color</v>
      </c>
    </row>
    <row r="1038" spans="1:4" ht="15.75" customHeight="1" x14ac:dyDescent="0.25">
      <c r="A1038" s="1" t="s">
        <v>1968</v>
      </c>
      <c r="B1038" s="1" t="s">
        <v>4843</v>
      </c>
      <c r="C1038" s="1" t="s">
        <v>1953</v>
      </c>
      <c r="D1038" s="1" t="str">
        <f ca="1">IFERROR(__xludf.DUMMYFUNCTION("GoogleTranslate(B1038,""ja"",""en"")"),"Time")</f>
        <v>Time</v>
      </c>
    </row>
    <row r="1039" spans="1:4" ht="15.75" customHeight="1" x14ac:dyDescent="0.25">
      <c r="A1039" s="1" t="s">
        <v>1969</v>
      </c>
      <c r="B1039" s="1" t="s">
        <v>4844</v>
      </c>
      <c r="C1039" s="1" t="s">
        <v>1970</v>
      </c>
      <c r="D1039" s="1" t="str">
        <f ca="1">IFERROR(__xludf.DUMMYFUNCTION("GoogleTranslate(B1039,""ja"",""en"")"),"Cavalry")</f>
        <v>Cavalry</v>
      </c>
    </row>
    <row r="1040" spans="1:4" ht="15.75" customHeight="1" x14ac:dyDescent="0.25">
      <c r="A1040" s="1" t="s">
        <v>1971</v>
      </c>
      <c r="B1040" s="1" t="s">
        <v>4845</v>
      </c>
      <c r="C1040" s="1" t="s">
        <v>1956</v>
      </c>
      <c r="D1040" s="1" t="str">
        <f ca="1">IFERROR(__xludf.DUMMYFUNCTION("GoogleTranslate(B1040,""ja"",""en"")"),"Child")</f>
        <v>Child</v>
      </c>
    </row>
    <row r="1041" spans="1:4" ht="15.75" customHeight="1" x14ac:dyDescent="0.25">
      <c r="A1041" s="1" t="s">
        <v>1972</v>
      </c>
      <c r="B1041" s="1" t="s">
        <v>4846</v>
      </c>
      <c r="C1041" s="1" t="s">
        <v>1959</v>
      </c>
      <c r="D1041" s="1" t="str">
        <f ca="1">IFERROR(__xludf.DUMMYFUNCTION("GoogleTranslate(B1041,""ja"",""en"")"),"Origin")</f>
        <v>Origin</v>
      </c>
    </row>
    <row r="1042" spans="1:4" ht="15.75" customHeight="1" x14ac:dyDescent="0.25">
      <c r="A1042" s="1" t="s">
        <v>1973</v>
      </c>
      <c r="B1042" s="1" t="s">
        <v>4847</v>
      </c>
      <c r="C1042" s="1" t="s">
        <v>1974</v>
      </c>
      <c r="D1042" s="1" t="str">
        <f ca="1">IFERROR(__xludf.DUMMYFUNCTION("GoogleTranslate(B1042,""ja"",""en"")"),"Hee")</f>
        <v>Hee</v>
      </c>
    </row>
    <row r="1043" spans="1:4" ht="15.75" customHeight="1" x14ac:dyDescent="0.25">
      <c r="A1043" s="1" t="s">
        <v>1975</v>
      </c>
      <c r="B1043" s="1" t="s">
        <v>4848</v>
      </c>
      <c r="C1043" s="1" t="s">
        <v>1974</v>
      </c>
      <c r="D1043" s="1" t="str">
        <f ca="1">IFERROR(__xludf.DUMMYFUNCTION("GoogleTranslate(B1043,""ja"",""en"")"),"Hee")</f>
        <v>Hee</v>
      </c>
    </row>
    <row r="1044" spans="1:4" ht="15.75" customHeight="1" x14ac:dyDescent="0.25">
      <c r="A1044" s="1" t="s">
        <v>1976</v>
      </c>
      <c r="B1044" s="1" t="s">
        <v>4849</v>
      </c>
      <c r="C1044" s="1" t="s">
        <v>1950</v>
      </c>
      <c r="D1044" s="1" t="str">
        <f ca="1">IFERROR(__xludf.DUMMYFUNCTION("GoogleTranslate(B1044,""ja"",""en"")"),"Head")</f>
        <v>Head</v>
      </c>
    </row>
    <row r="1045" spans="1:4" ht="15.75" customHeight="1" x14ac:dyDescent="0.25">
      <c r="A1045" s="1" t="s">
        <v>1977</v>
      </c>
      <c r="B1045" s="1" t="s">
        <v>4850</v>
      </c>
      <c r="C1045" s="1" t="s">
        <v>1978</v>
      </c>
      <c r="D1045" s="1" t="str">
        <f ca="1">IFERROR(__xludf.DUMMYFUNCTION("GoogleTranslate(B1045,""ja"",""en"")"),"ring")</f>
        <v>ring</v>
      </c>
    </row>
    <row r="1046" spans="1:4" ht="15.75" customHeight="1" x14ac:dyDescent="0.25">
      <c r="A1046" s="1" t="s">
        <v>1979</v>
      </c>
      <c r="B1046" s="1" t="s">
        <v>4851</v>
      </c>
      <c r="C1046" s="1" t="s">
        <v>1946</v>
      </c>
      <c r="D1046" s="1" t="str">
        <f ca="1">IFERROR(__xludf.DUMMYFUNCTION("GoogleTranslate(B1046,""ja"",""en"")"),"During ~")</f>
        <v>During ~</v>
      </c>
    </row>
    <row r="1047" spans="1:4" ht="15.75" customHeight="1" x14ac:dyDescent="0.25">
      <c r="A1047" s="1" t="s">
        <v>1980</v>
      </c>
      <c r="B1047" s="1" t="s">
        <v>1964</v>
      </c>
      <c r="C1047" s="1" t="s">
        <v>386</v>
      </c>
      <c r="D1047" s="1" t="str">
        <f ca="1">IFERROR(__xludf.DUMMYFUNCTION("GoogleTranslate(B1047,""ja"",""en"")"),"Or")</f>
        <v>Or</v>
      </c>
    </row>
    <row r="1048" spans="1:4" ht="15.75" customHeight="1" x14ac:dyDescent="0.25">
      <c r="A1048" s="1" t="s">
        <v>1981</v>
      </c>
      <c r="B1048" s="1" t="s">
        <v>1969</v>
      </c>
      <c r="C1048" s="1" t="s">
        <v>1982</v>
      </c>
      <c r="D1048" s="1" t="str">
        <f ca="1">IFERROR(__xludf.DUMMYFUNCTION("GoogleTranslate(B1048,""ja"",""en"")"),"§")</f>
        <v>§</v>
      </c>
    </row>
    <row r="1049" spans="1:4" ht="15.75" customHeight="1" x14ac:dyDescent="0.25">
      <c r="A1049" s="1" t="s">
        <v>1983</v>
      </c>
      <c r="B1049" s="1" t="s">
        <v>4852</v>
      </c>
      <c r="C1049" s="1" t="s">
        <v>216</v>
      </c>
      <c r="D1049" s="1" t="str">
        <f ca="1">IFERROR(__xludf.DUMMYFUNCTION("GoogleTranslate(B1049,""ja"",""en"")"),"?")</f>
        <v>?</v>
      </c>
    </row>
    <row r="1050" spans="1:4" ht="15.75" customHeight="1" x14ac:dyDescent="0.25">
      <c r="A1050" s="1" t="s">
        <v>1984</v>
      </c>
      <c r="B1050" s="1" t="s">
        <v>4853</v>
      </c>
      <c r="C1050" s="1" t="s">
        <v>339</v>
      </c>
      <c r="D1050" s="1" t="str">
        <f ca="1">IFERROR(__xludf.DUMMYFUNCTION("GoogleTranslate(B1050,""ja"",""en"")"),"so")</f>
        <v>so</v>
      </c>
    </row>
    <row r="1051" spans="1:4" ht="15.75" customHeight="1" x14ac:dyDescent="0.25">
      <c r="A1051" s="1" t="s">
        <v>1985</v>
      </c>
      <c r="B1051" s="1" t="s">
        <v>4854</v>
      </c>
      <c r="C1051" s="1" t="s">
        <v>1986</v>
      </c>
      <c r="D1051" s="1" t="str">
        <f ca="1">IFERROR(__xludf.DUMMYFUNCTION("GoogleTranslate(B1051,""ja"",""en"")"),"!")</f>
        <v>!</v>
      </c>
    </row>
    <row r="1052" spans="1:4" ht="15.75" customHeight="1" x14ac:dyDescent="0.25">
      <c r="A1052" s="1" t="s">
        <v>1987</v>
      </c>
      <c r="B1052" s="1" t="s">
        <v>1979</v>
      </c>
      <c r="C1052" s="1" t="s">
        <v>216</v>
      </c>
      <c r="D1052" s="1" t="str">
        <f ca="1">IFERROR(__xludf.DUMMYFUNCTION("GoogleTranslate(B1052,""ja"",""en"")"),"?")</f>
        <v>?</v>
      </c>
    </row>
    <row r="1053" spans="1:4" ht="15.75" customHeight="1" x14ac:dyDescent="0.25">
      <c r="A1053" s="1" t="s">
        <v>1988</v>
      </c>
      <c r="B1053" s="1" t="s">
        <v>4855</v>
      </c>
      <c r="C1053" s="1" t="s">
        <v>1986</v>
      </c>
      <c r="D1053" s="1" t="str">
        <f ca="1">IFERROR(__xludf.DUMMYFUNCTION("GoogleTranslate(B1053,""ja"",""en"")"),"!")</f>
        <v>!</v>
      </c>
    </row>
    <row r="1054" spans="1:4" ht="15.75" customHeight="1" x14ac:dyDescent="0.25">
      <c r="A1054" s="1" t="s">
        <v>1989</v>
      </c>
      <c r="B1054" s="1" t="s">
        <v>4856</v>
      </c>
      <c r="C1054" s="1" t="s">
        <v>1986</v>
      </c>
      <c r="D1054" s="1" t="str">
        <f ca="1">IFERROR(__xludf.DUMMYFUNCTION("GoogleTranslate(B1054,""ja"",""en"")"),"!")</f>
        <v>!</v>
      </c>
    </row>
    <row r="1055" spans="1:4" ht="15.75" customHeight="1" x14ac:dyDescent="0.25">
      <c r="A1055" s="1" t="s">
        <v>1990</v>
      </c>
      <c r="B1055" s="1" t="s">
        <v>1981</v>
      </c>
      <c r="C1055" s="1" t="s">
        <v>220</v>
      </c>
      <c r="D1055" s="1" t="str">
        <f ca="1">IFERROR(__xludf.DUMMYFUNCTION("GoogleTranslate(B1055,""ja"",""en"")"),"...")</f>
        <v>...</v>
      </c>
    </row>
    <row r="1056" spans="1:4" ht="15.75" customHeight="1" x14ac:dyDescent="0.25">
      <c r="A1056" s="1" t="s">
        <v>1991</v>
      </c>
      <c r="B1056" s="1" t="s">
        <v>4857</v>
      </c>
      <c r="C1056" s="1" t="s">
        <v>1986</v>
      </c>
      <c r="D1056" s="1" t="str">
        <f ca="1">IFERROR(__xludf.DUMMYFUNCTION("GoogleTranslate(B1056,""ja"",""en"")"),"!")</f>
        <v>!</v>
      </c>
    </row>
    <row r="1057" spans="1:4" ht="15.75" customHeight="1" x14ac:dyDescent="0.25">
      <c r="A1057" s="1" t="s">
        <v>1992</v>
      </c>
      <c r="B1057" s="1" t="s">
        <v>4858</v>
      </c>
      <c r="C1057" s="1" t="s">
        <v>220</v>
      </c>
      <c r="D1057" s="1" t="str">
        <f ca="1">IFERROR(__xludf.DUMMYFUNCTION("GoogleTranslate(B1057,""ja"",""en"")"),"...")</f>
        <v>...</v>
      </c>
    </row>
    <row r="1058" spans="1:4" ht="15.75" customHeight="1" x14ac:dyDescent="0.25">
      <c r="A1058" s="1" t="s">
        <v>1993</v>
      </c>
      <c r="B1058" s="1" t="s">
        <v>1984</v>
      </c>
      <c r="C1058" s="1" t="s">
        <v>393</v>
      </c>
      <c r="D1058" s="1" t="str">
        <f ca="1">IFERROR(__xludf.DUMMYFUNCTION("GoogleTranslate(B1058,""ja"",""en"")"),"I")</f>
        <v>I</v>
      </c>
    </row>
    <row r="1059" spans="1:4" ht="15.75" customHeight="1" x14ac:dyDescent="0.25">
      <c r="A1059" s="1" t="s">
        <v>1994</v>
      </c>
      <c r="B1059" s="1" t="s">
        <v>4859</v>
      </c>
      <c r="C1059" s="1" t="s">
        <v>404</v>
      </c>
      <c r="D1059" s="1" t="str">
        <f ca="1">IFERROR(__xludf.DUMMYFUNCTION("GoogleTranslate(B1059,""ja"",""en"")"),"Ya")</f>
        <v>Ya</v>
      </c>
    </row>
    <row r="1060" spans="1:4" ht="15.75" customHeight="1" x14ac:dyDescent="0.25">
      <c r="A1060" s="1" t="s">
        <v>1995</v>
      </c>
      <c r="B1060" s="1" t="s">
        <v>4860</v>
      </c>
      <c r="C1060" s="1" t="s">
        <v>1996</v>
      </c>
      <c r="D1060" s="1" t="str">
        <f ca="1">IFERROR(__xludf.DUMMYFUNCTION("GoogleTranslate(B1060,""ja"",""en"")"),"Tut")</f>
        <v>Tut</v>
      </c>
    </row>
    <row r="1061" spans="1:4" ht="15.75" customHeight="1" x14ac:dyDescent="0.25">
      <c r="A1061" s="1" t="s">
        <v>1997</v>
      </c>
      <c r="B1061" s="1" t="s">
        <v>1989</v>
      </c>
      <c r="C1061" s="1" t="s">
        <v>352</v>
      </c>
      <c r="D1061" s="1" t="str">
        <f ca="1">IFERROR(__xludf.DUMMYFUNCTION("GoogleTranslate(B1061,""ja"",""en"")"),"")</f>
        <v/>
      </c>
    </row>
    <row r="1062" spans="1:4" ht="15.75" customHeight="1" x14ac:dyDescent="0.25">
      <c r="A1062" s="1" t="s">
        <v>1998</v>
      </c>
      <c r="B1062" s="1" t="s">
        <v>4861</v>
      </c>
      <c r="C1062" s="1" t="s">
        <v>1996</v>
      </c>
      <c r="D1062" s="1" t="str">
        <f ca="1">IFERROR(__xludf.DUMMYFUNCTION("GoogleTranslate(B1062,""ja"",""en"")"),"Tut")</f>
        <v>Tut</v>
      </c>
    </row>
    <row r="1063" spans="1:4" ht="15.75" customHeight="1" x14ac:dyDescent="0.25">
      <c r="A1063" s="1" t="s">
        <v>1999</v>
      </c>
      <c r="B1063" s="1" t="s">
        <v>1993</v>
      </c>
      <c r="C1063" s="1" t="s">
        <v>343</v>
      </c>
      <c r="D1063" s="1" t="str">
        <f ca="1">IFERROR(__xludf.DUMMYFUNCTION("GoogleTranslate(B1063,""ja"",""en"")"),"Over")</f>
        <v>Over</v>
      </c>
    </row>
    <row r="1064" spans="1:4" ht="15.75" customHeight="1" x14ac:dyDescent="0.25">
      <c r="A1064" s="1" t="s">
        <v>2000</v>
      </c>
      <c r="B1064" s="1" t="s">
        <v>4862</v>
      </c>
      <c r="C1064" s="1" t="s">
        <v>2001</v>
      </c>
      <c r="D1064" s="1" t="str">
        <f ca="1">IFERROR(__xludf.DUMMYFUNCTION("GoogleTranslate(B1064,""ja"",""en"")"),"")</f>
        <v/>
      </c>
    </row>
    <row r="1065" spans="1:4" ht="15.75" customHeight="1" x14ac:dyDescent="0.25">
      <c r="A1065" s="1" t="s">
        <v>2002</v>
      </c>
      <c r="B1065" s="1" t="s">
        <v>4863</v>
      </c>
      <c r="C1065" s="1" t="s">
        <v>367</v>
      </c>
      <c r="D1065" s="1" t="str">
        <f ca="1">IFERROR(__xludf.DUMMYFUNCTION("GoogleTranslate(B1065,""ja"",""en"")"),"The filtrate")</f>
        <v>The filtrate</v>
      </c>
    </row>
    <row r="1066" spans="1:4" ht="15.75" customHeight="1" x14ac:dyDescent="0.25">
      <c r="A1066" s="1" t="s">
        <v>2003</v>
      </c>
      <c r="B1066" s="1" t="s">
        <v>4864</v>
      </c>
      <c r="C1066" s="1" t="s">
        <v>1986</v>
      </c>
      <c r="D1066" s="1" t="str">
        <f ca="1">IFERROR(__xludf.DUMMYFUNCTION("GoogleTranslate(B1066,""ja"",""en"")"),"!")</f>
        <v>!</v>
      </c>
    </row>
    <row r="1067" spans="1:4" ht="15.75" customHeight="1" x14ac:dyDescent="0.25">
      <c r="A1067" s="1" t="s">
        <v>2004</v>
      </c>
      <c r="B1067" s="1" t="s">
        <v>4865</v>
      </c>
      <c r="C1067" s="1" t="s">
        <v>1986</v>
      </c>
      <c r="D1067" s="1" t="str">
        <f ca="1">IFERROR(__xludf.DUMMYFUNCTION("GoogleTranslate(B1067,""ja"",""en"")"),"!")</f>
        <v>!</v>
      </c>
    </row>
    <row r="1068" spans="1:4" ht="15.75" customHeight="1" x14ac:dyDescent="0.25">
      <c r="A1068" s="1" t="s">
        <v>2005</v>
      </c>
      <c r="B1068" s="1" t="s">
        <v>4866</v>
      </c>
      <c r="C1068" s="1" t="s">
        <v>2001</v>
      </c>
      <c r="D1068" s="1" t="str">
        <f ca="1">IFERROR(__xludf.DUMMYFUNCTION("GoogleTranslate(B1068,""ja"",""en"")"),"")</f>
        <v/>
      </c>
    </row>
    <row r="1069" spans="1:4" ht="15.75" customHeight="1" x14ac:dyDescent="0.25">
      <c r="A1069" s="1" t="s">
        <v>2006</v>
      </c>
      <c r="B1069" s="1" t="s">
        <v>4867</v>
      </c>
      <c r="C1069" s="1" t="s">
        <v>339</v>
      </c>
      <c r="D1069" s="1" t="str">
        <f ca="1">IFERROR(__xludf.DUMMYFUNCTION("GoogleTranslate(B1069,""ja"",""en"")"),"so")</f>
        <v>so</v>
      </c>
    </row>
    <row r="1070" spans="1:4" ht="15.75" customHeight="1" x14ac:dyDescent="0.25">
      <c r="A1070" s="1" t="s">
        <v>2007</v>
      </c>
      <c r="B1070" s="1" t="s">
        <v>4868</v>
      </c>
      <c r="C1070" s="1" t="s">
        <v>1986</v>
      </c>
      <c r="D1070" s="1" t="str">
        <f ca="1">IFERROR(__xludf.DUMMYFUNCTION("GoogleTranslate(B1070,""ja"",""en"")"),"!")</f>
        <v>!</v>
      </c>
    </row>
    <row r="1071" spans="1:4" ht="15.75" customHeight="1" x14ac:dyDescent="0.25">
      <c r="A1071" s="1" t="s">
        <v>2008</v>
      </c>
      <c r="B1071" s="1" t="s">
        <v>4869</v>
      </c>
      <c r="C1071" s="1" t="s">
        <v>2009</v>
      </c>
      <c r="D1071" s="1" t="str">
        <f ca="1">IFERROR(__xludf.DUMMYFUNCTION("GoogleTranslate(B1071,""ja"",""en"")"),"~")</f>
        <v>~</v>
      </c>
    </row>
    <row r="1072" spans="1:4" ht="15.75" customHeight="1" x14ac:dyDescent="0.25">
      <c r="A1072" s="1" t="s">
        <v>2010</v>
      </c>
      <c r="B1072" s="1" t="s">
        <v>4870</v>
      </c>
      <c r="C1072" s="1" t="s">
        <v>2009</v>
      </c>
      <c r="D1072" s="1" t="str">
        <f ca="1">IFERROR(__xludf.DUMMYFUNCTION("GoogleTranslate(B1072,""ja"",""en"")"),"~")</f>
        <v>~</v>
      </c>
    </row>
    <row r="1073" spans="1:4" ht="15.75" customHeight="1" x14ac:dyDescent="0.25">
      <c r="A1073" s="1" t="s">
        <v>2011</v>
      </c>
      <c r="B1073" s="1" t="s">
        <v>2003</v>
      </c>
      <c r="C1073" s="1" t="s">
        <v>393</v>
      </c>
      <c r="D1073" s="1" t="str">
        <f ca="1">IFERROR(__xludf.DUMMYFUNCTION("GoogleTranslate(B1073,""ja"",""en"")"),"I")</f>
        <v>I</v>
      </c>
    </row>
    <row r="1074" spans="1:4" ht="15.75" customHeight="1" x14ac:dyDescent="0.25">
      <c r="A1074" s="1" t="s">
        <v>2012</v>
      </c>
      <c r="B1074" s="1" t="s">
        <v>4871</v>
      </c>
      <c r="C1074" s="1" t="s">
        <v>381</v>
      </c>
      <c r="D1074" s="1" t="str">
        <f ca="1">IFERROR(__xludf.DUMMYFUNCTION("GoogleTranslate(B1074,""ja"",""en"")"),"That")</f>
        <v>That</v>
      </c>
    </row>
    <row r="1075" spans="1:4" ht="15.75" customHeight="1" x14ac:dyDescent="0.25">
      <c r="A1075" s="1" t="s">
        <v>2013</v>
      </c>
      <c r="B1075" s="1" t="s">
        <v>4872</v>
      </c>
      <c r="C1075" s="1" t="s">
        <v>381</v>
      </c>
      <c r="D1075" s="1" t="str">
        <f ca="1">IFERROR(__xludf.DUMMYFUNCTION("GoogleTranslate(B1075,""ja"",""en"")"),"That")</f>
        <v>That</v>
      </c>
    </row>
    <row r="1076" spans="1:4" ht="15.75" customHeight="1" x14ac:dyDescent="0.25">
      <c r="A1076" s="1" t="s">
        <v>2014</v>
      </c>
      <c r="B1076" s="1" t="s">
        <v>4873</v>
      </c>
      <c r="C1076" s="1" t="s">
        <v>220</v>
      </c>
      <c r="D1076" s="1" t="str">
        <f ca="1">IFERROR(__xludf.DUMMYFUNCTION("GoogleTranslate(B1076,""ja"",""en"")"),"...")</f>
        <v>...</v>
      </c>
    </row>
    <row r="1077" spans="1:4" ht="15.75" customHeight="1" x14ac:dyDescent="0.25">
      <c r="A1077" s="1" t="s">
        <v>2015</v>
      </c>
      <c r="B1077" s="1" t="s">
        <v>4874</v>
      </c>
      <c r="C1077" s="1" t="s">
        <v>1996</v>
      </c>
      <c r="D1077" s="1" t="str">
        <f ca="1">IFERROR(__xludf.DUMMYFUNCTION("GoogleTranslate(B1077,""ja"",""en"")"),"Tut")</f>
        <v>Tut</v>
      </c>
    </row>
    <row r="1078" spans="1:4" ht="15.75" customHeight="1" x14ac:dyDescent="0.25">
      <c r="A1078" s="1" t="s">
        <v>2016</v>
      </c>
      <c r="B1078" s="1" t="s">
        <v>4875</v>
      </c>
      <c r="C1078" s="1" t="s">
        <v>2017</v>
      </c>
      <c r="D1078" s="1" t="str">
        <f ca="1">IFERROR(__xludf.DUMMYFUNCTION("GoogleTranslate(B1078,""ja"",""en"")"),"Hiroshi")</f>
        <v>Hiroshi</v>
      </c>
    </row>
    <row r="1079" spans="1:4" ht="15.75" customHeight="1" x14ac:dyDescent="0.25">
      <c r="A1079" s="1" t="s">
        <v>2018</v>
      </c>
      <c r="B1079" s="1" t="s">
        <v>4876</v>
      </c>
      <c r="C1079" s="1" t="s">
        <v>393</v>
      </c>
      <c r="D1079" s="1" t="str">
        <f ca="1">IFERROR(__xludf.DUMMYFUNCTION("GoogleTranslate(B1079,""ja"",""en"")"),"I")</f>
        <v>I</v>
      </c>
    </row>
    <row r="1080" spans="1:4" ht="15.75" customHeight="1" x14ac:dyDescent="0.25">
      <c r="A1080" s="1" t="s">
        <v>2019</v>
      </c>
      <c r="B1080" s="1" t="s">
        <v>2011</v>
      </c>
      <c r="C1080" s="1" t="s">
        <v>367</v>
      </c>
      <c r="D1080" s="1" t="str">
        <f ca="1">IFERROR(__xludf.DUMMYFUNCTION("GoogleTranslate(B1080,""ja"",""en"")"),"The filtrate")</f>
        <v>The filtrate</v>
      </c>
    </row>
    <row r="1081" spans="1:4" ht="15.75" customHeight="1" x14ac:dyDescent="0.25">
      <c r="A1081" s="1" t="s">
        <v>2020</v>
      </c>
      <c r="B1081" s="1" t="s">
        <v>4877</v>
      </c>
      <c r="C1081" s="1" t="s">
        <v>995</v>
      </c>
      <c r="D1081" s="1" t="str">
        <f ca="1">IFERROR(__xludf.DUMMYFUNCTION("GoogleTranslate(B1081,""ja"",""en"")"),"It was")</f>
        <v>It was</v>
      </c>
    </row>
    <row r="1082" spans="1:4" ht="15.75" customHeight="1" x14ac:dyDescent="0.25">
      <c r="A1082" s="1" t="s">
        <v>2021</v>
      </c>
      <c r="B1082" s="1" t="s">
        <v>4878</v>
      </c>
      <c r="C1082" s="1" t="s">
        <v>1982</v>
      </c>
      <c r="D1082" s="1" t="str">
        <f ca="1">IFERROR(__xludf.DUMMYFUNCTION("GoogleTranslate(B1082,""ja"",""en"")"),"§")</f>
        <v>§</v>
      </c>
    </row>
    <row r="1083" spans="1:4" ht="15.75" customHeight="1" x14ac:dyDescent="0.25">
      <c r="A1083" s="1" t="s">
        <v>2022</v>
      </c>
      <c r="B1083" s="1" t="s">
        <v>4879</v>
      </c>
      <c r="C1083" s="1" t="s">
        <v>216</v>
      </c>
      <c r="D1083" s="1" t="str">
        <f ca="1">IFERROR(__xludf.DUMMYFUNCTION("GoogleTranslate(B1083,""ja"",""en"")"),"?")</f>
        <v>?</v>
      </c>
    </row>
    <row r="1084" spans="1:4" ht="15.75" customHeight="1" x14ac:dyDescent="0.25">
      <c r="A1084" s="1" t="s">
        <v>2023</v>
      </c>
      <c r="B1084" s="1" t="s">
        <v>4880</v>
      </c>
      <c r="C1084" s="1" t="s">
        <v>1982</v>
      </c>
      <c r="D1084" s="1" t="str">
        <f ca="1">IFERROR(__xludf.DUMMYFUNCTION("GoogleTranslate(B1084,""ja"",""en"")"),"§")</f>
        <v>§</v>
      </c>
    </row>
    <row r="1085" spans="1:4" ht="15.75" customHeight="1" x14ac:dyDescent="0.25">
      <c r="A1085" s="1" t="s">
        <v>2024</v>
      </c>
      <c r="B1085" s="1" t="s">
        <v>4881</v>
      </c>
      <c r="C1085" s="1" t="s">
        <v>404</v>
      </c>
      <c r="D1085" s="1" t="str">
        <f ca="1">IFERROR(__xludf.DUMMYFUNCTION("GoogleTranslate(B1085,""ja"",""en"")"),"Ya")</f>
        <v>Ya</v>
      </c>
    </row>
    <row r="1086" spans="1:4" ht="15.75" customHeight="1" x14ac:dyDescent="0.25">
      <c r="A1086" s="1" t="s">
        <v>2025</v>
      </c>
      <c r="B1086" s="1" t="s">
        <v>4882</v>
      </c>
      <c r="C1086" s="1" t="s">
        <v>220</v>
      </c>
      <c r="D1086" s="1" t="str">
        <f ca="1">IFERROR(__xludf.DUMMYFUNCTION("GoogleTranslate(B1086,""ja"",""en"")"),"...")</f>
        <v>...</v>
      </c>
    </row>
    <row r="1087" spans="1:4" ht="15.75" customHeight="1" x14ac:dyDescent="0.25">
      <c r="A1087" s="1" t="s">
        <v>2026</v>
      </c>
      <c r="B1087" s="1" t="s">
        <v>4883</v>
      </c>
      <c r="C1087" s="1" t="s">
        <v>220</v>
      </c>
      <c r="D1087" s="1" t="str">
        <f ca="1">IFERROR(__xludf.DUMMYFUNCTION("GoogleTranslate(B1087,""ja"",""en"")"),"...")</f>
        <v>...</v>
      </c>
    </row>
    <row r="1088" spans="1:4" ht="15.75" customHeight="1" x14ac:dyDescent="0.25">
      <c r="A1088" s="1" t="s">
        <v>2027</v>
      </c>
      <c r="B1088" s="1" t="s">
        <v>2016</v>
      </c>
      <c r="C1088" s="1" t="s">
        <v>360</v>
      </c>
      <c r="D1088" s="1" t="str">
        <f ca="1">IFERROR(__xludf.DUMMYFUNCTION("GoogleTranslate(B1088,""ja"",""en"")"),"I")</f>
        <v>I</v>
      </c>
    </row>
    <row r="1089" spans="1:4" ht="15.75" customHeight="1" x14ac:dyDescent="0.25">
      <c r="A1089" s="1" t="s">
        <v>2028</v>
      </c>
      <c r="B1089" s="1" t="s">
        <v>4884</v>
      </c>
      <c r="C1089" s="1" t="s">
        <v>220</v>
      </c>
      <c r="D1089" s="1" t="str">
        <f ca="1">IFERROR(__xludf.DUMMYFUNCTION("GoogleTranslate(B1089,""ja"",""en"")"),"...")</f>
        <v>...</v>
      </c>
    </row>
    <row r="1090" spans="1:4" ht="15.75" customHeight="1" x14ac:dyDescent="0.25">
      <c r="A1090" s="1" t="s">
        <v>2029</v>
      </c>
      <c r="B1090" s="1" t="s">
        <v>2018</v>
      </c>
      <c r="C1090" s="1" t="s">
        <v>352</v>
      </c>
      <c r="D1090" s="1" t="str">
        <f ca="1">IFERROR(__xludf.DUMMYFUNCTION("GoogleTranslate(B1090,""ja"",""en"")"),"")</f>
        <v/>
      </c>
    </row>
    <row r="1091" spans="1:4" ht="15.75" customHeight="1" x14ac:dyDescent="0.25">
      <c r="A1091" s="1" t="s">
        <v>2030</v>
      </c>
      <c r="B1091" s="1" t="s">
        <v>4885</v>
      </c>
      <c r="C1091" s="1" t="s">
        <v>2001</v>
      </c>
      <c r="D1091" s="1" t="str">
        <f ca="1">IFERROR(__xludf.DUMMYFUNCTION("GoogleTranslate(B1091,""ja"",""en"")"),"")</f>
        <v/>
      </c>
    </row>
    <row r="1092" spans="1:4" ht="15.75" customHeight="1" x14ac:dyDescent="0.25">
      <c r="A1092" s="1" t="s">
        <v>2031</v>
      </c>
      <c r="B1092" s="1" t="s">
        <v>4886</v>
      </c>
      <c r="C1092" s="1" t="s">
        <v>2009</v>
      </c>
      <c r="D1092" s="1" t="str">
        <f ca="1">IFERROR(__xludf.DUMMYFUNCTION("GoogleTranslate(B1092,""ja"",""en"")"),"~")</f>
        <v>~</v>
      </c>
    </row>
    <row r="1093" spans="1:4" ht="15.75" customHeight="1" x14ac:dyDescent="0.25">
      <c r="A1093" s="1" t="s">
        <v>2032</v>
      </c>
      <c r="B1093" s="1" t="s">
        <v>4887</v>
      </c>
      <c r="C1093" s="1" t="s">
        <v>1986</v>
      </c>
      <c r="D1093" s="1" t="str">
        <f ca="1">IFERROR(__xludf.DUMMYFUNCTION("GoogleTranslate(B1093,""ja"",""en"")"),"!")</f>
        <v>!</v>
      </c>
    </row>
    <row r="1094" spans="1:4" ht="15.75" customHeight="1" x14ac:dyDescent="0.25">
      <c r="A1094" s="1" t="s">
        <v>2033</v>
      </c>
      <c r="B1094" s="1" t="s">
        <v>2022</v>
      </c>
      <c r="C1094" s="1" t="s">
        <v>216</v>
      </c>
      <c r="D1094" s="1" t="str">
        <f ca="1">IFERROR(__xludf.DUMMYFUNCTION("GoogleTranslate(B1094,""ja"",""en"")"),"?")</f>
        <v>?</v>
      </c>
    </row>
    <row r="1095" spans="1:4" ht="15.75" customHeight="1" x14ac:dyDescent="0.25">
      <c r="A1095" s="1" t="s">
        <v>2034</v>
      </c>
      <c r="B1095" s="1" t="s">
        <v>4888</v>
      </c>
      <c r="C1095" s="1" t="s">
        <v>220</v>
      </c>
      <c r="D1095" s="1" t="str">
        <f ca="1">IFERROR(__xludf.DUMMYFUNCTION("GoogleTranslate(B1095,""ja"",""en"")"),"...")</f>
        <v>...</v>
      </c>
    </row>
    <row r="1096" spans="1:4" ht="15.75" customHeight="1" x14ac:dyDescent="0.25">
      <c r="A1096" s="1" t="s">
        <v>2035</v>
      </c>
      <c r="B1096" s="1" t="s">
        <v>2024</v>
      </c>
      <c r="C1096" s="1" t="s">
        <v>339</v>
      </c>
      <c r="D1096" s="1" t="str">
        <f ca="1">IFERROR(__xludf.DUMMYFUNCTION("GoogleTranslate(B1096,""ja"",""en"")"),"so")</f>
        <v>so</v>
      </c>
    </row>
    <row r="1097" spans="1:4" ht="15.75" customHeight="1" x14ac:dyDescent="0.25">
      <c r="A1097" s="1" t="s">
        <v>2036</v>
      </c>
      <c r="B1097" s="1" t="s">
        <v>4889</v>
      </c>
      <c r="C1097" s="1" t="s">
        <v>1986</v>
      </c>
      <c r="D1097" s="1" t="str">
        <f ca="1">IFERROR(__xludf.DUMMYFUNCTION("GoogleTranslate(B1097,""ja"",""en"")"),"!")</f>
        <v>!</v>
      </c>
    </row>
    <row r="1098" spans="1:4" ht="15.75" customHeight="1" x14ac:dyDescent="0.25">
      <c r="A1098" s="1" t="s">
        <v>2037</v>
      </c>
      <c r="B1098" s="1" t="s">
        <v>4890</v>
      </c>
      <c r="C1098" s="1" t="s">
        <v>1414</v>
      </c>
      <c r="D1098" s="1" t="str">
        <f ca="1">IFERROR(__xludf.DUMMYFUNCTION("GoogleTranslate(B1098,""ja"",""en"")"),"e")</f>
        <v>e</v>
      </c>
    </row>
    <row r="1099" spans="1:4" ht="15.75" customHeight="1" x14ac:dyDescent="0.25">
      <c r="A1099" s="1" t="s">
        <v>2038</v>
      </c>
      <c r="B1099" s="1" t="s">
        <v>4891</v>
      </c>
      <c r="C1099" s="1" t="s">
        <v>220</v>
      </c>
      <c r="D1099" s="1" t="str">
        <f ca="1">IFERROR(__xludf.DUMMYFUNCTION("GoogleTranslate(B1099,""ja"",""en"")"),"...")</f>
        <v>...</v>
      </c>
    </row>
    <row r="1100" spans="1:4" ht="15.75" customHeight="1" x14ac:dyDescent="0.25">
      <c r="A1100" s="1" t="s">
        <v>2039</v>
      </c>
      <c r="B1100" s="1" t="s">
        <v>4892</v>
      </c>
      <c r="C1100" s="1" t="s">
        <v>393</v>
      </c>
      <c r="D1100" s="1" t="str">
        <f ca="1">IFERROR(__xludf.DUMMYFUNCTION("GoogleTranslate(B1100,""ja"",""en"")"),"I")</f>
        <v>I</v>
      </c>
    </row>
    <row r="1101" spans="1:4" ht="15.75" customHeight="1" x14ac:dyDescent="0.25">
      <c r="A1101" s="1" t="s">
        <v>2040</v>
      </c>
      <c r="B1101" s="1" t="s">
        <v>4893</v>
      </c>
      <c r="C1101" s="1" t="s">
        <v>220</v>
      </c>
      <c r="D1101" s="1" t="str">
        <f ca="1">IFERROR(__xludf.DUMMYFUNCTION("GoogleTranslate(B1101,""ja"",""en"")"),"...")</f>
        <v>...</v>
      </c>
    </row>
    <row r="1102" spans="1:4" ht="15.75" customHeight="1" x14ac:dyDescent="0.25">
      <c r="A1102" s="1" t="s">
        <v>2041</v>
      </c>
      <c r="B1102" s="1" t="s">
        <v>4894</v>
      </c>
      <c r="C1102" s="1" t="s">
        <v>386</v>
      </c>
      <c r="D1102" s="1" t="str">
        <f ca="1">IFERROR(__xludf.DUMMYFUNCTION("GoogleTranslate(B1102,""ja"",""en"")"),"Or")</f>
        <v>Or</v>
      </c>
    </row>
    <row r="1103" spans="1:4" ht="15.75" customHeight="1" x14ac:dyDescent="0.25">
      <c r="A1103" s="1" t="s">
        <v>2042</v>
      </c>
      <c r="B1103" s="1" t="s">
        <v>4895</v>
      </c>
      <c r="C1103" s="1" t="s">
        <v>404</v>
      </c>
      <c r="D1103" s="1" t="str">
        <f ca="1">IFERROR(__xludf.DUMMYFUNCTION("GoogleTranslate(B1103,""ja"",""en"")"),"Ya")</f>
        <v>Ya</v>
      </c>
    </row>
    <row r="1104" spans="1:4" ht="15.75" customHeight="1" x14ac:dyDescent="0.25">
      <c r="A1104" s="1" t="s">
        <v>2043</v>
      </c>
      <c r="B1104" s="1" t="s">
        <v>2033</v>
      </c>
      <c r="C1104" s="1" t="s">
        <v>2001</v>
      </c>
      <c r="D1104" s="1" t="str">
        <f ca="1">IFERROR(__xludf.DUMMYFUNCTION("GoogleTranslate(B1104,""ja"",""en"")"),"")</f>
        <v/>
      </c>
    </row>
    <row r="1105" spans="1:4" ht="15.75" customHeight="1" x14ac:dyDescent="0.25">
      <c r="A1105" s="1" t="s">
        <v>2044</v>
      </c>
      <c r="B1105" s="1" t="s">
        <v>4896</v>
      </c>
      <c r="C1105" s="1" t="s">
        <v>1986</v>
      </c>
      <c r="D1105" s="1" t="str">
        <f ca="1">IFERROR(__xludf.DUMMYFUNCTION("GoogleTranslate(B1105,""ja"",""en"")"),"!")</f>
        <v>!</v>
      </c>
    </row>
    <row r="1106" spans="1:4" ht="15.75" customHeight="1" x14ac:dyDescent="0.25">
      <c r="A1106" s="1" t="s">
        <v>2045</v>
      </c>
      <c r="B1106" s="1" t="s">
        <v>4897</v>
      </c>
      <c r="C1106" s="1" t="s">
        <v>216</v>
      </c>
      <c r="D1106" s="1" t="str">
        <f ca="1">IFERROR(__xludf.DUMMYFUNCTION("GoogleTranslate(B1106,""ja"",""en"")"),"?")</f>
        <v>?</v>
      </c>
    </row>
    <row r="1107" spans="1:4" ht="15.75" customHeight="1" x14ac:dyDescent="0.25">
      <c r="A1107" s="1" t="s">
        <v>2046</v>
      </c>
      <c r="B1107" s="1" t="s">
        <v>2036</v>
      </c>
      <c r="C1107" s="1" t="s">
        <v>2009</v>
      </c>
      <c r="D1107" s="1" t="str">
        <f ca="1">IFERROR(__xludf.DUMMYFUNCTION("GoogleTranslate(B1107,""ja"",""en"")"),"~")</f>
        <v>~</v>
      </c>
    </row>
    <row r="1108" spans="1:4" ht="15.75" customHeight="1" x14ac:dyDescent="0.25">
      <c r="A1108" s="1" t="s">
        <v>2047</v>
      </c>
      <c r="B1108" s="1" t="s">
        <v>4898</v>
      </c>
      <c r="C1108" s="1" t="s">
        <v>216</v>
      </c>
      <c r="D1108" s="1" t="str">
        <f ca="1">IFERROR(__xludf.DUMMYFUNCTION("GoogleTranslate(B1108,""ja"",""en"")"),"?")</f>
        <v>?</v>
      </c>
    </row>
    <row r="1109" spans="1:4" ht="15.75" customHeight="1" x14ac:dyDescent="0.25">
      <c r="A1109" s="1" t="s">
        <v>2048</v>
      </c>
      <c r="B1109" s="1" t="s">
        <v>2038</v>
      </c>
      <c r="C1109" s="1" t="s">
        <v>362</v>
      </c>
      <c r="D1109" s="1" t="str">
        <f ca="1">IFERROR(__xludf.DUMMYFUNCTION("GoogleTranslate(B1109,""ja"",""en"")"),"Hmm")</f>
        <v>Hmm</v>
      </c>
    </row>
    <row r="1110" spans="1:4" ht="15.75" customHeight="1" x14ac:dyDescent="0.25">
      <c r="A1110" s="1" t="s">
        <v>2049</v>
      </c>
      <c r="B1110" s="1" t="s">
        <v>4899</v>
      </c>
      <c r="C1110" s="1" t="s">
        <v>388</v>
      </c>
      <c r="D1110" s="1" t="str">
        <f ca="1">IFERROR(__xludf.DUMMYFUNCTION("GoogleTranslate(B1110,""ja"",""en"")"),"But")</f>
        <v>But</v>
      </c>
    </row>
    <row r="1111" spans="1:4" ht="15.75" customHeight="1" x14ac:dyDescent="0.25">
      <c r="A1111" s="1" t="s">
        <v>2050</v>
      </c>
      <c r="B1111" s="1" t="s">
        <v>4900</v>
      </c>
      <c r="C1111" s="1" t="s">
        <v>362</v>
      </c>
      <c r="D1111" s="1" t="str">
        <f ca="1">IFERROR(__xludf.DUMMYFUNCTION("GoogleTranslate(B1111,""ja"",""en"")"),"Hmm")</f>
        <v>Hmm</v>
      </c>
    </row>
    <row r="1112" spans="1:4" ht="15.75" customHeight="1" x14ac:dyDescent="0.25">
      <c r="A1112" s="1" t="s">
        <v>2051</v>
      </c>
      <c r="B1112" s="1" t="s">
        <v>2039</v>
      </c>
      <c r="C1112" s="1" t="s">
        <v>386</v>
      </c>
      <c r="D1112" s="1" t="str">
        <f ca="1">IFERROR(__xludf.DUMMYFUNCTION("GoogleTranslate(B1112,""ja"",""en"")"),"Or")</f>
        <v>Or</v>
      </c>
    </row>
    <row r="1113" spans="1:4" ht="15.75" customHeight="1" x14ac:dyDescent="0.25">
      <c r="A1113" s="1" t="s">
        <v>2052</v>
      </c>
      <c r="B1113" s="1" t="s">
        <v>2041</v>
      </c>
      <c r="C1113" s="1" t="s">
        <v>220</v>
      </c>
      <c r="D1113" s="1" t="str">
        <f ca="1">IFERROR(__xludf.DUMMYFUNCTION("GoogleTranslate(B1113,""ja"",""en"")"),"...")</f>
        <v>...</v>
      </c>
    </row>
    <row r="1114" spans="1:4" ht="15.75" customHeight="1" x14ac:dyDescent="0.25">
      <c r="A1114" s="1" t="s">
        <v>2053</v>
      </c>
      <c r="B1114" s="1" t="s">
        <v>4901</v>
      </c>
      <c r="C1114" s="1" t="s">
        <v>220</v>
      </c>
      <c r="D1114" s="1" t="str">
        <f ca="1">IFERROR(__xludf.DUMMYFUNCTION("GoogleTranslate(B1114,""ja"",""en"")"),"...")</f>
        <v>...</v>
      </c>
    </row>
    <row r="1115" spans="1:4" ht="15.75" customHeight="1" x14ac:dyDescent="0.25">
      <c r="A1115" s="1" t="s">
        <v>2054</v>
      </c>
      <c r="B1115" s="1" t="s">
        <v>4902</v>
      </c>
      <c r="C1115" s="1" t="s">
        <v>339</v>
      </c>
      <c r="D1115" s="1" t="str">
        <f ca="1">IFERROR(__xludf.DUMMYFUNCTION("GoogleTranslate(B1115,""ja"",""en"")"),"so")</f>
        <v>so</v>
      </c>
    </row>
    <row r="1116" spans="1:4" ht="15.75" customHeight="1" x14ac:dyDescent="0.25">
      <c r="A1116" s="1" t="s">
        <v>2055</v>
      </c>
      <c r="B1116" s="1" t="s">
        <v>2046</v>
      </c>
      <c r="C1116" s="1" t="s">
        <v>1986</v>
      </c>
      <c r="D1116" s="1" t="str">
        <f ca="1">IFERROR(__xludf.DUMMYFUNCTION("GoogleTranslate(B1116,""ja"",""en"")"),"!")</f>
        <v>!</v>
      </c>
    </row>
    <row r="1117" spans="1:4" ht="15.75" customHeight="1" x14ac:dyDescent="0.25">
      <c r="A1117" s="1" t="s">
        <v>2056</v>
      </c>
      <c r="B1117" s="1" t="s">
        <v>4903</v>
      </c>
      <c r="C1117" s="1" t="s">
        <v>220</v>
      </c>
      <c r="D1117" s="1" t="str">
        <f ca="1">IFERROR(__xludf.DUMMYFUNCTION("GoogleTranslate(B1117,""ja"",""en"")"),"...")</f>
        <v>...</v>
      </c>
    </row>
    <row r="1118" spans="1:4" ht="15.75" customHeight="1" x14ac:dyDescent="0.25">
      <c r="A1118" s="1" t="s">
        <v>2057</v>
      </c>
      <c r="B1118" s="1" t="s">
        <v>4904</v>
      </c>
      <c r="C1118" s="1" t="s">
        <v>354</v>
      </c>
      <c r="D1118" s="1" t="str">
        <f ca="1">IFERROR(__xludf.DUMMYFUNCTION("GoogleTranslate(B1118,""ja"",""en"")"),"Have")</f>
        <v>Have</v>
      </c>
    </row>
    <row r="1119" spans="1:4" ht="15.75" customHeight="1" x14ac:dyDescent="0.25">
      <c r="A1119" s="1" t="s">
        <v>2058</v>
      </c>
      <c r="B1119" s="1" t="s">
        <v>4905</v>
      </c>
      <c r="C1119" s="1" t="s">
        <v>393</v>
      </c>
      <c r="D1119" s="1" t="str">
        <f ca="1">IFERROR(__xludf.DUMMYFUNCTION("GoogleTranslate(B1119,""ja"",""en"")"),"I")</f>
        <v>I</v>
      </c>
    </row>
    <row r="1120" spans="1:4" ht="15.75" customHeight="1" x14ac:dyDescent="0.25">
      <c r="A1120" s="1" t="s">
        <v>2059</v>
      </c>
      <c r="B1120" s="1" t="s">
        <v>4906</v>
      </c>
      <c r="C1120" s="1" t="s">
        <v>220</v>
      </c>
      <c r="D1120" s="1" t="str">
        <f ca="1">IFERROR(__xludf.DUMMYFUNCTION("GoogleTranslate(B1120,""ja"",""en"")"),"...")</f>
        <v>...</v>
      </c>
    </row>
    <row r="1121" spans="1:4" ht="15.75" customHeight="1" x14ac:dyDescent="0.25">
      <c r="A1121" s="1" t="s">
        <v>2060</v>
      </c>
      <c r="B1121" s="1" t="s">
        <v>4907</v>
      </c>
      <c r="C1121" s="1" t="s">
        <v>381</v>
      </c>
      <c r="D1121" s="1" t="str">
        <f ca="1">IFERROR(__xludf.DUMMYFUNCTION("GoogleTranslate(B1121,""ja"",""en"")"),"That")</f>
        <v>That</v>
      </c>
    </row>
    <row r="1122" spans="1:4" ht="15.75" customHeight="1" x14ac:dyDescent="0.25">
      <c r="A1122" s="1" t="s">
        <v>2061</v>
      </c>
      <c r="B1122" s="1" t="s">
        <v>4908</v>
      </c>
      <c r="C1122" s="1" t="s">
        <v>354</v>
      </c>
      <c r="D1122" s="1" t="str">
        <f ca="1">IFERROR(__xludf.DUMMYFUNCTION("GoogleTranslate(B1122,""ja"",""en"")"),"Have")</f>
        <v>Have</v>
      </c>
    </row>
    <row r="1123" spans="1:4" ht="15.75" customHeight="1" x14ac:dyDescent="0.25">
      <c r="A1123" s="1" t="s">
        <v>2062</v>
      </c>
      <c r="B1123" s="1" t="s">
        <v>4909</v>
      </c>
      <c r="C1123" s="1" t="s">
        <v>1986</v>
      </c>
      <c r="D1123" s="1" t="str">
        <f ca="1">IFERROR(__xludf.DUMMYFUNCTION("GoogleTranslate(B1123,""ja"",""en"")"),"!")</f>
        <v>!</v>
      </c>
    </row>
    <row r="1124" spans="1:4" ht="15.75" customHeight="1" x14ac:dyDescent="0.25">
      <c r="A1124" s="1" t="s">
        <v>2063</v>
      </c>
      <c r="B1124" s="1" t="s">
        <v>4910</v>
      </c>
      <c r="C1124" s="1" t="s">
        <v>1982</v>
      </c>
      <c r="D1124" s="1" t="str">
        <f ca="1">IFERROR(__xludf.DUMMYFUNCTION("GoogleTranslate(B1124,""ja"",""en"")"),"§")</f>
        <v>§</v>
      </c>
    </row>
    <row r="1125" spans="1:4" ht="15.75" customHeight="1" x14ac:dyDescent="0.25">
      <c r="A1125" s="1" t="s">
        <v>2064</v>
      </c>
      <c r="B1125" s="1" t="s">
        <v>4911</v>
      </c>
      <c r="C1125" s="1" t="s">
        <v>1982</v>
      </c>
      <c r="D1125" s="1" t="str">
        <f ca="1">IFERROR(__xludf.DUMMYFUNCTION("GoogleTranslate(B1125,""ja"",""en"")"),"§")</f>
        <v>§</v>
      </c>
    </row>
    <row r="1126" spans="1:4" ht="15.75" customHeight="1" x14ac:dyDescent="0.25">
      <c r="A1126" s="1" t="s">
        <v>2065</v>
      </c>
      <c r="B1126" s="1" t="s">
        <v>4912</v>
      </c>
      <c r="C1126" s="1" t="s">
        <v>2066</v>
      </c>
      <c r="D1126" s="1" t="str">
        <f ca="1">IFERROR(__xludf.DUMMYFUNCTION("GoogleTranslate(B1126,""ja"",""en"")"),"Yo")</f>
        <v>Yo</v>
      </c>
    </row>
    <row r="1127" spans="1:4" ht="15.75" customHeight="1" x14ac:dyDescent="0.25">
      <c r="A1127" s="1" t="s">
        <v>2067</v>
      </c>
      <c r="B1127" s="1" t="s">
        <v>4913</v>
      </c>
      <c r="C1127" s="1" t="s">
        <v>1986</v>
      </c>
      <c r="D1127" s="1" t="str">
        <f ca="1">IFERROR(__xludf.DUMMYFUNCTION("GoogleTranslate(B1127,""ja"",""en"")"),"!")</f>
        <v>!</v>
      </c>
    </row>
    <row r="1128" spans="1:4" ht="15.75" customHeight="1" x14ac:dyDescent="0.25">
      <c r="A1128" s="1" t="s">
        <v>2068</v>
      </c>
      <c r="B1128" s="1" t="s">
        <v>4914</v>
      </c>
      <c r="C1128" s="1" t="s">
        <v>2001</v>
      </c>
      <c r="D1128" s="1" t="str">
        <f ca="1">IFERROR(__xludf.DUMMYFUNCTION("GoogleTranslate(B1128,""ja"",""en"")"),"")</f>
        <v/>
      </c>
    </row>
    <row r="1129" spans="1:4" ht="15.75" customHeight="1" x14ac:dyDescent="0.25">
      <c r="A1129" s="1" t="s">
        <v>2069</v>
      </c>
      <c r="B1129" s="1" t="s">
        <v>4915</v>
      </c>
      <c r="C1129" s="1" t="s">
        <v>220</v>
      </c>
      <c r="D1129" s="1" t="str">
        <f ca="1">IFERROR(__xludf.DUMMYFUNCTION("GoogleTranslate(B1129,""ja"",""en"")"),"...")</f>
        <v>...</v>
      </c>
    </row>
    <row r="1130" spans="1:4" ht="15.75" customHeight="1" x14ac:dyDescent="0.25">
      <c r="A1130" s="1" t="s">
        <v>2070</v>
      </c>
      <c r="B1130" s="1" t="s">
        <v>4916</v>
      </c>
      <c r="C1130" s="1" t="s">
        <v>1986</v>
      </c>
      <c r="D1130" s="1" t="str">
        <f ca="1">IFERROR(__xludf.DUMMYFUNCTION("GoogleTranslate(B1130,""ja"",""en"")"),"!")</f>
        <v>!</v>
      </c>
    </row>
    <row r="1131" spans="1:4" ht="15.75" customHeight="1" x14ac:dyDescent="0.25">
      <c r="A1131" s="1" t="s">
        <v>2071</v>
      </c>
      <c r="B1131" s="1" t="s">
        <v>4917</v>
      </c>
      <c r="C1131" s="1" t="s">
        <v>1459</v>
      </c>
      <c r="D1131" s="1" t="str">
        <f ca="1">IFERROR(__xludf.DUMMYFUNCTION("GoogleTranslate(B1131,""ja"",""en"")"),"Cormorant")</f>
        <v>Cormorant</v>
      </c>
    </row>
    <row r="1132" spans="1:4" ht="15.75" customHeight="1" x14ac:dyDescent="0.25">
      <c r="A1132" s="1" t="s">
        <v>2072</v>
      </c>
      <c r="B1132" s="1" t="s">
        <v>4918</v>
      </c>
      <c r="C1132" s="1" t="s">
        <v>381</v>
      </c>
      <c r="D1132" s="1" t="str">
        <f ca="1">IFERROR(__xludf.DUMMYFUNCTION("GoogleTranslate(B1132,""ja"",""en"")"),"That")</f>
        <v>That</v>
      </c>
    </row>
    <row r="1133" spans="1:4" ht="15.75" customHeight="1" x14ac:dyDescent="0.25">
      <c r="A1133" s="1" t="s">
        <v>2073</v>
      </c>
      <c r="B1133" s="1" t="s">
        <v>4919</v>
      </c>
      <c r="C1133" s="1" t="s">
        <v>216</v>
      </c>
      <c r="D1133" s="1" t="str">
        <f ca="1">IFERROR(__xludf.DUMMYFUNCTION("GoogleTranslate(B1133,""ja"",""en"")"),"?")</f>
        <v>?</v>
      </c>
    </row>
    <row r="1134" spans="1:4" ht="15.75" customHeight="1" x14ac:dyDescent="0.25">
      <c r="A1134" s="1" t="s">
        <v>2074</v>
      </c>
      <c r="B1134" s="1" t="s">
        <v>2064</v>
      </c>
      <c r="C1134" s="1" t="s">
        <v>2075</v>
      </c>
      <c r="D1134" s="1" t="str">
        <f ca="1">IFERROR(__xludf.DUMMYFUNCTION("GoogleTranslate(B1134,""ja"",""en"")"),"negative")</f>
        <v>negative</v>
      </c>
    </row>
    <row r="1135" spans="1:4" ht="15.75" customHeight="1" x14ac:dyDescent="0.25">
      <c r="A1135" s="1" t="s">
        <v>2076</v>
      </c>
      <c r="B1135" s="1" t="s">
        <v>2065</v>
      </c>
      <c r="C1135" s="1" t="s">
        <v>381</v>
      </c>
      <c r="D1135" s="1" t="str">
        <f ca="1">IFERROR(__xludf.DUMMYFUNCTION("GoogleTranslate(B1135,""ja"",""en"")"),"That")</f>
        <v>That</v>
      </c>
    </row>
    <row r="1136" spans="1:4" ht="15.75" customHeight="1" x14ac:dyDescent="0.25">
      <c r="A1136" s="1" t="s">
        <v>2077</v>
      </c>
      <c r="B1136" s="1" t="s">
        <v>2067</v>
      </c>
      <c r="C1136" s="1" t="s">
        <v>381</v>
      </c>
      <c r="D1136" s="1" t="str">
        <f ca="1">IFERROR(__xludf.DUMMYFUNCTION("GoogleTranslate(B1136,""ja"",""en"")"),"That")</f>
        <v>That</v>
      </c>
    </row>
    <row r="1137" spans="1:4" ht="15.75" customHeight="1" x14ac:dyDescent="0.25">
      <c r="A1137" s="1" t="s">
        <v>2078</v>
      </c>
      <c r="B1137" s="1" t="s">
        <v>4920</v>
      </c>
      <c r="C1137" s="1" t="s">
        <v>393</v>
      </c>
      <c r="D1137" s="1" t="str">
        <f ca="1">IFERROR(__xludf.DUMMYFUNCTION("GoogleTranslate(B1137,""ja"",""en"")"),"I")</f>
        <v>I</v>
      </c>
    </row>
    <row r="1138" spans="1:4" ht="15.75" customHeight="1" x14ac:dyDescent="0.25">
      <c r="A1138" s="1" t="s">
        <v>2079</v>
      </c>
      <c r="B1138" s="1" t="s">
        <v>2070</v>
      </c>
      <c r="C1138" s="1" t="s">
        <v>220</v>
      </c>
      <c r="D1138" s="1" t="str">
        <f ca="1">IFERROR(__xludf.DUMMYFUNCTION("GoogleTranslate(B1138,""ja"",""en"")"),"...")</f>
        <v>...</v>
      </c>
    </row>
    <row r="1139" spans="1:4" ht="15.75" customHeight="1" x14ac:dyDescent="0.25">
      <c r="A1139" s="1" t="s">
        <v>2080</v>
      </c>
      <c r="B1139" s="1" t="s">
        <v>4921</v>
      </c>
      <c r="C1139" s="1" t="s">
        <v>220</v>
      </c>
      <c r="D1139" s="1" t="str">
        <f ca="1">IFERROR(__xludf.DUMMYFUNCTION("GoogleTranslate(B1139,""ja"",""en"")"),"...")</f>
        <v>...</v>
      </c>
    </row>
    <row r="1140" spans="1:4" ht="15.75" customHeight="1" x14ac:dyDescent="0.25">
      <c r="A1140" s="1" t="s">
        <v>2081</v>
      </c>
      <c r="B1140" s="1" t="s">
        <v>4922</v>
      </c>
      <c r="C1140" s="1" t="s">
        <v>2082</v>
      </c>
      <c r="D1140" s="1" t="str">
        <f ca="1">IFERROR(__xludf.DUMMYFUNCTION("GoogleTranslate(B1140,""ja"",""en"")"),"I")</f>
        <v>I</v>
      </c>
    </row>
    <row r="1141" spans="1:4" ht="15.75" customHeight="1" x14ac:dyDescent="0.25">
      <c r="A1141" s="1" t="s">
        <v>2083</v>
      </c>
      <c r="B1141" s="1" t="s">
        <v>4923</v>
      </c>
      <c r="C1141" s="1" t="s">
        <v>220</v>
      </c>
      <c r="D1141" s="1" t="str">
        <f ca="1">IFERROR(__xludf.DUMMYFUNCTION("GoogleTranslate(B1141,""ja"",""en"")"),"...")</f>
        <v>...</v>
      </c>
    </row>
    <row r="1142" spans="1:4" ht="15.75" customHeight="1" x14ac:dyDescent="0.25">
      <c r="A1142" s="1" t="s">
        <v>2084</v>
      </c>
      <c r="B1142" s="1" t="s">
        <v>4924</v>
      </c>
      <c r="C1142" s="1" t="s">
        <v>386</v>
      </c>
      <c r="D1142" s="1" t="str">
        <f ca="1">IFERROR(__xludf.DUMMYFUNCTION("GoogleTranslate(B1142,""ja"",""en"")"),"Or")</f>
        <v>Or</v>
      </c>
    </row>
    <row r="1143" spans="1:4" ht="15.75" customHeight="1" x14ac:dyDescent="0.25">
      <c r="A1143" s="1" t="s">
        <v>2085</v>
      </c>
      <c r="B1143" s="1" t="s">
        <v>4925</v>
      </c>
      <c r="C1143" s="1" t="s">
        <v>216</v>
      </c>
      <c r="D1143" s="1" t="str">
        <f ca="1">IFERROR(__xludf.DUMMYFUNCTION("GoogleTranslate(B1143,""ja"",""en"")"),"?")</f>
        <v>?</v>
      </c>
    </row>
    <row r="1144" spans="1:4" ht="15.75" customHeight="1" x14ac:dyDescent="0.25">
      <c r="A1144" s="1" t="s">
        <v>2086</v>
      </c>
      <c r="B1144" s="1" t="s">
        <v>4926</v>
      </c>
      <c r="C1144" s="1" t="s">
        <v>1986</v>
      </c>
      <c r="D1144" s="1" t="str">
        <f ca="1">IFERROR(__xludf.DUMMYFUNCTION("GoogleTranslate(B1144,""ja"",""en"")"),"!")</f>
        <v>!</v>
      </c>
    </row>
    <row r="1145" spans="1:4" ht="15.75" customHeight="1" x14ac:dyDescent="0.25">
      <c r="A1145" s="1" t="s">
        <v>2087</v>
      </c>
      <c r="B1145" s="1" t="s">
        <v>2072</v>
      </c>
      <c r="C1145" s="1" t="s">
        <v>393</v>
      </c>
      <c r="D1145" s="1" t="str">
        <f ca="1">IFERROR(__xludf.DUMMYFUNCTION("GoogleTranslate(B1145,""ja"",""en"")"),"I")</f>
        <v>I</v>
      </c>
    </row>
    <row r="1146" spans="1:4" ht="15.75" customHeight="1" x14ac:dyDescent="0.25">
      <c r="A1146" s="1" t="s">
        <v>2088</v>
      </c>
      <c r="B1146" s="1" t="s">
        <v>4927</v>
      </c>
      <c r="C1146" s="1" t="s">
        <v>1986</v>
      </c>
      <c r="D1146" s="1" t="str">
        <f ca="1">IFERROR(__xludf.DUMMYFUNCTION("GoogleTranslate(B1146,""ja"",""en"")"),"!")</f>
        <v>!</v>
      </c>
    </row>
    <row r="1147" spans="1:4" ht="15.75" customHeight="1" x14ac:dyDescent="0.25">
      <c r="A1147" s="1" t="s">
        <v>2089</v>
      </c>
      <c r="B1147" s="1" t="s">
        <v>2077</v>
      </c>
      <c r="C1147" s="1" t="s">
        <v>1982</v>
      </c>
      <c r="D1147" s="1" t="str">
        <f ca="1">IFERROR(__xludf.DUMMYFUNCTION("GoogleTranslate(B1147,""ja"",""en"")"),"§")</f>
        <v>§</v>
      </c>
    </row>
    <row r="1148" spans="1:4" ht="15.75" customHeight="1" x14ac:dyDescent="0.25">
      <c r="A1148" s="1" t="s">
        <v>2090</v>
      </c>
      <c r="B1148" s="1" t="s">
        <v>4928</v>
      </c>
      <c r="C1148" s="1" t="s">
        <v>2001</v>
      </c>
      <c r="D1148" s="1" t="str">
        <f ca="1">IFERROR(__xludf.DUMMYFUNCTION("GoogleTranslate(B1148,""ja"",""en"")"),"")</f>
        <v/>
      </c>
    </row>
    <row r="1149" spans="1:4" ht="15.75" customHeight="1" x14ac:dyDescent="0.25">
      <c r="A1149" s="1" t="s">
        <v>2091</v>
      </c>
      <c r="B1149" s="1" t="s">
        <v>4929</v>
      </c>
      <c r="C1149" s="1" t="s">
        <v>395</v>
      </c>
      <c r="D1149" s="1" t="str">
        <f ca="1">IFERROR(__xludf.DUMMYFUNCTION("GoogleTranslate(B1149,""ja"",""en"")"),"To")</f>
        <v>To</v>
      </c>
    </row>
    <row r="1150" spans="1:4" ht="15.75" customHeight="1" x14ac:dyDescent="0.25">
      <c r="A1150" s="1" t="s">
        <v>2092</v>
      </c>
      <c r="B1150" s="1" t="s">
        <v>4930</v>
      </c>
      <c r="C1150" s="1" t="s">
        <v>348</v>
      </c>
      <c r="D1150" s="1" t="str">
        <f ca="1">IFERROR(__xludf.DUMMYFUNCTION("GoogleTranslate(B1150,""ja"",""en"")"),"hand")</f>
        <v>hand</v>
      </c>
    </row>
    <row r="1151" spans="1:4" ht="15.75" customHeight="1" x14ac:dyDescent="0.25">
      <c r="A1151" s="1" t="s">
        <v>2093</v>
      </c>
      <c r="B1151" s="1" t="s">
        <v>4931</v>
      </c>
      <c r="C1151" s="1" t="s">
        <v>2001</v>
      </c>
      <c r="D1151" s="1" t="str">
        <f ca="1">IFERROR(__xludf.DUMMYFUNCTION("GoogleTranslate(B1151,""ja"",""en"")"),"")</f>
        <v/>
      </c>
    </row>
    <row r="1152" spans="1:4" ht="15.75" customHeight="1" x14ac:dyDescent="0.25">
      <c r="A1152" s="1" t="s">
        <v>2094</v>
      </c>
      <c r="B1152" s="1" t="s">
        <v>4932</v>
      </c>
      <c r="C1152" s="1" t="s">
        <v>362</v>
      </c>
      <c r="D1152" s="1" t="str">
        <f ca="1">IFERROR(__xludf.DUMMYFUNCTION("GoogleTranslate(B1152,""ja"",""en"")"),"Hmm")</f>
        <v>Hmm</v>
      </c>
    </row>
    <row r="1153" spans="1:4" ht="15.75" customHeight="1" x14ac:dyDescent="0.25">
      <c r="A1153" s="1" t="s">
        <v>2095</v>
      </c>
      <c r="B1153" s="1" t="s">
        <v>2079</v>
      </c>
      <c r="C1153" s="1" t="s">
        <v>404</v>
      </c>
      <c r="D1153" s="1" t="str">
        <f ca="1">IFERROR(__xludf.DUMMYFUNCTION("GoogleTranslate(B1153,""ja"",""en"")"),"Ya")</f>
        <v>Ya</v>
      </c>
    </row>
    <row r="1154" spans="1:4" ht="15.75" customHeight="1" x14ac:dyDescent="0.25">
      <c r="A1154" s="1" t="s">
        <v>2096</v>
      </c>
      <c r="B1154" s="1" t="s">
        <v>2080</v>
      </c>
      <c r="C1154" s="1" t="s">
        <v>2001</v>
      </c>
      <c r="D1154" s="1" t="str">
        <f ca="1">IFERROR(__xludf.DUMMYFUNCTION("GoogleTranslate(B1154,""ja"",""en"")"),"")</f>
        <v/>
      </c>
    </row>
    <row r="1155" spans="1:4" ht="15.75" customHeight="1" x14ac:dyDescent="0.25">
      <c r="A1155" s="1" t="s">
        <v>2097</v>
      </c>
      <c r="B1155" s="1" t="s">
        <v>4933</v>
      </c>
      <c r="C1155" s="1" t="s">
        <v>220</v>
      </c>
      <c r="D1155" s="1" t="str">
        <f ca="1">IFERROR(__xludf.DUMMYFUNCTION("GoogleTranslate(B1155,""ja"",""en"")"),"...")</f>
        <v>...</v>
      </c>
    </row>
    <row r="1156" spans="1:4" ht="15.75" customHeight="1" x14ac:dyDescent="0.25">
      <c r="A1156" s="1" t="s">
        <v>2098</v>
      </c>
      <c r="B1156" s="1" t="s">
        <v>2081</v>
      </c>
      <c r="C1156" s="1" t="s">
        <v>1986</v>
      </c>
      <c r="D1156" s="1" t="str">
        <f ca="1">IFERROR(__xludf.DUMMYFUNCTION("GoogleTranslate(B1156,""ja"",""en"")"),"!")</f>
        <v>!</v>
      </c>
    </row>
    <row r="1157" spans="1:4" ht="15.75" customHeight="1" x14ac:dyDescent="0.25">
      <c r="A1157" s="1" t="s">
        <v>2099</v>
      </c>
      <c r="B1157" s="1" t="s">
        <v>4934</v>
      </c>
      <c r="C1157" s="1" t="s">
        <v>2001</v>
      </c>
      <c r="D1157" s="1" t="str">
        <f ca="1">IFERROR(__xludf.DUMMYFUNCTION("GoogleTranslate(B1157,""ja"",""en"")"),"")</f>
        <v/>
      </c>
    </row>
    <row r="1158" spans="1:4" ht="15.75" customHeight="1" x14ac:dyDescent="0.25">
      <c r="A1158" s="1" t="s">
        <v>2100</v>
      </c>
      <c r="B1158" s="1" t="s">
        <v>4935</v>
      </c>
      <c r="C1158" s="1" t="s">
        <v>1986</v>
      </c>
      <c r="D1158" s="1" t="str">
        <f ca="1">IFERROR(__xludf.DUMMYFUNCTION("GoogleTranslate(B1158,""ja"",""en"")"),"!")</f>
        <v>!</v>
      </c>
    </row>
    <row r="1159" spans="1:4" ht="15.75" customHeight="1" x14ac:dyDescent="0.25">
      <c r="A1159" s="1" t="s">
        <v>2101</v>
      </c>
      <c r="B1159" s="1" t="s">
        <v>4936</v>
      </c>
      <c r="C1159" s="1" t="s">
        <v>1986</v>
      </c>
      <c r="D1159" s="1" t="str">
        <f ca="1">IFERROR(__xludf.DUMMYFUNCTION("GoogleTranslate(B1159,""ja"",""en"")"),"!")</f>
        <v>!</v>
      </c>
    </row>
    <row r="1160" spans="1:4" ht="15.75" customHeight="1" x14ac:dyDescent="0.25">
      <c r="A1160" s="1" t="s">
        <v>2102</v>
      </c>
      <c r="B1160" s="1" t="s">
        <v>2090</v>
      </c>
      <c r="C1160" s="1" t="s">
        <v>220</v>
      </c>
      <c r="D1160" s="1" t="str">
        <f ca="1">IFERROR(__xludf.DUMMYFUNCTION("GoogleTranslate(B1160,""ja"",""en"")"),"...")</f>
        <v>...</v>
      </c>
    </row>
    <row r="1161" spans="1:4" ht="15.75" customHeight="1" x14ac:dyDescent="0.25">
      <c r="A1161" s="1" t="s">
        <v>2103</v>
      </c>
      <c r="B1161" s="1" t="s">
        <v>4937</v>
      </c>
      <c r="C1161" s="1" t="s">
        <v>386</v>
      </c>
      <c r="D1161" s="1" t="str">
        <f ca="1">IFERROR(__xludf.DUMMYFUNCTION("GoogleTranslate(B1161,""ja"",""en"")"),"Or")</f>
        <v>Or</v>
      </c>
    </row>
    <row r="1162" spans="1:4" ht="15.75" customHeight="1" x14ac:dyDescent="0.25">
      <c r="A1162" s="1" t="s">
        <v>2104</v>
      </c>
      <c r="B1162" s="1" t="s">
        <v>2092</v>
      </c>
      <c r="C1162" s="1" t="s">
        <v>2105</v>
      </c>
      <c r="D1162" s="1" t="str">
        <f ca="1">IFERROR(__xludf.DUMMYFUNCTION("GoogleTranslate(B1162,""ja"",""en"")"),"")</f>
        <v/>
      </c>
    </row>
    <row r="1163" spans="1:4" ht="15.75" customHeight="1" x14ac:dyDescent="0.25">
      <c r="A1163" s="1" t="s">
        <v>2106</v>
      </c>
      <c r="B1163" s="1" t="s">
        <v>4938</v>
      </c>
      <c r="C1163" s="1" t="s">
        <v>220</v>
      </c>
      <c r="D1163" s="1" t="str">
        <f ca="1">IFERROR(__xludf.DUMMYFUNCTION("GoogleTranslate(B1163,""ja"",""en"")"),"...")</f>
        <v>...</v>
      </c>
    </row>
    <row r="1164" spans="1:4" ht="15.75" customHeight="1" x14ac:dyDescent="0.25">
      <c r="A1164" s="1" t="s">
        <v>2107</v>
      </c>
      <c r="B1164" s="1" t="s">
        <v>2097</v>
      </c>
      <c r="C1164" s="1" t="s">
        <v>2105</v>
      </c>
      <c r="D1164" s="1" t="str">
        <f ca="1">IFERROR(__xludf.DUMMYFUNCTION("GoogleTranslate(B1164,""ja"",""en"")"),"")</f>
        <v/>
      </c>
    </row>
    <row r="1165" spans="1:4" ht="15.75" customHeight="1" x14ac:dyDescent="0.25">
      <c r="A1165" s="1" t="s">
        <v>2108</v>
      </c>
      <c r="B1165" s="1" t="s">
        <v>4939</v>
      </c>
      <c r="C1165" s="1" t="s">
        <v>2009</v>
      </c>
      <c r="D1165" s="1" t="str">
        <f ca="1">IFERROR(__xludf.DUMMYFUNCTION("GoogleTranslate(B1165,""ja"",""en"")"),"~")</f>
        <v>~</v>
      </c>
    </row>
    <row r="1166" spans="1:4" ht="15.75" customHeight="1" x14ac:dyDescent="0.25">
      <c r="A1166" s="1" t="s">
        <v>2109</v>
      </c>
      <c r="B1166" s="1" t="s">
        <v>4940</v>
      </c>
      <c r="C1166" s="1" t="s">
        <v>348</v>
      </c>
      <c r="D1166" s="1" t="str">
        <f ca="1">IFERROR(__xludf.DUMMYFUNCTION("GoogleTranslate(B1166,""ja"",""en"")"),"hand")</f>
        <v>hand</v>
      </c>
    </row>
    <row r="1167" spans="1:4" ht="15.75" customHeight="1" x14ac:dyDescent="0.25">
      <c r="A1167" s="1" t="s">
        <v>2110</v>
      </c>
      <c r="B1167" s="1" t="s">
        <v>4941</v>
      </c>
      <c r="C1167" s="1" t="s">
        <v>220</v>
      </c>
      <c r="D1167" s="1" t="str">
        <f ca="1">IFERROR(__xludf.DUMMYFUNCTION("GoogleTranslate(B1167,""ja"",""en"")"),"...")</f>
        <v>...</v>
      </c>
    </row>
    <row r="1168" spans="1:4" ht="15.75" customHeight="1" x14ac:dyDescent="0.25">
      <c r="A1168" s="1" t="s">
        <v>2111</v>
      </c>
      <c r="B1168" s="1" t="s">
        <v>4942</v>
      </c>
      <c r="C1168" s="1" t="s">
        <v>2112</v>
      </c>
      <c r="D1168" s="1" t="str">
        <f ca="1">IFERROR(__xludf.DUMMYFUNCTION("GoogleTranslate(B1168,""ja"",""en"")"),"F")</f>
        <v>F</v>
      </c>
    </row>
    <row r="1169" spans="1:4" ht="15.75" customHeight="1" x14ac:dyDescent="0.25">
      <c r="A1169" s="1" t="s">
        <v>2113</v>
      </c>
      <c r="B1169" s="1" t="s">
        <v>4943</v>
      </c>
      <c r="C1169" s="1" t="s">
        <v>220</v>
      </c>
      <c r="D1169" s="1" t="str">
        <f ca="1">IFERROR(__xludf.DUMMYFUNCTION("GoogleTranslate(B1169,""ja"",""en"")"),"...")</f>
        <v>...</v>
      </c>
    </row>
    <row r="1170" spans="1:4" ht="15.75" customHeight="1" x14ac:dyDescent="0.25">
      <c r="A1170" s="1" t="s">
        <v>2114</v>
      </c>
      <c r="B1170" s="1" t="s">
        <v>4944</v>
      </c>
      <c r="C1170" s="1" t="s">
        <v>2115</v>
      </c>
      <c r="D1170" s="1" t="str">
        <f ca="1">IFERROR(__xludf.DUMMYFUNCTION("GoogleTranslate(B1170,""ja"",""en"")"),"")</f>
        <v/>
      </c>
    </row>
    <row r="1171" spans="1:4" ht="15.75" customHeight="1" x14ac:dyDescent="0.25">
      <c r="A1171" s="1" t="s">
        <v>2116</v>
      </c>
      <c r="B1171" s="1" t="s">
        <v>2108</v>
      </c>
      <c r="C1171" s="1" t="s">
        <v>352</v>
      </c>
      <c r="D1171" s="1" t="str">
        <f ca="1">IFERROR(__xludf.DUMMYFUNCTION("GoogleTranslate(B1171,""ja"",""en"")"),"")</f>
        <v/>
      </c>
    </row>
    <row r="1172" spans="1:4" ht="15.75" customHeight="1" x14ac:dyDescent="0.25">
      <c r="A1172" s="1" t="s">
        <v>2117</v>
      </c>
      <c r="B1172" s="1" t="s">
        <v>4945</v>
      </c>
      <c r="C1172" s="1" t="s">
        <v>393</v>
      </c>
      <c r="D1172" s="1" t="str">
        <f ca="1">IFERROR(__xludf.DUMMYFUNCTION("GoogleTranslate(B1172,""ja"",""en"")"),"I")</f>
        <v>I</v>
      </c>
    </row>
    <row r="1173" spans="1:4" ht="15.75" customHeight="1" x14ac:dyDescent="0.25">
      <c r="A1173" s="1" t="s">
        <v>2118</v>
      </c>
      <c r="B1173" s="1" t="s">
        <v>4946</v>
      </c>
      <c r="C1173" s="1" t="s">
        <v>220</v>
      </c>
      <c r="D1173" s="1" t="str">
        <f ca="1">IFERROR(__xludf.DUMMYFUNCTION("GoogleTranslate(B1173,""ja"",""en"")"),"...")</f>
        <v>...</v>
      </c>
    </row>
    <row r="1174" spans="1:4" ht="15.75" customHeight="1" x14ac:dyDescent="0.25">
      <c r="A1174" s="1" t="s">
        <v>2119</v>
      </c>
      <c r="B1174" s="1" t="s">
        <v>4947</v>
      </c>
      <c r="C1174" s="1" t="s">
        <v>220</v>
      </c>
      <c r="D1174" s="1" t="str">
        <f ca="1">IFERROR(__xludf.DUMMYFUNCTION("GoogleTranslate(B1174,""ja"",""en"")"),"...")</f>
        <v>...</v>
      </c>
    </row>
    <row r="1175" spans="1:4" ht="15.75" customHeight="1" x14ac:dyDescent="0.25">
      <c r="A1175" s="1" t="s">
        <v>2120</v>
      </c>
      <c r="B1175" s="1" t="s">
        <v>4948</v>
      </c>
      <c r="C1175" s="1" t="s">
        <v>339</v>
      </c>
      <c r="D1175" s="1" t="str">
        <f ca="1">IFERROR(__xludf.DUMMYFUNCTION("GoogleTranslate(B1175,""ja"",""en"")"),"so")</f>
        <v>so</v>
      </c>
    </row>
    <row r="1176" spans="1:4" ht="15.75" customHeight="1" x14ac:dyDescent="0.25">
      <c r="A1176" s="1" t="s">
        <v>2121</v>
      </c>
      <c r="B1176" s="1" t="s">
        <v>4949</v>
      </c>
      <c r="C1176" s="1" t="s">
        <v>220</v>
      </c>
      <c r="D1176" s="1" t="str">
        <f ca="1">IFERROR(__xludf.DUMMYFUNCTION("GoogleTranslate(B1176,""ja"",""en"")"),"...")</f>
        <v>...</v>
      </c>
    </row>
    <row r="1177" spans="1:4" ht="15.75" customHeight="1" x14ac:dyDescent="0.25">
      <c r="A1177" s="1" t="s">
        <v>2122</v>
      </c>
      <c r="B1177" s="1" t="s">
        <v>4950</v>
      </c>
      <c r="C1177" s="1" t="s">
        <v>1986</v>
      </c>
      <c r="D1177" s="1" t="str">
        <f ca="1">IFERROR(__xludf.DUMMYFUNCTION("GoogleTranslate(B1177,""ja"",""en"")"),"!")</f>
        <v>!</v>
      </c>
    </row>
    <row r="1178" spans="1:4" ht="15.75" customHeight="1" x14ac:dyDescent="0.25">
      <c r="A1178" s="1" t="s">
        <v>2123</v>
      </c>
      <c r="B1178" s="1" t="s">
        <v>4951</v>
      </c>
      <c r="C1178" s="1" t="s">
        <v>352</v>
      </c>
      <c r="D1178" s="1" t="str">
        <f ca="1">IFERROR(__xludf.DUMMYFUNCTION("GoogleTranslate(B1178,""ja"",""en"")"),"")</f>
        <v/>
      </c>
    </row>
    <row r="1179" spans="1:4" ht="15.75" customHeight="1" x14ac:dyDescent="0.25">
      <c r="A1179" s="1" t="s">
        <v>2124</v>
      </c>
      <c r="B1179" s="1" t="s">
        <v>2113</v>
      </c>
      <c r="C1179" s="1" t="s">
        <v>339</v>
      </c>
      <c r="D1179" s="1" t="str">
        <f ca="1">IFERROR(__xludf.DUMMYFUNCTION("GoogleTranslate(B1179,""ja"",""en"")"),"so")</f>
        <v>so</v>
      </c>
    </row>
    <row r="1180" spans="1:4" ht="15.75" customHeight="1" x14ac:dyDescent="0.25">
      <c r="A1180" s="1" t="s">
        <v>2125</v>
      </c>
      <c r="B1180" s="1" t="s">
        <v>4952</v>
      </c>
      <c r="C1180" s="1" t="s">
        <v>1986</v>
      </c>
      <c r="D1180" s="1" t="str">
        <f ca="1">IFERROR(__xludf.DUMMYFUNCTION("GoogleTranslate(B1180,""ja"",""en"")"),"!")</f>
        <v>!</v>
      </c>
    </row>
    <row r="1181" spans="1:4" ht="15.75" customHeight="1" x14ac:dyDescent="0.25">
      <c r="A1181" s="1" t="s">
        <v>2126</v>
      </c>
      <c r="B1181" s="1" t="s">
        <v>4953</v>
      </c>
      <c r="C1181" s="1" t="s">
        <v>393</v>
      </c>
      <c r="D1181" s="1" t="str">
        <f ca="1">IFERROR(__xludf.DUMMYFUNCTION("GoogleTranslate(B1181,""ja"",""en"")"),"I")</f>
        <v>I</v>
      </c>
    </row>
    <row r="1182" spans="1:4" ht="15.75" customHeight="1" x14ac:dyDescent="0.25">
      <c r="A1182" s="1" t="s">
        <v>2127</v>
      </c>
      <c r="B1182" s="1" t="s">
        <v>4954</v>
      </c>
      <c r="C1182" s="1" t="s">
        <v>216</v>
      </c>
      <c r="D1182" s="1" t="str">
        <f ca="1">IFERROR(__xludf.DUMMYFUNCTION("GoogleTranslate(B1182,""ja"",""en"")"),"?")</f>
        <v>?</v>
      </c>
    </row>
    <row r="1183" spans="1:4" ht="15.75" customHeight="1" x14ac:dyDescent="0.25">
      <c r="A1183" s="1" t="s">
        <v>2128</v>
      </c>
      <c r="B1183" s="1" t="s">
        <v>4955</v>
      </c>
      <c r="C1183" s="1" t="s">
        <v>393</v>
      </c>
      <c r="D1183" s="1" t="str">
        <f ca="1">IFERROR(__xludf.DUMMYFUNCTION("GoogleTranslate(B1183,""ja"",""en"")"),"I")</f>
        <v>I</v>
      </c>
    </row>
    <row r="1184" spans="1:4" ht="15.75" customHeight="1" x14ac:dyDescent="0.25">
      <c r="A1184" s="1" t="s">
        <v>2129</v>
      </c>
      <c r="B1184" s="1" t="s">
        <v>4956</v>
      </c>
      <c r="C1184" s="1" t="s">
        <v>2130</v>
      </c>
      <c r="D1184" s="1" t="str">
        <f ca="1">IFERROR(__xludf.DUMMYFUNCTION("GoogleTranslate(B1184,""ja"",""en"")"),"Et al.")</f>
        <v>Et al.</v>
      </c>
    </row>
    <row r="1185" spans="1:4" ht="15.75" customHeight="1" x14ac:dyDescent="0.25">
      <c r="A1185" s="1" t="s">
        <v>2131</v>
      </c>
      <c r="B1185" s="1" t="s">
        <v>4957</v>
      </c>
      <c r="C1185" s="1" t="s">
        <v>393</v>
      </c>
      <c r="D1185" s="1" t="str">
        <f ca="1">IFERROR(__xludf.DUMMYFUNCTION("GoogleTranslate(B1185,""ja"",""en"")"),"I")</f>
        <v>I</v>
      </c>
    </row>
    <row r="1186" spans="1:4" ht="15.75" customHeight="1" x14ac:dyDescent="0.25">
      <c r="A1186" s="1" t="s">
        <v>2132</v>
      </c>
      <c r="B1186" s="1" t="s">
        <v>2119</v>
      </c>
      <c r="C1186" s="1" t="s">
        <v>2082</v>
      </c>
      <c r="D1186" s="1" t="str">
        <f ca="1">IFERROR(__xludf.DUMMYFUNCTION("GoogleTranslate(B1186,""ja"",""en"")"),"I")</f>
        <v>I</v>
      </c>
    </row>
    <row r="1187" spans="1:4" ht="15.75" customHeight="1" x14ac:dyDescent="0.25">
      <c r="A1187" s="1" t="s">
        <v>2133</v>
      </c>
      <c r="B1187" s="1" t="s">
        <v>4958</v>
      </c>
      <c r="C1187" s="1" t="s">
        <v>1996</v>
      </c>
      <c r="D1187" s="1" t="str">
        <f ca="1">IFERROR(__xludf.DUMMYFUNCTION("GoogleTranslate(B1187,""ja"",""en"")"),"Tut")</f>
        <v>Tut</v>
      </c>
    </row>
    <row r="1188" spans="1:4" ht="15.75" customHeight="1" x14ac:dyDescent="0.25">
      <c r="A1188" s="1" t="s">
        <v>2134</v>
      </c>
      <c r="B1188" s="1" t="s">
        <v>2120</v>
      </c>
      <c r="C1188" s="1" t="s">
        <v>393</v>
      </c>
      <c r="D1188" s="1" t="str">
        <f ca="1">IFERROR(__xludf.DUMMYFUNCTION("GoogleTranslate(B1188,""ja"",""en"")"),"I")</f>
        <v>I</v>
      </c>
    </row>
    <row r="1189" spans="1:4" ht="15.75" customHeight="1" x14ac:dyDescent="0.25">
      <c r="A1189" s="1" t="s">
        <v>2135</v>
      </c>
      <c r="B1189" s="1" t="s">
        <v>2123</v>
      </c>
      <c r="C1189" s="1" t="s">
        <v>393</v>
      </c>
      <c r="D1189" s="1" t="str">
        <f ca="1">IFERROR(__xludf.DUMMYFUNCTION("GoogleTranslate(B1189,""ja"",""en"")"),"I")</f>
        <v>I</v>
      </c>
    </row>
    <row r="1190" spans="1:4" ht="15.75" customHeight="1" x14ac:dyDescent="0.25">
      <c r="A1190" s="1" t="s">
        <v>2136</v>
      </c>
      <c r="B1190" s="1" t="s">
        <v>2124</v>
      </c>
      <c r="C1190" s="1" t="s">
        <v>1986</v>
      </c>
      <c r="D1190" s="1" t="str">
        <f ca="1">IFERROR(__xludf.DUMMYFUNCTION("GoogleTranslate(B1190,""ja"",""en"")"),"!")</f>
        <v>!</v>
      </c>
    </row>
    <row r="1191" spans="1:4" ht="15.75" customHeight="1" x14ac:dyDescent="0.25">
      <c r="A1191" s="1" t="s">
        <v>2137</v>
      </c>
      <c r="B1191" s="1" t="s">
        <v>2125</v>
      </c>
      <c r="C1191" s="1" t="s">
        <v>1986</v>
      </c>
      <c r="D1191" s="1" t="str">
        <f ca="1">IFERROR(__xludf.DUMMYFUNCTION("GoogleTranslate(B1191,""ja"",""en"")"),"!")</f>
        <v>!</v>
      </c>
    </row>
    <row r="1192" spans="1:4" ht="15.75" customHeight="1" x14ac:dyDescent="0.25">
      <c r="A1192" s="1" t="s">
        <v>2138</v>
      </c>
      <c r="B1192" s="1" t="s">
        <v>2126</v>
      </c>
      <c r="C1192" s="1" t="s">
        <v>1986</v>
      </c>
      <c r="D1192" s="1" t="str">
        <f ca="1">IFERROR(__xludf.DUMMYFUNCTION("GoogleTranslate(B1192,""ja"",""en"")"),"!")</f>
        <v>!</v>
      </c>
    </row>
    <row r="1193" spans="1:4" ht="15.75" customHeight="1" x14ac:dyDescent="0.25">
      <c r="A1193" s="1" t="s">
        <v>2139</v>
      </c>
      <c r="B1193" s="1" t="s">
        <v>4959</v>
      </c>
      <c r="C1193" s="1" t="s">
        <v>220</v>
      </c>
      <c r="D1193" s="1" t="str">
        <f ca="1">IFERROR(__xludf.DUMMYFUNCTION("GoogleTranslate(B1193,""ja"",""en"")"),"...")</f>
        <v>...</v>
      </c>
    </row>
    <row r="1194" spans="1:4" ht="15.75" customHeight="1" x14ac:dyDescent="0.25">
      <c r="A1194" s="1" t="s">
        <v>2140</v>
      </c>
      <c r="B1194" s="1" t="s">
        <v>4960</v>
      </c>
      <c r="C1194" s="1" t="s">
        <v>362</v>
      </c>
      <c r="D1194" s="1" t="str">
        <f ca="1">IFERROR(__xludf.DUMMYFUNCTION("GoogleTranslate(B1194,""ja"",""en"")"),"Hmm")</f>
        <v>Hmm</v>
      </c>
    </row>
    <row r="1195" spans="1:4" ht="15.75" customHeight="1" x14ac:dyDescent="0.25">
      <c r="A1195" s="1" t="s">
        <v>2141</v>
      </c>
      <c r="B1195" s="1" t="s">
        <v>4961</v>
      </c>
      <c r="C1195" s="1" t="s">
        <v>386</v>
      </c>
      <c r="D1195" s="1" t="str">
        <f ca="1">IFERROR(__xludf.DUMMYFUNCTION("GoogleTranslate(B1195,""ja"",""en"")"),"Or")</f>
        <v>Or</v>
      </c>
    </row>
    <row r="1196" spans="1:4" ht="15.75" customHeight="1" x14ac:dyDescent="0.25">
      <c r="A1196" s="1" t="s">
        <v>2142</v>
      </c>
      <c r="B1196" s="1" t="s">
        <v>4962</v>
      </c>
      <c r="C1196" s="1" t="s">
        <v>220</v>
      </c>
      <c r="D1196" s="1" t="str">
        <f ca="1">IFERROR(__xludf.DUMMYFUNCTION("GoogleTranslate(B1196,""ja"",""en"")"),"...")</f>
        <v>...</v>
      </c>
    </row>
    <row r="1197" spans="1:4" ht="15.75" customHeight="1" x14ac:dyDescent="0.25">
      <c r="A1197" s="1" t="s">
        <v>2143</v>
      </c>
      <c r="B1197" s="1" t="s">
        <v>4963</v>
      </c>
      <c r="C1197" s="1" t="s">
        <v>220</v>
      </c>
      <c r="D1197" s="1" t="str">
        <f ca="1">IFERROR(__xludf.DUMMYFUNCTION("GoogleTranslate(B1197,""ja"",""en"")"),"...")</f>
        <v>...</v>
      </c>
    </row>
    <row r="1198" spans="1:4" ht="15.75" customHeight="1" x14ac:dyDescent="0.25">
      <c r="A1198" s="1" t="s">
        <v>2144</v>
      </c>
      <c r="B1198" s="1" t="s">
        <v>2132</v>
      </c>
      <c r="C1198" s="1" t="s">
        <v>339</v>
      </c>
      <c r="D1198" s="1" t="str">
        <f ca="1">IFERROR(__xludf.DUMMYFUNCTION("GoogleTranslate(B1198,""ja"",""en"")"),"so")</f>
        <v>so</v>
      </c>
    </row>
    <row r="1199" spans="1:4" ht="15.75" customHeight="1" x14ac:dyDescent="0.25">
      <c r="A1199" s="1" t="s">
        <v>2145</v>
      </c>
      <c r="B1199" s="1" t="s">
        <v>4964</v>
      </c>
      <c r="C1199" s="1" t="s">
        <v>2001</v>
      </c>
      <c r="D1199" s="1" t="str">
        <f ca="1">IFERROR(__xludf.DUMMYFUNCTION("GoogleTranslate(B1199,""ja"",""en"")"),"")</f>
        <v/>
      </c>
    </row>
    <row r="1200" spans="1:4" ht="15.75" customHeight="1" x14ac:dyDescent="0.25">
      <c r="A1200" s="1" t="s">
        <v>2146</v>
      </c>
      <c r="B1200" s="1" t="s">
        <v>4965</v>
      </c>
      <c r="C1200" s="1" t="s">
        <v>352</v>
      </c>
      <c r="D1200" s="1" t="str">
        <f ca="1">IFERROR(__xludf.DUMMYFUNCTION("GoogleTranslate(B1200,""ja"",""en"")"),"")</f>
        <v/>
      </c>
    </row>
    <row r="1201" spans="1:4" ht="15.75" customHeight="1" x14ac:dyDescent="0.25">
      <c r="A1201" s="1" t="s">
        <v>2147</v>
      </c>
      <c r="B1201" s="1" t="s">
        <v>4966</v>
      </c>
      <c r="C1201" s="1" t="s">
        <v>220</v>
      </c>
      <c r="D1201" s="1" t="str">
        <f ca="1">IFERROR(__xludf.DUMMYFUNCTION("GoogleTranslate(B1201,""ja"",""en"")"),"...")</f>
        <v>...</v>
      </c>
    </row>
    <row r="1202" spans="1:4" ht="15.75" customHeight="1" x14ac:dyDescent="0.25">
      <c r="A1202" s="1" t="s">
        <v>2148</v>
      </c>
      <c r="B1202" s="1" t="s">
        <v>4967</v>
      </c>
      <c r="C1202" s="1" t="s">
        <v>1459</v>
      </c>
      <c r="D1202" s="1" t="str">
        <f ca="1">IFERROR(__xludf.DUMMYFUNCTION("GoogleTranslate(B1202,""ja"",""en"")"),"Cormorant")</f>
        <v>Cormorant</v>
      </c>
    </row>
    <row r="1203" spans="1:4" ht="15.75" customHeight="1" x14ac:dyDescent="0.25">
      <c r="A1203" s="1" t="s">
        <v>2149</v>
      </c>
      <c r="B1203" s="1" t="s">
        <v>4968</v>
      </c>
      <c r="C1203" s="1" t="s">
        <v>381</v>
      </c>
      <c r="D1203" s="1" t="str">
        <f ca="1">IFERROR(__xludf.DUMMYFUNCTION("GoogleTranslate(B1203,""ja"",""en"")"),"That")</f>
        <v>That</v>
      </c>
    </row>
    <row r="1204" spans="1:4" ht="15.75" customHeight="1" x14ac:dyDescent="0.25">
      <c r="A1204" s="1" t="s">
        <v>2150</v>
      </c>
      <c r="B1204" s="1" t="s">
        <v>4969</v>
      </c>
      <c r="C1204" s="1" t="s">
        <v>381</v>
      </c>
      <c r="D1204" s="1" t="str">
        <f ca="1">IFERROR(__xludf.DUMMYFUNCTION("GoogleTranslate(B1204,""ja"",""en"")"),"That")</f>
        <v>That</v>
      </c>
    </row>
    <row r="1205" spans="1:4" ht="15.75" customHeight="1" x14ac:dyDescent="0.25">
      <c r="A1205" s="1" t="s">
        <v>2151</v>
      </c>
      <c r="B1205" s="1" t="s">
        <v>2138</v>
      </c>
      <c r="C1205" s="1" t="s">
        <v>2001</v>
      </c>
      <c r="D1205" s="1" t="str">
        <f ca="1">IFERROR(__xludf.DUMMYFUNCTION("GoogleTranslate(B1205,""ja"",""en"")"),"")</f>
        <v/>
      </c>
    </row>
    <row r="1206" spans="1:4" ht="15.75" customHeight="1" x14ac:dyDescent="0.25">
      <c r="A1206" s="1" t="s">
        <v>2152</v>
      </c>
      <c r="B1206" s="1" t="s">
        <v>2139</v>
      </c>
      <c r="C1206" s="1" t="s">
        <v>220</v>
      </c>
      <c r="D1206" s="1" t="str">
        <f ca="1">IFERROR(__xludf.DUMMYFUNCTION("GoogleTranslate(B1206,""ja"",""en"")"),"...")</f>
        <v>...</v>
      </c>
    </row>
    <row r="1207" spans="1:4" ht="15.75" customHeight="1" x14ac:dyDescent="0.25">
      <c r="A1207" s="1" t="s">
        <v>2153</v>
      </c>
      <c r="B1207" s="1" t="s">
        <v>4970</v>
      </c>
      <c r="C1207" s="1" t="s">
        <v>362</v>
      </c>
      <c r="D1207" s="1" t="str">
        <f ca="1">IFERROR(__xludf.DUMMYFUNCTION("GoogleTranslate(B1207,""ja"",""en"")"),"Hmm")</f>
        <v>Hmm</v>
      </c>
    </row>
    <row r="1208" spans="1:4" ht="15.75" customHeight="1" x14ac:dyDescent="0.25">
      <c r="A1208" s="1" t="s">
        <v>2154</v>
      </c>
      <c r="B1208" s="1" t="s">
        <v>2143</v>
      </c>
      <c r="C1208" s="1" t="s">
        <v>220</v>
      </c>
      <c r="D1208" s="1" t="str">
        <f ca="1">IFERROR(__xludf.DUMMYFUNCTION("GoogleTranslate(B1208,""ja"",""en"")"),"...")</f>
        <v>...</v>
      </c>
    </row>
    <row r="1209" spans="1:4" ht="15.75" customHeight="1" x14ac:dyDescent="0.25">
      <c r="A1209" s="1" t="s">
        <v>2155</v>
      </c>
      <c r="B1209" s="1" t="s">
        <v>2144</v>
      </c>
      <c r="C1209" s="1" t="s">
        <v>1986</v>
      </c>
      <c r="D1209" s="1" t="str">
        <f ca="1">IFERROR(__xludf.DUMMYFUNCTION("GoogleTranslate(B1209,""ja"",""en"")"),"!")</f>
        <v>!</v>
      </c>
    </row>
    <row r="1210" spans="1:4" ht="15.75" customHeight="1" x14ac:dyDescent="0.25">
      <c r="A1210" s="1" t="s">
        <v>2156</v>
      </c>
      <c r="B1210" s="1" t="s">
        <v>2145</v>
      </c>
      <c r="C1210" s="1" t="s">
        <v>2009</v>
      </c>
      <c r="D1210" s="1" t="str">
        <f ca="1">IFERROR(__xludf.DUMMYFUNCTION("GoogleTranslate(B1210,""ja"",""en"")"),"~")</f>
        <v>~</v>
      </c>
    </row>
    <row r="1211" spans="1:4" ht="15.75" customHeight="1" x14ac:dyDescent="0.25">
      <c r="A1211" s="1" t="s">
        <v>2157</v>
      </c>
      <c r="B1211" s="1" t="s">
        <v>4971</v>
      </c>
      <c r="C1211" s="1" t="s">
        <v>2009</v>
      </c>
      <c r="D1211" s="1" t="str">
        <f ca="1">IFERROR(__xludf.DUMMYFUNCTION("GoogleTranslate(B1211,""ja"",""en"")"),"~")</f>
        <v>~</v>
      </c>
    </row>
    <row r="1212" spans="1:4" ht="15.75" customHeight="1" x14ac:dyDescent="0.25">
      <c r="A1212" s="1" t="s">
        <v>2158</v>
      </c>
      <c r="B1212" s="1" t="s">
        <v>2147</v>
      </c>
      <c r="C1212" s="1" t="s">
        <v>1986</v>
      </c>
      <c r="D1212" s="1" t="str">
        <f ca="1">IFERROR(__xludf.DUMMYFUNCTION("GoogleTranslate(B1212,""ja"",""en"")"),"!")</f>
        <v>!</v>
      </c>
    </row>
    <row r="1213" spans="1:4" ht="15.75" customHeight="1" x14ac:dyDescent="0.25">
      <c r="A1213" s="1" t="s">
        <v>2159</v>
      </c>
      <c r="B1213" s="1" t="s">
        <v>4972</v>
      </c>
      <c r="C1213" s="1" t="s">
        <v>362</v>
      </c>
      <c r="D1213" s="1" t="str">
        <f ca="1">IFERROR(__xludf.DUMMYFUNCTION("GoogleTranslate(B1213,""ja"",""en"")"),"Hmm")</f>
        <v>Hmm</v>
      </c>
    </row>
    <row r="1214" spans="1:4" ht="15.75" customHeight="1" x14ac:dyDescent="0.25">
      <c r="A1214" s="1" t="s">
        <v>2160</v>
      </c>
      <c r="B1214" s="1" t="s">
        <v>4973</v>
      </c>
      <c r="C1214" s="1" t="s">
        <v>404</v>
      </c>
      <c r="D1214" s="1" t="str">
        <f ca="1">IFERROR(__xludf.DUMMYFUNCTION("GoogleTranslate(B1214,""ja"",""en"")"),"Ya")</f>
        <v>Ya</v>
      </c>
    </row>
    <row r="1215" spans="1:4" ht="15.75" customHeight="1" x14ac:dyDescent="0.25">
      <c r="A1215" s="1" t="s">
        <v>2161</v>
      </c>
      <c r="B1215" s="1" t="s">
        <v>4974</v>
      </c>
      <c r="C1215" s="1" t="s">
        <v>339</v>
      </c>
      <c r="D1215" s="1" t="str">
        <f ca="1">IFERROR(__xludf.DUMMYFUNCTION("GoogleTranslate(B1215,""ja"",""en"")"),"so")</f>
        <v>so</v>
      </c>
    </row>
    <row r="1216" spans="1:4" ht="15.75" customHeight="1" x14ac:dyDescent="0.25">
      <c r="A1216" s="1" t="s">
        <v>2162</v>
      </c>
      <c r="B1216" s="1" t="s">
        <v>4975</v>
      </c>
      <c r="C1216" s="1" t="s">
        <v>339</v>
      </c>
      <c r="D1216" s="1" t="str">
        <f ca="1">IFERROR(__xludf.DUMMYFUNCTION("GoogleTranslate(B1216,""ja"",""en"")"),"so")</f>
        <v>so</v>
      </c>
    </row>
    <row r="1217" spans="1:4" ht="15.75" customHeight="1" x14ac:dyDescent="0.25">
      <c r="A1217" s="1" t="s">
        <v>2163</v>
      </c>
      <c r="B1217" s="1" t="s">
        <v>4976</v>
      </c>
      <c r="C1217" s="1" t="s">
        <v>386</v>
      </c>
      <c r="D1217" s="1" t="str">
        <f ca="1">IFERROR(__xludf.DUMMYFUNCTION("GoogleTranslate(B1217,""ja"",""en"")"),"Or")</f>
        <v>Or</v>
      </c>
    </row>
    <row r="1218" spans="1:4" ht="15.75" customHeight="1" x14ac:dyDescent="0.25">
      <c r="A1218" s="1" t="s">
        <v>2164</v>
      </c>
      <c r="B1218" s="1" t="s">
        <v>2150</v>
      </c>
      <c r="C1218" s="1" t="s">
        <v>1982</v>
      </c>
      <c r="D1218" s="1" t="str">
        <f ca="1">IFERROR(__xludf.DUMMYFUNCTION("GoogleTranslate(B1218,""ja"",""en"")"),"§")</f>
        <v>§</v>
      </c>
    </row>
    <row r="1219" spans="1:4" ht="15.75" customHeight="1" x14ac:dyDescent="0.25">
      <c r="A1219" s="1" t="s">
        <v>2165</v>
      </c>
      <c r="B1219" s="1" t="s">
        <v>4977</v>
      </c>
      <c r="C1219" s="1" t="s">
        <v>339</v>
      </c>
      <c r="D1219" s="1" t="str">
        <f ca="1">IFERROR(__xludf.DUMMYFUNCTION("GoogleTranslate(B1219,""ja"",""en"")"),"so")</f>
        <v>so</v>
      </c>
    </row>
    <row r="1220" spans="1:4" ht="15.75" customHeight="1" x14ac:dyDescent="0.25">
      <c r="A1220" s="1" t="s">
        <v>2166</v>
      </c>
      <c r="B1220" s="1" t="s">
        <v>4978</v>
      </c>
      <c r="C1220" s="1" t="s">
        <v>362</v>
      </c>
      <c r="D1220" s="1" t="str">
        <f ca="1">IFERROR(__xludf.DUMMYFUNCTION("GoogleTranslate(B1220,""ja"",""en"")"),"Hmm")</f>
        <v>Hmm</v>
      </c>
    </row>
    <row r="1221" spans="1:4" ht="15.75" customHeight="1" x14ac:dyDescent="0.25">
      <c r="A1221" s="1" t="s">
        <v>2167</v>
      </c>
      <c r="B1221" s="1" t="s">
        <v>4979</v>
      </c>
      <c r="C1221" s="1" t="s">
        <v>1986</v>
      </c>
      <c r="D1221" s="1" t="str">
        <f ca="1">IFERROR(__xludf.DUMMYFUNCTION("GoogleTranslate(B1221,""ja"",""en"")"),"!")</f>
        <v>!</v>
      </c>
    </row>
    <row r="1222" spans="1:4" ht="15.75" customHeight="1" x14ac:dyDescent="0.25">
      <c r="A1222" s="1" t="s">
        <v>2168</v>
      </c>
      <c r="B1222" s="1" t="s">
        <v>4980</v>
      </c>
      <c r="C1222" s="1" t="s">
        <v>339</v>
      </c>
      <c r="D1222" s="1" t="str">
        <f ca="1">IFERROR(__xludf.DUMMYFUNCTION("GoogleTranslate(B1222,""ja"",""en"")"),"so")</f>
        <v>so</v>
      </c>
    </row>
    <row r="1223" spans="1:4" ht="15.75" customHeight="1" x14ac:dyDescent="0.25">
      <c r="A1223" s="1" t="s">
        <v>2169</v>
      </c>
      <c r="B1223" s="1" t="s">
        <v>2158</v>
      </c>
      <c r="C1223" s="1" t="s">
        <v>1986</v>
      </c>
      <c r="D1223" s="1" t="str">
        <f ca="1">IFERROR(__xludf.DUMMYFUNCTION("GoogleTranslate(B1223,""ja"",""en"")"),"!")</f>
        <v>!</v>
      </c>
    </row>
    <row r="1224" spans="1:4" ht="15.75" customHeight="1" x14ac:dyDescent="0.25">
      <c r="A1224" s="1" t="s">
        <v>2170</v>
      </c>
      <c r="B1224" s="1" t="s">
        <v>2159</v>
      </c>
      <c r="C1224" s="1" t="s">
        <v>2001</v>
      </c>
      <c r="D1224" s="1" t="str">
        <f ca="1">IFERROR(__xludf.DUMMYFUNCTION("GoogleTranslate(B1224,""ja"",""en"")"),"")</f>
        <v/>
      </c>
    </row>
    <row r="1225" spans="1:4" ht="15.75" customHeight="1" x14ac:dyDescent="0.25">
      <c r="A1225" s="1" t="s">
        <v>2171</v>
      </c>
      <c r="B1225" s="1" t="s">
        <v>2164</v>
      </c>
      <c r="C1225" s="1" t="s">
        <v>352</v>
      </c>
      <c r="D1225" s="1" t="str">
        <f ca="1">IFERROR(__xludf.DUMMYFUNCTION("GoogleTranslate(B1225,""ja"",""en"")"),"")</f>
        <v/>
      </c>
    </row>
    <row r="1226" spans="1:4" ht="15.75" customHeight="1" x14ac:dyDescent="0.25">
      <c r="A1226" s="1" t="s">
        <v>2172</v>
      </c>
      <c r="B1226" s="1" t="s">
        <v>4981</v>
      </c>
      <c r="C1226" s="1" t="s">
        <v>386</v>
      </c>
      <c r="D1226" s="1" t="str">
        <f ca="1">IFERROR(__xludf.DUMMYFUNCTION("GoogleTranslate(B1226,""ja"",""en"")"),"Or")</f>
        <v>Or</v>
      </c>
    </row>
    <row r="1227" spans="1:4" ht="15.75" customHeight="1" x14ac:dyDescent="0.25">
      <c r="A1227" s="1" t="s">
        <v>2173</v>
      </c>
      <c r="B1227" s="1" t="s">
        <v>4982</v>
      </c>
      <c r="C1227" s="1" t="s">
        <v>2082</v>
      </c>
      <c r="D1227" s="1" t="str">
        <f ca="1">IFERROR(__xludf.DUMMYFUNCTION("GoogleTranslate(B1227,""ja"",""en"")"),"I")</f>
        <v>I</v>
      </c>
    </row>
    <row r="1228" spans="1:4" ht="15.75" customHeight="1" x14ac:dyDescent="0.25">
      <c r="A1228" s="1" t="s">
        <v>2174</v>
      </c>
      <c r="B1228" s="1" t="s">
        <v>2167</v>
      </c>
      <c r="C1228" s="1" t="s">
        <v>2175</v>
      </c>
      <c r="D1228" s="1" t="str">
        <f ca="1">IFERROR(__xludf.DUMMYFUNCTION("GoogleTranslate(B1228,""ja"",""en"")"),"Mm")</f>
        <v>Mm</v>
      </c>
    </row>
    <row r="1229" spans="1:4" ht="15.75" customHeight="1" x14ac:dyDescent="0.25">
      <c r="A1229" s="1" t="s">
        <v>2176</v>
      </c>
      <c r="B1229" s="1" t="s">
        <v>4983</v>
      </c>
      <c r="C1229" s="1" t="s">
        <v>220</v>
      </c>
      <c r="D1229" s="1" t="str">
        <f ca="1">IFERROR(__xludf.DUMMYFUNCTION("GoogleTranslate(B1229,""ja"",""en"")"),"...")</f>
        <v>...</v>
      </c>
    </row>
    <row r="1230" spans="1:4" ht="15.75" customHeight="1" x14ac:dyDescent="0.25">
      <c r="A1230" s="1" t="s">
        <v>2177</v>
      </c>
      <c r="B1230" s="1" t="s">
        <v>4984</v>
      </c>
      <c r="C1230" s="1" t="s">
        <v>352</v>
      </c>
      <c r="D1230" s="1" t="str">
        <f ca="1">IFERROR(__xludf.DUMMYFUNCTION("GoogleTranslate(B1230,""ja"",""en"")"),"")</f>
        <v/>
      </c>
    </row>
    <row r="1231" spans="1:4" ht="15.75" customHeight="1" x14ac:dyDescent="0.25">
      <c r="A1231" s="1" t="s">
        <v>2178</v>
      </c>
      <c r="B1231" s="1" t="s">
        <v>4985</v>
      </c>
      <c r="C1231" s="1" t="s">
        <v>386</v>
      </c>
      <c r="D1231" s="1" t="str">
        <f ca="1">IFERROR(__xludf.DUMMYFUNCTION("GoogleTranslate(B1231,""ja"",""en"")"),"Or")</f>
        <v>Or</v>
      </c>
    </row>
    <row r="1232" spans="1:4" ht="15.75" customHeight="1" x14ac:dyDescent="0.25">
      <c r="A1232" s="1" t="s">
        <v>2179</v>
      </c>
      <c r="B1232" s="1" t="s">
        <v>4986</v>
      </c>
      <c r="C1232" s="1" t="s">
        <v>1996</v>
      </c>
      <c r="D1232" s="1" t="str">
        <f ca="1">IFERROR(__xludf.DUMMYFUNCTION("GoogleTranslate(B1232,""ja"",""en"")"),"Tut")</f>
        <v>Tut</v>
      </c>
    </row>
    <row r="1233" spans="1:4" ht="15.75" customHeight="1" x14ac:dyDescent="0.25">
      <c r="A1233" s="1" t="s">
        <v>2180</v>
      </c>
      <c r="B1233" s="1" t="s">
        <v>4987</v>
      </c>
      <c r="C1233" s="1" t="s">
        <v>1986</v>
      </c>
      <c r="D1233" s="1" t="str">
        <f ca="1">IFERROR(__xludf.DUMMYFUNCTION("GoogleTranslate(B1233,""ja"",""en"")"),"!")</f>
        <v>!</v>
      </c>
    </row>
    <row r="1234" spans="1:4" ht="15.75" customHeight="1" x14ac:dyDescent="0.25">
      <c r="A1234" s="1" t="s">
        <v>2181</v>
      </c>
      <c r="B1234" s="1" t="s">
        <v>2169</v>
      </c>
      <c r="C1234" s="1" t="s">
        <v>220</v>
      </c>
      <c r="D1234" s="1" t="str">
        <f ca="1">IFERROR(__xludf.DUMMYFUNCTION("GoogleTranslate(B1234,""ja"",""en"")"),"...")</f>
        <v>...</v>
      </c>
    </row>
    <row r="1235" spans="1:4" ht="15.75" customHeight="1" x14ac:dyDescent="0.25">
      <c r="A1235" s="1" t="s">
        <v>2182</v>
      </c>
      <c r="B1235" s="1" t="s">
        <v>4988</v>
      </c>
      <c r="C1235" s="1" t="s">
        <v>220</v>
      </c>
      <c r="D1235" s="1" t="str">
        <f ca="1">IFERROR(__xludf.DUMMYFUNCTION("GoogleTranslate(B1235,""ja"",""en"")"),"...")</f>
        <v>...</v>
      </c>
    </row>
    <row r="1236" spans="1:4" ht="15.75" customHeight="1" x14ac:dyDescent="0.25">
      <c r="A1236" s="1" t="s">
        <v>2183</v>
      </c>
      <c r="B1236" s="1" t="s">
        <v>4989</v>
      </c>
      <c r="C1236" s="1" t="s">
        <v>220</v>
      </c>
      <c r="D1236" s="1" t="str">
        <f ca="1">IFERROR(__xludf.DUMMYFUNCTION("GoogleTranslate(B1236,""ja"",""en"")"),"...")</f>
        <v>...</v>
      </c>
    </row>
    <row r="1237" spans="1:4" ht="15.75" customHeight="1" x14ac:dyDescent="0.25">
      <c r="A1237" s="1" t="s">
        <v>2184</v>
      </c>
      <c r="B1237" s="1" t="s">
        <v>4990</v>
      </c>
      <c r="C1237" s="1" t="s">
        <v>216</v>
      </c>
      <c r="D1237" s="1" t="str">
        <f ca="1">IFERROR(__xludf.DUMMYFUNCTION("GoogleTranslate(B1237,""ja"",""en"")"),"?")</f>
        <v>?</v>
      </c>
    </row>
    <row r="1238" spans="1:4" ht="15.75" customHeight="1" x14ac:dyDescent="0.25">
      <c r="A1238" s="1" t="s">
        <v>2185</v>
      </c>
      <c r="B1238" s="1" t="s">
        <v>2171</v>
      </c>
      <c r="C1238" s="1" t="s">
        <v>2001</v>
      </c>
      <c r="D1238" s="1" t="str">
        <f ca="1">IFERROR(__xludf.DUMMYFUNCTION("GoogleTranslate(B1238,""ja"",""en"")"),"")</f>
        <v/>
      </c>
    </row>
    <row r="1239" spans="1:4" ht="15.75" customHeight="1" x14ac:dyDescent="0.25">
      <c r="A1239" s="1" t="s">
        <v>2186</v>
      </c>
      <c r="B1239" s="1" t="s">
        <v>4991</v>
      </c>
      <c r="C1239" s="1" t="s">
        <v>220</v>
      </c>
      <c r="D1239" s="1" t="str">
        <f ca="1">IFERROR(__xludf.DUMMYFUNCTION("GoogleTranslate(B1239,""ja"",""en"")"),"...")</f>
        <v>...</v>
      </c>
    </row>
    <row r="1240" spans="1:4" ht="15.75" customHeight="1" x14ac:dyDescent="0.25">
      <c r="A1240" s="1" t="s">
        <v>2187</v>
      </c>
      <c r="B1240" s="1" t="s">
        <v>2173</v>
      </c>
      <c r="C1240" s="1" t="s">
        <v>343</v>
      </c>
      <c r="D1240" s="1" t="str">
        <f ca="1">IFERROR(__xludf.DUMMYFUNCTION("GoogleTranslate(B1240,""ja"",""en"")"),"Over")</f>
        <v>Over</v>
      </c>
    </row>
    <row r="1241" spans="1:4" ht="15.75" customHeight="1" x14ac:dyDescent="0.25">
      <c r="A1241" s="1" t="s">
        <v>2188</v>
      </c>
      <c r="B1241" s="1" t="s">
        <v>4992</v>
      </c>
      <c r="C1241" s="1" t="s">
        <v>2009</v>
      </c>
      <c r="D1241" s="1" t="str">
        <f ca="1">IFERROR(__xludf.DUMMYFUNCTION("GoogleTranslate(B1241,""ja"",""en"")"),"~")</f>
        <v>~</v>
      </c>
    </row>
    <row r="1242" spans="1:4" ht="15.75" customHeight="1" x14ac:dyDescent="0.25">
      <c r="A1242" s="1" t="s">
        <v>2189</v>
      </c>
      <c r="B1242" s="1" t="s">
        <v>2179</v>
      </c>
      <c r="C1242" s="1" t="s">
        <v>1986</v>
      </c>
      <c r="D1242" s="1" t="str">
        <f ca="1">IFERROR(__xludf.DUMMYFUNCTION("GoogleTranslate(B1242,""ja"",""en"")"),"!")</f>
        <v>!</v>
      </c>
    </row>
    <row r="1243" spans="1:4" ht="15.75" customHeight="1" x14ac:dyDescent="0.25">
      <c r="A1243" s="1" t="s">
        <v>2190</v>
      </c>
      <c r="B1243" s="1" t="s">
        <v>4993</v>
      </c>
      <c r="C1243" s="1" t="s">
        <v>220</v>
      </c>
      <c r="D1243" s="1" t="str">
        <f ca="1">IFERROR(__xludf.DUMMYFUNCTION("GoogleTranslate(B1243,""ja"",""en"")"),"...")</f>
        <v>...</v>
      </c>
    </row>
    <row r="1244" spans="1:4" ht="15.75" customHeight="1" x14ac:dyDescent="0.25">
      <c r="A1244" s="1" t="s">
        <v>2191</v>
      </c>
      <c r="B1244" s="1" t="s">
        <v>2185</v>
      </c>
      <c r="C1244" s="1" t="s">
        <v>220</v>
      </c>
      <c r="D1244" s="1" t="str">
        <f ca="1">IFERROR(__xludf.DUMMYFUNCTION("GoogleTranslate(B1244,""ja"",""en"")"),"...")</f>
        <v>...</v>
      </c>
    </row>
    <row r="1245" spans="1:4" ht="15.75" customHeight="1" x14ac:dyDescent="0.25">
      <c r="A1245" s="1" t="s">
        <v>2192</v>
      </c>
      <c r="B1245" s="1" t="s">
        <v>4994</v>
      </c>
      <c r="C1245" s="1" t="s">
        <v>220</v>
      </c>
      <c r="D1245" s="1" t="str">
        <f ca="1">IFERROR(__xludf.DUMMYFUNCTION("GoogleTranslate(B1245,""ja"",""en"")"),"...")</f>
        <v>...</v>
      </c>
    </row>
    <row r="1246" spans="1:4" ht="15.75" customHeight="1" x14ac:dyDescent="0.25">
      <c r="A1246" s="1" t="s">
        <v>2193</v>
      </c>
      <c r="B1246" s="1" t="s">
        <v>4995</v>
      </c>
      <c r="C1246" s="1" t="s">
        <v>2105</v>
      </c>
      <c r="D1246" s="1" t="str">
        <f ca="1">IFERROR(__xludf.DUMMYFUNCTION("GoogleTranslate(B1246,""ja"",""en"")"),"")</f>
        <v/>
      </c>
    </row>
    <row r="1247" spans="1:4" ht="15.75" customHeight="1" x14ac:dyDescent="0.25">
      <c r="A1247" s="1" t="s">
        <v>2194</v>
      </c>
      <c r="B1247" s="1" t="s">
        <v>4996</v>
      </c>
      <c r="C1247" s="1" t="s">
        <v>216</v>
      </c>
      <c r="D1247" s="1" t="str">
        <f ca="1">IFERROR(__xludf.DUMMYFUNCTION("GoogleTranslate(B1247,""ja"",""en"")"),"?")</f>
        <v>?</v>
      </c>
    </row>
    <row r="1248" spans="1:4" ht="15.75" customHeight="1" x14ac:dyDescent="0.25">
      <c r="A1248" s="1" t="s">
        <v>2195</v>
      </c>
      <c r="B1248" s="1" t="s">
        <v>4997</v>
      </c>
      <c r="C1248" s="1" t="s">
        <v>220</v>
      </c>
      <c r="D1248" s="1" t="str">
        <f ca="1">IFERROR(__xludf.DUMMYFUNCTION("GoogleTranslate(B1248,""ja"",""en"")"),"...")</f>
        <v>...</v>
      </c>
    </row>
    <row r="1249" spans="1:4" ht="15.75" customHeight="1" x14ac:dyDescent="0.25">
      <c r="A1249" s="1" t="s">
        <v>2196</v>
      </c>
      <c r="B1249" s="1" t="s">
        <v>4998</v>
      </c>
      <c r="C1249" s="1" t="s">
        <v>386</v>
      </c>
      <c r="D1249" s="1" t="str">
        <f ca="1">IFERROR(__xludf.DUMMYFUNCTION("GoogleTranslate(B1249,""ja"",""en"")"),"Or")</f>
        <v>Or</v>
      </c>
    </row>
    <row r="1250" spans="1:4" ht="15.75" customHeight="1" x14ac:dyDescent="0.25">
      <c r="A1250" s="1" t="s">
        <v>2197</v>
      </c>
      <c r="B1250" s="1" t="s">
        <v>4999</v>
      </c>
      <c r="C1250" s="1" t="s">
        <v>220</v>
      </c>
      <c r="D1250" s="1" t="str">
        <f ca="1">IFERROR(__xludf.DUMMYFUNCTION("GoogleTranslate(B1250,""ja"",""en"")"),"...")</f>
        <v>...</v>
      </c>
    </row>
    <row r="1251" spans="1:4" ht="15.75" customHeight="1" x14ac:dyDescent="0.25">
      <c r="A1251" s="1" t="s">
        <v>2198</v>
      </c>
      <c r="B1251" s="1" t="s">
        <v>5000</v>
      </c>
      <c r="C1251" s="1" t="s">
        <v>1986</v>
      </c>
      <c r="D1251" s="1" t="str">
        <f ca="1">IFERROR(__xludf.DUMMYFUNCTION("GoogleTranslate(B1251,""ja"",""en"")"),"!")</f>
        <v>!</v>
      </c>
    </row>
    <row r="1252" spans="1:4" ht="15.75" customHeight="1" x14ac:dyDescent="0.25">
      <c r="A1252" s="1" t="s">
        <v>2199</v>
      </c>
      <c r="B1252" s="1" t="s">
        <v>5001</v>
      </c>
      <c r="C1252" s="1" t="s">
        <v>1986</v>
      </c>
      <c r="D1252" s="1" t="str">
        <f ca="1">IFERROR(__xludf.DUMMYFUNCTION("GoogleTranslate(B1252,""ja"",""en"")"),"!")</f>
        <v>!</v>
      </c>
    </row>
    <row r="1253" spans="1:4" ht="15.75" customHeight="1" x14ac:dyDescent="0.25">
      <c r="A1253" s="1" t="s">
        <v>2200</v>
      </c>
      <c r="B1253" s="1" t="s">
        <v>5002</v>
      </c>
      <c r="C1253" s="1" t="s">
        <v>404</v>
      </c>
      <c r="D1253" s="1" t="str">
        <f ca="1">IFERROR(__xludf.DUMMYFUNCTION("GoogleTranslate(B1253,""ja"",""en"")"),"Ya")</f>
        <v>Ya</v>
      </c>
    </row>
    <row r="1254" spans="1:4" ht="15.75" customHeight="1" x14ac:dyDescent="0.25">
      <c r="A1254" s="1" t="s">
        <v>2201</v>
      </c>
      <c r="B1254" s="1" t="s">
        <v>2192</v>
      </c>
      <c r="C1254" s="1" t="s">
        <v>1986</v>
      </c>
      <c r="D1254" s="1" t="str">
        <f ca="1">IFERROR(__xludf.DUMMYFUNCTION("GoogleTranslate(B1254,""ja"",""en"")"),"!")</f>
        <v>!</v>
      </c>
    </row>
    <row r="1255" spans="1:4" ht="15.75" customHeight="1" x14ac:dyDescent="0.25">
      <c r="A1255" s="1" t="s">
        <v>2202</v>
      </c>
      <c r="B1255" s="1" t="s">
        <v>5003</v>
      </c>
      <c r="C1255" s="1" t="s">
        <v>1986</v>
      </c>
      <c r="D1255" s="1" t="str">
        <f ca="1">IFERROR(__xludf.DUMMYFUNCTION("GoogleTranslate(B1255,""ja"",""en"")"),"!")</f>
        <v>!</v>
      </c>
    </row>
    <row r="1256" spans="1:4" ht="15.75" customHeight="1" x14ac:dyDescent="0.25">
      <c r="A1256" s="1" t="s">
        <v>2203</v>
      </c>
      <c r="B1256" s="1" t="s">
        <v>2194</v>
      </c>
      <c r="C1256" s="1" t="s">
        <v>220</v>
      </c>
      <c r="D1256" s="1" t="str">
        <f ca="1">IFERROR(__xludf.DUMMYFUNCTION("GoogleTranslate(B1256,""ja"",""en"")"),"...")</f>
        <v>...</v>
      </c>
    </row>
    <row r="1257" spans="1:4" ht="15.75" customHeight="1" x14ac:dyDescent="0.25">
      <c r="A1257" s="1" t="s">
        <v>2204</v>
      </c>
      <c r="B1257" s="1" t="s">
        <v>5004</v>
      </c>
      <c r="C1257" s="1" t="s">
        <v>216</v>
      </c>
      <c r="D1257" s="1" t="str">
        <f ca="1">IFERROR(__xludf.DUMMYFUNCTION("GoogleTranslate(B1257,""ja"",""en"")"),"?")</f>
        <v>?</v>
      </c>
    </row>
    <row r="1258" spans="1:4" ht="15.75" customHeight="1" x14ac:dyDescent="0.25">
      <c r="A1258" s="1" t="s">
        <v>2205</v>
      </c>
      <c r="B1258" s="1" t="s">
        <v>2202</v>
      </c>
      <c r="C1258" s="1" t="s">
        <v>343</v>
      </c>
      <c r="D1258" s="1" t="str">
        <f ca="1">IFERROR(__xludf.DUMMYFUNCTION("GoogleTranslate(B1258,""ja"",""en"")"),"Over")</f>
        <v>Over</v>
      </c>
    </row>
    <row r="1259" spans="1:4" ht="15.75" customHeight="1" x14ac:dyDescent="0.25">
      <c r="A1259" s="1" t="s">
        <v>2206</v>
      </c>
      <c r="B1259" s="1" t="s">
        <v>5005</v>
      </c>
      <c r="C1259" s="1" t="s">
        <v>826</v>
      </c>
      <c r="D1259" s="1" t="str">
        <f ca="1">IFERROR(__xludf.DUMMYFUNCTION("GoogleTranslate(B1259,""ja"",""en"")"),"demon")</f>
        <v>demon</v>
      </c>
    </row>
    <row r="1260" spans="1:4" ht="15.75" customHeight="1" x14ac:dyDescent="0.25">
      <c r="A1260" s="1" t="s">
        <v>2207</v>
      </c>
      <c r="B1260" s="1" t="s">
        <v>5006</v>
      </c>
      <c r="C1260" s="1" t="s">
        <v>2208</v>
      </c>
      <c r="D1260" s="1" t="str">
        <f ca="1">IFERROR(__xludf.DUMMYFUNCTION("GoogleTranslate(B1260,""ja"",""en"")"),"Ichiro")</f>
        <v>Ichiro</v>
      </c>
    </row>
    <row r="1261" spans="1:4" ht="15.75" customHeight="1" x14ac:dyDescent="0.25">
      <c r="A1261" s="1" t="s">
        <v>2209</v>
      </c>
      <c r="B1261" s="1" t="s">
        <v>5007</v>
      </c>
      <c r="C1261" s="1" t="s">
        <v>1812</v>
      </c>
      <c r="D1261" s="1" t="str">
        <f ca="1">IFERROR(__xludf.DUMMYFUNCTION("GoogleTranslate(B1261,""ja"",""en"")"),"three")</f>
        <v>three</v>
      </c>
    </row>
    <row r="1262" spans="1:4" ht="15.75" customHeight="1" x14ac:dyDescent="0.25">
      <c r="A1262" s="1" t="s">
        <v>2210</v>
      </c>
      <c r="B1262" s="1" t="s">
        <v>5008</v>
      </c>
      <c r="C1262" s="1" t="s">
        <v>2211</v>
      </c>
      <c r="D1262" s="1" t="str">
        <f ca="1">IFERROR(__xludf.DUMMYFUNCTION("GoogleTranslate(B1262,""ja"",""en"")"),"Weight")</f>
        <v>Weight</v>
      </c>
    </row>
    <row r="1263" spans="1:4" ht="15.75" customHeight="1" x14ac:dyDescent="0.25">
      <c r="A1263" s="1" t="s">
        <v>2212</v>
      </c>
      <c r="B1263" s="1" t="s">
        <v>5009</v>
      </c>
      <c r="C1263" s="1" t="s">
        <v>1808</v>
      </c>
      <c r="D1263" s="1" t="str">
        <f ca="1">IFERROR(__xludf.DUMMYFUNCTION("GoogleTranslate(B1263,""ja"",""en"")"),"one")</f>
        <v>one</v>
      </c>
    </row>
    <row r="1264" spans="1:4" ht="15.75" customHeight="1" x14ac:dyDescent="0.25">
      <c r="A1264" s="1" t="s">
        <v>2213</v>
      </c>
      <c r="B1264" s="1" t="s">
        <v>2205</v>
      </c>
      <c r="C1264" s="1" t="s">
        <v>2214</v>
      </c>
      <c r="D1264" s="1" t="str">
        <f ca="1">IFERROR(__xludf.DUMMYFUNCTION("GoogleTranslate(B1264,""ja"",""en"")"),"snow")</f>
        <v>snow</v>
      </c>
    </row>
    <row r="1265" spans="1:4" ht="15.75" customHeight="1" x14ac:dyDescent="0.25">
      <c r="A1265" s="1" t="s">
        <v>2215</v>
      </c>
      <c r="B1265" s="1" t="s">
        <v>5010</v>
      </c>
      <c r="C1265" s="1" t="s">
        <v>2216</v>
      </c>
      <c r="D1265" s="1" t="str">
        <f ca="1">IFERROR(__xludf.DUMMYFUNCTION("GoogleTranslate(B1265,""ja"",""en"")"),"spring")</f>
        <v>spring</v>
      </c>
    </row>
    <row r="1266" spans="1:4" ht="15.75" customHeight="1" x14ac:dyDescent="0.25">
      <c r="A1266" s="1" t="s">
        <v>2217</v>
      </c>
      <c r="B1266" s="1" t="s">
        <v>5011</v>
      </c>
      <c r="C1266" s="1" t="s">
        <v>2218</v>
      </c>
      <c r="D1266" s="1" t="str">
        <f ca="1">IFERROR(__xludf.DUMMYFUNCTION("GoogleTranslate(B1266,""ja"",""en"")"),"Hayao")</f>
        <v>Hayao</v>
      </c>
    </row>
    <row r="1267" spans="1:4" ht="15.75" customHeight="1" x14ac:dyDescent="0.25">
      <c r="A1267" s="1" t="s">
        <v>2219</v>
      </c>
      <c r="B1267" s="1" t="s">
        <v>5012</v>
      </c>
      <c r="C1267" s="1" t="s">
        <v>2220</v>
      </c>
      <c r="D1267" s="1" t="str">
        <f ca="1">IFERROR(__xludf.DUMMYFUNCTION("GoogleTranslate(B1267,""ja"",""en"")"),"Eight")</f>
        <v>Eight</v>
      </c>
    </row>
    <row r="1268" spans="1:4" ht="15.75" customHeight="1" x14ac:dyDescent="0.25">
      <c r="A1268" s="1" t="s">
        <v>2221</v>
      </c>
      <c r="B1268" s="1" t="s">
        <v>5013</v>
      </c>
      <c r="C1268" s="1" t="s">
        <v>2222</v>
      </c>
      <c r="D1268" s="1" t="str">
        <f ca="1">IFERROR(__xludf.DUMMYFUNCTION("GoogleTranslate(B1268,""ja"",""en"")"),"Toru")</f>
        <v>Toru</v>
      </c>
    </row>
    <row r="1269" spans="1:4" ht="15.75" customHeight="1" x14ac:dyDescent="0.25">
      <c r="A1269" s="1" t="s">
        <v>2223</v>
      </c>
      <c r="B1269" s="1" t="s">
        <v>5014</v>
      </c>
      <c r="C1269" s="1" t="s">
        <v>2224</v>
      </c>
      <c r="D1269" s="1" t="str">
        <f ca="1">IFERROR(__xludf.DUMMYFUNCTION("GoogleTranslate(B1269,""ja"",""en"")"),"Kiss")</f>
        <v>Kiss</v>
      </c>
    </row>
    <row r="1270" spans="1:4" ht="15.75" customHeight="1" x14ac:dyDescent="0.25">
      <c r="A1270" s="1" t="s">
        <v>2225</v>
      </c>
      <c r="B1270" s="1" t="s">
        <v>2210</v>
      </c>
      <c r="C1270" s="1" t="s">
        <v>2226</v>
      </c>
      <c r="D1270" s="1" t="str">
        <f ca="1">IFERROR(__xludf.DUMMYFUNCTION("GoogleTranslate(B1270,""ja"",""en"")"),"Kei")</f>
        <v>Kei</v>
      </c>
    </row>
    <row r="1271" spans="1:4" ht="15.75" customHeight="1" x14ac:dyDescent="0.25">
      <c r="A1271" s="1" t="s">
        <v>2227</v>
      </c>
      <c r="B1271" s="1" t="s">
        <v>5015</v>
      </c>
      <c r="C1271" s="1" t="s">
        <v>2228</v>
      </c>
      <c r="D1271" s="1" t="str">
        <f ca="1">IFERROR(__xludf.DUMMYFUNCTION("GoogleTranslate(B1271,""ja"",""en"")"),"Osamu")</f>
        <v>Osamu</v>
      </c>
    </row>
    <row r="1272" spans="1:4" ht="15.75" customHeight="1" x14ac:dyDescent="0.25">
      <c r="A1272" s="1" t="s">
        <v>2229</v>
      </c>
      <c r="B1272" s="1" t="s">
        <v>5016</v>
      </c>
      <c r="C1272" s="1" t="s">
        <v>2230</v>
      </c>
      <c r="D1272" s="1" t="str">
        <f ca="1">IFERROR(__xludf.DUMMYFUNCTION("GoogleTranslate(B1272,""ja"",""en"")"),"Yoshihiko")</f>
        <v>Yoshihiko</v>
      </c>
    </row>
    <row r="1273" spans="1:4" ht="15.75" customHeight="1" x14ac:dyDescent="0.25">
      <c r="A1273" s="1" t="s">
        <v>2231</v>
      </c>
      <c r="B1273" s="1" t="s">
        <v>5017</v>
      </c>
      <c r="C1273" s="1" t="s">
        <v>2232</v>
      </c>
      <c r="D1273" s="1" t="str">
        <f ca="1">IFERROR(__xludf.DUMMYFUNCTION("GoogleTranslate(B1273,""ja"",""en"")"),"Warehouse")</f>
        <v>Warehouse</v>
      </c>
    </row>
    <row r="1274" spans="1:4" ht="15.75" customHeight="1" x14ac:dyDescent="0.25">
      <c r="A1274" s="1" t="s">
        <v>2233</v>
      </c>
      <c r="B1274" s="1" t="s">
        <v>5018</v>
      </c>
      <c r="C1274" s="1" t="s">
        <v>2234</v>
      </c>
      <c r="D1274" s="1" t="str">
        <f ca="1">IFERROR(__xludf.DUMMYFUNCTION("GoogleTranslate(B1274,""ja"",""en"")"),"Luck")</f>
        <v>Luck</v>
      </c>
    </row>
    <row r="1275" spans="1:4" ht="15.75" customHeight="1" x14ac:dyDescent="0.25">
      <c r="A1275" s="1" t="s">
        <v>2235</v>
      </c>
      <c r="B1275" s="1" t="s">
        <v>5019</v>
      </c>
      <c r="C1275" s="1" t="s">
        <v>2236</v>
      </c>
      <c r="D1275" s="1" t="str">
        <f ca="1">IFERROR(__xludf.DUMMYFUNCTION("GoogleTranslate(B1275,""ja"",""en"")"),"Soji Okita")</f>
        <v>Soji Okita</v>
      </c>
    </row>
    <row r="1276" spans="1:4" ht="15.75" customHeight="1" x14ac:dyDescent="0.25">
      <c r="A1276" s="1" t="s">
        <v>2237</v>
      </c>
      <c r="B1276" s="1" t="s">
        <v>2217</v>
      </c>
      <c r="C1276" s="1" t="s">
        <v>2238</v>
      </c>
      <c r="D1276" s="1" t="str">
        <f ca="1">IFERROR(__xludf.DUMMYFUNCTION("GoogleTranslate(B1276,""ja"",""en"")"),"Shinpachi Nagakura")</f>
        <v>Shinpachi Nagakura</v>
      </c>
    </row>
    <row r="1277" spans="1:4" ht="15.75" customHeight="1" x14ac:dyDescent="0.25">
      <c r="A1277" s="1" t="s">
        <v>2239</v>
      </c>
      <c r="B1277" s="1" t="s">
        <v>5020</v>
      </c>
      <c r="C1277" s="1" t="s">
        <v>2240</v>
      </c>
      <c r="D1277" s="1" t="str">
        <f ca="1">IFERROR(__xludf.DUMMYFUNCTION("GoogleTranslate(B1277,""ja"",""en"")"),"Kogoro Katsura")</f>
        <v>Kogoro Katsura</v>
      </c>
    </row>
    <row r="1278" spans="1:4" ht="15.75" customHeight="1" x14ac:dyDescent="0.25">
      <c r="A1278" s="1" t="s">
        <v>2241</v>
      </c>
      <c r="B1278" s="1" t="s">
        <v>5021</v>
      </c>
      <c r="C1278" s="1" t="s">
        <v>2242</v>
      </c>
      <c r="D1278" s="1" t="str">
        <f ca="1">IFERROR(__xludf.DUMMYFUNCTION("GoogleTranslate(B1278,""ja"",""en"")"),"Kichinosuke Saigo")</f>
        <v>Kichinosuke Saigo</v>
      </c>
    </row>
    <row r="1279" spans="1:4" ht="15.75" customHeight="1" x14ac:dyDescent="0.25">
      <c r="A1279" s="1" t="s">
        <v>2243</v>
      </c>
      <c r="B1279" s="1" t="s">
        <v>5022</v>
      </c>
      <c r="C1279" s="1" t="s">
        <v>2244</v>
      </c>
      <c r="D1279" s="1" t="str">
        <f ca="1">IFERROR(__xludf.DUMMYFUNCTION("GoogleTranslate(B1279,""ja"",""en"")"),"Be this was coming!")</f>
        <v>Be this was coming!</v>
      </c>
    </row>
    <row r="1280" spans="1:4" ht="15.75" customHeight="1" x14ac:dyDescent="0.25">
      <c r="A1280" s="1" t="s">
        <v>2245</v>
      </c>
      <c r="B1280" s="1" t="s">
        <v>5023</v>
      </c>
      <c r="C1280" s="1" t="s">
        <v>2246</v>
      </c>
      <c r="D1280" s="1" t="str">
        <f ca="1">IFERROR(__xludf.DUMMYFUNCTION("GoogleTranslate(B1280,""ja"",""en"")"),"This is I'm not ...")</f>
        <v>This is I'm not ...</v>
      </c>
    </row>
    <row r="1281" spans="1:4" ht="15.75" customHeight="1" x14ac:dyDescent="0.25">
      <c r="A1281" s="1" t="s">
        <v>2247</v>
      </c>
      <c r="B1281" s="1" t="s">
        <v>5024</v>
      </c>
      <c r="C1281" s="1" t="s">
        <v>2248</v>
      </c>
      <c r="D1281" s="1" t="str">
        <f ca="1">IFERROR(__xludf.DUMMYFUNCTION("GoogleTranslate(B1281,""ja"",""en"")"),"Or rather ...")</f>
        <v>Or rather ...</v>
      </c>
    </row>
    <row r="1282" spans="1:4" ht="15.75" customHeight="1" x14ac:dyDescent="0.25">
      <c r="A1282" s="1" t="s">
        <v>2249</v>
      </c>
      <c r="B1282" s="1" t="s">
        <v>5025</v>
      </c>
      <c r="C1282" s="1" t="s">
        <v>2250</v>
      </c>
      <c r="D1282" s="1" t="str">
        <f ca="1">IFERROR(__xludf.DUMMYFUNCTION("GoogleTranslate(B1282,""ja"",""en"")"),"I wonder not aligned yet")</f>
        <v>I wonder not aligned yet</v>
      </c>
    </row>
    <row r="1283" spans="1:4" ht="15.75" customHeight="1" x14ac:dyDescent="0.25">
      <c r="A1283" s="1" t="s">
        <v>2251</v>
      </c>
      <c r="B1283" s="1" t="s">
        <v>5026</v>
      </c>
      <c r="C1283" s="1" t="s">
        <v>2252</v>
      </c>
      <c r="D1283" s="1" t="str">
        <f ca="1">IFERROR(__xludf.DUMMYFUNCTION("GoogleTranslate(B1283,""ja"",""en"")"),"Kana to reach ...")</f>
        <v>Kana to reach ...</v>
      </c>
    </row>
    <row r="1284" spans="1:4" ht="15.75" customHeight="1" x14ac:dyDescent="0.25">
      <c r="A1284" s="1" t="s">
        <v>2253</v>
      </c>
      <c r="B1284" s="1" t="s">
        <v>5027</v>
      </c>
      <c r="C1284" s="1" t="s">
        <v>2254</v>
      </c>
      <c r="D1284" s="1" t="str">
        <f ca="1">IFERROR(__xludf.DUMMYFUNCTION("GoogleTranslate(B1284,""ja"",""en"")"),"I want to Tsumo ...")</f>
        <v>I want to Tsumo ...</v>
      </c>
    </row>
    <row r="1285" spans="1:4" ht="15.75" customHeight="1" x14ac:dyDescent="0.25">
      <c r="A1285" s="1" t="s">
        <v>2255</v>
      </c>
      <c r="B1285" s="1" t="s">
        <v>2243</v>
      </c>
      <c r="C1285" s="1" t="s">
        <v>2256</v>
      </c>
      <c r="D1285" s="1" t="str">
        <f ca="1">IFERROR(__xludf.DUMMYFUNCTION("GoogleTranslate(B1285,""ja"",""en"")"),"Chau point of argument!")</f>
        <v>Chau point of argument!</v>
      </c>
    </row>
    <row r="1286" spans="1:4" ht="15.75" customHeight="1" x14ac:dyDescent="0.25">
      <c r="A1286" s="1" t="s">
        <v>2257</v>
      </c>
      <c r="B1286" s="1" t="s">
        <v>5028</v>
      </c>
      <c r="C1286" s="1" t="s">
        <v>2258</v>
      </c>
      <c r="D1286" s="1" t="str">
        <f ca="1">IFERROR(__xludf.DUMMYFUNCTION("GoogleTranslate(B1286,""ja"",""en"")"),"Musical composition")</f>
        <v>Musical composition</v>
      </c>
    </row>
    <row r="1287" spans="1:4" ht="15.75" customHeight="1" x14ac:dyDescent="0.25">
      <c r="A1287" s="1" t="s">
        <v>2259</v>
      </c>
      <c r="B1287" s="1" t="s">
        <v>5029</v>
      </c>
      <c r="C1287" s="1" t="s">
        <v>2260</v>
      </c>
      <c r="D1287" s="1" t="str">
        <f ca="1">IFERROR(__xludf.DUMMYFUNCTION("GoogleTranslate(B1287,""ja"",""en"")"),"difficulty")</f>
        <v>difficulty</v>
      </c>
    </row>
    <row r="1288" spans="1:4" ht="15.75" customHeight="1" x14ac:dyDescent="0.25">
      <c r="A1288" s="1" t="s">
        <v>2261</v>
      </c>
      <c r="B1288" s="1" t="s">
        <v>5030</v>
      </c>
      <c r="C1288" s="1" t="s">
        <v>2262</v>
      </c>
      <c r="D1288" s="1" t="str">
        <f ca="1">IFERROR(__xludf.DUMMYFUNCTION("GoogleTranslate(B1288,""ja"",""en"")"),"highscore")</f>
        <v>highscore</v>
      </c>
    </row>
    <row r="1289" spans="1:4" ht="15.75" customHeight="1" x14ac:dyDescent="0.25">
      <c r="A1289" s="1" t="s">
        <v>2263</v>
      </c>
      <c r="B1289" s="1" t="s">
        <v>5031</v>
      </c>
      <c r="C1289" s="1" t="s">
        <v>2264</v>
      </c>
      <c r="D1289" s="1" t="str">
        <f ca="1">IFERROR(__xludf.DUMMYFUNCTION("GoogleTranslate(B1289,""ja"",""en"")"),"Most consecutive successful number")</f>
        <v>Most consecutive successful number</v>
      </c>
    </row>
    <row r="1290" spans="1:4" ht="15.75" customHeight="1" x14ac:dyDescent="0.25">
      <c r="A1290" s="1" t="s">
        <v>2265</v>
      </c>
      <c r="B1290" s="1" t="s">
        <v>5032</v>
      </c>
      <c r="C1290" s="1" t="s">
        <v>2266</v>
      </c>
      <c r="D1290" s="1" t="str">
        <f ca="1">IFERROR(__xludf.DUMMYFUNCTION("GoogleTranslate(B1290,""ja"",""en"")"),"Comprehensive evaluation")</f>
        <v>Comprehensive evaluation</v>
      </c>
    </row>
    <row r="1291" spans="1:4" ht="15.75" customHeight="1" x14ac:dyDescent="0.25">
      <c r="A1291" s="1" t="s">
        <v>2267</v>
      </c>
      <c r="B1291" s="1" t="s">
        <v>5033</v>
      </c>
      <c r="C1291" s="1" t="s">
        <v>2268</v>
      </c>
      <c r="D1291" s="1" t="str">
        <f ca="1">IFERROR(__xludf.DUMMYFUNCTION("GoogleTranslate(B1291,""ja"",""en"")"),"input")</f>
        <v>input</v>
      </c>
    </row>
    <row r="1292" spans="1:4" ht="15.75" customHeight="1" x14ac:dyDescent="0.25">
      <c r="A1292" s="1" t="s">
        <v>2269</v>
      </c>
      <c r="B1292" s="1" t="s">
        <v>5034</v>
      </c>
      <c r="C1292" s="1" t="s">
        <v>2270</v>
      </c>
      <c r="D1292" s="1" t="str">
        <f ca="1">IFERROR(__xludf.DUMMYFUNCTION("GoogleTranslate(B1292,""ja"",""en"")"),"Snowstorm ditty")</f>
        <v>Snowstorm ditty</v>
      </c>
    </row>
    <row r="1293" spans="1:4" ht="15.75" customHeight="1" x14ac:dyDescent="0.25">
      <c r="A1293" s="1" t="s">
        <v>2271</v>
      </c>
      <c r="B1293" s="1" t="s">
        <v>5035</v>
      </c>
      <c r="C1293" s="1" t="s">
        <v>2272</v>
      </c>
      <c r="D1293" s="1" t="str">
        <f ca="1">IFERROR(__xludf.DUMMYFUNCTION("GoogleTranslate(B1293,""ja"",""en"")"),"Samurai dance performance")</f>
        <v>Samurai dance performance</v>
      </c>
    </row>
    <row r="1294" spans="1:4" ht="15.75" customHeight="1" x14ac:dyDescent="0.25">
      <c r="A1294" s="1" t="s">
        <v>2273</v>
      </c>
      <c r="B1294" s="1" t="s">
        <v>5036</v>
      </c>
      <c r="C1294" s="1" t="s">
        <v>2274</v>
      </c>
      <c r="D1294" s="1" t="str">
        <f ca="1">IFERROR(__xludf.DUMMYFUNCTION("GoogleTranslate(B1294,""ja"",""en"")"),"Beat")</f>
        <v>Beat</v>
      </c>
    </row>
    <row r="1295" spans="1:4" ht="15.75" customHeight="1" x14ac:dyDescent="0.25">
      <c r="A1295" s="1" t="s">
        <v>2275</v>
      </c>
      <c r="B1295" s="1" t="s">
        <v>2263</v>
      </c>
      <c r="C1295" s="1" t="s">
        <v>2276</v>
      </c>
      <c r="D1295" s="1" t="str">
        <f ca="1">IFERROR(__xludf.DUMMYFUNCTION("GoogleTranslate(B1295,""ja"",""en"")"),"Ditty that banquet, etc. have danced singing for a long time among the common people. [N] enjoy Feel free to adults and children, the music of the entrance presence of dance.")</f>
        <v>Ditty that banquet, etc. have danced singing for a long time among the common people. [N] enjoy Feel free to adults and children, the music of the entrance presence of dance.</v>
      </c>
    </row>
    <row r="1296" spans="1:4" ht="15.75" customHeight="1" x14ac:dyDescent="0.25">
      <c r="A1296" s="1" t="s">
        <v>2277</v>
      </c>
      <c r="B1296" s="1" t="s">
        <v>5037</v>
      </c>
      <c r="C1296" s="1" t="s">
        <v>2278</v>
      </c>
      <c r="D1296" s="1" t="str">
        <f ca="1">IFERROR(__xludf.DUMMYFUNCTION("GoogleTranslate(B1296,""ja"",""en"")"),"Music was re-tailored for the dance performance to ""Samurai Ondo"" in the epidemic in Kyoto. [N] fun and elegance of the dance of Ondo can enjoy at the same time.")</f>
        <v>Music was re-tailored for the dance performance to "Samurai Ondo" in the epidemic in Kyoto. [N] fun and elegance of the dance of Ondo can enjoy at the same time.</v>
      </c>
    </row>
    <row r="1297" spans="1:4" ht="15.75" customHeight="1" x14ac:dyDescent="0.25">
      <c r="A1297" s="1" t="s">
        <v>2279</v>
      </c>
      <c r="B1297" s="1" t="s">
        <v>5038</v>
      </c>
      <c r="C1297" s="1" t="s">
        <v>2280</v>
      </c>
      <c r="D1297" s="1" t="str">
        <f ca="1">IFERROR(__xludf.DUMMYFUNCTION("GoogleTranslate(B1297,""ja"",""en"")"),"Music that expresses the brilliance of a man of passion and life to fight. [N] also in the elegance, no other song ""Heat"" is felt by.")</f>
        <v>Music that expresses the brilliance of a man of passion and life to fight. [N] also in the elegance, no other song "Heat" is felt by.</v>
      </c>
    </row>
    <row r="1298" spans="1:4" ht="15.75" customHeight="1" x14ac:dyDescent="0.25">
      <c r="A1298" s="1" t="s">
        <v>2281</v>
      </c>
      <c r="B1298" s="1" t="s">
        <v>5039</v>
      </c>
      <c r="C1298" s="1" t="s">
        <v>2282</v>
      </c>
      <c r="D1298" s="1" t="str">
        <f ca="1">IFERROR(__xludf.DUMMYFUNCTION("GoogleTranslate(B1298,""ja"",""en"")"),"Beginner")</f>
        <v>Beginner</v>
      </c>
    </row>
    <row r="1299" spans="1:4" ht="15.75" customHeight="1" x14ac:dyDescent="0.25">
      <c r="A1299" s="1" t="s">
        <v>2283</v>
      </c>
      <c r="B1299" s="1" t="s">
        <v>5040</v>
      </c>
      <c r="C1299" s="1" t="s">
        <v>2284</v>
      </c>
      <c r="D1299" s="1" t="str">
        <f ca="1">IFERROR(__xludf.DUMMYFUNCTION("GoogleTranslate(B1299,""ja"",""en"")"),"Common")</f>
        <v>Common</v>
      </c>
    </row>
    <row r="1300" spans="1:4" ht="15.75" customHeight="1" x14ac:dyDescent="0.25">
      <c r="A1300" s="1" t="s">
        <v>2285</v>
      </c>
      <c r="B1300" s="1" t="s">
        <v>5041</v>
      </c>
      <c r="C1300" s="1" t="s">
        <v>2286</v>
      </c>
      <c r="D1300" s="1" t="str">
        <f ca="1">IFERROR(__xludf.DUMMYFUNCTION("GoogleTranslate(B1300,""ja"",""en"")"),"Senior")</f>
        <v>Senior</v>
      </c>
    </row>
    <row r="1301" spans="1:4" ht="15.75" customHeight="1" x14ac:dyDescent="0.25">
      <c r="A1301" s="1" t="s">
        <v>2287</v>
      </c>
      <c r="B1301" s="1" t="s">
        <v>5042</v>
      </c>
      <c r="C1301" s="1" t="s">
        <v>2288</v>
      </c>
      <c r="D1301" s="1" t="str">
        <f ca="1">IFERROR(__xludf.DUMMYFUNCTION("GoogleTranslate(B1301,""ja"",""en"")"),"getting started")</f>
        <v>getting started</v>
      </c>
    </row>
    <row r="1302" spans="1:4" ht="15.75" customHeight="1" x14ac:dyDescent="0.25">
      <c r="A1302" s="1" t="s">
        <v>2289</v>
      </c>
      <c r="B1302" s="1" t="s">
        <v>5043</v>
      </c>
      <c r="C1302" s="1" t="s">
        <v>2290</v>
      </c>
      <c r="D1302" s="1" t="str">
        <f ca="1">IFERROR(__xludf.DUMMYFUNCTION("GoogleTranslate(B1302,""ja"",""en"")"),"Full-scale")</f>
        <v>Full-scale</v>
      </c>
    </row>
    <row r="1303" spans="1:4" ht="15.75" customHeight="1" x14ac:dyDescent="0.25">
      <c r="A1303" s="1" t="s">
        <v>2291</v>
      </c>
      <c r="B1303" s="1" t="s">
        <v>5044</v>
      </c>
      <c r="C1303" s="1" t="s">
        <v>2292</v>
      </c>
      <c r="D1303" s="1" t="str">
        <f ca="1">IFERROR(__xludf.DUMMYFUNCTION("GoogleTranslate(B1303,""ja"",""en"")"),"None")</f>
        <v>None</v>
      </c>
    </row>
    <row r="1304" spans="1:4" ht="15.75" customHeight="1" x14ac:dyDescent="0.25">
      <c r="A1304" s="1" t="s">
        <v>2293</v>
      </c>
      <c r="B1304" s="1" t="s">
        <v>5045</v>
      </c>
      <c r="C1304" s="1" t="s">
        <v>2294</v>
      </c>
      <c r="D1304" s="1" t="str">
        <f ca="1">IFERROR(__xludf.DUMMYFUNCTION("GoogleTranslate(B1304,""ja"",""en"")"),"out of the question")</f>
        <v>out of the question</v>
      </c>
    </row>
    <row r="1305" spans="1:4" ht="15.75" customHeight="1" x14ac:dyDescent="0.25">
      <c r="A1305" s="1" t="s">
        <v>2295</v>
      </c>
      <c r="B1305" s="1" t="s">
        <v>5046</v>
      </c>
      <c r="C1305" s="1" t="s">
        <v>2296</v>
      </c>
      <c r="D1305" s="1" t="str">
        <f ca="1">IFERROR(__xludf.DUMMYFUNCTION("GoogleTranslate(B1305,""ja"",""en"")"),"Third rate")</f>
        <v>Third rate</v>
      </c>
    </row>
    <row r="1306" spans="1:4" ht="15.75" customHeight="1" x14ac:dyDescent="0.25">
      <c r="A1306" s="1" t="s">
        <v>2297</v>
      </c>
      <c r="B1306" s="1" t="s">
        <v>5047</v>
      </c>
      <c r="C1306" s="1" t="s">
        <v>2298</v>
      </c>
      <c r="D1306" s="1" t="str">
        <f ca="1">IFERROR(__xludf.DUMMYFUNCTION("GoogleTranslate(B1306,""ja"",""en"")"),"Second rate")</f>
        <v>Second rate</v>
      </c>
    </row>
    <row r="1307" spans="1:4" ht="15.75" customHeight="1" x14ac:dyDescent="0.25">
      <c r="A1307" s="1" t="s">
        <v>2299</v>
      </c>
      <c r="B1307" s="1" t="s">
        <v>5048</v>
      </c>
      <c r="C1307" s="1" t="s">
        <v>2300</v>
      </c>
      <c r="D1307" s="1" t="str">
        <f ca="1">IFERROR(__xludf.DUMMYFUNCTION("GoogleTranslate(B1307,""ja"",""en"")"),"top notch")</f>
        <v>top notch</v>
      </c>
    </row>
    <row r="1308" spans="1:4" ht="15.75" customHeight="1" x14ac:dyDescent="0.25">
      <c r="A1308" s="1" t="s">
        <v>2301</v>
      </c>
      <c r="B1308" s="1" t="s">
        <v>5049</v>
      </c>
      <c r="C1308" s="1" t="s">
        <v>2302</v>
      </c>
      <c r="D1308" s="1" t="str">
        <f ca="1">IFERROR(__xludf.DUMMYFUNCTION("GoogleTranslate(B1308,""ja"",""en"")"),"Dance god")</f>
        <v>Dance god</v>
      </c>
    </row>
    <row r="1309" spans="1:4" ht="15.75" customHeight="1" x14ac:dyDescent="0.25">
      <c r="A1309" s="1" t="s">
        <v>2303</v>
      </c>
      <c r="B1309" s="1" t="s">
        <v>5050</v>
      </c>
      <c r="C1309" s="1" t="s">
        <v>2304</v>
      </c>
      <c r="D1309" s="1" t="str">
        <f ca="1">IFERROR(__xludf.DUMMYFUNCTION("GoogleTranslate(B1309,""ja"",""en"")"),"Ordeal Disrupt 1")</f>
        <v>Ordeal Disrupt 1</v>
      </c>
    </row>
    <row r="1310" spans="1:4" ht="15.75" customHeight="1" x14ac:dyDescent="0.25">
      <c r="A1310" s="1" t="s">
        <v>2305</v>
      </c>
      <c r="B1310" s="1" t="s">
        <v>5051</v>
      </c>
      <c r="C1310" s="1" t="s">
        <v>2306</v>
      </c>
      <c r="D1310" s="1" t="str">
        <f ca="1">IFERROR(__xludf.DUMMYFUNCTION("GoogleTranslate(B1310,""ja"",""en"")"),"Ordeal Disrupt 2")</f>
        <v>Ordeal Disrupt 2</v>
      </c>
    </row>
    <row r="1311" spans="1:4" ht="15.75" customHeight="1" x14ac:dyDescent="0.25">
      <c r="A1311" s="1" t="s">
        <v>2307</v>
      </c>
      <c r="B1311" s="1" t="s">
        <v>5052</v>
      </c>
      <c r="C1311" s="1" t="s">
        <v>2308</v>
      </c>
      <c r="D1311" s="1" t="str">
        <f ca="1">IFERROR(__xludf.DUMMYFUNCTION("GoogleTranslate(B1311,""ja"",""en"")"),"Ordeal Disrupt 3")</f>
        <v>Ordeal Disrupt 3</v>
      </c>
    </row>
    <row r="1312" spans="1:4" ht="15.75" customHeight="1" x14ac:dyDescent="0.25">
      <c r="A1312" s="1" t="s">
        <v>2309</v>
      </c>
      <c r="B1312" s="1" t="s">
        <v>5053</v>
      </c>
      <c r="C1312" s="1" t="s">
        <v>2310</v>
      </c>
      <c r="D1312" s="1" t="str">
        <f ca="1">IFERROR(__xludf.DUMMYFUNCTION("GoogleTranslate(B1312,""ja"",""en"")"),"Ordeal Disrupt 4")</f>
        <v>Ordeal Disrupt 4</v>
      </c>
    </row>
    <row r="1313" spans="1:4" ht="15.75" customHeight="1" x14ac:dyDescent="0.25">
      <c r="A1313" s="1" t="s">
        <v>2311</v>
      </c>
      <c r="B1313" s="1" t="s">
        <v>5054</v>
      </c>
      <c r="C1313" s="1" t="s">
        <v>2312</v>
      </c>
      <c r="D1313" s="1" t="str">
        <f ca="1">IFERROR(__xludf.DUMMYFUNCTION("GoogleTranslate(B1313,""ja"",""en"")"),"Ordeal Disrupt 5")</f>
        <v>Ordeal Disrupt 5</v>
      </c>
    </row>
    <row r="1314" spans="1:4" ht="15.75" customHeight="1" x14ac:dyDescent="0.25">
      <c r="A1314" s="1" t="s">
        <v>2313</v>
      </c>
      <c r="B1314" s="1" t="s">
        <v>5055</v>
      </c>
      <c r="C1314" s="1" t="s">
        <v>2314</v>
      </c>
      <c r="D1314" s="1" t="str">
        <f ca="1">IFERROR(__xludf.DUMMYFUNCTION("GoogleTranslate(B1314,""ja"",""en"")"),"Ordeal Disrupt 6")</f>
        <v>Ordeal Disrupt 6</v>
      </c>
    </row>
    <row r="1315" spans="1:4" ht="15.75" customHeight="1" x14ac:dyDescent="0.25">
      <c r="A1315" s="1" t="s">
        <v>2315</v>
      </c>
      <c r="B1315" s="1" t="s">
        <v>5056</v>
      </c>
      <c r="C1315" s="1" t="s">
        <v>2316</v>
      </c>
      <c r="D1315" s="1" t="str">
        <f ca="1">IFERROR(__xludf.DUMMYFUNCTION("GoogleTranslate(B1315,""ja"",""en"")"),"Ordeal Disrupt 7")</f>
        <v>Ordeal Disrupt 7</v>
      </c>
    </row>
    <row r="1316" spans="1:4" ht="15.75" customHeight="1" x14ac:dyDescent="0.25">
      <c r="A1316" s="1" t="s">
        <v>2317</v>
      </c>
      <c r="B1316" s="1" t="s">
        <v>5057</v>
      </c>
      <c r="C1316" s="1" t="s">
        <v>2318</v>
      </c>
      <c r="D1316" s="1" t="str">
        <f ca="1">IFERROR(__xludf.DUMMYFUNCTION("GoogleTranslate(B1316,""ja"",""en"")"),"Ordeal Disrupt 8")</f>
        <v>Ordeal Disrupt 8</v>
      </c>
    </row>
    <row r="1317" spans="1:4" ht="15.75" customHeight="1" x14ac:dyDescent="0.25">
      <c r="A1317" s="1" t="s">
        <v>2319</v>
      </c>
      <c r="B1317" s="1" t="s">
        <v>2303</v>
      </c>
      <c r="C1317" s="1" t="s">
        <v>2320</v>
      </c>
      <c r="D1317" s="1" t="str">
        <f ca="1">IFERROR(__xludf.DUMMYFUNCTION("GoogleTranslate(B1317,""ja"",""en"")"),"Ordeal Disrupt 9")</f>
        <v>Ordeal Disrupt 9</v>
      </c>
    </row>
    <row r="1318" spans="1:4" ht="15.75" customHeight="1" x14ac:dyDescent="0.25">
      <c r="A1318" s="1" t="s">
        <v>2321</v>
      </c>
      <c r="B1318" s="1" t="s">
        <v>2305</v>
      </c>
      <c r="C1318" s="1" t="s">
        <v>2322</v>
      </c>
      <c r="D1318" s="1" t="str">
        <f ca="1">IFERROR(__xludf.DUMMYFUNCTION("GoogleTranslate(B1318,""ja"",""en"")"),"Ordeal Disrupt 10")</f>
        <v>Ordeal Disrupt 10</v>
      </c>
    </row>
    <row r="1319" spans="1:4" ht="15.75" customHeight="1" x14ac:dyDescent="0.25">
      <c r="A1319" s="1" t="s">
        <v>2323</v>
      </c>
      <c r="B1319" s="1" t="s">
        <v>2307</v>
      </c>
      <c r="C1319" s="1" t="s">
        <v>2324</v>
      </c>
      <c r="D1319" s="1" t="str">
        <f ca="1">IFERROR(__xludf.DUMMYFUNCTION("GoogleTranslate(B1319,""ja"",""en"")"),"Ordeal Disrupt final")</f>
        <v>Ordeal Disrupt final</v>
      </c>
    </row>
    <row r="1320" spans="1:4" ht="15.75" customHeight="1" x14ac:dyDescent="0.25">
      <c r="A1320" s="1" t="s">
        <v>2325</v>
      </c>
      <c r="B1320" s="1" t="s">
        <v>2315</v>
      </c>
      <c r="C1320" s="1" t="s">
        <v>2326</v>
      </c>
      <c r="D1320" s="1" t="str">
        <f ca="1">IFERROR(__xludf.DUMMYFUNCTION("GoogleTranslate(B1320,""ja"",""en"")"),"What Please choose whether to challenge the test.")</f>
        <v>What Please choose whether to challenge the test.</v>
      </c>
    </row>
    <row r="1321" spans="1:4" ht="15.75" customHeight="1" x14ac:dyDescent="0.25">
      <c r="A1321" s="1" t="s">
        <v>2327</v>
      </c>
      <c r="B1321" s="1" t="s">
        <v>5058</v>
      </c>
      <c r="C1321" s="1" t="s">
        <v>216</v>
      </c>
      <c r="D1321" s="1" t="str">
        <f ca="1">IFERROR(__xludf.DUMMYFUNCTION("GoogleTranslate(B1321,""ja"",""en"")"),"?")</f>
        <v>?</v>
      </c>
    </row>
    <row r="1322" spans="1:4" ht="15.75" customHeight="1" x14ac:dyDescent="0.25">
      <c r="A1322" s="1" t="s">
        <v>2328</v>
      </c>
      <c r="B1322" s="1" t="s">
        <v>5059</v>
      </c>
      <c r="C1322" s="1" t="s">
        <v>216</v>
      </c>
      <c r="D1322" s="1" t="str">
        <f ca="1">IFERROR(__xludf.DUMMYFUNCTION("GoogleTranslate(B1322,""ja"",""en"")"),"?")</f>
        <v>?</v>
      </c>
    </row>
    <row r="1323" spans="1:4" ht="15.75" customHeight="1" x14ac:dyDescent="0.25">
      <c r="A1323" s="1" t="s">
        <v>2329</v>
      </c>
      <c r="B1323" s="1" t="s">
        <v>5060</v>
      </c>
      <c r="C1323" s="1" t="s">
        <v>2330</v>
      </c>
      <c r="D1323" s="1" t="str">
        <f ca="1">IFERROR(__xludf.DUMMYFUNCTION("GoogleTranslate(B1323,""ja"",""en"")"),"Key")</f>
        <v>Key</v>
      </c>
    </row>
    <row r="1324" spans="1:4" ht="15.75" customHeight="1" x14ac:dyDescent="0.25">
      <c r="A1324" s="1" t="s">
        <v>2331</v>
      </c>
      <c r="B1324" s="1" t="s">
        <v>5061</v>
      </c>
      <c r="C1324" s="1" t="s">
        <v>354</v>
      </c>
      <c r="D1324" s="1" t="str">
        <f ca="1">IFERROR(__xludf.DUMMYFUNCTION("GoogleTranslate(B1324,""ja"",""en"")"),"Have")</f>
        <v>Have</v>
      </c>
    </row>
    <row r="1325" spans="1:4" ht="15.75" customHeight="1" x14ac:dyDescent="0.25">
      <c r="A1325" s="1" t="s">
        <v>2332</v>
      </c>
      <c r="B1325" s="1" t="s">
        <v>5062</v>
      </c>
      <c r="C1325" s="1" t="s">
        <v>1368</v>
      </c>
      <c r="D1325" s="1" t="str">
        <f ca="1">IFERROR(__xludf.DUMMYFUNCTION("GoogleTranslate(B1325,""ja"",""en"")"),"To")</f>
        <v>To</v>
      </c>
    </row>
    <row r="1326" spans="1:4" ht="15.75" customHeight="1" x14ac:dyDescent="0.25">
      <c r="A1326" s="1" t="s">
        <v>2333</v>
      </c>
      <c r="B1326" s="1" t="s">
        <v>5063</v>
      </c>
      <c r="C1326" s="1" t="s">
        <v>1368</v>
      </c>
      <c r="D1326" s="1" t="str">
        <f ca="1">IFERROR(__xludf.DUMMYFUNCTION("GoogleTranslate(B1326,""ja"",""en"")"),"To")</f>
        <v>To</v>
      </c>
    </row>
    <row r="1327" spans="1:4" ht="15.75" customHeight="1" x14ac:dyDescent="0.25">
      <c r="A1327" s="1" t="s">
        <v>2334</v>
      </c>
      <c r="B1327" s="1" t="s">
        <v>5064</v>
      </c>
      <c r="C1327" s="1" t="s">
        <v>1368</v>
      </c>
      <c r="D1327" s="1" t="str">
        <f ca="1">IFERROR(__xludf.DUMMYFUNCTION("GoogleTranslate(B1327,""ja"",""en"")"),"To")</f>
        <v>To</v>
      </c>
    </row>
    <row r="1328" spans="1:4" ht="15.75" customHeight="1" x14ac:dyDescent="0.25">
      <c r="A1328" s="1" t="s">
        <v>2335</v>
      </c>
      <c r="B1328" s="1" t="s">
        <v>5065</v>
      </c>
      <c r="C1328" s="1" t="s">
        <v>1986</v>
      </c>
      <c r="D1328" s="1" t="str">
        <f ca="1">IFERROR(__xludf.DUMMYFUNCTION("GoogleTranslate(B1328,""ja"",""en"")"),"!")</f>
        <v>!</v>
      </c>
    </row>
    <row r="1329" spans="1:4" ht="15.75" customHeight="1" x14ac:dyDescent="0.25">
      <c r="A1329" s="1" t="s">
        <v>2336</v>
      </c>
      <c r="B1329" s="1" t="s">
        <v>5066</v>
      </c>
      <c r="C1329" s="1" t="s">
        <v>362</v>
      </c>
      <c r="D1329" s="1" t="str">
        <f ca="1">IFERROR(__xludf.DUMMYFUNCTION("GoogleTranslate(B1329,""ja"",""en"")"),"Hmm")</f>
        <v>Hmm</v>
      </c>
    </row>
    <row r="1330" spans="1:4" ht="15.75" customHeight="1" x14ac:dyDescent="0.25">
      <c r="A1330" s="1" t="s">
        <v>2337</v>
      </c>
      <c r="B1330" s="1" t="s">
        <v>5067</v>
      </c>
      <c r="C1330" s="1" t="s">
        <v>2338</v>
      </c>
      <c r="D1330" s="1" t="str">
        <f ca="1">IFERROR(__xludf.DUMMYFUNCTION("GoogleTranslate(B1330,""ja"",""en"")"),"I")</f>
        <v>I</v>
      </c>
    </row>
    <row r="1331" spans="1:4" ht="15.75" customHeight="1" x14ac:dyDescent="0.25">
      <c r="A1331" s="1" t="s">
        <v>2339</v>
      </c>
      <c r="B1331" s="1" t="s">
        <v>5068</v>
      </c>
      <c r="C1331" s="1" t="s">
        <v>1986</v>
      </c>
      <c r="D1331" s="1" t="str">
        <f ca="1">IFERROR(__xludf.DUMMYFUNCTION("GoogleTranslate(B1331,""ja"",""en"")"),"!")</f>
        <v>!</v>
      </c>
    </row>
    <row r="1332" spans="1:4" ht="15.75" customHeight="1" x14ac:dyDescent="0.25">
      <c r="A1332" s="1" t="s">
        <v>2340</v>
      </c>
      <c r="B1332" s="1" t="s">
        <v>5069</v>
      </c>
      <c r="C1332" s="1" t="s">
        <v>1986</v>
      </c>
      <c r="D1332" s="1" t="str">
        <f ca="1">IFERROR(__xludf.DUMMYFUNCTION("GoogleTranslate(B1332,""ja"",""en"")"),"!")</f>
        <v>!</v>
      </c>
    </row>
    <row r="1333" spans="1:4" ht="15.75" customHeight="1" x14ac:dyDescent="0.25">
      <c r="A1333" s="1" t="s">
        <v>2341</v>
      </c>
      <c r="B1333" s="1" t="s">
        <v>5070</v>
      </c>
      <c r="C1333" s="1" t="s">
        <v>2175</v>
      </c>
      <c r="D1333" s="1" t="str">
        <f ca="1">IFERROR(__xludf.DUMMYFUNCTION("GoogleTranslate(B1333,""ja"",""en"")"),"Mm")</f>
        <v>Mm</v>
      </c>
    </row>
    <row r="1334" spans="1:4" ht="15.75" customHeight="1" x14ac:dyDescent="0.25">
      <c r="A1334" s="1" t="s">
        <v>2342</v>
      </c>
      <c r="B1334" s="1" t="s">
        <v>5071</v>
      </c>
      <c r="C1334" s="1" t="s">
        <v>1986</v>
      </c>
      <c r="D1334" s="1" t="str">
        <f ca="1">IFERROR(__xludf.DUMMYFUNCTION("GoogleTranslate(B1334,""ja"",""en"")"),"!")</f>
        <v>!</v>
      </c>
    </row>
    <row r="1335" spans="1:4" ht="15.75" customHeight="1" x14ac:dyDescent="0.25">
      <c r="A1335" s="1" t="s">
        <v>2343</v>
      </c>
      <c r="B1335" s="1" t="s">
        <v>2329</v>
      </c>
      <c r="C1335" s="1" t="s">
        <v>343</v>
      </c>
      <c r="D1335" s="1" t="str">
        <f ca="1">IFERROR(__xludf.DUMMYFUNCTION("GoogleTranslate(B1335,""ja"",""en"")"),"Over")</f>
        <v>Over</v>
      </c>
    </row>
    <row r="1336" spans="1:4" ht="15.75" customHeight="1" x14ac:dyDescent="0.25">
      <c r="A1336" s="1" t="s">
        <v>2344</v>
      </c>
      <c r="B1336" s="1" t="s">
        <v>2331</v>
      </c>
      <c r="C1336" s="1" t="s">
        <v>343</v>
      </c>
      <c r="D1336" s="1" t="str">
        <f ca="1">IFERROR(__xludf.DUMMYFUNCTION("GoogleTranslate(B1336,""ja"",""en"")"),"Over")</f>
        <v>Over</v>
      </c>
    </row>
    <row r="1337" spans="1:4" ht="15.75" customHeight="1" x14ac:dyDescent="0.25">
      <c r="A1337" s="1" t="s">
        <v>2345</v>
      </c>
      <c r="B1337" s="1" t="s">
        <v>2334</v>
      </c>
      <c r="C1337" s="1" t="s">
        <v>2346</v>
      </c>
      <c r="D1337" s="1" t="str">
        <f ca="1">IFERROR(__xludf.DUMMYFUNCTION("GoogleTranslate(B1337,""ja"",""en"")"),"Rule Description")</f>
        <v>Rule Description</v>
      </c>
    </row>
    <row r="1338" spans="1:4" ht="15.75" customHeight="1" x14ac:dyDescent="0.25">
      <c r="A1338" s="1" t="s">
        <v>2347</v>
      </c>
      <c r="B1338" s="1" t="s">
        <v>5072</v>
      </c>
      <c r="C1338" s="1" t="s">
        <v>2348</v>
      </c>
      <c r="D1338" s="1" t="str">
        <f ca="1">IFERROR(__xludf.DUMMYFUNCTION("GoogleTranslate(B1338,""ja"",""en"")"),"waited")</f>
        <v>waited</v>
      </c>
    </row>
    <row r="1339" spans="1:4" ht="15.75" customHeight="1" x14ac:dyDescent="0.25">
      <c r="A1339" s="1" t="s">
        <v>2349</v>
      </c>
      <c r="B1339" s="1" t="s">
        <v>2341</v>
      </c>
      <c r="C1339" s="1" t="s">
        <v>2350</v>
      </c>
      <c r="D1339" s="1" t="str">
        <f ca="1">IFERROR(__xludf.DUMMYFUNCTION("GoogleTranslate(B1339,""ja"",""en"")"),"hand")</f>
        <v>hand</v>
      </c>
    </row>
    <row r="1340" spans="1:4" ht="15.75" customHeight="1" x14ac:dyDescent="0.25">
      <c r="A1340" s="1" t="s">
        <v>2351</v>
      </c>
      <c r="B1340" s="1" t="s">
        <v>5073</v>
      </c>
      <c r="C1340" s="1" t="s">
        <v>2352</v>
      </c>
      <c r="D1340" s="1" t="str">
        <f ca="1">IFERROR(__xludf.DUMMYFUNCTION("GoogleTranslate(B1340,""ja"",""en"")"),"Kifu")</f>
        <v>Kifu</v>
      </c>
    </row>
    <row r="1341" spans="1:4" ht="15.75" customHeight="1" x14ac:dyDescent="0.25">
      <c r="A1341" s="1" t="s">
        <v>2353</v>
      </c>
      <c r="B1341" s="1" t="s">
        <v>2343</v>
      </c>
      <c r="C1341" s="1" t="s">
        <v>2354</v>
      </c>
      <c r="D1341" s="1" t="str">
        <f ca="1">IFERROR(__xludf.DUMMYFUNCTION("GoogleTranslate(B1341,""ja"",""en"")"),"Making an allowance for")</f>
        <v>Making an allowance for</v>
      </c>
    </row>
    <row r="1342" spans="1:4" ht="15.75" customHeight="1" x14ac:dyDescent="0.25">
      <c r="A1342" s="1" t="s">
        <v>2355</v>
      </c>
      <c r="B1342" s="1" t="s">
        <v>5074</v>
      </c>
      <c r="C1342" s="1" t="s">
        <v>2356</v>
      </c>
      <c r="D1342" s="1" t="str">
        <f ca="1">IFERROR(__xludf.DUMMYFUNCTION("GoogleTranslate(B1342,""ja"",""en"")"),"[N] Who do you and the remote station?")</f>
        <v>[N] Who do you and the remote station?</v>
      </c>
    </row>
    <row r="1343" spans="1:4" ht="15.75" customHeight="1" x14ac:dyDescent="0.25">
      <c r="A1343" s="1" t="s">
        <v>2357</v>
      </c>
      <c r="B1343" s="1" t="s">
        <v>5075</v>
      </c>
      <c r="C1343" s="1" t="s">
        <v>2358</v>
      </c>
      <c r="D1343" s="1" t="str">
        <f ca="1">IFERROR(__xludf.DUMMYFUNCTION("GoogleTranslate(B1343,""ja"",""en"")"),"Would you choose the [n] Which Disrupt?")</f>
        <v>Would you choose the [n] Which Disrupt?</v>
      </c>
    </row>
    <row r="1344" spans="1:4" ht="15.75" customHeight="1" x14ac:dyDescent="0.25">
      <c r="A1344" s="1" t="s">
        <v>2359</v>
      </c>
      <c r="B1344" s="1" t="s">
        <v>5076</v>
      </c>
      <c r="C1344" s="1" t="s">
        <v>2360</v>
      </c>
      <c r="D1344" s="1" t="str">
        <f ca="1">IFERROR(__xludf.DUMMYFUNCTION("GoogleTranslate(B1344,""ja"",""en"")"),"[N] Are you sure you want this partner?")</f>
        <v>[N] Are you sure you want this partner?</v>
      </c>
    </row>
    <row r="1345" spans="1:4" ht="15.75" customHeight="1" x14ac:dyDescent="0.25">
      <c r="A1345" s="1" t="s">
        <v>2361</v>
      </c>
      <c r="B1345" s="1" t="s">
        <v>2349</v>
      </c>
      <c r="C1345" s="1" t="s">
        <v>2362</v>
      </c>
      <c r="D1345" s="1" t="str">
        <f ca="1">IFERROR(__xludf.DUMMYFUNCTION("GoogleTranslate(B1345,""ja"",""en"")"),"Jubei")</f>
        <v>Jubei</v>
      </c>
    </row>
    <row r="1346" spans="1:4" ht="15.75" customHeight="1" x14ac:dyDescent="0.25">
      <c r="A1346" s="1" t="s">
        <v>2363</v>
      </c>
      <c r="B1346" s="1" t="s">
        <v>2351</v>
      </c>
      <c r="C1346" s="1" t="s">
        <v>2364</v>
      </c>
      <c r="D1346" s="1" t="str">
        <f ca="1">IFERROR(__xludf.DUMMYFUNCTION("GoogleTranslate(B1346,""ja"",""en"")"),"Cultivation")</f>
        <v>Cultivation</v>
      </c>
    </row>
    <row r="1347" spans="1:4" ht="15.75" customHeight="1" x14ac:dyDescent="0.25">
      <c r="A1347" s="1" t="s">
        <v>2365</v>
      </c>
      <c r="B1347" s="1" t="s">
        <v>2353</v>
      </c>
      <c r="C1347" s="1" t="s">
        <v>2366</v>
      </c>
      <c r="D1347" s="1" t="str">
        <f ca="1">IFERROR(__xludf.DUMMYFUNCTION("GoogleTranslate(B1347,""ja"",""en"")"),"KyuTaro")</f>
        <v>KyuTaro</v>
      </c>
    </row>
    <row r="1348" spans="1:4" ht="15.75" customHeight="1" x14ac:dyDescent="0.25">
      <c r="A1348" s="1" t="s">
        <v>2367</v>
      </c>
      <c r="B1348" s="1" t="s">
        <v>2355</v>
      </c>
      <c r="C1348" s="1" t="s">
        <v>2368</v>
      </c>
      <c r="D1348" s="1" t="str">
        <f ca="1">IFERROR(__xludf.DUMMYFUNCTION("GoogleTranslate(B1348,""ja"",""en"")"),"Yoichi")</f>
        <v>Yoichi</v>
      </c>
    </row>
    <row r="1349" spans="1:4" ht="15.75" customHeight="1" x14ac:dyDescent="0.25">
      <c r="A1349" s="1" t="s">
        <v>2369</v>
      </c>
      <c r="B1349" s="1" t="s">
        <v>5077</v>
      </c>
      <c r="C1349" s="1" t="s">
        <v>2370</v>
      </c>
      <c r="D1349" s="1" t="str">
        <f ca="1">IFERROR(__xludf.DUMMYFUNCTION("GoogleTranslate(B1349,""ja"",""en"")"),"Kitahachi")</f>
        <v>Kitahachi</v>
      </c>
    </row>
    <row r="1350" spans="1:4" ht="15.75" customHeight="1" x14ac:dyDescent="0.25">
      <c r="A1350" s="1" t="s">
        <v>2371</v>
      </c>
      <c r="B1350" s="1" t="s">
        <v>5078</v>
      </c>
      <c r="C1350" s="1" t="s">
        <v>2372</v>
      </c>
      <c r="D1350" s="1" t="str">
        <f ca="1">IFERROR(__xludf.DUMMYFUNCTION("GoogleTranslate(B1350,""ja"",""en"")"),"Masakichi")</f>
        <v>Masakichi</v>
      </c>
    </row>
    <row r="1351" spans="1:4" ht="15.75" customHeight="1" x14ac:dyDescent="0.25">
      <c r="A1351" s="1" t="s">
        <v>2373</v>
      </c>
      <c r="B1351" s="1" t="s">
        <v>2357</v>
      </c>
      <c r="C1351" s="1" t="s">
        <v>2374</v>
      </c>
      <c r="D1351" s="1" t="str">
        <f ca="1">IFERROR(__xludf.DUMMYFUNCTION("GoogleTranslate(B1351,""ja"",""en"")"),"Denshichi")</f>
        <v>Denshichi</v>
      </c>
    </row>
    <row r="1352" spans="1:4" ht="15.75" customHeight="1" x14ac:dyDescent="0.25">
      <c r="A1352" s="1" t="s">
        <v>2375</v>
      </c>
      <c r="B1352" s="1" t="s">
        <v>5079</v>
      </c>
      <c r="C1352" s="1" t="s">
        <v>2376</v>
      </c>
      <c r="D1352" s="1" t="str">
        <f ca="1">IFERROR(__xludf.DUMMYFUNCTION("GoogleTranslate(B1352,""ja"",""en"")"),"Saizo")</f>
        <v>Saizo</v>
      </c>
    </row>
    <row r="1353" spans="1:4" ht="15.75" customHeight="1" x14ac:dyDescent="0.25">
      <c r="A1353" s="1" t="s">
        <v>2377</v>
      </c>
      <c r="B1353" s="1" t="s">
        <v>5080</v>
      </c>
      <c r="C1353" s="1" t="s">
        <v>2378</v>
      </c>
      <c r="D1353" s="1" t="str">
        <f ca="1">IFERROR(__xludf.DUMMYFUNCTION("GoogleTranslate(B1353,""ja"",""en"")"),"Bear six")</f>
        <v>Bear six</v>
      </c>
    </row>
    <row r="1354" spans="1:4" ht="15.75" customHeight="1" x14ac:dyDescent="0.25">
      <c r="A1354" s="1" t="s">
        <v>2379</v>
      </c>
      <c r="B1354" s="1" t="s">
        <v>2359</v>
      </c>
      <c r="C1354" s="1" t="s">
        <v>2380</v>
      </c>
      <c r="D1354" s="1" t="str">
        <f ca="1">IFERROR(__xludf.DUMMYFUNCTION("GoogleTranslate(B1354,""ja"",""en"")"),"Small Genta")</f>
        <v>Small Genta</v>
      </c>
    </row>
    <row r="1355" spans="1:4" ht="15.75" customHeight="1" x14ac:dyDescent="0.25">
      <c r="A1355" s="1" t="s">
        <v>2381</v>
      </c>
      <c r="B1355" s="1" t="s">
        <v>5081</v>
      </c>
      <c r="C1355" s="1" t="s">
        <v>2382</v>
      </c>
      <c r="D1355" s="1" t="str">
        <f ca="1">IFERROR(__xludf.DUMMYFUNCTION("GoogleTranslate(B1355,""ja"",""en"")"),"Goemon")</f>
        <v>Goemon</v>
      </c>
    </row>
    <row r="1356" spans="1:4" ht="15.75" customHeight="1" x14ac:dyDescent="0.25">
      <c r="A1356" s="1" t="s">
        <v>2383</v>
      </c>
      <c r="B1356" s="1" t="s">
        <v>5082</v>
      </c>
      <c r="C1356" s="1" t="s">
        <v>2384</v>
      </c>
      <c r="D1356" s="1" t="str">
        <f ca="1">IFERROR(__xludf.DUMMYFUNCTION("GoogleTranslate(B1356,""ja"",""en"")"),"Sasuke")</f>
        <v>Sasuke</v>
      </c>
    </row>
    <row r="1357" spans="1:4" ht="15.75" customHeight="1" x14ac:dyDescent="0.25">
      <c r="A1357" s="1" t="s">
        <v>2385</v>
      </c>
      <c r="B1357" s="1" t="s">
        <v>5083</v>
      </c>
      <c r="C1357" s="1" t="s">
        <v>2386</v>
      </c>
      <c r="D1357" s="1" t="str">
        <f ca="1">IFERROR(__xludf.DUMMYFUNCTION("GoogleTranslate(B1357,""ja"",""en"")"),"HikariShiro")</f>
        <v>HikariShiro</v>
      </c>
    </row>
    <row r="1358" spans="1:4" ht="15.75" customHeight="1" x14ac:dyDescent="0.25">
      <c r="A1358" s="1" t="s">
        <v>2387</v>
      </c>
      <c r="B1358" s="1" t="s">
        <v>5084</v>
      </c>
      <c r="C1358" s="1" t="s">
        <v>2388</v>
      </c>
      <c r="D1358" s="1" t="str">
        <f ca="1">IFERROR(__xludf.DUMMYFUNCTION("GoogleTranslate(B1358,""ja"",""en"")"),"Kenkokoro")</f>
        <v>Kenkokoro</v>
      </c>
    </row>
    <row r="1359" spans="1:4" ht="15.75" customHeight="1" x14ac:dyDescent="0.25">
      <c r="A1359" s="1" t="s">
        <v>2389</v>
      </c>
      <c r="B1359" s="1" t="s">
        <v>5085</v>
      </c>
      <c r="C1359" s="1" t="s">
        <v>2390</v>
      </c>
      <c r="D1359" s="1" t="str">
        <f ca="1">IFERROR(__xludf.DUMMYFUNCTION("GoogleTranslate(B1359,""ja"",""en"")"),"SaburoFutoshi")</f>
        <v>SaburoFutoshi</v>
      </c>
    </row>
    <row r="1360" spans="1:4" ht="15.75" customHeight="1" x14ac:dyDescent="0.25">
      <c r="A1360" s="1" t="s">
        <v>2391</v>
      </c>
      <c r="B1360" s="1" t="s">
        <v>5086</v>
      </c>
      <c r="C1360" s="1" t="s">
        <v>2392</v>
      </c>
      <c r="D1360" s="1" t="str">
        <f ca="1">IFERROR(__xludf.DUMMYFUNCTION("GoogleTranslate(B1360,""ja"",""en"")"),"Kunimatsu")</f>
        <v>Kunimatsu</v>
      </c>
    </row>
    <row r="1361" spans="1:4" ht="15.75" customHeight="1" x14ac:dyDescent="0.25">
      <c r="A1361" s="1" t="s">
        <v>2393</v>
      </c>
      <c r="B1361" s="1" t="s">
        <v>2361</v>
      </c>
      <c r="C1361" s="1" t="s">
        <v>2394</v>
      </c>
      <c r="D1361" s="1" t="str">
        <f ca="1">IFERROR(__xludf.DUMMYFUNCTION("GoogleTranslate(B1361,""ja"",""en"")"),"Anjirō")</f>
        <v>Anjirō</v>
      </c>
    </row>
    <row r="1362" spans="1:4" ht="15.75" customHeight="1" x14ac:dyDescent="0.25">
      <c r="A1362" s="1" t="s">
        <v>2395</v>
      </c>
      <c r="B1362" s="1" t="s">
        <v>2363</v>
      </c>
      <c r="C1362" s="1" t="s">
        <v>2396</v>
      </c>
      <c r="D1362" s="1" t="str">
        <f ca="1">IFERROR(__xludf.DUMMYFUNCTION("GoogleTranslate(B1362,""ja"",""en"")"),"Tsurutaira")</f>
        <v>Tsurutaira</v>
      </c>
    </row>
    <row r="1363" spans="1:4" ht="15.75" customHeight="1" x14ac:dyDescent="0.25">
      <c r="A1363" s="1" t="s">
        <v>2397</v>
      </c>
      <c r="B1363" s="1" t="s">
        <v>2365</v>
      </c>
      <c r="C1363" s="1" t="s">
        <v>2398</v>
      </c>
      <c r="D1363" s="1" t="str">
        <f ca="1">IFERROR(__xludf.DUMMYFUNCTION("GoogleTranslate(B1363,""ja"",""en"")"),"Kazuyuki assistant")</f>
        <v>Kazuyuki assistant</v>
      </c>
    </row>
    <row r="1364" spans="1:4" ht="15.75" customHeight="1" x14ac:dyDescent="0.25">
      <c r="A1364" s="1" t="s">
        <v>2399</v>
      </c>
      <c r="B1364" s="1" t="s">
        <v>2367</v>
      </c>
      <c r="C1364" s="1" t="s">
        <v>2400</v>
      </c>
      <c r="D1364" s="1" t="str">
        <f ca="1">IFERROR(__xludf.DUMMYFUNCTION("GoogleTranslate(B1364,""ja"",""en"")"),"Kamekichi")</f>
        <v>Kamekichi</v>
      </c>
    </row>
    <row r="1365" spans="1:4" ht="15.75" customHeight="1" x14ac:dyDescent="0.25">
      <c r="A1365" s="1" t="s">
        <v>2401</v>
      </c>
      <c r="B1365" s="1" t="s">
        <v>2369</v>
      </c>
      <c r="C1365" s="1" t="s">
        <v>2402</v>
      </c>
      <c r="D1365" s="1" t="str">
        <f ca="1">IFERROR(__xludf.DUMMYFUNCTION("GoogleTranslate(B1365,""ja"",""en"")"),"KakunoSusumu")</f>
        <v>KakunoSusumu</v>
      </c>
    </row>
    <row r="1366" spans="1:4" ht="15.75" customHeight="1" x14ac:dyDescent="0.25">
      <c r="A1366" s="1" t="s">
        <v>2403</v>
      </c>
      <c r="B1366" s="1" t="s">
        <v>2371</v>
      </c>
      <c r="C1366" s="1" t="s">
        <v>2404</v>
      </c>
      <c r="D1366" s="1" t="str">
        <f ca="1">IFERROR(__xludf.DUMMYFUNCTION("GoogleTranslate(B1366,""ja"",""en"")"),"Umon")</f>
        <v>Umon</v>
      </c>
    </row>
    <row r="1367" spans="1:4" ht="15.75" customHeight="1" x14ac:dyDescent="0.25">
      <c r="A1367" s="1" t="s">
        <v>2405</v>
      </c>
      <c r="B1367" s="1" t="s">
        <v>2373</v>
      </c>
      <c r="C1367" s="1" t="s">
        <v>2406</v>
      </c>
      <c r="D1367" s="1" t="str">
        <f ca="1">IFERROR(__xludf.DUMMYFUNCTION("GoogleTranslate(B1367,""ja"",""en"")"),"Muramasa")</f>
        <v>Muramasa</v>
      </c>
    </row>
    <row r="1368" spans="1:4" ht="15.75" customHeight="1" x14ac:dyDescent="0.25">
      <c r="A1368" s="1" t="s">
        <v>2407</v>
      </c>
      <c r="B1368" s="1" t="s">
        <v>2375</v>
      </c>
      <c r="C1368" s="1" t="s">
        <v>2408</v>
      </c>
      <c r="D1368" s="1" t="str">
        <f ca="1">IFERROR(__xludf.DUMMYFUNCTION("GoogleTranslate(B1368,""ja"",""en"")"),"Sukesaburo")</f>
        <v>Sukesaburo</v>
      </c>
    </row>
    <row r="1369" spans="1:4" ht="15.75" customHeight="1" x14ac:dyDescent="0.25">
      <c r="A1369" s="1" t="s">
        <v>2409</v>
      </c>
      <c r="B1369" s="1" t="s">
        <v>2377</v>
      </c>
      <c r="C1369" s="1" t="s">
        <v>2410</v>
      </c>
      <c r="D1369" s="1" t="str">
        <f ca="1">IFERROR(__xludf.DUMMYFUNCTION("GoogleTranslate(B1369,""ja"",""en"")"),"Vajra")</f>
        <v>Vajra</v>
      </c>
    </row>
    <row r="1370" spans="1:4" ht="15.75" customHeight="1" x14ac:dyDescent="0.25">
      <c r="A1370" s="1" t="s">
        <v>2411</v>
      </c>
      <c r="B1370" s="1" t="s">
        <v>2379</v>
      </c>
      <c r="C1370" s="1" t="s">
        <v>2412</v>
      </c>
      <c r="D1370" s="1" t="str">
        <f ca="1">IFERROR(__xludf.DUMMYFUNCTION("GoogleTranslate(B1370,""ja"",""en"")"),"Sakyo")</f>
        <v>Sakyo</v>
      </c>
    </row>
    <row r="1371" spans="1:4" ht="15.75" customHeight="1" x14ac:dyDescent="0.25">
      <c r="A1371" s="1" t="s">
        <v>2413</v>
      </c>
      <c r="B1371" s="1" t="s">
        <v>2381</v>
      </c>
      <c r="C1371" s="1" t="s">
        <v>2414</v>
      </c>
      <c r="D1371" s="1" t="str">
        <f ca="1">IFERROR(__xludf.DUMMYFUNCTION("GoogleTranslate(B1371,""ja"",""en"")"),"Toratetsu")</f>
        <v>Toratetsu</v>
      </c>
    </row>
    <row r="1372" spans="1:4" ht="15.75" customHeight="1" x14ac:dyDescent="0.25">
      <c r="A1372" s="1" t="s">
        <v>2415</v>
      </c>
      <c r="B1372" s="1" t="s">
        <v>2383</v>
      </c>
      <c r="C1372" s="1" t="s">
        <v>2416</v>
      </c>
      <c r="D1372" s="1" t="str">
        <f ca="1">IFERROR(__xludf.DUMMYFUNCTION("GoogleTranslate(B1372,""ja"",""en"")"),"Onimaru")</f>
        <v>Onimaru</v>
      </c>
    </row>
    <row r="1373" spans="1:4" ht="15.75" customHeight="1" x14ac:dyDescent="0.25">
      <c r="A1373" s="1" t="s">
        <v>2417</v>
      </c>
      <c r="B1373" s="1" t="s">
        <v>2385</v>
      </c>
      <c r="C1373" s="1" t="s">
        <v>2418</v>
      </c>
      <c r="D1373" s="1" t="str">
        <f ca="1">IFERROR(__xludf.DUMMYFUNCTION("GoogleTranslate(B1373,""ja"",""en"")"),"Black Unsai")</f>
        <v>Black Unsai</v>
      </c>
    </row>
    <row r="1374" spans="1:4" ht="15.75" customHeight="1" x14ac:dyDescent="0.25">
      <c r="A1374" s="1" t="s">
        <v>2419</v>
      </c>
      <c r="B1374" s="1" t="s">
        <v>2387</v>
      </c>
      <c r="C1374" s="1" t="s">
        <v>2420</v>
      </c>
      <c r="D1374" s="1" t="str">
        <f ca="1">IFERROR(__xludf.DUMMYFUNCTION("GoogleTranslate(B1374,""ja"",""en"")"),"Crow Tengu")</f>
        <v>Crow Tengu</v>
      </c>
    </row>
    <row r="1375" spans="1:4" ht="15.75" customHeight="1" x14ac:dyDescent="0.25">
      <c r="A1375" s="1" t="s">
        <v>2421</v>
      </c>
      <c r="B1375" s="1" t="s">
        <v>2389</v>
      </c>
      <c r="C1375" s="1" t="s">
        <v>2422</v>
      </c>
      <c r="D1375" s="1" t="str">
        <f ca="1">IFERROR(__xludf.DUMMYFUNCTION("GoogleTranslate(B1375,""ja"",""en"")"),"Son of God")</f>
        <v>Son of God</v>
      </c>
    </row>
    <row r="1376" spans="1:4" ht="15.75" customHeight="1" x14ac:dyDescent="0.25">
      <c r="A1376" s="1" t="s">
        <v>2423</v>
      </c>
      <c r="B1376" s="1" t="s">
        <v>5087</v>
      </c>
      <c r="C1376" s="1" t="s">
        <v>2424</v>
      </c>
      <c r="D1376" s="1" t="str">
        <f ca="1">IFERROR(__xludf.DUMMYFUNCTION("GoogleTranslate(B1376,""ja"",""en"")"),"Whimsical beginner")</f>
        <v>Whimsical beginner</v>
      </c>
    </row>
    <row r="1377" spans="1:4" ht="15.75" customHeight="1" x14ac:dyDescent="0.25">
      <c r="A1377" s="1" t="s">
        <v>2425</v>
      </c>
      <c r="B1377" s="1" t="s">
        <v>5088</v>
      </c>
      <c r="C1377" s="1" t="s">
        <v>2426</v>
      </c>
      <c r="D1377" s="1" t="str">
        <f ca="1">IFERROR(__xludf.DUMMYFUNCTION("GoogleTranslate(B1377,""ja"",""en"")"),"Aggressively attack but weak")</f>
        <v>Aggressively attack but weak</v>
      </c>
    </row>
    <row r="1378" spans="1:4" ht="15.75" customHeight="1" x14ac:dyDescent="0.25">
      <c r="A1378" s="1" t="s">
        <v>2427</v>
      </c>
      <c r="B1378" s="1" t="s">
        <v>5089</v>
      </c>
      <c r="C1378" s="1" t="s">
        <v>2428</v>
      </c>
      <c r="D1378" s="1" t="str">
        <f ca="1">IFERROR(__xludf.DUMMYFUNCTION("GoogleTranslate(B1378,""ja"",""en"")"),"Solidify the defense, but slow")</f>
        <v>Solidify the defense, but slow</v>
      </c>
    </row>
    <row r="1379" spans="1:4" ht="15.75" customHeight="1" x14ac:dyDescent="0.25">
      <c r="A1379" s="1" t="s">
        <v>2429</v>
      </c>
      <c r="B1379" s="1" t="s">
        <v>5090</v>
      </c>
      <c r="C1379" s="1" t="s">
        <v>2430</v>
      </c>
      <c r="D1379" s="1" t="str">
        <f ca="1">IFERROR(__xludf.DUMMYFUNCTION("GoogleTranslate(B1379,""ja"",""en"")"),"Come to a brute force attack")</f>
        <v>Come to a brute force attack</v>
      </c>
    </row>
    <row r="1380" spans="1:4" ht="15.75" customHeight="1" x14ac:dyDescent="0.25">
      <c r="A1380" s="1" t="s">
        <v>2431</v>
      </c>
      <c r="B1380" s="1" t="s">
        <v>5091</v>
      </c>
      <c r="C1380" s="1" t="s">
        <v>2432</v>
      </c>
      <c r="D1380" s="1" t="str">
        <f ca="1">IFERROR(__xludf.DUMMYFUNCTION("GoogleTranslate(B1380,""ja"",""en"")"),"Harmony of offense and defense is good")</f>
        <v>Harmony of offense and defense is good</v>
      </c>
    </row>
    <row r="1381" spans="1:4" ht="15.75" customHeight="1" x14ac:dyDescent="0.25">
      <c r="A1381" s="1" t="s">
        <v>2433</v>
      </c>
      <c r="B1381" s="1" t="s">
        <v>5092</v>
      </c>
      <c r="C1381" s="1" t="s">
        <v>2434</v>
      </c>
      <c r="D1381" s="1" t="str">
        <f ca="1">IFERROR(__xludf.DUMMYFUNCTION("GoogleTranslate(B1381,""ja"",""en"")"),"Priority to make the enclosure")</f>
        <v>Priority to make the enclosure</v>
      </c>
    </row>
    <row r="1382" spans="1:4" ht="15.75" customHeight="1" x14ac:dyDescent="0.25">
      <c r="A1382" s="1" t="s">
        <v>2435</v>
      </c>
      <c r="B1382" s="1" t="s">
        <v>2425</v>
      </c>
      <c r="C1382" s="1" t="s">
        <v>2436</v>
      </c>
      <c r="D1382" s="1" t="str">
        <f ca="1">IFERROR(__xludf.DUMMYFUNCTION("GoogleTranslate(B1382,""ja"",""en"")"),"Aiming to break through in the middle")</f>
        <v>Aiming to break through in the middle</v>
      </c>
    </row>
    <row r="1383" spans="1:4" ht="15.75" customHeight="1" x14ac:dyDescent="0.25">
      <c r="A1383" s="1" t="s">
        <v>2437</v>
      </c>
      <c r="B1383" s="1" t="s">
        <v>5093</v>
      </c>
      <c r="C1383" s="1" t="s">
        <v>2438</v>
      </c>
      <c r="D1383" s="1" t="str">
        <f ca="1">IFERROR(__xludf.DUMMYFUNCTION("GoogleTranslate(B1383,""ja"",""en"")"),"Show a solid defense")</f>
        <v>Show a solid defense</v>
      </c>
    </row>
    <row r="1384" spans="1:4" ht="15.75" customHeight="1" x14ac:dyDescent="0.25">
      <c r="A1384" s="1" t="s">
        <v>2439</v>
      </c>
      <c r="B1384" s="1" t="s">
        <v>5094</v>
      </c>
      <c r="C1384" s="1" t="s">
        <v>2440</v>
      </c>
      <c r="D1384" s="1" t="str">
        <f ca="1">IFERROR(__xludf.DUMMYFUNCTION("GoogleTranslate(B1384,""ja"",""en"")"),"Ad-hoc refers to muscle")</f>
        <v>Ad-hoc refers to muscle</v>
      </c>
    </row>
    <row r="1385" spans="1:4" ht="15.75" customHeight="1" x14ac:dyDescent="0.25">
      <c r="A1385" s="1" t="s">
        <v>2441</v>
      </c>
      <c r="B1385" s="1" t="s">
        <v>5095</v>
      </c>
      <c r="C1385" s="1" t="s">
        <v>2442</v>
      </c>
      <c r="D1385" s="1" t="str">
        <f ca="1">IFERROR(__xludf.DUMMYFUNCTION("GoogleTranslate(B1385,""ja"",""en"")"),"To try to bring to the long war")</f>
        <v>To try to bring to the long war</v>
      </c>
    </row>
    <row r="1386" spans="1:4" ht="15.75" customHeight="1" x14ac:dyDescent="0.25">
      <c r="A1386" s="1" t="s">
        <v>2443</v>
      </c>
      <c r="B1386" s="1" t="s">
        <v>2433</v>
      </c>
      <c r="C1386" s="1" t="s">
        <v>2444</v>
      </c>
      <c r="D1386" s="1" t="str">
        <f ca="1">IFERROR(__xludf.DUMMYFUNCTION("GoogleTranslate(B1386,""ja"",""en"")"),"Often uneven strength")</f>
        <v>Often uneven strength</v>
      </c>
    </row>
    <row r="1387" spans="1:4" ht="15.75" customHeight="1" x14ac:dyDescent="0.25">
      <c r="A1387" s="1" t="s">
        <v>2445</v>
      </c>
      <c r="B1387" s="1" t="s">
        <v>5096</v>
      </c>
      <c r="C1387" s="1" t="s">
        <v>2446</v>
      </c>
      <c r="D1387" s="1" t="str">
        <f ca="1">IFERROR(__xludf.DUMMYFUNCTION("GoogleTranslate(B1387,""ja"",""en"")"),"Show a calm attack")</f>
        <v>Show a calm attack</v>
      </c>
    </row>
    <row r="1388" spans="1:4" ht="15.75" customHeight="1" x14ac:dyDescent="0.25">
      <c r="A1388" s="1" t="s">
        <v>2447</v>
      </c>
      <c r="B1388" s="1" t="s">
        <v>2437</v>
      </c>
      <c r="C1388" s="1" t="s">
        <v>2448</v>
      </c>
      <c r="D1388" s="1" t="str">
        <f ca="1">IFERROR(__xludf.DUMMYFUNCTION("GoogleTranslate(B1388,""ja"",""en"")"),"Attack aggressively in large pieces")</f>
        <v>Attack aggressively in large pieces</v>
      </c>
    </row>
    <row r="1389" spans="1:4" ht="15.75" customHeight="1" x14ac:dyDescent="0.25">
      <c r="A1389" s="1" t="s">
        <v>2449</v>
      </c>
      <c r="B1389" s="1" t="s">
        <v>2439</v>
      </c>
      <c r="C1389" s="1" t="s">
        <v>2450</v>
      </c>
      <c r="D1389" s="1" t="str">
        <f ca="1">IFERROR(__xludf.DUMMYFUNCTION("GoogleTranslate(B1389,""ja"",""en"")"),"Characteristic is how to use the rook")</f>
        <v>Characteristic is how to use the rook</v>
      </c>
    </row>
    <row r="1390" spans="1:4" ht="15.75" customHeight="1" x14ac:dyDescent="0.25">
      <c r="A1390" s="1" t="s">
        <v>2451</v>
      </c>
      <c r="B1390" s="1" t="s">
        <v>2441</v>
      </c>
      <c r="C1390" s="1" t="s">
        <v>2452</v>
      </c>
      <c r="D1390" s="1" t="str">
        <f ca="1">IFERROR(__xludf.DUMMYFUNCTION("GoogleTranslate(B1390,""ja"",""en"")"),"Offense and defense harmonious of terribly")</f>
        <v>Offense and defense harmonious of terribly</v>
      </c>
    </row>
    <row r="1391" spans="1:4" ht="15.75" customHeight="1" x14ac:dyDescent="0.25">
      <c r="A1391" s="1" t="s">
        <v>2453</v>
      </c>
      <c r="B1391" s="1" t="s">
        <v>2443</v>
      </c>
      <c r="C1391" s="1" t="s">
        <v>2454</v>
      </c>
      <c r="D1391" s="1" t="str">
        <f ca="1">IFERROR(__xludf.DUMMYFUNCTION("GoogleTranslate(B1391,""ja"",""en"")"),"Takeru to fight back")</f>
        <v>Takeru to fight back</v>
      </c>
    </row>
    <row r="1392" spans="1:4" ht="15.75" customHeight="1" x14ac:dyDescent="0.25">
      <c r="A1392" s="1" t="s">
        <v>2455</v>
      </c>
      <c r="B1392" s="1" t="s">
        <v>5097</v>
      </c>
      <c r="C1392" s="1" t="s">
        <v>2456</v>
      </c>
      <c r="D1392" s="1" t="str">
        <f ca="1">IFERROR(__xludf.DUMMYFUNCTION("GoogleTranslate(B1392,""ja"",""en"")"),"Manipulate a sharp rook")</f>
        <v>Manipulate a sharp rook</v>
      </c>
    </row>
    <row r="1393" spans="1:4" ht="15.75" customHeight="1" x14ac:dyDescent="0.25">
      <c r="A1393" s="1" t="s">
        <v>2457</v>
      </c>
      <c r="B1393" s="1" t="s">
        <v>5098</v>
      </c>
      <c r="C1393" s="1" t="s">
        <v>2458</v>
      </c>
      <c r="D1393" s="1" t="str">
        <f ca="1">IFERROR(__xludf.DUMMYFUNCTION("GoogleTranslate(B1393,""ja"",""en"")"),"Ability is there but capricious")</f>
        <v>Ability is there but capricious</v>
      </c>
    </row>
    <row r="1394" spans="1:4" ht="15.75" customHeight="1" x14ac:dyDescent="0.25">
      <c r="A1394" s="1" t="s">
        <v>2459</v>
      </c>
      <c r="B1394" s="1" t="s">
        <v>5099</v>
      </c>
      <c r="C1394" s="1" t="s">
        <v>2460</v>
      </c>
      <c r="D1394" s="1" t="str">
        <f ca="1">IFERROR(__xludf.DUMMYFUNCTION("GoogleTranslate(B1394,""ja"",""en"")"),"Solidify the carefully protect")</f>
        <v>Solidify the carefully protect</v>
      </c>
    </row>
    <row r="1395" spans="1:4" ht="15.75" customHeight="1" x14ac:dyDescent="0.25">
      <c r="A1395" s="1" t="s">
        <v>2461</v>
      </c>
      <c r="B1395" s="1" t="s">
        <v>5100</v>
      </c>
      <c r="C1395" s="1" t="s">
        <v>2462</v>
      </c>
      <c r="D1395" s="1" t="str">
        <f ca="1">IFERROR(__xludf.DUMMYFUNCTION("GoogleTranslate(B1395,""ja"",""en"")"),"Takeru to the back entrance")</f>
        <v>Takeru to the back entrance</v>
      </c>
    </row>
    <row r="1396" spans="1:4" ht="15.75" customHeight="1" x14ac:dyDescent="0.25">
      <c r="A1396" s="1" t="s">
        <v>2463</v>
      </c>
      <c r="B1396" s="1" t="s">
        <v>5101</v>
      </c>
      <c r="C1396" s="1" t="s">
        <v>2464</v>
      </c>
      <c r="D1396" s="1" t="str">
        <f ca="1">IFERROR(__xludf.DUMMYFUNCTION("GoogleTranslate(B1396,""ja"",""en"")"),"Consistently do a offense and defense")</f>
        <v>Consistently do a offense and defense</v>
      </c>
    </row>
    <row r="1397" spans="1:4" ht="15.75" customHeight="1" x14ac:dyDescent="0.25">
      <c r="A1397" s="1" t="s">
        <v>2465</v>
      </c>
      <c r="B1397" s="1" t="s">
        <v>2453</v>
      </c>
      <c r="C1397" s="1" t="s">
        <v>2466</v>
      </c>
      <c r="D1397" s="1" t="str">
        <f ca="1">IFERROR(__xludf.DUMMYFUNCTION("GoogleTranslate(B1397,""ja"",""en"")"),"Come bombarded the severe")</f>
        <v>Come bombarded the severe</v>
      </c>
    </row>
    <row r="1398" spans="1:4" ht="15.75" customHeight="1" x14ac:dyDescent="0.25">
      <c r="A1398" s="1" t="s">
        <v>2467</v>
      </c>
      <c r="B1398" s="1" t="s">
        <v>5102</v>
      </c>
      <c r="C1398" s="1" t="s">
        <v>2468</v>
      </c>
      <c r="D1398" s="1" t="str">
        <f ca="1">IFERROR(__xludf.DUMMYFUNCTION("GoogleTranslate(B1398,""ja"",""en"")"),"A reputation for receiving")</f>
        <v>A reputation for receiving</v>
      </c>
    </row>
    <row r="1399" spans="1:4" ht="15.75" customHeight="1" x14ac:dyDescent="0.25">
      <c r="A1399" s="1" t="s">
        <v>2469</v>
      </c>
      <c r="B1399" s="1" t="s">
        <v>5103</v>
      </c>
      <c r="C1399" s="1" t="s">
        <v>2470</v>
      </c>
      <c r="D1399" s="1" t="str">
        <f ca="1">IFERROR(__xludf.DUMMYFUNCTION("GoogleTranslate(B1399,""ja"",""en"")"),"Wider strategy")</f>
        <v>Wider strategy</v>
      </c>
    </row>
    <row r="1400" spans="1:4" ht="15.75" customHeight="1" x14ac:dyDescent="0.25">
      <c r="A1400" s="1" t="s">
        <v>2471</v>
      </c>
      <c r="B1400" s="1" t="s">
        <v>5104</v>
      </c>
      <c r="C1400" s="1" t="s">
        <v>2472</v>
      </c>
      <c r="D1400" s="1" t="str">
        <f ca="1">IFERROR(__xludf.DUMMYFUNCTION("GoogleTranslate(B1400,""ja"",""en"")"),"Virtuoso of the attack not to blunder")</f>
        <v>Virtuoso of the attack not to blunder</v>
      </c>
    </row>
    <row r="1401" spans="1:4" ht="15.75" customHeight="1" x14ac:dyDescent="0.25">
      <c r="A1401" s="1" t="s">
        <v>2473</v>
      </c>
      <c r="B1401" s="1" t="s">
        <v>5105</v>
      </c>
      <c r="C1401" s="1" t="s">
        <v>2474</v>
      </c>
      <c r="D1401" s="1" t="str">
        <f ca="1">IFERROR(__xludf.DUMMYFUNCTION("GoogleTranslate(B1401,""ja"",""en"")"),"Launch a sharp haste")</f>
        <v>Launch a sharp haste</v>
      </c>
    </row>
    <row r="1402" spans="1:4" ht="15.75" customHeight="1" x14ac:dyDescent="0.25">
      <c r="A1402" s="1" t="s">
        <v>2475</v>
      </c>
      <c r="B1402" s="1" t="s">
        <v>5106</v>
      </c>
      <c r="C1402" s="1" t="s">
        <v>2476</v>
      </c>
      <c r="D1402" s="1" t="str">
        <f ca="1">IFERROR(__xludf.DUMMYFUNCTION("GoogleTranslate(B1402,""ja"",""en"")"),"Type consumer of a wide variety of defense")</f>
        <v>Type consumer of a wide variety of defense</v>
      </c>
    </row>
    <row r="1403" spans="1:4" ht="15.75" customHeight="1" x14ac:dyDescent="0.25">
      <c r="A1403" s="1" t="s">
        <v>2477</v>
      </c>
      <c r="B1403" s="1" t="s">
        <v>5107</v>
      </c>
      <c r="C1403" s="1" t="s">
        <v>2478</v>
      </c>
      <c r="D1403" s="1" t="str">
        <f ca="1">IFERROR(__xludf.DUMMYFUNCTION("GoogleTranslate(B1403,""ja"",""en"")"),"Loving middle rook old-timer")</f>
        <v>Loving middle rook old-timer</v>
      </c>
    </row>
    <row r="1404" spans="1:4" ht="15.75" customHeight="1" x14ac:dyDescent="0.25">
      <c r="A1404" s="1" t="s">
        <v>2479</v>
      </c>
      <c r="B1404" s="1" t="s">
        <v>5108</v>
      </c>
      <c r="C1404" s="1" t="s">
        <v>2480</v>
      </c>
      <c r="D1404" s="1" t="str">
        <f ca="1">IFERROR(__xludf.DUMMYFUNCTION("GoogleTranslate(B1404,""ja"",""en"")"),"Show a dense Trombone")</f>
        <v>Show a dense Trombone</v>
      </c>
    </row>
    <row r="1405" spans="1:4" ht="15.75" customHeight="1" x14ac:dyDescent="0.25">
      <c r="A1405" s="1" t="s">
        <v>2481</v>
      </c>
      <c r="B1405" s="1" t="s">
        <v>5109</v>
      </c>
      <c r="C1405" s="1" t="s">
        <v>2482</v>
      </c>
      <c r="D1405" s="1" t="str">
        <f ca="1">IFERROR(__xludf.DUMMYFUNCTION("GoogleTranslate(B1405,""ja"",""en"")"),"Terribly universal type")</f>
        <v>Terribly universal type</v>
      </c>
    </row>
    <row r="1406" spans="1:4" ht="15.75" customHeight="1" x14ac:dyDescent="0.25">
      <c r="A1406" s="1" t="s">
        <v>2483</v>
      </c>
      <c r="B1406" s="1" t="s">
        <v>5110</v>
      </c>
      <c r="C1406" s="1" t="s">
        <v>2484</v>
      </c>
      <c r="D1406" s="1" t="str">
        <f ca="1">IFERROR(__xludf.DUMMYFUNCTION("GoogleTranslate(B1406,""ja"",""en"")"),"He devoted his life to Shogi and person")</f>
        <v>He devoted his life to Shogi and person</v>
      </c>
    </row>
    <row r="1407" spans="1:4" ht="15.75" customHeight="1" x14ac:dyDescent="0.25">
      <c r="A1407" s="1" t="s">
        <v>2485</v>
      </c>
      <c r="B1407" s="1" t="s">
        <v>5111</v>
      </c>
      <c r="C1407" s="1" t="s">
        <v>2486</v>
      </c>
      <c r="D1407" s="1" t="str">
        <f ca="1">IFERROR(__xludf.DUMMYFUNCTION("GoogleTranslate(B1407,""ja"",""en"")"),"Competition point")</f>
        <v>Competition point</v>
      </c>
    </row>
    <row r="1408" spans="1:4" ht="15.75" customHeight="1" x14ac:dyDescent="0.25">
      <c r="A1408" s="1" t="s">
        <v>2487</v>
      </c>
      <c r="B1408" s="1" t="s">
        <v>5112</v>
      </c>
      <c r="C1408" s="1" t="s">
        <v>2488</v>
      </c>
      <c r="D1408" s="1" t="str">
        <f ca="1">IFERROR(__xludf.DUMMYFUNCTION("GoogleTranslate(B1408,""ja"",""en"")"),"Waiting for the remaining number 50 ×% d")</f>
        <v>Waiting for the remaining number 50 ×% d</v>
      </c>
    </row>
    <row r="1409" spans="1:4" ht="15.75" customHeight="1" x14ac:dyDescent="0.25">
      <c r="A1409" s="1" t="s">
        <v>2489</v>
      </c>
      <c r="B1409" s="1" t="s">
        <v>5113</v>
      </c>
      <c r="C1409" s="1" t="s">
        <v>2490</v>
      </c>
      <c r="D1409" s="1" t="str">
        <f ca="1">IFERROR(__xludf.DUMMYFUNCTION("GoogleTranslate(B1409,""ja"",""en"")"),"Ultra Matta unused")</f>
        <v>Ultra Matta unused</v>
      </c>
    </row>
    <row r="1410" spans="1:4" ht="15.75" customHeight="1" x14ac:dyDescent="0.25">
      <c r="A1410" s="1" t="s">
        <v>2491</v>
      </c>
      <c r="B1410" s="1" t="s">
        <v>5114</v>
      </c>
      <c r="C1410" s="1" t="s">
        <v>2492</v>
      </c>
      <c r="D1410" s="1" t="str">
        <f ca="1">IFERROR(__xludf.DUMMYFUNCTION("GoogleTranslate(B1410,""ja"",""en"")"),"Order against")</f>
        <v>Order against</v>
      </c>
    </row>
    <row r="1411" spans="1:4" ht="15.75" customHeight="1" x14ac:dyDescent="0.25">
      <c r="A1411" s="1" t="s">
        <v>2493</v>
      </c>
      <c r="B1411" s="1" t="s">
        <v>5115</v>
      </c>
      <c r="C1411" s="1" t="s">
        <v>2494</v>
      </c>
      <c r="D1411" s="1" t="str">
        <f ca="1">IFERROR(__xludf.DUMMYFUNCTION("GoogleTranslate(B1411,""ja"",""en"")"),"Ordeal Disrupt")</f>
        <v>Ordeal Disrupt</v>
      </c>
    </row>
    <row r="1412" spans="1:4" ht="15.75" customHeight="1" x14ac:dyDescent="0.25">
      <c r="A1412" s="1" t="s">
        <v>2495</v>
      </c>
      <c r="B1412" s="1" t="s">
        <v>5116</v>
      </c>
      <c r="C1412" s="1" t="s">
        <v>2496</v>
      </c>
      <c r="D1412" s="1" t="str">
        <f ca="1">IFERROR(__xludf.DUMMYFUNCTION("GoogleTranslate(B1412,""ja"",""en"")"),"Please aim to vertex of [n] rank warfare to compete with a variety of opponents. [N] can play in one game 5 points.")</f>
        <v>Please aim to vertex of [n] rank warfare to compete with a variety of opponents. [N] can play in one game 5 points.</v>
      </c>
    </row>
    <row r="1413" spans="1:4" ht="15.75" customHeight="1" x14ac:dyDescent="0.25">
      <c r="A1413" s="1" t="s">
        <v>2497</v>
      </c>
      <c r="B1413" s="1" t="s">
        <v>5117</v>
      </c>
      <c r="C1413" s="1" t="s">
        <v>2498</v>
      </c>
      <c r="D1413" s="1" t="str">
        <f ca="1">IFERROR(__xludf.DUMMYFUNCTION("GoogleTranslate(B1413,""ja"",""en"")"),"Please to challenge the ordeal that is initiated from a special aspect took the king of [n] opponent. [N] can play in one game 5 points.")</f>
        <v>Please to challenge the ordeal that is initiated from a special aspect took the king of [n] opponent. [N] can play in one game 5 points.</v>
      </c>
    </row>
    <row r="1414" spans="1:4" ht="15.75" customHeight="1" x14ac:dyDescent="0.25">
      <c r="A1414" s="1" t="s">
        <v>2499</v>
      </c>
      <c r="B1414" s="1" t="s">
        <v>5118</v>
      </c>
      <c r="C1414" s="1" t="s">
        <v>2500</v>
      </c>
      <c r="D1414" s="1" t="str">
        <f ca="1">IFERROR(__xludf.DUMMYFUNCTION("GoogleTranslate(B1414,""ja"",""en"")"),"Please aim to vertex of [n] rank warfare to compete with a variety of opponents. [N] because you have a new Shogi King, you can play a unnecessary betting point.")</f>
        <v>Please aim to vertex of [n] rank warfare to compete with a variety of opponents. [N] because you have a new Shogi King, you can play a unnecessary betting point.</v>
      </c>
    </row>
    <row r="1415" spans="1:4" ht="15.75" customHeight="1" x14ac:dyDescent="0.25">
      <c r="A1415" s="1" t="s">
        <v>2501</v>
      </c>
      <c r="B1415" s="1" t="s">
        <v>5119</v>
      </c>
      <c r="C1415" s="1" t="s">
        <v>2502</v>
      </c>
      <c r="D1415" s="1" t="str">
        <f ca="1">IFERROR(__xludf.DUMMYFUNCTION("GoogleTranslate(B1415,""ja"",""en"")"),"Please to challenge the ordeal that is initiated from a special aspect took the king of [n] opponent. [N] because you have a new Shogi King, you can play a unnecessary betting point.")</f>
        <v>Please to challenge the ordeal that is initiated from a special aspect took the king of [n] opponent. [N] because you have a new Shogi King, you can play a unnecessary betting point.</v>
      </c>
    </row>
    <row r="1416" spans="1:4" ht="15.75" customHeight="1" x14ac:dyDescent="0.25">
      <c r="A1416" s="1" t="s">
        <v>2503</v>
      </c>
      <c r="B1416" s="1" t="s">
        <v>5120</v>
      </c>
      <c r="C1416" s="1" t="s">
        <v>2504</v>
      </c>
      <c r="D1416" s="1" t="str">
        <f ca="1">IFERROR(__xludf.DUMMYFUNCTION("GoogleTranslate(B1416,""ja"",""en"")"),"I can not play because the betting point is not enough. [N] Please have accumulated more than 5 points.")</f>
        <v>I can not play because the betting point is not enough. [N] Please have accumulated more than 5 points.</v>
      </c>
    </row>
    <row r="1417" spans="1:4" ht="15.75" customHeight="1" x14ac:dyDescent="0.25">
      <c r="A1417" s="1" t="s">
        <v>2505</v>
      </c>
      <c r="B1417" s="1" t="s">
        <v>5121</v>
      </c>
      <c r="C1417" s="1" t="s">
        <v>213</v>
      </c>
      <c r="D1417" s="1" t="str">
        <f ca="1">IFERROR(__xludf.DUMMYFUNCTION("GoogleTranslate(B1417,""ja"",""en"")"),".")</f>
        <v>.</v>
      </c>
    </row>
    <row r="1418" spans="1:4" ht="15.75" customHeight="1" x14ac:dyDescent="0.25">
      <c r="A1418" s="1" t="s">
        <v>2506</v>
      </c>
      <c r="B1418" s="1" t="s">
        <v>5122</v>
      </c>
      <c r="C1418" s="1" t="s">
        <v>1368</v>
      </c>
      <c r="D1418" s="1" t="str">
        <f ca="1">IFERROR(__xludf.DUMMYFUNCTION("GoogleTranslate(B1418,""ja"",""en"")"),"To")</f>
        <v>To</v>
      </c>
    </row>
    <row r="1419" spans="1:4" ht="15.75" customHeight="1" x14ac:dyDescent="0.25">
      <c r="A1419" s="1" t="s">
        <v>2507</v>
      </c>
      <c r="B1419" s="1" t="s">
        <v>5123</v>
      </c>
      <c r="C1419" s="1" t="s">
        <v>2508</v>
      </c>
      <c r="D1419" s="1" t="str">
        <f ca="1">IFERROR(__xludf.DUMMYFUNCTION("GoogleTranslate(B1419,""ja"",""en"")"),"I came so!")</f>
        <v>I came so!</v>
      </c>
    </row>
    <row r="1420" spans="1:4" ht="15.75" customHeight="1" x14ac:dyDescent="0.25">
      <c r="A1420" s="1" t="s">
        <v>2509</v>
      </c>
      <c r="B1420" s="1" t="s">
        <v>5124</v>
      </c>
      <c r="C1420" s="1" t="s">
        <v>2510</v>
      </c>
      <c r="D1420" s="1" t="str">
        <f ca="1">IFERROR(__xludf.DUMMYFUNCTION("GoogleTranslate(B1420,""ja"",""en"")"),"His hands as expected!")</f>
        <v>His hands as expected!</v>
      </c>
    </row>
    <row r="1421" spans="1:4" ht="15.75" customHeight="1" x14ac:dyDescent="0.25">
      <c r="A1421" s="1" t="s">
        <v>2511</v>
      </c>
      <c r="B1421" s="1" t="s">
        <v>5125</v>
      </c>
      <c r="C1421" s="1" t="s">
        <v>2512</v>
      </c>
      <c r="D1421" s="1" t="str">
        <f ca="1">IFERROR(__xludf.DUMMYFUNCTION("GoogleTranslate(B1421,""ja"",""en"")"),"Naa severe ...")</f>
        <v>Naa severe ...</v>
      </c>
    </row>
    <row r="1422" spans="1:4" ht="15.75" customHeight="1" x14ac:dyDescent="0.25">
      <c r="A1422" s="1" t="s">
        <v>2513</v>
      </c>
      <c r="B1422" s="1" t="s">
        <v>5126</v>
      </c>
      <c r="C1422" s="1" t="s">
        <v>2514</v>
      </c>
      <c r="D1422" s="1" t="str">
        <f ca="1">IFERROR(__xludf.DUMMYFUNCTION("GoogleTranslate(B1422,""ja"",""en"")"),"I want Tegoma")</f>
        <v>I want Tegoma</v>
      </c>
    </row>
    <row r="1423" spans="1:4" ht="15.75" customHeight="1" x14ac:dyDescent="0.25">
      <c r="A1423" s="1" t="s">
        <v>2515</v>
      </c>
      <c r="B1423" s="1" t="s">
        <v>5127</v>
      </c>
      <c r="C1423" s="1" t="s">
        <v>2516</v>
      </c>
      <c r="D1423" s="1" t="str">
        <f ca="1">IFERROR(__xludf.DUMMYFUNCTION("GoogleTranslate(B1423,""ja"",""en"")"),"Or refer it!?")</f>
        <v>Or refer it!?</v>
      </c>
    </row>
    <row r="1424" spans="1:4" ht="15.75" customHeight="1" x14ac:dyDescent="0.25">
      <c r="A1424" s="1" t="s">
        <v>2517</v>
      </c>
      <c r="B1424" s="1" t="s">
        <v>5128</v>
      </c>
      <c r="C1424" s="1" t="s">
        <v>2518</v>
      </c>
      <c r="D1424" s="1" t="str">
        <f ca="1">IFERROR(__xludf.DUMMYFUNCTION("GoogleTranslate(B1424,""ja"",""en"")"),"There on whether the strike!?")</f>
        <v>There on whether the strike!?</v>
      </c>
    </row>
    <row r="1425" spans="1:4" ht="15.75" customHeight="1" x14ac:dyDescent="0.25">
      <c r="A1425" s="1" t="s">
        <v>2519</v>
      </c>
      <c r="B1425" s="1" t="s">
        <v>2506</v>
      </c>
      <c r="C1425" s="1" t="s">
        <v>2520</v>
      </c>
      <c r="D1425" s="1" t="str">
        <f ca="1">IFERROR(__xludf.DUMMYFUNCTION("GoogleTranslate(B1425,""ja"",""en"")"),"Or Mai made or will be ...")</f>
        <v>Or Mai made or will be ...</v>
      </c>
    </row>
    <row r="1426" spans="1:4" ht="15.75" customHeight="1" x14ac:dyDescent="0.25">
      <c r="A1426" s="1" t="s">
        <v>2521</v>
      </c>
      <c r="B1426" s="1" t="s">
        <v>5129</v>
      </c>
      <c r="C1426" s="1" t="s">
        <v>2522</v>
      </c>
      <c r="D1426" s="1" t="str">
        <f ca="1">IFERROR(__xludf.DUMMYFUNCTION("GoogleTranslate(B1426,""ja"",""en"")"),"Or defend or attack ...")</f>
        <v>Or defend or attack ...</v>
      </c>
    </row>
    <row r="1427" spans="1:4" ht="15.75" customHeight="1" x14ac:dyDescent="0.25">
      <c r="A1427" s="1" t="s">
        <v>2523</v>
      </c>
      <c r="B1427" s="1" t="s">
        <v>5130</v>
      </c>
      <c r="C1427" s="1" t="s">
        <v>2524</v>
      </c>
      <c r="D1427" s="1" t="str">
        <f ca="1">IFERROR(__xludf.DUMMYFUNCTION("GoogleTranslate(B1427,""ja"",""en"")"),"Jubei ten Grade")</f>
        <v>Jubei ten Grade</v>
      </c>
    </row>
    <row r="1428" spans="1:4" ht="15.75" customHeight="1" x14ac:dyDescent="0.25">
      <c r="A1428" s="1" t="s">
        <v>2525</v>
      </c>
      <c r="B1428" s="1" t="s">
        <v>5131</v>
      </c>
      <c r="C1428" s="1" t="s">
        <v>2526</v>
      </c>
      <c r="D1428" s="1" t="str">
        <f ca="1">IFERROR(__xludf.DUMMYFUNCTION("GoogleTranslate(B1428,""ja"",""en"")"),"Cultivation ten Grade")</f>
        <v>Cultivation ten Grade</v>
      </c>
    </row>
    <row r="1429" spans="1:4" ht="15.75" customHeight="1" x14ac:dyDescent="0.25">
      <c r="A1429" s="1" t="s">
        <v>2527</v>
      </c>
      <c r="B1429" s="1" t="s">
        <v>5132</v>
      </c>
      <c r="C1429" s="1" t="s">
        <v>2528</v>
      </c>
      <c r="D1429" s="1" t="str">
        <f ca="1">IFERROR(__xludf.DUMMYFUNCTION("GoogleTranslate(B1429,""ja"",""en"")"),"KyuTaro nine Grade")</f>
        <v>KyuTaro nine Grade</v>
      </c>
    </row>
    <row r="1430" spans="1:4" ht="15.75" customHeight="1" x14ac:dyDescent="0.25">
      <c r="A1430" s="1" t="s">
        <v>2529</v>
      </c>
      <c r="B1430" s="1" t="s">
        <v>5133</v>
      </c>
      <c r="C1430" s="1" t="s">
        <v>2530</v>
      </c>
      <c r="D1430" s="1" t="str">
        <f ca="1">IFERROR(__xludf.DUMMYFUNCTION("GoogleTranslate(B1430,""ja"",""en"")"),"Yoichi nine Grade")</f>
        <v>Yoichi nine Grade</v>
      </c>
    </row>
    <row r="1431" spans="1:4" ht="15.75" customHeight="1" x14ac:dyDescent="0.25">
      <c r="A1431" s="1" t="s">
        <v>2531</v>
      </c>
      <c r="B1431" s="1" t="s">
        <v>5134</v>
      </c>
      <c r="C1431" s="1" t="s">
        <v>2532</v>
      </c>
      <c r="D1431" s="1" t="str">
        <f ca="1">IFERROR(__xludf.DUMMYFUNCTION("GoogleTranslate(B1431,""ja"",""en"")"),"Kita eighty-eight grade")</f>
        <v>Kita eighty-eight grade</v>
      </c>
    </row>
    <row r="1432" spans="1:4" ht="15.75" customHeight="1" x14ac:dyDescent="0.25">
      <c r="A1432" s="1" t="s">
        <v>2533</v>
      </c>
      <c r="B1432" s="1" t="s">
        <v>5135</v>
      </c>
      <c r="C1432" s="1" t="s">
        <v>2534</v>
      </c>
      <c r="D1432" s="1" t="str">
        <f ca="1">IFERROR(__xludf.DUMMYFUNCTION("GoogleTranslate(B1432,""ja"",""en"")"),"Masakichi eight grade")</f>
        <v>Masakichi eight grade</v>
      </c>
    </row>
    <row r="1433" spans="1:4" ht="15.75" customHeight="1" x14ac:dyDescent="0.25">
      <c r="A1433" s="1" t="s">
        <v>2535</v>
      </c>
      <c r="B1433" s="1" t="s">
        <v>5136</v>
      </c>
      <c r="C1433" s="1" t="s">
        <v>2536</v>
      </c>
      <c r="D1433" s="1" t="str">
        <f ca="1">IFERROR(__xludf.DUMMYFUNCTION("GoogleTranslate(B1433,""ja"",""en"")"),"Denshichi seven Grade")</f>
        <v>Denshichi seven Grade</v>
      </c>
    </row>
    <row r="1434" spans="1:4" ht="15.75" customHeight="1" x14ac:dyDescent="0.25">
      <c r="A1434" s="1" t="s">
        <v>2537</v>
      </c>
      <c r="B1434" s="1" t="s">
        <v>5137</v>
      </c>
      <c r="C1434" s="1" t="s">
        <v>2538</v>
      </c>
      <c r="D1434" s="1" t="str">
        <f ca="1">IFERROR(__xludf.DUMMYFUNCTION("GoogleTranslate(B1434,""ja"",""en"")"),"Saizo seven Grade")</f>
        <v>Saizo seven Grade</v>
      </c>
    </row>
    <row r="1435" spans="1:4" ht="15.75" customHeight="1" x14ac:dyDescent="0.25">
      <c r="A1435" s="1" t="s">
        <v>2539</v>
      </c>
      <c r="B1435" s="1" t="s">
        <v>2523</v>
      </c>
      <c r="C1435" s="1" t="s">
        <v>2540</v>
      </c>
      <c r="D1435" s="1" t="str">
        <f ca="1">IFERROR(__xludf.DUMMYFUNCTION("GoogleTranslate(B1435,""ja"",""en"")"),"Bear sixty-six grade")</f>
        <v>Bear sixty-six grade</v>
      </c>
    </row>
    <row r="1436" spans="1:4" ht="15.75" customHeight="1" x14ac:dyDescent="0.25">
      <c r="A1436" s="1" t="s">
        <v>2541</v>
      </c>
      <c r="B1436" s="1" t="s">
        <v>2525</v>
      </c>
      <c r="C1436" s="1" t="s">
        <v>2542</v>
      </c>
      <c r="D1436" s="1" t="str">
        <f ca="1">IFERROR(__xludf.DUMMYFUNCTION("GoogleTranslate(B1436,""ja"",""en"")"),"Small Genta six Grade")</f>
        <v>Small Genta six Grade</v>
      </c>
    </row>
    <row r="1437" spans="1:4" ht="15.75" customHeight="1" x14ac:dyDescent="0.25">
      <c r="A1437" s="1" t="s">
        <v>2543</v>
      </c>
      <c r="B1437" s="1" t="s">
        <v>2527</v>
      </c>
      <c r="C1437" s="1" t="s">
        <v>2544</v>
      </c>
      <c r="D1437" s="1" t="str">
        <f ca="1">IFERROR(__xludf.DUMMYFUNCTION("GoogleTranslate(B1437,""ja"",""en"")"),"Goemon five Grade")</f>
        <v>Goemon five Grade</v>
      </c>
    </row>
    <row r="1438" spans="1:4" ht="15.75" customHeight="1" x14ac:dyDescent="0.25">
      <c r="A1438" s="1" t="s">
        <v>2545</v>
      </c>
      <c r="B1438" s="1" t="s">
        <v>2529</v>
      </c>
      <c r="C1438" s="1" t="s">
        <v>2546</v>
      </c>
      <c r="D1438" s="1" t="str">
        <f ca="1">IFERROR(__xludf.DUMMYFUNCTION("GoogleTranslate(B1438,""ja"",""en"")"),"Sasuke five Grade")</f>
        <v>Sasuke five Grade</v>
      </c>
    </row>
    <row r="1439" spans="1:4" ht="15.75" customHeight="1" x14ac:dyDescent="0.25">
      <c r="A1439" s="1" t="s">
        <v>2547</v>
      </c>
      <c r="B1439" s="1" t="s">
        <v>2531</v>
      </c>
      <c r="C1439" s="1" t="s">
        <v>2548</v>
      </c>
      <c r="D1439" s="1" t="str">
        <f ca="1">IFERROR(__xludf.DUMMYFUNCTION("GoogleTranslate(B1439,""ja"",""en"")"),"HikariShiro quaternary")</f>
        <v>HikariShiro quaternary</v>
      </c>
    </row>
    <row r="1440" spans="1:4" ht="15.75" customHeight="1" x14ac:dyDescent="0.25">
      <c r="A1440" s="1" t="s">
        <v>2549</v>
      </c>
      <c r="B1440" s="1" t="s">
        <v>2533</v>
      </c>
      <c r="C1440" s="1" t="s">
        <v>2550</v>
      </c>
      <c r="D1440" s="1" t="str">
        <f ca="1">IFERROR(__xludf.DUMMYFUNCTION("GoogleTranslate(B1440,""ja"",""en"")"),"Kenkokoro quaternary")</f>
        <v>Kenkokoro quaternary</v>
      </c>
    </row>
    <row r="1441" spans="1:4" ht="15.75" customHeight="1" x14ac:dyDescent="0.25">
      <c r="A1441" s="1" t="s">
        <v>2551</v>
      </c>
      <c r="B1441" s="1" t="s">
        <v>2535</v>
      </c>
      <c r="C1441" s="1" t="s">
        <v>2552</v>
      </c>
      <c r="D1441" s="1" t="str">
        <f ca="1">IFERROR(__xludf.DUMMYFUNCTION("GoogleTranslate(B1441,""ja"",""en"")"),"SaburoFutoshi tertiary")</f>
        <v>SaburoFutoshi tertiary</v>
      </c>
    </row>
    <row r="1442" spans="1:4" ht="15.75" customHeight="1" x14ac:dyDescent="0.25">
      <c r="A1442" s="1" t="s">
        <v>2553</v>
      </c>
      <c r="B1442" s="1" t="s">
        <v>2537</v>
      </c>
      <c r="C1442" s="1" t="s">
        <v>2554</v>
      </c>
      <c r="D1442" s="1" t="str">
        <f ca="1">IFERROR(__xludf.DUMMYFUNCTION("GoogleTranslate(B1442,""ja"",""en"")"),"Kunimatsu tertiary")</f>
        <v>Kunimatsu tertiary</v>
      </c>
    </row>
    <row r="1443" spans="1:4" ht="15.75" customHeight="1" x14ac:dyDescent="0.25">
      <c r="A1443" s="1" t="s">
        <v>2555</v>
      </c>
      <c r="B1443" s="1" t="s">
        <v>2539</v>
      </c>
      <c r="C1443" s="1" t="s">
        <v>2556</v>
      </c>
      <c r="D1443" s="1" t="str">
        <f ca="1">IFERROR(__xludf.DUMMYFUNCTION("GoogleTranslate(B1443,""ja"",""en"")"),"Anjirō secondary")</f>
        <v>Anjirō secondary</v>
      </c>
    </row>
    <row r="1444" spans="1:4" ht="15.75" customHeight="1" x14ac:dyDescent="0.25">
      <c r="A1444" s="1" t="s">
        <v>2557</v>
      </c>
      <c r="B1444" s="1" t="s">
        <v>2541</v>
      </c>
      <c r="C1444" s="1" t="s">
        <v>2558</v>
      </c>
      <c r="D1444" s="1" t="str">
        <f ca="1">IFERROR(__xludf.DUMMYFUNCTION("GoogleTranslate(B1444,""ja"",""en"")"),"Tsurutaira secondary")</f>
        <v>Tsurutaira secondary</v>
      </c>
    </row>
    <row r="1445" spans="1:4" ht="15.75" customHeight="1" x14ac:dyDescent="0.25">
      <c r="A1445" s="1" t="s">
        <v>2559</v>
      </c>
      <c r="B1445" s="1" t="s">
        <v>2543</v>
      </c>
      <c r="C1445" s="1" t="s">
        <v>2560</v>
      </c>
      <c r="D1445" s="1" t="str">
        <f ca="1">IFERROR(__xludf.DUMMYFUNCTION("GoogleTranslate(B1445,""ja"",""en"")"),"Kazuyuki assistant primary")</f>
        <v>Kazuyuki assistant primary</v>
      </c>
    </row>
    <row r="1446" spans="1:4" ht="15.75" customHeight="1" x14ac:dyDescent="0.25">
      <c r="A1446" s="1" t="s">
        <v>2561</v>
      </c>
      <c r="B1446" s="1" t="s">
        <v>2545</v>
      </c>
      <c r="C1446" s="1" t="s">
        <v>2562</v>
      </c>
      <c r="D1446" s="1" t="str">
        <f ca="1">IFERROR(__xludf.DUMMYFUNCTION("GoogleTranslate(B1446,""ja"",""en"")"),"Kamekichi primary")</f>
        <v>Kamekichi primary</v>
      </c>
    </row>
    <row r="1447" spans="1:4" ht="15.75" customHeight="1" x14ac:dyDescent="0.25">
      <c r="A1447" s="1" t="s">
        <v>2563</v>
      </c>
      <c r="B1447" s="1" t="s">
        <v>2547</v>
      </c>
      <c r="C1447" s="1" t="s">
        <v>2564</v>
      </c>
      <c r="D1447" s="1" t="str">
        <f ca="1">IFERROR(__xludf.DUMMYFUNCTION("GoogleTranslate(B1447,""ja"",""en"")"),"KakunoSusumu first stage")</f>
        <v>KakunoSusumu first stage</v>
      </c>
    </row>
    <row r="1448" spans="1:4" ht="15.75" customHeight="1" x14ac:dyDescent="0.25">
      <c r="A1448" s="1" t="s">
        <v>2565</v>
      </c>
      <c r="B1448" s="1" t="s">
        <v>2549</v>
      </c>
      <c r="C1448" s="1" t="s">
        <v>2566</v>
      </c>
      <c r="D1448" s="1" t="str">
        <f ca="1">IFERROR(__xludf.DUMMYFUNCTION("GoogleTranslate(B1448,""ja"",""en"")"),"Umon two-stage")</f>
        <v>Umon two-stage</v>
      </c>
    </row>
    <row r="1449" spans="1:4" ht="15.75" customHeight="1" x14ac:dyDescent="0.25">
      <c r="A1449" s="1" t="s">
        <v>2567</v>
      </c>
      <c r="B1449" s="1" t="s">
        <v>2551</v>
      </c>
      <c r="C1449" s="1" t="s">
        <v>2568</v>
      </c>
      <c r="D1449" s="1" t="str">
        <f ca="1">IFERROR(__xludf.DUMMYFUNCTION("GoogleTranslate(B1449,""ja"",""en"")"),"Muramasa three-stage")</f>
        <v>Muramasa three-stage</v>
      </c>
    </row>
    <row r="1450" spans="1:4" ht="15.75" customHeight="1" x14ac:dyDescent="0.25">
      <c r="A1450" s="1" t="s">
        <v>2569</v>
      </c>
      <c r="B1450" s="1" t="s">
        <v>2553</v>
      </c>
      <c r="C1450" s="1" t="s">
        <v>2570</v>
      </c>
      <c r="D1450" s="1" t="str">
        <f ca="1">IFERROR(__xludf.DUMMYFUNCTION("GoogleTranslate(B1450,""ja"",""en"")"),"Sukesaburo four-stage")</f>
        <v>Sukesaburo four-stage</v>
      </c>
    </row>
    <row r="1451" spans="1:4" ht="15.75" customHeight="1" x14ac:dyDescent="0.25">
      <c r="A1451" s="1" t="s">
        <v>2571</v>
      </c>
      <c r="B1451" s="1" t="s">
        <v>2555</v>
      </c>
      <c r="C1451" s="1" t="s">
        <v>2572</v>
      </c>
      <c r="D1451" s="1" t="str">
        <f ca="1">IFERROR(__xludf.DUMMYFUNCTION("GoogleTranslate(B1451,""ja"",""en"")"),"Kongo five-stage")</f>
        <v>Kongo five-stage</v>
      </c>
    </row>
    <row r="1452" spans="1:4" ht="15.75" customHeight="1" x14ac:dyDescent="0.25">
      <c r="A1452" s="1" t="s">
        <v>2573</v>
      </c>
      <c r="B1452" s="1" t="s">
        <v>2557</v>
      </c>
      <c r="C1452" s="1" t="s">
        <v>2574</v>
      </c>
      <c r="D1452" s="1" t="str">
        <f ca="1">IFERROR(__xludf.DUMMYFUNCTION("GoogleTranslate(B1452,""ja"",""en"")"),"Sakyo 6th dan")</f>
        <v>Sakyo 6th dan</v>
      </c>
    </row>
    <row r="1453" spans="1:4" ht="15.75" customHeight="1" x14ac:dyDescent="0.25">
      <c r="A1453" s="1" t="s">
        <v>2575</v>
      </c>
      <c r="B1453" s="1" t="s">
        <v>2559</v>
      </c>
      <c r="C1453" s="1" t="s">
        <v>2576</v>
      </c>
      <c r="D1453" s="1" t="str">
        <f ca="1">IFERROR(__xludf.DUMMYFUNCTION("GoogleTranslate(B1453,""ja"",""en"")"),"Toratetsu seven-stage")</f>
        <v>Toratetsu seven-stage</v>
      </c>
    </row>
    <row r="1454" spans="1:4" ht="15.75" customHeight="1" x14ac:dyDescent="0.25">
      <c r="A1454" s="1" t="s">
        <v>2577</v>
      </c>
      <c r="B1454" s="1" t="s">
        <v>2561</v>
      </c>
      <c r="C1454" s="1" t="s">
        <v>2578</v>
      </c>
      <c r="D1454" s="1" t="str">
        <f ca="1">IFERROR(__xludf.DUMMYFUNCTION("GoogleTranslate(B1454,""ja"",""en"")"),"Onimaru 8th Dan")</f>
        <v>Onimaru 8th Dan</v>
      </c>
    </row>
    <row r="1455" spans="1:4" ht="15.75" customHeight="1" x14ac:dyDescent="0.25">
      <c r="A1455" s="1" t="s">
        <v>2579</v>
      </c>
      <c r="B1455" s="1" t="s">
        <v>2563</v>
      </c>
      <c r="C1455" s="1" t="s">
        <v>2580</v>
      </c>
      <c r="D1455" s="1" t="str">
        <f ca="1">IFERROR(__xludf.DUMMYFUNCTION("GoogleTranslate(B1455,""ja"",""en"")"),"Black Unsai Kudan")</f>
        <v>Black Unsai Kudan</v>
      </c>
    </row>
    <row r="1456" spans="1:4" ht="15.75" customHeight="1" x14ac:dyDescent="0.25">
      <c r="A1456" s="1" t="s">
        <v>2581</v>
      </c>
      <c r="B1456" s="1" t="s">
        <v>2565</v>
      </c>
      <c r="C1456" s="1" t="s">
        <v>2582</v>
      </c>
      <c r="D1456" s="1" t="str">
        <f ca="1">IFERROR(__xludf.DUMMYFUNCTION("GoogleTranslate(B1456,""ja"",""en"")"),"Crow Tengu the top")</f>
        <v>Crow Tengu the top</v>
      </c>
    </row>
    <row r="1457" spans="1:4" ht="15.75" customHeight="1" x14ac:dyDescent="0.25">
      <c r="A1457" s="1" t="s">
        <v>2583</v>
      </c>
      <c r="B1457" s="1" t="s">
        <v>2567</v>
      </c>
      <c r="C1457" s="1" t="s">
        <v>2584</v>
      </c>
      <c r="D1457" s="1" t="str">
        <f ca="1">IFERROR(__xludf.DUMMYFUNCTION("GoogleTranslate(B1457,""ja"",""en"")"),"The Son of God Shogi King")</f>
        <v>The Son of God Shogi King</v>
      </c>
    </row>
    <row r="1458" spans="1:4" ht="15.75" customHeight="1" x14ac:dyDescent="0.25">
      <c r="A1458" s="1" t="s">
        <v>2585</v>
      </c>
      <c r="B1458" s="1" t="s">
        <v>5138</v>
      </c>
      <c r="C1458" s="1" t="s">
        <v>2586</v>
      </c>
      <c r="D1458" s="1" t="str">
        <f ca="1">IFERROR(__xludf.DUMMYFUNCTION("GoogleTranslate(B1458,""ja"",""en"")"),"Changzhi")</f>
        <v>Changzhi</v>
      </c>
    </row>
    <row r="1459" spans="1:4" ht="15.75" customHeight="1" x14ac:dyDescent="0.25">
      <c r="A1459" s="1" t="s">
        <v>2587</v>
      </c>
      <c r="B1459" s="1" t="s">
        <v>5139</v>
      </c>
      <c r="C1459" s="1" t="s">
        <v>2588</v>
      </c>
      <c r="D1459" s="1" t="str">
        <f ca="1">IFERROR(__xludf.DUMMYFUNCTION("GoogleTranslate(B1459,""ja"",""en"")"),"Government of vagabond")</f>
        <v>Government of vagabond</v>
      </c>
    </row>
    <row r="1460" spans="1:4" ht="15.75" customHeight="1" x14ac:dyDescent="0.25">
      <c r="A1460" s="1" t="s">
        <v>2589</v>
      </c>
      <c r="B1460" s="1" t="s">
        <v>5140</v>
      </c>
      <c r="C1460" s="1" t="s">
        <v>2590</v>
      </c>
      <c r="D1460" s="1" t="str">
        <f ca="1">IFERROR(__xludf.DUMMYFUNCTION("GoogleTranslate(B1460,""ja"",""en"")"),"Kintoki of Arashiyama")</f>
        <v>Kintoki of Arashiyama</v>
      </c>
    </row>
    <row r="1461" spans="1:4" ht="15.75" customHeight="1" x14ac:dyDescent="0.25">
      <c r="A1461" s="1" t="s">
        <v>2591</v>
      </c>
      <c r="B1461" s="1" t="s">
        <v>5141</v>
      </c>
      <c r="C1461" s="1" t="s">
        <v>2592</v>
      </c>
      <c r="D1461" s="1" t="str">
        <f ca="1">IFERROR(__xludf.DUMMYFUNCTION("GoogleTranslate(B1461,""ja"",""en"")"),"Chest heat licorice")</f>
        <v>Chest heat licorice</v>
      </c>
    </row>
    <row r="1462" spans="1:4" ht="15.75" customHeight="1" x14ac:dyDescent="0.25">
      <c r="A1462" s="1" t="s">
        <v>2593</v>
      </c>
      <c r="B1462" s="1" t="s">
        <v>5142</v>
      </c>
      <c r="C1462" s="1" t="s">
        <v>2594</v>
      </c>
      <c r="D1462" s="1" t="str">
        <f ca="1">IFERROR(__xludf.DUMMYFUNCTION("GoogleTranslate(B1462,""ja"",""en"")"),"Millionaire of Qian eight")</f>
        <v>Millionaire of Qian eight</v>
      </c>
    </row>
    <row r="1463" spans="1:4" ht="15.75" customHeight="1" x14ac:dyDescent="0.25">
      <c r="A1463" s="1" t="s">
        <v>2595</v>
      </c>
      <c r="B1463" s="1" t="s">
        <v>5143</v>
      </c>
      <c r="C1463" s="1" t="s">
        <v>2596</v>
      </c>
      <c r="D1463" s="1" t="str">
        <f ca="1">IFERROR(__xludf.DUMMYFUNCTION("GoogleTranslate(B1463,""ja"",""en"")"),"City of Death")</f>
        <v>City of Death</v>
      </c>
    </row>
    <row r="1464" spans="1:4" ht="15.75" customHeight="1" x14ac:dyDescent="0.25">
      <c r="A1464" s="1" t="s">
        <v>2597</v>
      </c>
      <c r="B1464" s="1" t="s">
        <v>5144</v>
      </c>
      <c r="C1464" s="1" t="s">
        <v>2598</v>
      </c>
      <c r="D1464" s="1" t="str">
        <f ca="1">IFERROR(__xludf.DUMMYFUNCTION("GoogleTranslate(B1464,""ja"",""en"")"),"Root dark Do Naosuke")</f>
        <v>Root dark Do Naosuke</v>
      </c>
    </row>
    <row r="1465" spans="1:4" ht="15.75" customHeight="1" x14ac:dyDescent="0.25">
      <c r="A1465" s="1" t="s">
        <v>2599</v>
      </c>
      <c r="B1465" s="1" t="s">
        <v>5145</v>
      </c>
      <c r="C1465" s="1" t="s">
        <v>2600</v>
      </c>
      <c r="D1465" s="1" t="str">
        <f ca="1">IFERROR(__xludf.DUMMYFUNCTION("GoogleTranslate(B1465,""ja"",""en"")"),"Greedy Goro")</f>
        <v>Greedy Goro</v>
      </c>
    </row>
    <row r="1466" spans="1:4" ht="15.75" customHeight="1" x14ac:dyDescent="0.25">
      <c r="A1466" s="1" t="s">
        <v>2601</v>
      </c>
      <c r="B1466" s="1" t="s">
        <v>5146</v>
      </c>
      <c r="C1466" s="1" t="s">
        <v>2602</v>
      </c>
      <c r="D1466" s="1" t="str">
        <f ca="1">IFERROR(__xludf.DUMMYFUNCTION("GoogleTranslate(B1466,""ja"",""en"")"),"Of luck Daikichi")</f>
        <v>Of luck Daikichi</v>
      </c>
    </row>
    <row r="1467" spans="1:4" ht="15.75" customHeight="1" x14ac:dyDescent="0.25">
      <c r="A1467" s="1" t="s">
        <v>2603</v>
      </c>
      <c r="B1467" s="1" t="s">
        <v>2587</v>
      </c>
      <c r="C1467" s="1" t="s">
        <v>2604</v>
      </c>
      <c r="D1467" s="1" t="str">
        <f ca="1">IFERROR(__xludf.DUMMYFUNCTION("GoogleTranslate(B1467,""ja"",""en"")"),"No gold Chuta")</f>
        <v>No gold Chuta</v>
      </c>
    </row>
    <row r="1468" spans="1:4" ht="15.75" customHeight="1" x14ac:dyDescent="0.25">
      <c r="A1468" s="1" t="s">
        <v>2605</v>
      </c>
      <c r="B1468" s="1" t="s">
        <v>2589</v>
      </c>
      <c r="C1468" s="1" t="s">
        <v>2606</v>
      </c>
      <c r="D1468" s="1" t="str">
        <f ca="1">IFERROR(__xludf.DUMMYFUNCTION("GoogleTranslate(B1468,""ja"",""en"")"),"The mystery of the gambler Ichi")</f>
        <v>The mystery of the gambler Ichi</v>
      </c>
    </row>
    <row r="1469" spans="1:4" ht="15.75" customHeight="1" x14ac:dyDescent="0.25">
      <c r="A1469" s="1" t="s">
        <v>2607</v>
      </c>
      <c r="B1469" s="1" t="s">
        <v>2591</v>
      </c>
      <c r="C1469" s="1" t="s">
        <v>2608</v>
      </c>
      <c r="D1469" s="1" t="str">
        <f ca="1">IFERROR(__xludf.DUMMYFUNCTION("GoogleTranslate(B1469,""ja"",""en"")"),"The mystery of the gambler Vol.2")</f>
        <v>The mystery of the gambler Vol.2</v>
      </c>
    </row>
    <row r="1470" spans="1:4" ht="15.75" customHeight="1" x14ac:dyDescent="0.25">
      <c r="A1470" s="1" t="s">
        <v>2609</v>
      </c>
      <c r="B1470" s="1" t="s">
        <v>2593</v>
      </c>
      <c r="C1470" s="1" t="s">
        <v>2610</v>
      </c>
      <c r="D1470" s="1" t="str">
        <f ca="1">IFERROR(__xludf.DUMMYFUNCTION("GoogleTranslate(B1470,""ja"",""en"")"),"Gambler participation of mystery")</f>
        <v>Gambler participation of mystery</v>
      </c>
    </row>
    <row r="1471" spans="1:4" ht="15.75" customHeight="1" x14ac:dyDescent="0.25">
      <c r="A1471" s="1" t="s">
        <v>2611</v>
      </c>
      <c r="B1471" s="1" t="s">
        <v>5147</v>
      </c>
      <c r="C1471" s="1" t="s">
        <v>2612</v>
      </c>
      <c r="D1471" s="1" t="str">
        <f ca="1">IFERROR(__xludf.DUMMYFUNCTION("GoogleTranslate(B1471,""ja"",""en"")"),"Eye")</f>
        <v>Eye</v>
      </c>
    </row>
    <row r="1472" spans="1:4" ht="15.75" customHeight="1" x14ac:dyDescent="0.25">
      <c r="A1472" s="1" t="s">
        <v>2613</v>
      </c>
      <c r="B1472" s="1" t="s">
        <v>5148</v>
      </c>
      <c r="C1472" s="1" t="s">
        <v>2612</v>
      </c>
      <c r="D1472" s="1" t="str">
        <f ca="1">IFERROR(__xludf.DUMMYFUNCTION("GoogleTranslate(B1472,""ja"",""en"")"),"Eye")</f>
        <v>Eye</v>
      </c>
    </row>
    <row r="1473" spans="1:4" ht="15.75" customHeight="1" x14ac:dyDescent="0.25">
      <c r="A1473" s="1" t="s">
        <v>2614</v>
      </c>
      <c r="B1473" s="1" t="s">
        <v>5149</v>
      </c>
      <c r="C1473" s="1" t="s">
        <v>2612</v>
      </c>
      <c r="D1473" s="1" t="str">
        <f ca="1">IFERROR(__xludf.DUMMYFUNCTION("GoogleTranslate(B1473,""ja"",""en"")"),"Eye")</f>
        <v>Eye</v>
      </c>
    </row>
    <row r="1474" spans="1:4" ht="15.75" customHeight="1" x14ac:dyDescent="0.25">
      <c r="A1474" s="1" t="s">
        <v>2615</v>
      </c>
      <c r="B1474" s="1" t="s">
        <v>5150</v>
      </c>
      <c r="C1474" s="1" t="s">
        <v>1171</v>
      </c>
      <c r="D1474" s="1" t="str">
        <f ca="1">IFERROR(__xludf.DUMMYFUNCTION("GoogleTranslate(B1474,""ja"",""en"")"),"Down")</f>
        <v>Down</v>
      </c>
    </row>
    <row r="1475" spans="1:4" ht="15.75" customHeight="1" x14ac:dyDescent="0.25">
      <c r="A1475" s="1" t="s">
        <v>2616</v>
      </c>
      <c r="B1475" s="1" t="s">
        <v>5151</v>
      </c>
      <c r="C1475" s="1" t="s">
        <v>2617</v>
      </c>
      <c r="D1475" s="1" t="str">
        <f ca="1">IFERROR(__xludf.DUMMYFUNCTION("GoogleTranslate(B1475,""ja"",""en"")"),"Ding")</f>
        <v>Ding</v>
      </c>
    </row>
    <row r="1476" spans="1:4" ht="15.75" customHeight="1" x14ac:dyDescent="0.25">
      <c r="A1476" s="1" t="s">
        <v>2618</v>
      </c>
      <c r="B1476" s="1" t="s">
        <v>5152</v>
      </c>
      <c r="C1476" s="1" t="s">
        <v>2619</v>
      </c>
      <c r="D1476" s="1" t="str">
        <f ca="1">IFERROR(__xludf.DUMMYFUNCTION("GoogleTranslate(B1476,""ja"",""en"")"),"half")</f>
        <v>half</v>
      </c>
    </row>
    <row r="1477" spans="1:4" ht="15.75" customHeight="1" x14ac:dyDescent="0.25">
      <c r="A1477" s="1" t="s">
        <v>2620</v>
      </c>
      <c r="B1477" s="1" t="s">
        <v>5153</v>
      </c>
      <c r="C1477" s="1" t="s">
        <v>2621</v>
      </c>
      <c r="D1477" s="1" t="str">
        <f ca="1">IFERROR(__xludf.DUMMYFUNCTION("GoogleTranslate(B1477,""ja"",""en"")"),"Idea")</f>
        <v>Idea</v>
      </c>
    </row>
    <row r="1478" spans="1:4" ht="15.75" customHeight="1" x14ac:dyDescent="0.25">
      <c r="A1478" s="1" t="s">
        <v>2622</v>
      </c>
      <c r="B1478" s="1" t="s">
        <v>2603</v>
      </c>
      <c r="C1478" s="1" t="s">
        <v>2621</v>
      </c>
      <c r="D1478" s="1" t="str">
        <f ca="1">IFERROR(__xludf.DUMMYFUNCTION("GoogleTranslate(B1478,""ja"",""en"")"),"Idea")</f>
        <v>Idea</v>
      </c>
    </row>
    <row r="1479" spans="1:4" ht="15.75" customHeight="1" x14ac:dyDescent="0.25">
      <c r="A1479" s="1" t="s">
        <v>2623</v>
      </c>
      <c r="B1479" s="1" t="s">
        <v>5154</v>
      </c>
      <c r="C1479" s="1" t="s">
        <v>2624</v>
      </c>
      <c r="D1479" s="1" t="str">
        <f ca="1">IFERROR(__xludf.DUMMYFUNCTION("GoogleTranslate(B1479,""ja"",""en"")"),"")</f>
        <v/>
      </c>
    </row>
    <row r="1480" spans="1:4" ht="15.75" customHeight="1" x14ac:dyDescent="0.25">
      <c r="A1480" s="1" t="s">
        <v>2625</v>
      </c>
      <c r="B1480" s="1" t="s">
        <v>5155</v>
      </c>
      <c r="C1480" s="1" t="s">
        <v>1946</v>
      </c>
      <c r="D1480" s="1" t="str">
        <f ca="1">IFERROR(__xludf.DUMMYFUNCTION("GoogleTranslate(B1480,""ja"",""en"")"),"During ~")</f>
        <v>During ~</v>
      </c>
    </row>
    <row r="1481" spans="1:4" ht="15.75" customHeight="1" x14ac:dyDescent="0.25">
      <c r="A1481" s="1" t="s">
        <v>2626</v>
      </c>
      <c r="B1481" s="1" t="s">
        <v>5156</v>
      </c>
      <c r="C1481" s="1" t="s">
        <v>2627</v>
      </c>
      <c r="D1481" s="1" t="str">
        <f ca="1">IFERROR(__xludf.DUMMYFUNCTION("GoogleTranslate(B1481,""ja"",""en"")"),"table")</f>
        <v>table</v>
      </c>
    </row>
    <row r="1482" spans="1:4" ht="15.75" customHeight="1" x14ac:dyDescent="0.25">
      <c r="A1482" s="1" t="s">
        <v>2628</v>
      </c>
      <c r="B1482" s="1" t="s">
        <v>2616</v>
      </c>
      <c r="C1482" s="1" t="s">
        <v>2629</v>
      </c>
      <c r="D1482" s="1" t="str">
        <f ca="1">IFERROR(__xludf.DUMMYFUNCTION("GoogleTranslate(B1482,""ja"",""en"")"),"Sakichi of moderate")</f>
        <v>Sakichi of moderate</v>
      </c>
    </row>
    <row r="1483" spans="1:4" ht="15.75" customHeight="1" x14ac:dyDescent="0.25">
      <c r="A1483" s="1" t="s">
        <v>2630</v>
      </c>
      <c r="B1483" s="1" t="s">
        <v>2620</v>
      </c>
      <c r="C1483" s="1" t="s">
        <v>2631</v>
      </c>
      <c r="D1483" s="1" t="str">
        <f ca="1">IFERROR(__xludf.DUMMYFUNCTION("GoogleTranslate(B1483,""ja"",""en"")"),"Bukkomi Toru")</f>
        <v>Bukkomi Toru</v>
      </c>
    </row>
    <row r="1484" spans="1:4" ht="15.75" customHeight="1" x14ac:dyDescent="0.25">
      <c r="A1484" s="1" t="s">
        <v>2632</v>
      </c>
      <c r="B1484" s="1" t="s">
        <v>5157</v>
      </c>
      <c r="C1484" s="1" t="s">
        <v>2633</v>
      </c>
      <c r="D1484" s="1" t="str">
        <f ca="1">IFERROR(__xludf.DUMMYFUNCTION("GoogleTranslate(B1484,""ja"",""en"")"),"Tatsuzo of silence")</f>
        <v>Tatsuzo of silence</v>
      </c>
    </row>
    <row r="1485" spans="1:4" ht="15.75" customHeight="1" x14ac:dyDescent="0.25">
      <c r="A1485" s="1" t="s">
        <v>2634</v>
      </c>
      <c r="B1485" s="1" t="s">
        <v>5158</v>
      </c>
      <c r="C1485" s="1" t="s">
        <v>2635</v>
      </c>
      <c r="D1485" s="1" t="str">
        <f ca="1">IFERROR(__xludf.DUMMYFUNCTION("GoogleTranslate(B1485,""ja"",""en"")"),"Kill time runway")</f>
        <v>Kill time runway</v>
      </c>
    </row>
    <row r="1486" spans="1:4" ht="15.75" customHeight="1" x14ac:dyDescent="0.25">
      <c r="A1486" s="1" t="s">
        <v>2636</v>
      </c>
      <c r="B1486" s="1" t="s">
        <v>5159</v>
      </c>
      <c r="C1486" s="1" t="s">
        <v>2637</v>
      </c>
      <c r="D1486" s="1" t="str">
        <f ca="1">IFERROR(__xludf.DUMMYFUNCTION("GoogleTranslate(B1486,""ja"",""en"")"),"Hachiro of lightning")</f>
        <v>Hachiro of lightning</v>
      </c>
    </row>
    <row r="1487" spans="1:4" ht="15.75" customHeight="1" x14ac:dyDescent="0.25">
      <c r="A1487" s="1" t="s">
        <v>2638</v>
      </c>
      <c r="B1487" s="1" t="s">
        <v>5160</v>
      </c>
      <c r="C1487" s="1" t="s">
        <v>2639</v>
      </c>
      <c r="D1487" s="1" t="str">
        <f ca="1">IFERROR(__xludf.DUMMYFUNCTION("GoogleTranslate(B1487,""ja"",""en"")"),"Taisei of bad luck")</f>
        <v>Taisei of bad luck</v>
      </c>
    </row>
    <row r="1488" spans="1:4" ht="15.75" customHeight="1" x14ac:dyDescent="0.25">
      <c r="A1488" s="1" t="s">
        <v>2640</v>
      </c>
      <c r="B1488" s="1" t="s">
        <v>5161</v>
      </c>
      <c r="C1488" s="1" t="s">
        <v>2641</v>
      </c>
      <c r="D1488" s="1" t="str">
        <f ca="1">IFERROR(__xludf.DUMMYFUNCTION("GoogleTranslate(B1488,""ja"",""en"")"),"Male fool")</f>
        <v>Male fool</v>
      </c>
    </row>
    <row r="1489" spans="1:4" ht="15.75" customHeight="1" x14ac:dyDescent="0.25">
      <c r="A1489" s="1" t="s">
        <v>2642</v>
      </c>
      <c r="B1489" s="1" t="s">
        <v>5162</v>
      </c>
      <c r="C1489" s="1" t="s">
        <v>2643</v>
      </c>
      <c r="D1489" s="1" t="str">
        <f ca="1">IFERROR(__xludf.DUMMYFUNCTION("GoogleTranslate(B1489,""ja"",""en"")"),"Intuition cattle Noriyuki assistant")</f>
        <v>Intuition cattle Noriyuki assistant</v>
      </c>
    </row>
    <row r="1490" spans="1:4" ht="15.75" customHeight="1" x14ac:dyDescent="0.25">
      <c r="A1490" s="1" t="s">
        <v>2644</v>
      </c>
      <c r="B1490" s="1" t="s">
        <v>2628</v>
      </c>
      <c r="C1490" s="1" t="s">
        <v>2645</v>
      </c>
      <c r="D1490" s="1" t="str">
        <f ca="1">IFERROR(__xludf.DUMMYFUNCTION("GoogleTranslate(B1490,""ja"",""en"")"),"Genius Kenshiro")</f>
        <v>Genius Kenshiro</v>
      </c>
    </row>
    <row r="1491" spans="1:4" ht="15.75" customHeight="1" x14ac:dyDescent="0.25">
      <c r="A1491" s="1" t="s">
        <v>2646</v>
      </c>
      <c r="B1491" s="1" t="s">
        <v>2630</v>
      </c>
      <c r="C1491" s="1" t="s">
        <v>2647</v>
      </c>
      <c r="D1491" s="1" t="str">
        <f ca="1">IFERROR(__xludf.DUMMYFUNCTION("GoogleTranslate(B1491,""ja"",""en"")"),"Swingers silver")</f>
        <v>Swingers silver</v>
      </c>
    </row>
    <row r="1492" spans="1:4" ht="15.75" customHeight="1" x14ac:dyDescent="0.25">
      <c r="A1492" s="1" t="s">
        <v>2648</v>
      </c>
      <c r="B1492" s="1" t="s">
        <v>2632</v>
      </c>
      <c r="C1492" s="1" t="s">
        <v>2649</v>
      </c>
      <c r="D1492" s="1" t="str">
        <f ca="1">IFERROR(__xludf.DUMMYFUNCTION("GoogleTranslate(B1492,""ja"",""en"")"),"Greedy Seiji")</f>
        <v>Greedy Seiji</v>
      </c>
    </row>
    <row r="1493" spans="1:4" ht="15.75" customHeight="1" x14ac:dyDescent="0.25">
      <c r="A1493" s="1" t="s">
        <v>2650</v>
      </c>
      <c r="B1493" s="1" t="s">
        <v>5163</v>
      </c>
      <c r="C1493" s="1" t="s">
        <v>2208</v>
      </c>
      <c r="D1493" s="1" t="str">
        <f ca="1">IFERROR(__xludf.DUMMYFUNCTION("GoogleTranslate(B1493,""ja"",""en"")"),"Ichiro")</f>
        <v>Ichiro</v>
      </c>
    </row>
    <row r="1494" spans="1:4" ht="15.75" customHeight="1" x14ac:dyDescent="0.25">
      <c r="A1494" s="1" t="s">
        <v>2651</v>
      </c>
      <c r="B1494" s="1" t="s">
        <v>5164</v>
      </c>
      <c r="C1494" s="1" t="s">
        <v>2652</v>
      </c>
      <c r="D1494" s="1" t="str">
        <f ca="1">IFERROR(__xludf.DUMMYFUNCTION("GoogleTranslate(B1494,""ja"",""en"")"),"Liquor")</f>
        <v>Liquor</v>
      </c>
    </row>
    <row r="1495" spans="1:4" ht="15.75" customHeight="1" x14ac:dyDescent="0.25">
      <c r="A1495" s="1" t="s">
        <v>2653</v>
      </c>
      <c r="B1495" s="1" t="s">
        <v>5165</v>
      </c>
      <c r="C1495" s="1" t="s">
        <v>17</v>
      </c>
      <c r="D1495" s="1" t="str">
        <f ca="1">IFERROR(__xludf.DUMMYFUNCTION("GoogleTranslate(B1495,""ja"",""en"")"),"point")</f>
        <v>point</v>
      </c>
    </row>
    <row r="1496" spans="1:4" ht="15.75" customHeight="1" x14ac:dyDescent="0.25">
      <c r="A1496" s="1" t="s">
        <v>2654</v>
      </c>
      <c r="B1496" s="1" t="s">
        <v>5166</v>
      </c>
      <c r="C1496" s="1" t="s">
        <v>2655</v>
      </c>
      <c r="D1496" s="1" t="str">
        <f ca="1">IFERROR(__xludf.DUMMYFUNCTION("GoogleTranslate(B1496,""ja"",""en"")"),"Season")</f>
        <v>Season</v>
      </c>
    </row>
    <row r="1497" spans="1:4" ht="15.75" customHeight="1" x14ac:dyDescent="0.25">
      <c r="A1497" s="1" t="s">
        <v>2656</v>
      </c>
      <c r="B1497" s="1" t="s">
        <v>2650</v>
      </c>
      <c r="C1497" s="1" t="s">
        <v>1986</v>
      </c>
      <c r="D1497" s="1" t="str">
        <f ca="1">IFERROR(__xludf.DUMMYFUNCTION("GoogleTranslate(B1497,""ja"",""en"")"),"!")</f>
        <v>!</v>
      </c>
    </row>
    <row r="1498" spans="1:4" ht="15.75" customHeight="1" x14ac:dyDescent="0.25">
      <c r="A1498" s="1" t="s">
        <v>2657</v>
      </c>
      <c r="B1498" s="1" t="s">
        <v>5167</v>
      </c>
      <c r="C1498" s="1" t="s">
        <v>213</v>
      </c>
      <c r="D1498" s="1" t="str">
        <f ca="1">IFERROR(__xludf.DUMMYFUNCTION("GoogleTranslate(B1498,""ja"",""en"")"),".")</f>
        <v>.</v>
      </c>
    </row>
    <row r="1499" spans="1:4" ht="15.75" customHeight="1" x14ac:dyDescent="0.25">
      <c r="A1499" s="1" t="s">
        <v>2658</v>
      </c>
      <c r="B1499" s="1" t="s">
        <v>2651</v>
      </c>
      <c r="C1499" s="1" t="s">
        <v>213</v>
      </c>
      <c r="D1499" s="1" t="str">
        <f ca="1">IFERROR(__xludf.DUMMYFUNCTION("GoogleTranslate(B1499,""ja"",""en"")"),".")</f>
        <v>.</v>
      </c>
    </row>
    <row r="1500" spans="1:4" ht="15.75" customHeight="1" x14ac:dyDescent="0.25">
      <c r="A1500" s="1" t="s">
        <v>2659</v>
      </c>
      <c r="B1500" s="1" t="s">
        <v>5168</v>
      </c>
      <c r="C1500" s="1" t="s">
        <v>213</v>
      </c>
      <c r="D1500" s="1" t="str">
        <f ca="1">IFERROR(__xludf.DUMMYFUNCTION("GoogleTranslate(B1500,""ja"",""en"")"),".")</f>
        <v>.</v>
      </c>
    </row>
    <row r="1501" spans="1:4" ht="15.75" customHeight="1" x14ac:dyDescent="0.25">
      <c r="A1501" s="1" t="s">
        <v>2660</v>
      </c>
      <c r="B1501" s="1" t="s">
        <v>5169</v>
      </c>
      <c r="C1501" s="1" t="s">
        <v>213</v>
      </c>
      <c r="D1501" s="1" t="str">
        <f ca="1">IFERROR(__xludf.DUMMYFUNCTION("GoogleTranslate(B1501,""ja"",""en"")"),".")</f>
        <v>.</v>
      </c>
    </row>
    <row r="1502" spans="1:4" ht="15.75" customHeight="1" x14ac:dyDescent="0.25">
      <c r="A1502" s="1" t="s">
        <v>2661</v>
      </c>
      <c r="B1502" s="1" t="s">
        <v>5170</v>
      </c>
      <c r="C1502" s="1" t="s">
        <v>2662</v>
      </c>
      <c r="D1502" s="1" t="str">
        <f ca="1">IFERROR(__xludf.DUMMYFUNCTION("GoogleTranslate(B1502,""ja"",""en"")"),"Hajime")</f>
        <v>Hajime</v>
      </c>
    </row>
    <row r="1503" spans="1:4" ht="15.75" customHeight="1" x14ac:dyDescent="0.25">
      <c r="A1503" s="1" t="s">
        <v>2663</v>
      </c>
      <c r="B1503" s="1" t="s">
        <v>5171</v>
      </c>
      <c r="C1503" s="1" t="s">
        <v>2664</v>
      </c>
      <c r="D1503" s="1" t="str">
        <f ca="1">IFERROR(__xludf.DUMMYFUNCTION("GoogleTranslate(B1503,""ja"",""en"")"),"Change Settings")</f>
        <v>Change Settings</v>
      </c>
    </row>
    <row r="1504" spans="1:4" ht="15.75" customHeight="1" x14ac:dyDescent="0.25">
      <c r="A1504" s="1" t="s">
        <v>2665</v>
      </c>
      <c r="B1504" s="1" t="s">
        <v>5172</v>
      </c>
      <c r="C1504" s="1" t="s">
        <v>2666</v>
      </c>
      <c r="D1504" s="1" t="str">
        <f ca="1">IFERROR(__xludf.DUMMYFUNCTION("GoogleTranslate(B1504,""ja"",""en"")"),"Sure")</f>
        <v>Sure</v>
      </c>
    </row>
    <row r="1505" spans="1:4" ht="15.75" customHeight="1" x14ac:dyDescent="0.25">
      <c r="A1505" s="1" t="s">
        <v>2667</v>
      </c>
      <c r="B1505" s="1" t="s">
        <v>5173</v>
      </c>
      <c r="C1505" s="1" t="s">
        <v>2668</v>
      </c>
      <c r="D1505" s="1" t="str">
        <f ca="1">IFERROR(__xludf.DUMMYFUNCTION("GoogleTranslate(B1505,""ja"",""en"")"),"Shows")</f>
        <v>Shows</v>
      </c>
    </row>
    <row r="1506" spans="1:4" ht="15.75" customHeight="1" x14ac:dyDescent="0.25">
      <c r="A1506" s="1" t="s">
        <v>2669</v>
      </c>
      <c r="B1506" s="1" t="s">
        <v>2659</v>
      </c>
      <c r="C1506" s="1" t="s">
        <v>354</v>
      </c>
      <c r="D1506" s="1" t="str">
        <f ca="1">IFERROR(__xludf.DUMMYFUNCTION("GoogleTranslate(B1506,""ja"",""en"")"),"Have")</f>
        <v>Have</v>
      </c>
    </row>
    <row r="1507" spans="1:4" ht="15.75" customHeight="1" x14ac:dyDescent="0.25">
      <c r="A1507" s="1" t="s">
        <v>2670</v>
      </c>
      <c r="B1507" s="1" t="s">
        <v>5174</v>
      </c>
      <c r="C1507" s="1" t="s">
        <v>213</v>
      </c>
      <c r="D1507" s="1" t="str">
        <f ca="1">IFERROR(__xludf.DUMMYFUNCTION("GoogleTranslate(B1507,""ja"",""en"")"),".")</f>
        <v>.</v>
      </c>
    </row>
    <row r="1508" spans="1:4" ht="15.75" customHeight="1" x14ac:dyDescent="0.25">
      <c r="A1508" s="1" t="s">
        <v>2671</v>
      </c>
      <c r="B1508" s="1" t="s">
        <v>2661</v>
      </c>
      <c r="C1508" s="1" t="s">
        <v>2672</v>
      </c>
      <c r="D1508" s="1" t="str">
        <f ca="1">IFERROR(__xludf.DUMMYFUNCTION("GoogleTranslate(B1508,""ja"",""en"")"),"Six")</f>
        <v>Six</v>
      </c>
    </row>
    <row r="1509" spans="1:4" ht="15.75" customHeight="1" x14ac:dyDescent="0.25">
      <c r="A1509" s="1" t="s">
        <v>2673</v>
      </c>
      <c r="B1509" s="1" t="s">
        <v>5175</v>
      </c>
      <c r="C1509" s="1" t="s">
        <v>2674</v>
      </c>
      <c r="D1509" s="1" t="str">
        <f ca="1">IFERROR(__xludf.DUMMYFUNCTION("GoogleTranslate(B1509,""ja"",""en"")"),"Seven")</f>
        <v>Seven</v>
      </c>
    </row>
    <row r="1510" spans="1:4" ht="15.75" customHeight="1" x14ac:dyDescent="0.25">
      <c r="A1510" s="1" t="s">
        <v>2675</v>
      </c>
      <c r="B1510" s="1" t="s">
        <v>5176</v>
      </c>
      <c r="C1510" s="1" t="s">
        <v>2220</v>
      </c>
      <c r="D1510" s="1" t="str">
        <f ca="1">IFERROR(__xludf.DUMMYFUNCTION("GoogleTranslate(B1510,""ja"",""en"")"),"Eight")</f>
        <v>Eight</v>
      </c>
    </row>
    <row r="1511" spans="1:4" ht="15.75" customHeight="1" x14ac:dyDescent="0.25">
      <c r="A1511" s="1" t="s">
        <v>2676</v>
      </c>
      <c r="B1511" s="1" t="s">
        <v>5177</v>
      </c>
      <c r="C1511" s="1" t="s">
        <v>2677</v>
      </c>
      <c r="D1511" s="1" t="str">
        <f ca="1">IFERROR(__xludf.DUMMYFUNCTION("GoogleTranslate(B1511,""ja"",""en"")"),"Nine")</f>
        <v>Nine</v>
      </c>
    </row>
    <row r="1512" spans="1:4" ht="15.75" customHeight="1" x14ac:dyDescent="0.25">
      <c r="A1512" s="1" t="s">
        <v>2678</v>
      </c>
      <c r="B1512" s="1" t="s">
        <v>5178</v>
      </c>
      <c r="C1512" s="1" t="s">
        <v>2679</v>
      </c>
      <c r="D1512" s="1" t="str">
        <f ca="1">IFERROR(__xludf.DUMMYFUNCTION("GoogleTranslate(B1512,""ja"",""en"")"),"Ten")</f>
        <v>Ten</v>
      </c>
    </row>
    <row r="1513" spans="1:4" ht="15.75" customHeight="1" x14ac:dyDescent="0.25">
      <c r="A1513" s="1" t="s">
        <v>2680</v>
      </c>
      <c r="B1513" s="1" t="s">
        <v>5179</v>
      </c>
      <c r="C1513" s="1" t="s">
        <v>213</v>
      </c>
      <c r="D1513" s="1" t="str">
        <f ca="1">IFERROR(__xludf.DUMMYFUNCTION("GoogleTranslate(B1513,""ja"",""en"")"),".")</f>
        <v>.</v>
      </c>
    </row>
    <row r="1514" spans="1:4" ht="15.75" customHeight="1" x14ac:dyDescent="0.25">
      <c r="A1514" s="1" t="s">
        <v>2681</v>
      </c>
      <c r="B1514" s="1" t="s">
        <v>5180</v>
      </c>
      <c r="C1514" s="1" t="s">
        <v>2682</v>
      </c>
      <c r="D1514" s="1" t="str">
        <f ca="1">IFERROR(__xludf.DUMMYFUNCTION("GoogleTranslate(B1514,""ja"",""en"")"),"De")</f>
        <v>De</v>
      </c>
    </row>
    <row r="1515" spans="1:4" ht="15.75" customHeight="1" x14ac:dyDescent="0.25">
      <c r="A1515" s="1" t="s">
        <v>2683</v>
      </c>
      <c r="B1515" s="1" t="s">
        <v>5181</v>
      </c>
      <c r="C1515" s="1" t="s">
        <v>397</v>
      </c>
      <c r="D1515" s="1" t="str">
        <f ca="1">IFERROR(__xludf.DUMMYFUNCTION("GoogleTranslate(B1515,""ja"",""en"")"),"of")</f>
        <v>of</v>
      </c>
    </row>
    <row r="1516" spans="1:4" ht="15.75" customHeight="1" x14ac:dyDescent="0.25">
      <c r="A1516" s="1" t="s">
        <v>2684</v>
      </c>
      <c r="B1516" s="1" t="s">
        <v>5182</v>
      </c>
      <c r="C1516" s="1" t="s">
        <v>213</v>
      </c>
      <c r="D1516" s="1" t="str">
        <f ca="1">IFERROR(__xludf.DUMMYFUNCTION("GoogleTranslate(B1516,""ja"",""en"")"),".")</f>
        <v>.</v>
      </c>
    </row>
    <row r="1517" spans="1:4" ht="15.75" customHeight="1" x14ac:dyDescent="0.25">
      <c r="A1517" s="1" t="s">
        <v>2685</v>
      </c>
      <c r="B1517" s="1" t="s">
        <v>5183</v>
      </c>
      <c r="C1517" s="1" t="s">
        <v>2686</v>
      </c>
      <c r="D1517" s="1" t="str">
        <f ca="1">IFERROR(__xludf.DUMMYFUNCTION("GoogleTranslate(B1517,""ja"",""en"")"),"other")</f>
        <v>other</v>
      </c>
    </row>
    <row r="1518" spans="1:4" ht="15.75" customHeight="1" x14ac:dyDescent="0.25">
      <c r="A1518" s="1" t="s">
        <v>2687</v>
      </c>
      <c r="B1518" s="1" t="s">
        <v>5184</v>
      </c>
      <c r="C1518" s="1" t="s">
        <v>2688</v>
      </c>
      <c r="D1518" s="1" t="str">
        <f ca="1">IFERROR(__xludf.DUMMYFUNCTION("GoogleTranslate(B1518,""ja"",""en"")"),"Yes")</f>
        <v>Yes</v>
      </c>
    </row>
    <row r="1519" spans="1:4" ht="15.75" customHeight="1" x14ac:dyDescent="0.25">
      <c r="A1519" s="1" t="s">
        <v>2689</v>
      </c>
      <c r="B1519" s="1" t="s">
        <v>5185</v>
      </c>
      <c r="C1519" s="1" t="s">
        <v>2690</v>
      </c>
      <c r="D1519" s="1" t="str">
        <f ca="1">IFERROR(__xludf.DUMMYFUNCTION("GoogleTranslate(B1519,""ja"",""en"")"),"Already")</f>
        <v>Already</v>
      </c>
    </row>
    <row r="1520" spans="1:4" ht="15.75" customHeight="1" x14ac:dyDescent="0.25">
      <c r="A1520" s="1" t="s">
        <v>2691</v>
      </c>
      <c r="B1520" s="1" t="s">
        <v>2678</v>
      </c>
      <c r="C1520" s="1" t="s">
        <v>213</v>
      </c>
      <c r="D1520" s="1" t="str">
        <f ca="1">IFERROR(__xludf.DUMMYFUNCTION("GoogleTranslate(B1520,""ja"",""en"")"),".")</f>
        <v>.</v>
      </c>
    </row>
    <row r="1521" spans="1:4" ht="15.75" customHeight="1" x14ac:dyDescent="0.25">
      <c r="A1521" s="1" t="s">
        <v>2692</v>
      </c>
      <c r="B1521" s="1" t="s">
        <v>5186</v>
      </c>
      <c r="C1521" s="1" t="s">
        <v>213</v>
      </c>
      <c r="D1521" s="1" t="str">
        <f ca="1">IFERROR(__xludf.DUMMYFUNCTION("GoogleTranslate(B1521,""ja"",""en"")"),".")</f>
        <v>.</v>
      </c>
    </row>
    <row r="1522" spans="1:4" ht="15.75" customHeight="1" x14ac:dyDescent="0.25">
      <c r="A1522" s="1" t="s">
        <v>2693</v>
      </c>
      <c r="B1522" s="1" t="s">
        <v>2680</v>
      </c>
      <c r="C1522" s="1" t="s">
        <v>2694</v>
      </c>
      <c r="D1522" s="1" t="str">
        <f ca="1">IFERROR(__xludf.DUMMYFUNCTION("GoogleTranslate(B1522,""ja"",""en"")"),"Make")</f>
        <v>Make</v>
      </c>
    </row>
    <row r="1523" spans="1:4" ht="15.75" customHeight="1" x14ac:dyDescent="0.25">
      <c r="A1523" s="1" t="s">
        <v>2695</v>
      </c>
      <c r="B1523" s="1" t="s">
        <v>5187</v>
      </c>
      <c r="C1523" s="1" t="s">
        <v>2696</v>
      </c>
      <c r="D1523" s="1" t="str">
        <f ca="1">IFERROR(__xludf.DUMMYFUNCTION("GoogleTranslate(B1523,""ja"",""en"")"),"do not do")</f>
        <v>do not do</v>
      </c>
    </row>
    <row r="1524" spans="1:4" ht="15.75" customHeight="1" x14ac:dyDescent="0.25">
      <c r="A1524" s="1" t="s">
        <v>2697</v>
      </c>
      <c r="B1524" s="1" t="s">
        <v>5188</v>
      </c>
      <c r="C1524" s="1" t="s">
        <v>381</v>
      </c>
      <c r="D1524" s="1" t="str">
        <f ca="1">IFERROR(__xludf.DUMMYFUNCTION("GoogleTranslate(B1524,""ja"",""en"")"),"That")</f>
        <v>That</v>
      </c>
    </row>
    <row r="1525" spans="1:4" ht="15.75" customHeight="1" x14ac:dyDescent="0.25">
      <c r="A1525" s="1" t="s">
        <v>2698</v>
      </c>
      <c r="B1525" s="1" t="s">
        <v>5189</v>
      </c>
      <c r="C1525" s="1" t="s">
        <v>2699</v>
      </c>
      <c r="D1525" s="1" t="str">
        <f ca="1">IFERROR(__xludf.DUMMYFUNCTION("GoogleTranslate(B1525,""ja"",""en"")"),"Superlative")</f>
        <v>Superlative</v>
      </c>
    </row>
    <row r="1526" spans="1:4" ht="15.75" customHeight="1" x14ac:dyDescent="0.25">
      <c r="A1526" s="1" t="s">
        <v>2700</v>
      </c>
      <c r="B1526" s="1" t="s">
        <v>2684</v>
      </c>
      <c r="C1526" s="1" t="s">
        <v>2701</v>
      </c>
      <c r="D1526" s="1" t="str">
        <f ca="1">IFERROR(__xludf.DUMMYFUNCTION("GoogleTranslate(B1526,""ja"",""en"")"),"To play with beginner, you must point at least 200. [N] score difference × 10 points and the opponent will be exchanged.")</f>
        <v>To play with beginner, you must point at least 200. [N] score difference × 10 points and the opponent will be exchanged.</v>
      </c>
    </row>
    <row r="1527" spans="1:4" ht="15.75" customHeight="1" x14ac:dyDescent="0.25">
      <c r="A1527" s="1" t="s">
        <v>2702</v>
      </c>
      <c r="B1527" s="1" t="s">
        <v>5190</v>
      </c>
      <c r="C1527" s="1" t="s">
        <v>2703</v>
      </c>
      <c r="D1527" s="1" t="str">
        <f ca="1">IFERROR(__xludf.DUMMYFUNCTION("GoogleTranslate(B1527,""ja"",""en"")"),"To play Intermediate, you need at least 800 points. [N] score difference × 10 points and the opponent will be exchanged.")</f>
        <v>To play Intermediate, you need at least 800 points. [N] score difference × 10 points and the opponent will be exchanged.</v>
      </c>
    </row>
    <row r="1528" spans="1:4" ht="15.75" customHeight="1" x14ac:dyDescent="0.25">
      <c r="A1528" s="1" t="s">
        <v>2704</v>
      </c>
      <c r="B1528" s="1" t="s">
        <v>5191</v>
      </c>
      <c r="C1528" s="1" t="s">
        <v>2705</v>
      </c>
      <c r="D1528" s="1" t="str">
        <f ca="1">IFERROR(__xludf.DUMMYFUNCTION("GoogleTranslate(B1528,""ja"",""en"")"),"To play in the senior, you need at least 1400 points. [N] score difference × 10 points and the opponent will be exchanged.")</f>
        <v>To play in the senior, you need at least 1400 points. [N] score difference × 10 points and the opponent will be exchanged.</v>
      </c>
    </row>
    <row r="1529" spans="1:4" ht="15.75" customHeight="1" x14ac:dyDescent="0.25">
      <c r="A1529" s="1" t="s">
        <v>2706</v>
      </c>
      <c r="B1529" s="1" t="s">
        <v>5192</v>
      </c>
      <c r="C1529" s="1" t="s">
        <v>2707</v>
      </c>
      <c r="D1529" s="1" t="str">
        <f ca="1">IFERROR(__xludf.DUMMYFUNCTION("GoogleTranslate(B1529,""ja"",""en"")"),"To play with superlative, it must be at least 2000 points. [N] score difference × 100 points and the opponent will be exchanged.")</f>
        <v>To play with superlative, it must be at least 2000 points. [N] score difference × 100 points and the opponent will be exchanged.</v>
      </c>
    </row>
    <row r="1530" spans="1:4" ht="15.75" customHeight="1" x14ac:dyDescent="0.25">
      <c r="A1530" s="1" t="s">
        <v>2708</v>
      </c>
      <c r="B1530" s="1" t="s">
        <v>5193</v>
      </c>
      <c r="C1530" s="1" t="s">
        <v>2709</v>
      </c>
      <c r="D1530" s="1" t="str">
        <f ca="1">IFERROR(__xludf.DUMMYFUNCTION("GoogleTranslate(B1530,""ja"",""en"")"),"I can not play because the betting point is not enough. Please be accumulated [n] 200 points or more.")</f>
        <v>I can not play because the betting point is not enough. Please be accumulated [n] 200 points or more.</v>
      </c>
    </row>
    <row r="1531" spans="1:4" ht="15.75" customHeight="1" x14ac:dyDescent="0.25">
      <c r="A1531" s="1" t="s">
        <v>2710</v>
      </c>
      <c r="B1531" s="1" t="s">
        <v>5194</v>
      </c>
      <c r="C1531" s="1" t="s">
        <v>2711</v>
      </c>
      <c r="D1531" s="1" t="str">
        <f ca="1">IFERROR(__xludf.DUMMYFUNCTION("GoogleTranslate(B1531,""ja"",""en"")"),"I can not play because the betting point is not enough. [N] Please have accumulated more than 800 points.")</f>
        <v>I can not play because the betting point is not enough. [N] Please have accumulated more than 800 points.</v>
      </c>
    </row>
    <row r="1532" spans="1:4" ht="15.75" customHeight="1" x14ac:dyDescent="0.25">
      <c r="A1532" s="1" t="s">
        <v>2712</v>
      </c>
      <c r="B1532" s="1" t="s">
        <v>2708</v>
      </c>
      <c r="C1532" s="1" t="s">
        <v>2713</v>
      </c>
      <c r="D1532" s="1" t="str">
        <f ca="1">IFERROR(__xludf.DUMMYFUNCTION("GoogleTranslate(B1532,""ja"",""en"")"),"I can not play because the betting point is not enough. [N] Please have accumulated more than 1400 points.")</f>
        <v>I can not play because the betting point is not enough. [N] Please have accumulated more than 1400 points.</v>
      </c>
    </row>
    <row r="1533" spans="1:4" ht="15.75" customHeight="1" x14ac:dyDescent="0.25">
      <c r="A1533" s="1" t="s">
        <v>2714</v>
      </c>
      <c r="B1533" s="1" t="s">
        <v>2710</v>
      </c>
      <c r="C1533" s="1" t="s">
        <v>2715</v>
      </c>
      <c r="D1533" s="1" t="str">
        <f ca="1">IFERROR(__xludf.DUMMYFUNCTION("GoogleTranslate(B1533,""ja"",""en"")"),"I can not play because the betting point is not enough. [N] Please have accumulated more than 2000 points.")</f>
        <v>I can not play because the betting point is not enough. [N] Please have accumulated more than 2000 points.</v>
      </c>
    </row>
    <row r="1534" spans="1:4" ht="15.75" customHeight="1" x14ac:dyDescent="0.25">
      <c r="A1534" s="1" t="s">
        <v>2716</v>
      </c>
      <c r="B1534" s="1" t="s">
        <v>5195</v>
      </c>
      <c r="C1534" s="1" t="s">
        <v>213</v>
      </c>
      <c r="D1534" s="1" t="str">
        <f ca="1">IFERROR(__xludf.DUMMYFUNCTION("GoogleTranslate(B1534,""ja"",""en"")"),".")</f>
        <v>.</v>
      </c>
    </row>
    <row r="1535" spans="1:4" ht="15.75" customHeight="1" x14ac:dyDescent="0.25">
      <c r="A1535" s="1" t="s">
        <v>2717</v>
      </c>
      <c r="B1535" s="1" t="s">
        <v>5196</v>
      </c>
      <c r="C1535" s="1" t="s">
        <v>2718</v>
      </c>
      <c r="D1535" s="1" t="str">
        <f ca="1">IFERROR(__xludf.DUMMYFUNCTION("GoogleTranslate(B1535,""ja"",""en"")"),"As you come good bill")</f>
        <v>As you come good bill</v>
      </c>
    </row>
    <row r="1536" spans="1:4" ht="15.75" customHeight="1" x14ac:dyDescent="0.25">
      <c r="A1536" s="1" t="s">
        <v>2719</v>
      </c>
      <c r="B1536" s="1" t="s">
        <v>2714</v>
      </c>
      <c r="C1536" s="1" t="s">
        <v>2720</v>
      </c>
      <c r="D1536" s="1" t="str">
        <f ca="1">IFERROR(__xludf.DUMMYFUNCTION("GoogleTranslate(B1536,""ja"",""en"")"),"It does not have a good bill ...")</f>
        <v>It does not have a good bill ...</v>
      </c>
    </row>
    <row r="1537" spans="1:4" ht="15.75" customHeight="1" x14ac:dyDescent="0.25">
      <c r="A1537" s="1" t="s">
        <v>2721</v>
      </c>
      <c r="B1537" s="1" t="s">
        <v>5197</v>
      </c>
      <c r="C1537" s="1" t="s">
        <v>2722</v>
      </c>
      <c r="D1537" s="1" t="str">
        <f ca="1">IFERROR(__xludf.DUMMYFUNCTION("GoogleTranslate(B1537,""ja"",""en"")"),"It could be a good role!")</f>
        <v>It could be a good role!</v>
      </c>
    </row>
    <row r="1538" spans="1:4" ht="15.75" customHeight="1" x14ac:dyDescent="0.25">
      <c r="A1538" s="1" t="s">
        <v>2723</v>
      </c>
      <c r="B1538" s="1" t="s">
        <v>5198</v>
      </c>
      <c r="C1538" s="1" t="s">
        <v>2724</v>
      </c>
      <c r="D1538" s="1" t="str">
        <f ca="1">IFERROR(__xludf.DUMMYFUNCTION("GoogleTranslate(B1538,""ja"",""en"")"),"It can not be a good role ...")</f>
        <v>It can not be a good role ...</v>
      </c>
    </row>
    <row r="1539" spans="1:4" ht="15.75" customHeight="1" x14ac:dyDescent="0.25">
      <c r="A1539" s="1" t="s">
        <v>2725</v>
      </c>
      <c r="B1539" s="1" t="s">
        <v>5199</v>
      </c>
      <c r="C1539" s="1" t="s">
        <v>2726</v>
      </c>
      <c r="D1539" s="1" t="str">
        <f ca="1">IFERROR(__xludf.DUMMYFUNCTION("GoogleTranslate(B1539,""ja"",""en"")"),"Koi!")</f>
        <v>Koi!</v>
      </c>
    </row>
    <row r="1540" spans="1:4" ht="15.75" customHeight="1" x14ac:dyDescent="0.25">
      <c r="A1540" s="1" t="s">
        <v>2727</v>
      </c>
      <c r="B1540" s="1" t="s">
        <v>5200</v>
      </c>
      <c r="C1540" s="1" t="s">
        <v>2728</v>
      </c>
      <c r="D1540" s="1" t="str">
        <f ca="1">IFERROR(__xludf.DUMMYFUNCTION("GoogleTranslate(B1540,""ja"",""en"")"),"It reversal from here!")</f>
        <v>It reversal from here!</v>
      </c>
    </row>
    <row r="1541" spans="1:4" ht="15.75" customHeight="1" x14ac:dyDescent="0.25">
      <c r="A1541" s="1" t="s">
        <v>2729</v>
      </c>
      <c r="B1541" s="1" t="s">
        <v>2717</v>
      </c>
      <c r="C1541" s="1" t="s">
        <v>2730</v>
      </c>
      <c r="D1541" s="1" t="str">
        <f ca="1">IFERROR(__xludf.DUMMYFUNCTION("GoogleTranslate(B1541,""ja"",""en"")"),"Or love ...")</f>
        <v>Or love ...</v>
      </c>
    </row>
    <row r="1542" spans="1:4" ht="15.75" customHeight="1" x14ac:dyDescent="0.25">
      <c r="A1542" s="1" t="s">
        <v>2731</v>
      </c>
      <c r="B1542" s="1" t="s">
        <v>5201</v>
      </c>
      <c r="C1542" s="1" t="s">
        <v>2732</v>
      </c>
      <c r="D1542" s="1" t="str">
        <f ca="1">IFERROR(__xludf.DUMMYFUNCTION("GoogleTranslate(B1542,""ja"",""en"")"),"Or quit ...")</f>
        <v>Or quit ...</v>
      </c>
    </row>
    <row r="1543" spans="1:4" ht="15.75" customHeight="1" x14ac:dyDescent="0.25">
      <c r="A1543" s="1" t="s">
        <v>2733</v>
      </c>
      <c r="B1543" s="1" t="s">
        <v>5202</v>
      </c>
      <c r="C1543" s="1" t="s">
        <v>2734</v>
      </c>
      <c r="D1543" s="1" t="str">
        <f ca="1">IFERROR(__xludf.DUMMYFUNCTION("GoogleTranslate(B1543,""ja"",""en"")"),"Another one")</f>
        <v>Another one</v>
      </c>
    </row>
    <row r="1544" spans="1:4" ht="15.75" customHeight="1" x14ac:dyDescent="0.25">
      <c r="A1544" s="1" t="s">
        <v>2735</v>
      </c>
      <c r="B1544" s="1" t="s">
        <v>5203</v>
      </c>
      <c r="C1544" s="1" t="s">
        <v>2736</v>
      </c>
      <c r="D1544" s="1" t="str">
        <f ca="1">IFERROR(__xludf.DUMMYFUNCTION("GoogleTranslate(B1544,""ja"",""en"")"),"Another one!")</f>
        <v>Another one!</v>
      </c>
    </row>
    <row r="1545" spans="1:4" ht="15.75" customHeight="1" x14ac:dyDescent="0.25">
      <c r="A1545" s="1" t="s">
        <v>2737</v>
      </c>
      <c r="B1545" s="1" t="s">
        <v>5204</v>
      </c>
      <c r="C1545" s="1" t="s">
        <v>2738</v>
      </c>
      <c r="D1545" s="1" t="str">
        <f ca="1">IFERROR(__xludf.DUMMYFUNCTION("GoogleTranslate(B1545,""ja"",""en"")"),"Compete on three!")</f>
        <v>Compete on three!</v>
      </c>
    </row>
    <row r="1546" spans="1:4" ht="15.75" customHeight="1" x14ac:dyDescent="0.25">
      <c r="A1546" s="1" t="s">
        <v>2739</v>
      </c>
      <c r="B1546" s="1" t="s">
        <v>5205</v>
      </c>
      <c r="C1546" s="1" t="s">
        <v>2740</v>
      </c>
      <c r="D1546" s="1" t="str">
        <f ca="1">IFERROR(__xludf.DUMMYFUNCTION("GoogleTranslate(B1546,""ja"",""en"")"),"It is game!")</f>
        <v>It is game!</v>
      </c>
    </row>
    <row r="1547" spans="1:4" ht="15.75" customHeight="1" x14ac:dyDescent="0.25">
      <c r="A1547" s="1" t="s">
        <v>2741</v>
      </c>
      <c r="B1547" s="1" t="s">
        <v>5206</v>
      </c>
      <c r="C1547" s="1" t="s">
        <v>2742</v>
      </c>
      <c r="D1547" s="1" t="str">
        <f ca="1">IFERROR(__xludf.DUMMYFUNCTION("GoogleTranslate(B1547,""ja"",""en"")"),"Start the game")</f>
        <v>Start the game</v>
      </c>
    </row>
    <row r="1548" spans="1:4" ht="15.75" customHeight="1" x14ac:dyDescent="0.25">
      <c r="A1548" s="1" t="s">
        <v>2743</v>
      </c>
      <c r="B1548" s="1" t="s">
        <v>5207</v>
      </c>
      <c r="C1548" s="1" t="s">
        <v>2744</v>
      </c>
      <c r="D1548" s="1" t="str">
        <f ca="1">IFERROR(__xludf.DUMMYFUNCTION("GoogleTranslate(B1548,""ja"",""en"")"),"Have a match")</f>
        <v>Have a match</v>
      </c>
    </row>
    <row r="1549" spans="1:4" ht="15.75" customHeight="1" x14ac:dyDescent="0.25">
      <c r="A1549" s="1" t="s">
        <v>2745</v>
      </c>
      <c r="B1549" s="1" t="s">
        <v>5208</v>
      </c>
      <c r="C1549" s="1" t="s">
        <v>2746</v>
      </c>
      <c r="D1549" s="1" t="str">
        <f ca="1">IFERROR(__xludf.DUMMYFUNCTION("GoogleTranslate(B1549,""ja"",""en"")"),"Once again game")</f>
        <v>Once again game</v>
      </c>
    </row>
    <row r="1550" spans="1:4" ht="15.75" customHeight="1" x14ac:dyDescent="0.25">
      <c r="A1550" s="1" t="s">
        <v>2747</v>
      </c>
      <c r="B1550" s="1" t="s">
        <v>2739</v>
      </c>
      <c r="C1550" s="1" t="s">
        <v>2748</v>
      </c>
      <c r="D1550" s="1" t="str">
        <f ca="1">IFERROR(__xludf.DUMMYFUNCTION("GoogleTranslate(B1550,""ja"",""en"")"),"Beginner help")</f>
        <v>Beginner help</v>
      </c>
    </row>
    <row r="1551" spans="1:4" ht="15.75" customHeight="1" x14ac:dyDescent="0.25">
      <c r="A1551" s="1" t="s">
        <v>2749</v>
      </c>
      <c r="B1551" s="1" t="s">
        <v>5209</v>
      </c>
      <c r="C1551" s="1" t="s">
        <v>2750</v>
      </c>
      <c r="D1551" s="1" t="str">
        <f ca="1">IFERROR(__xludf.DUMMYFUNCTION("GoogleTranslate(B1551,""ja"",""en"")"),"凡太 of worldly desires")</f>
        <v>凡太 of worldly desires</v>
      </c>
    </row>
    <row r="1552" spans="1:4" ht="15.75" customHeight="1" x14ac:dyDescent="0.25">
      <c r="A1552" s="1" t="s">
        <v>2751</v>
      </c>
      <c r="B1552" s="1" t="s">
        <v>2741</v>
      </c>
      <c r="C1552" s="1" t="s">
        <v>2752</v>
      </c>
      <c r="D1552" s="1" t="str">
        <f ca="1">IFERROR(__xludf.DUMMYFUNCTION("GoogleTranslate(B1552,""ja"",""en"")"),"Newcomer Shingo")</f>
        <v>Newcomer Shingo</v>
      </c>
    </row>
    <row r="1553" spans="1:4" ht="15.75" customHeight="1" x14ac:dyDescent="0.25">
      <c r="A1553" s="1" t="s">
        <v>2753</v>
      </c>
      <c r="B1553" s="1" t="s">
        <v>5210</v>
      </c>
      <c r="C1553" s="1" t="s">
        <v>2754</v>
      </c>
      <c r="D1553" s="1" t="str">
        <f ca="1">IFERROR(__xludf.DUMMYFUNCTION("GoogleTranslate(B1553,""ja"",""en"")"),"Carefree KatsuraOsamu")</f>
        <v>Carefree KatsuraOsamu</v>
      </c>
    </row>
    <row r="1554" spans="1:4" ht="15.75" customHeight="1" x14ac:dyDescent="0.25">
      <c r="A1554" s="1" t="s">
        <v>2755</v>
      </c>
      <c r="B1554" s="1" t="s">
        <v>5211</v>
      </c>
      <c r="C1554" s="1" t="s">
        <v>2756</v>
      </c>
      <c r="D1554" s="1" t="str">
        <f ca="1">IFERROR(__xludf.DUMMYFUNCTION("GoogleTranslate(B1554,""ja"",""en"")"),"Brute force right three")</f>
        <v>Brute force right three</v>
      </c>
    </row>
    <row r="1555" spans="1:4" ht="15.75" customHeight="1" x14ac:dyDescent="0.25">
      <c r="A1555" s="1" t="s">
        <v>2757</v>
      </c>
      <c r="B1555" s="1" t="s">
        <v>5212</v>
      </c>
      <c r="C1555" s="1" t="s">
        <v>2758</v>
      </c>
      <c r="D1555" s="1" t="str">
        <f ca="1">IFERROR(__xludf.DUMMYFUNCTION("GoogleTranslate(B1555,""ja"",""en"")"),"Stiff neck Jinbei")</f>
        <v>Stiff neck Jinbei</v>
      </c>
    </row>
    <row r="1556" spans="1:4" ht="15.75" customHeight="1" x14ac:dyDescent="0.25">
      <c r="A1556" s="1" t="s">
        <v>2759</v>
      </c>
      <c r="B1556" s="1" t="s">
        <v>2747</v>
      </c>
      <c r="C1556" s="1" t="s">
        <v>2760</v>
      </c>
      <c r="D1556" s="1" t="str">
        <f ca="1">IFERROR(__xludf.DUMMYFUNCTION("GoogleTranslate(B1556,""ja"",""en"")"),"MataSaburo of storm")</f>
        <v>MataSaburo of storm</v>
      </c>
    </row>
    <row r="1557" spans="1:4" ht="15.75" customHeight="1" x14ac:dyDescent="0.25">
      <c r="A1557" s="1" t="s">
        <v>2761</v>
      </c>
      <c r="B1557" s="1" t="s">
        <v>2749</v>
      </c>
      <c r="C1557" s="1" t="s">
        <v>2762</v>
      </c>
      <c r="D1557" s="1" t="str">
        <f ca="1">IFERROR(__xludf.DUMMYFUNCTION("GoogleTranslate(B1557,""ja"",""en"")"),"Inspiration Yosaku")</f>
        <v>Inspiration Yosaku</v>
      </c>
    </row>
    <row r="1558" spans="1:4" ht="15.75" customHeight="1" x14ac:dyDescent="0.25">
      <c r="A1558" s="1" t="s">
        <v>2763</v>
      </c>
      <c r="B1558" s="1" t="s">
        <v>2751</v>
      </c>
      <c r="C1558" s="1" t="s">
        <v>2764</v>
      </c>
      <c r="D1558" s="1" t="str">
        <f ca="1">IFERROR(__xludf.DUMMYFUNCTION("GoogleTranslate(B1558,""ja"",""en"")"),"The mystery of the shareholders")</f>
        <v>The mystery of the shareholders</v>
      </c>
    </row>
    <row r="1559" spans="1:4" ht="15.75" customHeight="1" x14ac:dyDescent="0.25">
      <c r="A1559" s="1" t="s">
        <v>2765</v>
      </c>
      <c r="B1559" s="1" t="s">
        <v>2753</v>
      </c>
      <c r="C1559" s="1" t="s">
        <v>2766</v>
      </c>
      <c r="D1559" s="1" t="str">
        <f ca="1">IFERROR(__xludf.DUMMYFUNCTION("GoogleTranslate(B1559,""ja"",""en"")"),"Player is the parent.")</f>
        <v>Player is the parent.</v>
      </c>
    </row>
    <row r="1560" spans="1:4" ht="15.75" customHeight="1" x14ac:dyDescent="0.25">
      <c r="A1560" s="1" t="s">
        <v>2767</v>
      </c>
      <c r="B1560" s="1" t="s">
        <v>5213</v>
      </c>
      <c r="C1560" s="1" t="s">
        <v>2768</v>
      </c>
      <c r="D1560" s="1" t="str">
        <f ca="1">IFERROR(__xludf.DUMMYFUNCTION("GoogleTranslate(B1560,""ja"",""en"")"),"Please select a place bet.")</f>
        <v>Please select a place bet.</v>
      </c>
    </row>
    <row r="1561" spans="1:4" ht="15.75" customHeight="1" x14ac:dyDescent="0.25">
      <c r="A1561" s="1" t="s">
        <v>2769</v>
      </c>
      <c r="B1561" s="1" t="s">
        <v>5214</v>
      </c>
      <c r="C1561" s="1" t="s">
        <v>2770</v>
      </c>
      <c r="D1561" s="1" t="str">
        <f ca="1">IFERROR(__xludf.DUMMYFUNCTION("GoogleTranslate(B1561,""ja"",""en"")"),"Please determine the betting point.")</f>
        <v>Please determine the betting point.</v>
      </c>
    </row>
    <row r="1562" spans="1:4" ht="15.75" customHeight="1" x14ac:dyDescent="0.25">
      <c r="A1562" s="1" t="s">
        <v>2771</v>
      </c>
      <c r="B1562" s="1" t="s">
        <v>5215</v>
      </c>
      <c r="C1562" s="1" t="s">
        <v>2772</v>
      </c>
      <c r="D1562" s="1" t="str">
        <f ca="1">IFERROR(__xludf.DUMMYFUNCTION("GoogleTranslate(B1562,""ja"",""en"")"),"We have selected the location where the other players bet.")</f>
        <v>We have selected the location where the other players bet.</v>
      </c>
    </row>
    <row r="1563" spans="1:4" ht="15.75" customHeight="1" x14ac:dyDescent="0.25">
      <c r="A1563" s="1" t="s">
        <v>2773</v>
      </c>
      <c r="B1563" s="1" t="s">
        <v>5216</v>
      </c>
      <c r="C1563" s="1" t="s">
        <v>2774</v>
      </c>
      <c r="D1563" s="1" t="str">
        <f ca="1">IFERROR(__xludf.DUMMYFUNCTION("GoogleTranslate(B1563,""ja"",""en"")"),"Please select the person you want to match.")</f>
        <v>Please select the person you want to match.</v>
      </c>
    </row>
    <row r="1564" spans="1:4" ht="15.75" customHeight="1" x14ac:dyDescent="0.25">
      <c r="A1564" s="1" t="s">
        <v>2775</v>
      </c>
      <c r="B1564" s="1" t="s">
        <v>5217</v>
      </c>
      <c r="C1564" s="1" t="s">
        <v>2776</v>
      </c>
      <c r="D1564" s="1" t="str">
        <f ca="1">IFERROR(__xludf.DUMMYFUNCTION("GoogleTranslate(B1564,""ja"",""en"")"),"We compete on this hand.")</f>
        <v>We compete on this hand.</v>
      </c>
    </row>
    <row r="1565" spans="1:4" ht="15.75" customHeight="1" x14ac:dyDescent="0.25">
      <c r="A1565" s="1" t="s">
        <v>2777</v>
      </c>
      <c r="B1565" s="1" t="s">
        <v>5218</v>
      </c>
      <c r="C1565" s="1" t="s">
        <v>2778</v>
      </c>
      <c r="D1565" s="1" t="str">
        <f ca="1">IFERROR(__xludf.DUMMYFUNCTION("GoogleTranslate(B1565,""ja"",""en"")"),"Parent has to match.")</f>
        <v>Parent has to match.</v>
      </c>
    </row>
    <row r="1566" spans="1:4" ht="15.75" customHeight="1" x14ac:dyDescent="0.25">
      <c r="A1566" s="1" t="s">
        <v>2779</v>
      </c>
      <c r="B1566" s="1" t="s">
        <v>5219</v>
      </c>
      <c r="C1566" s="1" t="s">
        <v>2780</v>
      </c>
      <c r="D1566" s="1" t="str">
        <f ca="1">IFERROR(__xludf.DUMMYFUNCTION("GoogleTranslate(B1566,""ja"",""en"")"),"Since there is no point have to exit.")</f>
        <v>Since there is no point have to exit.</v>
      </c>
    </row>
    <row r="1567" spans="1:4" ht="15.75" customHeight="1" x14ac:dyDescent="0.25">
      <c r="A1567" s="1" t="s">
        <v>2781</v>
      </c>
      <c r="B1567" s="1" t="s">
        <v>5220</v>
      </c>
      <c r="C1567" s="1" t="s">
        <v>2782</v>
      </c>
      <c r="D1567" s="1" t="str">
        <f ca="1">IFERROR(__xludf.DUMMYFUNCTION("GoogleTranslate(B1567,""ja"",""en"")"),"This game because participants possession betting point is no longer came out will be finished here.")</f>
        <v>This game because participants possession betting point is no longer came out will be finished here.</v>
      </c>
    </row>
    <row r="1568" spans="1:4" ht="15.75" customHeight="1" x14ac:dyDescent="0.25">
      <c r="A1568" s="1" t="s">
        <v>2783</v>
      </c>
      <c r="B1568" s="1" t="s">
        <v>5221</v>
      </c>
      <c r="C1568" s="1" t="s">
        <v>2784</v>
      </c>
      <c r="D1568" s="1" t="str">
        <f ca="1">IFERROR(__xludf.DUMMYFUNCTION("GoogleTranslate(B1568,""ja"",""en"")"),"Betting point% d points")</f>
        <v>Betting point% d points</v>
      </c>
    </row>
    <row r="1569" spans="1:4" ht="15.75" customHeight="1" x14ac:dyDescent="0.25">
      <c r="A1569" s="1" t="s">
        <v>2785</v>
      </c>
      <c r="B1569" s="1" t="s">
        <v>5222</v>
      </c>
      <c r="C1569" s="1" t="s">
        <v>2786</v>
      </c>
      <c r="D1569" s="1" t="str">
        <f ca="1">IFERROR(__xludf.DUMMYFUNCTION("GoogleTranslate(B1569,""ja"",""en"")"),"Result% d points")</f>
        <v>Result% d points</v>
      </c>
    </row>
    <row r="1570" spans="1:4" ht="15.75" customHeight="1" x14ac:dyDescent="0.25">
      <c r="A1570" s="1" t="s">
        <v>2787</v>
      </c>
      <c r="B1570" s="1" t="s">
        <v>5223</v>
      </c>
      <c r="C1570" s="1" t="s">
        <v>2788</v>
      </c>
      <c r="D1570" s="1" t="str">
        <f ca="1">IFERROR(__xludf.DUMMYFUNCTION("GoogleTranslate(B1570,""ja"",""en"")"),"Doshippin")</f>
        <v>Doshippin</v>
      </c>
    </row>
    <row r="1571" spans="1:4" ht="15.75" customHeight="1" x14ac:dyDescent="0.25">
      <c r="A1571" s="1" t="s">
        <v>2789</v>
      </c>
      <c r="B1571" s="1" t="s">
        <v>5224</v>
      </c>
      <c r="C1571" s="1" t="s">
        <v>2790</v>
      </c>
      <c r="D1571" s="1" t="str">
        <f ca="1">IFERROR(__xludf.DUMMYFUNCTION("GoogleTranslate(B1571,""ja"",""en"")"),"Escape of white")</f>
        <v>Escape of white</v>
      </c>
    </row>
    <row r="1572" spans="1:4" ht="15.75" customHeight="1" x14ac:dyDescent="0.25">
      <c r="A1572" s="1" t="s">
        <v>2791</v>
      </c>
      <c r="B1572" s="1" t="s">
        <v>5225</v>
      </c>
      <c r="C1572" s="1" t="s">
        <v>2792</v>
      </c>
      <c r="D1572" s="1" t="str">
        <f ca="1">IFERROR(__xludf.DUMMYFUNCTION("GoogleTranslate(B1572,""ja"",""en"")"),"Kind of tag")</f>
        <v>Kind of tag</v>
      </c>
    </row>
    <row r="1573" spans="1:4" ht="15.75" customHeight="1" x14ac:dyDescent="0.25">
      <c r="A1573" s="1" t="s">
        <v>2793</v>
      </c>
      <c r="B1573" s="1" t="s">
        <v>5226</v>
      </c>
      <c r="C1573" s="1" t="s">
        <v>2794</v>
      </c>
      <c r="D1573" s="1" t="str">
        <f ca="1">IFERROR(__xludf.DUMMYFUNCTION("GoogleTranslate(B1573,""ja"",""en"")"),"for")</f>
        <v>for</v>
      </c>
    </row>
    <row r="1574" spans="1:4" ht="15.75" customHeight="1" x14ac:dyDescent="0.25">
      <c r="A1574" s="1" t="s">
        <v>2795</v>
      </c>
      <c r="B1574" s="1" t="s">
        <v>5227</v>
      </c>
      <c r="C1574" s="1" t="s">
        <v>2796</v>
      </c>
      <c r="D1574" s="1" t="str">
        <f ca="1">IFERROR(__xludf.DUMMYFUNCTION("GoogleTranslate(B1574,""ja"",""en"")"),"Get off the game in the escape of white.")</f>
        <v>Get off the game in the escape of white.</v>
      </c>
    </row>
    <row r="1575" spans="1:4" ht="15.75" customHeight="1" x14ac:dyDescent="0.25">
      <c r="A1575" s="1" t="s">
        <v>2797</v>
      </c>
      <c r="B1575" s="1" t="s">
        <v>5228</v>
      </c>
      <c r="C1575" s="1" t="s">
        <v>2798</v>
      </c>
      <c r="D1575" s="1" t="str">
        <f ca="1">IFERROR(__xludf.DUMMYFUNCTION("GoogleTranslate(B1575,""ja"",""en"")"),"It won the same amount of betting points.")</f>
        <v>It won the same amount of betting points.</v>
      </c>
    </row>
    <row r="1576" spans="1:4" ht="15.75" customHeight="1" x14ac:dyDescent="0.25">
      <c r="A1576" s="1" t="s">
        <v>2799</v>
      </c>
      <c r="B1576" s="1" t="s">
        <v>5229</v>
      </c>
      <c r="C1576" s="1" t="s">
        <v>2800</v>
      </c>
      <c r="D1576" s="1" t="str">
        <f ca="1">IFERROR(__xludf.DUMMYFUNCTION("GoogleTranslate(B1576,""ja"",""en"")"),"Since won Shippin won twice the betting point.")</f>
        <v>Since won Shippin won twice the betting point.</v>
      </c>
    </row>
    <row r="1577" spans="1:4" ht="15.75" customHeight="1" x14ac:dyDescent="0.25">
      <c r="A1577" s="1" t="s">
        <v>2801</v>
      </c>
      <c r="B1577" s="1" t="s">
        <v>2795</v>
      </c>
      <c r="C1577" s="1" t="s">
        <v>2802</v>
      </c>
      <c r="D1577" s="1" t="str">
        <f ca="1">IFERROR(__xludf.DUMMYFUNCTION("GoogleTranslate(B1577,""ja"",""en"")"),"Since won Kuppin won twice the betting point.")</f>
        <v>Since won Kuppin won twice the betting point.</v>
      </c>
    </row>
    <row r="1578" spans="1:4" ht="15.75" customHeight="1" x14ac:dyDescent="0.25">
      <c r="A1578" s="1" t="s">
        <v>2803</v>
      </c>
      <c r="B1578" s="1" t="s">
        <v>5230</v>
      </c>
      <c r="C1578" s="1" t="s">
        <v>2804</v>
      </c>
      <c r="D1578" s="1" t="str">
        <f ca="1">IFERROR(__xludf.DUMMYFUNCTION("GoogleTranslate(B1578,""ja"",""en"")"),"Since it won by storm and won three times the betting point.")</f>
        <v>Since it won by storm and won three times the betting point.</v>
      </c>
    </row>
    <row r="1579" spans="1:4" ht="15.75" customHeight="1" x14ac:dyDescent="0.25">
      <c r="A1579" s="1" t="s">
        <v>2805</v>
      </c>
      <c r="B1579" s="1" t="s">
        <v>5231</v>
      </c>
      <c r="C1579" s="1" t="s">
        <v>2806</v>
      </c>
      <c r="D1579" s="1" t="str">
        <f ca="1">IFERROR(__xludf.DUMMYFUNCTION("GoogleTranslate(B1579,""ja"",""en"")"),"Since won Doshippin won 20 times the betting point.")</f>
        <v>Since won Doshippin won 20 times the betting point.</v>
      </c>
    </row>
    <row r="1580" spans="1:4" ht="15.75" customHeight="1" x14ac:dyDescent="0.25">
      <c r="A1580" s="1" t="s">
        <v>2807</v>
      </c>
      <c r="B1580" s="1" t="s">
        <v>2803</v>
      </c>
      <c r="C1580" s="1" t="s">
        <v>2808</v>
      </c>
      <c r="D1580" s="1" t="str">
        <f ca="1">IFERROR(__xludf.DUMMYFUNCTION("GoogleTranslate(B1580,""ja"",""en"")"),"I lost a bet point.")</f>
        <v>I lost a bet point.</v>
      </c>
    </row>
    <row r="1581" spans="1:4" ht="15.75" customHeight="1" x14ac:dyDescent="0.25">
      <c r="A1581" s="1" t="s">
        <v>2809</v>
      </c>
      <c r="B1581" s="1" t="s">
        <v>5232</v>
      </c>
      <c r="C1581" s="1" t="s">
        <v>2810</v>
      </c>
      <c r="D1581" s="1" t="str">
        <f ca="1">IFERROR(__xludf.DUMMYFUNCTION("GoogleTranslate(B1581,""ja"",""en"")"),"Since losing to Shippin it has lost twice the betting point.")</f>
        <v>Since losing to Shippin it has lost twice the betting point.</v>
      </c>
    </row>
    <row r="1582" spans="1:4" ht="15.75" customHeight="1" x14ac:dyDescent="0.25">
      <c r="A1582" s="1" t="s">
        <v>2811</v>
      </c>
      <c r="B1582" s="1" t="s">
        <v>5233</v>
      </c>
      <c r="C1582" s="1" t="s">
        <v>2812</v>
      </c>
      <c r="D1582" s="1" t="str">
        <f ca="1">IFERROR(__xludf.DUMMYFUNCTION("GoogleTranslate(B1582,""ja"",""en"")"),"Since losing to Kuppin it has lost twice the betting point.")</f>
        <v>Since losing to Kuppin it has lost twice the betting point.</v>
      </c>
    </row>
    <row r="1583" spans="1:4" ht="15.75" customHeight="1" x14ac:dyDescent="0.25">
      <c r="A1583" s="1" t="s">
        <v>2813</v>
      </c>
      <c r="B1583" s="1" t="s">
        <v>5234</v>
      </c>
      <c r="C1583" s="1" t="s">
        <v>2814</v>
      </c>
      <c r="D1583" s="1" t="str">
        <f ca="1">IFERROR(__xludf.DUMMYFUNCTION("GoogleTranslate(B1583,""ja"",""en"")"),"Since losing the storm has lost three times the betting point.")</f>
        <v>Since losing the storm has lost three times the betting point.</v>
      </c>
    </row>
    <row r="1584" spans="1:4" ht="15.75" customHeight="1" x14ac:dyDescent="0.25">
      <c r="A1584" s="1" t="s">
        <v>2815</v>
      </c>
      <c r="B1584" s="1" t="s">
        <v>5235</v>
      </c>
      <c r="C1584" s="1" t="s">
        <v>2816</v>
      </c>
      <c r="D1584" s="1" t="str">
        <f ca="1">IFERROR(__xludf.DUMMYFUNCTION("GoogleTranslate(B1584,""ja"",""en"")"),"Since losing to Doshippin it has lost 20 times the betting point.")</f>
        <v>Since losing to Doshippin it has lost 20 times the betting point.</v>
      </c>
    </row>
    <row r="1585" spans="1:4" ht="15.75" customHeight="1" x14ac:dyDescent="0.25">
      <c r="A1585" s="1" t="s">
        <v>2817</v>
      </c>
      <c r="B1585" s="1" t="s">
        <v>2813</v>
      </c>
      <c r="C1585" s="1" t="s">
        <v>216</v>
      </c>
      <c r="D1585" s="1" t="str">
        <f ca="1">IFERROR(__xludf.DUMMYFUNCTION("GoogleTranslate(B1585,""ja"",""en"")"),"?")</f>
        <v>?</v>
      </c>
    </row>
    <row r="1586" spans="1:4" ht="15.75" customHeight="1" x14ac:dyDescent="0.25">
      <c r="A1586" s="1" t="s">
        <v>2818</v>
      </c>
      <c r="B1586" s="1" t="s">
        <v>5236</v>
      </c>
      <c r="C1586" s="1" t="s">
        <v>213</v>
      </c>
      <c r="D1586" s="1" t="str">
        <f ca="1">IFERROR(__xludf.DUMMYFUNCTION("GoogleTranslate(B1586,""ja"",""en"")"),".")</f>
        <v>.</v>
      </c>
    </row>
    <row r="1587" spans="1:4" ht="15.75" customHeight="1" x14ac:dyDescent="0.25">
      <c r="A1587" s="1" t="s">
        <v>2819</v>
      </c>
      <c r="B1587" s="1" t="s">
        <v>5237</v>
      </c>
      <c r="C1587" s="1" t="s">
        <v>213</v>
      </c>
      <c r="D1587" s="1" t="str">
        <f ca="1">IFERROR(__xludf.DUMMYFUNCTION("GoogleTranslate(B1587,""ja"",""en"")"),".")</f>
        <v>.</v>
      </c>
    </row>
    <row r="1588" spans="1:4" ht="15.75" customHeight="1" x14ac:dyDescent="0.25">
      <c r="A1588" s="1" t="s">
        <v>2820</v>
      </c>
      <c r="B1588" s="1" t="s">
        <v>5238</v>
      </c>
      <c r="C1588" s="1" t="s">
        <v>213</v>
      </c>
      <c r="D1588" s="1" t="str">
        <f ca="1">IFERROR(__xludf.DUMMYFUNCTION("GoogleTranslate(B1588,""ja"",""en"")"),".")</f>
        <v>.</v>
      </c>
    </row>
    <row r="1589" spans="1:4" ht="15.75" customHeight="1" x14ac:dyDescent="0.25">
      <c r="A1589" s="1" t="s">
        <v>2821</v>
      </c>
      <c r="B1589" s="1" t="s">
        <v>5239</v>
      </c>
      <c r="C1589" s="1" t="s">
        <v>216</v>
      </c>
      <c r="D1589" s="1" t="str">
        <f ca="1">IFERROR(__xludf.DUMMYFUNCTION("GoogleTranslate(B1589,""ja"",""en"")"),"?")</f>
        <v>?</v>
      </c>
    </row>
    <row r="1590" spans="1:4" ht="15.75" customHeight="1" x14ac:dyDescent="0.25">
      <c r="A1590" s="1" t="s">
        <v>2822</v>
      </c>
      <c r="B1590" s="1" t="s">
        <v>2815</v>
      </c>
      <c r="C1590" s="1" t="s">
        <v>2823</v>
      </c>
      <c r="D1590" s="1" t="str">
        <f ca="1">IFERROR(__xludf.DUMMYFUNCTION("GoogleTranslate(B1590,""ja"",""en"")"),"Balance was point have increases because it is plus.")</f>
        <v>Balance was point have increases because it is plus.</v>
      </c>
    </row>
    <row r="1591" spans="1:4" ht="15.75" customHeight="1" x14ac:dyDescent="0.25">
      <c r="A1591" s="1" t="s">
        <v>2824</v>
      </c>
      <c r="B1591" s="1" t="s">
        <v>5240</v>
      </c>
      <c r="C1591" s="1" t="s">
        <v>2825</v>
      </c>
      <c r="D1591" s="1" t="str">
        <f ca="1">IFERROR(__xludf.DUMMYFUNCTION("GoogleTranslate(B1591,""ja"",""en"")"),"Balance has been reduced is to have point because it is negative.")</f>
        <v>Balance has been reduced is to have point because it is negative.</v>
      </c>
    </row>
    <row r="1592" spans="1:4" ht="15.75" customHeight="1" x14ac:dyDescent="0.25">
      <c r="A1592" s="1" t="s">
        <v>2826</v>
      </c>
      <c r="B1592" s="1" t="s">
        <v>5241</v>
      </c>
      <c r="C1592" s="1" t="s">
        <v>2827</v>
      </c>
      <c r="D1592" s="1" t="str">
        <f ca="1">IFERROR(__xludf.DUMMYFUNCTION("GoogleTranslate(B1592,""ja"",""en"")"),"Balance is not zero, so increase or decrease.")</f>
        <v>Balance is not zero, so increase or decrease.</v>
      </c>
    </row>
    <row r="1593" spans="1:4" ht="15.75" customHeight="1" x14ac:dyDescent="0.25">
      <c r="A1593" s="1" t="s">
        <v>2828</v>
      </c>
      <c r="B1593" s="1" t="s">
        <v>5242</v>
      </c>
      <c r="C1593" s="1" t="s">
        <v>2075</v>
      </c>
      <c r="D1593" s="1" t="str">
        <f ca="1">IFERROR(__xludf.DUMMYFUNCTION("GoogleTranslate(B1593,""ja"",""en"")"),"negative")</f>
        <v>negative</v>
      </c>
    </row>
    <row r="1594" spans="1:4" ht="15.75" customHeight="1" x14ac:dyDescent="0.25">
      <c r="A1594" s="1" t="s">
        <v>2829</v>
      </c>
      <c r="B1594" s="1" t="s">
        <v>5243</v>
      </c>
      <c r="C1594" s="1" t="s">
        <v>2830</v>
      </c>
      <c r="D1594" s="1" t="str">
        <f ca="1">IFERROR(__xludf.DUMMYFUNCTION("GoogleTranslate(B1594,""ja"",""en"")"),"To play with beginner, you need at least 100 points. [N] upper limit of bets wagered point at a time is up to 100 points.")</f>
        <v>To play with beginner, you need at least 100 points. [N] upper limit of bets wagered point at a time is up to 100 points.</v>
      </c>
    </row>
    <row r="1595" spans="1:4" ht="15.75" customHeight="1" x14ac:dyDescent="0.25">
      <c r="A1595" s="1" t="s">
        <v>2831</v>
      </c>
      <c r="B1595" s="1" t="s">
        <v>5244</v>
      </c>
      <c r="C1595" s="1" t="s">
        <v>2832</v>
      </c>
      <c r="D1595" s="1" t="str">
        <f ca="1">IFERROR(__xludf.DUMMYFUNCTION("GoogleTranslate(B1595,""ja"",""en"")"),"To play in the intermediate is, it must be at least 500 points. [N] upper limit of bets wagered point at a time is up to 500 points.")</f>
        <v>To play in the intermediate is, it must be at least 500 points. [N] upper limit of bets wagered point at a time is up to 500 points.</v>
      </c>
    </row>
    <row r="1596" spans="1:4" ht="15.75" customHeight="1" x14ac:dyDescent="0.25">
      <c r="A1596" s="1" t="s">
        <v>2833</v>
      </c>
      <c r="B1596" s="1" t="s">
        <v>5245</v>
      </c>
      <c r="C1596" s="1" t="s">
        <v>2834</v>
      </c>
      <c r="D1596" s="1" t="str">
        <f ca="1">IFERROR(__xludf.DUMMYFUNCTION("GoogleTranslate(B1596,""ja"",""en"")"),"To play in the senior, you need at least 1000 points. [N] upper limit of bets wagered point at a time up to 1000 points.")</f>
        <v>To play in the senior, you need at least 1000 points. [N] upper limit of bets wagered point at a time up to 1000 points.</v>
      </c>
    </row>
    <row r="1597" spans="1:4" ht="15.75" customHeight="1" x14ac:dyDescent="0.25">
      <c r="A1597" s="1" t="s">
        <v>2835</v>
      </c>
      <c r="B1597" s="1" t="s">
        <v>5246</v>
      </c>
      <c r="C1597" s="1" t="s">
        <v>2836</v>
      </c>
      <c r="D1597" s="1" t="str">
        <f ca="1">IFERROR(__xludf.DUMMYFUNCTION("GoogleTranslate(B1597,""ja"",""en"")"),"I can not play because the betting point is not enough. [N] Please have accumulated more than 100 points.")</f>
        <v>I can not play because the betting point is not enough. [N] Please have accumulated more than 100 points.</v>
      </c>
    </row>
    <row r="1598" spans="1:4" ht="15.75" customHeight="1" x14ac:dyDescent="0.25">
      <c r="A1598" s="1" t="s">
        <v>2837</v>
      </c>
      <c r="B1598" s="1" t="s">
        <v>5247</v>
      </c>
      <c r="C1598" s="1" t="s">
        <v>2838</v>
      </c>
      <c r="D1598" s="1" t="str">
        <f ca="1">IFERROR(__xludf.DUMMYFUNCTION("GoogleTranslate(B1598,""ja"",""en"")"),"I can not play because the betting point is not enough. [N] Please have accumulated more than 500 points.")</f>
        <v>I can not play because the betting point is not enough. [N] Please have accumulated more than 500 points.</v>
      </c>
    </row>
    <row r="1599" spans="1:4" ht="15.75" customHeight="1" x14ac:dyDescent="0.25">
      <c r="A1599" s="1" t="s">
        <v>2839</v>
      </c>
      <c r="B1599" s="1" t="s">
        <v>2835</v>
      </c>
      <c r="C1599" s="1" t="s">
        <v>2840</v>
      </c>
      <c r="D1599" s="1" t="str">
        <f ca="1">IFERROR(__xludf.DUMMYFUNCTION("GoogleTranslate(B1599,""ja"",""en"")"),"I can not play because the betting point is not enough. [N] Please have accumulated more than 1000 points.")</f>
        <v>I can not play because the betting point is not enough. [N] Please have accumulated more than 1000 points.</v>
      </c>
    </row>
    <row r="1600" spans="1:4" ht="15.75" customHeight="1" x14ac:dyDescent="0.25">
      <c r="A1600" s="1" t="s">
        <v>2841</v>
      </c>
      <c r="B1600" s="1" t="s">
        <v>5248</v>
      </c>
      <c r="C1600" s="1" t="s">
        <v>2842</v>
      </c>
      <c r="D1600" s="1" t="str">
        <f ca="1">IFERROR(__xludf.DUMMYFUNCTION("GoogleTranslate(B1600,""ja"",""en"")"),"Kana draw another one ...")</f>
        <v>Kana draw another one ...</v>
      </c>
    </row>
    <row r="1601" spans="1:4" ht="15.75" customHeight="1" x14ac:dyDescent="0.25">
      <c r="A1601" s="1" t="s">
        <v>2843</v>
      </c>
      <c r="B1601" s="1" t="s">
        <v>5249</v>
      </c>
      <c r="C1601" s="1" t="s">
        <v>2844</v>
      </c>
      <c r="D1601" s="1" t="str">
        <f ca="1">IFERROR(__xludf.DUMMYFUNCTION("GoogleTranslate(B1601,""ja"",""en"")"),"This one game ...")</f>
        <v>This one game ...</v>
      </c>
    </row>
    <row r="1602" spans="1:4" ht="15.75" customHeight="1" x14ac:dyDescent="0.25">
      <c r="A1602" s="1" t="s">
        <v>2845</v>
      </c>
      <c r="B1602" s="1" t="s">
        <v>2839</v>
      </c>
      <c r="C1602" s="1" t="s">
        <v>2846</v>
      </c>
      <c r="D1602" s="1" t="str">
        <f ca="1">IFERROR(__xludf.DUMMYFUNCTION("GoogleTranslate(B1602,""ja"",""en"")"),"So that it does not become a pig")</f>
        <v>So that it does not become a pig</v>
      </c>
    </row>
    <row r="1603" spans="1:4" ht="15.75" customHeight="1" x14ac:dyDescent="0.25">
      <c r="A1603" s="1" t="s">
        <v>2847</v>
      </c>
      <c r="B1603" s="1" t="s">
        <v>5250</v>
      </c>
      <c r="C1603" s="1" t="s">
        <v>2848</v>
      </c>
      <c r="D1603" s="1" t="str">
        <f ca="1">IFERROR(__xludf.DUMMYFUNCTION("GoogleTranslate(B1603,""ja"",""en"")"),"Oicho or, at the bottom!")</f>
        <v>Oicho or, at the bottom!</v>
      </c>
    </row>
    <row r="1604" spans="1:4" ht="15.75" customHeight="1" x14ac:dyDescent="0.25">
      <c r="A1604" s="1" t="s">
        <v>2849</v>
      </c>
      <c r="B1604" s="1" t="s">
        <v>5251</v>
      </c>
      <c r="C1604" s="1" t="s">
        <v>2850</v>
      </c>
      <c r="D1604" s="1" t="str">
        <f ca="1">IFERROR(__xludf.DUMMYFUNCTION("GoogleTranslate(B1604,""ja"",""en"")"),"It only aims Shippin")</f>
        <v>It only aims Shippin</v>
      </c>
    </row>
    <row r="1605" spans="1:4" ht="15.75" customHeight="1" x14ac:dyDescent="0.25">
      <c r="A1605" s="1" t="s">
        <v>2851</v>
      </c>
      <c r="B1605" s="1" t="s">
        <v>5252</v>
      </c>
      <c r="C1605" s="1" t="s">
        <v>2852</v>
      </c>
      <c r="D1605" s="1" t="str">
        <f ca="1">IFERROR(__xludf.DUMMYFUNCTION("GoogleTranslate(B1605,""ja"",""en"")"),"It only aims Kuppin")</f>
        <v>It only aims Kuppin</v>
      </c>
    </row>
    <row r="1606" spans="1:4" ht="15.75" customHeight="1" x14ac:dyDescent="0.25">
      <c r="A1606" s="1" t="s">
        <v>2853</v>
      </c>
      <c r="B1606" s="1" t="s">
        <v>5253</v>
      </c>
      <c r="C1606" s="1" t="s">
        <v>2854</v>
      </c>
      <c r="D1606" s="1" t="str">
        <f ca="1">IFERROR(__xludf.DUMMYFUNCTION("GoogleTranslate(B1606,""ja"",""en"")"),"Or storm coming!?")</f>
        <v>Or storm coming!?</v>
      </c>
    </row>
    <row r="1607" spans="1:4" ht="15.75" customHeight="1" x14ac:dyDescent="0.25">
      <c r="A1607" s="1" t="s">
        <v>2855</v>
      </c>
      <c r="B1607" s="1" t="s">
        <v>5254</v>
      </c>
      <c r="C1607" s="1" t="s">
        <v>2856</v>
      </c>
      <c r="D1607" s="1" t="str">
        <f ca="1">IFERROR(__xludf.DUMMYFUNCTION("GoogleTranslate(B1607,""ja"",""en"")"),"Answering customer numbers")</f>
        <v>Answering customer numbers</v>
      </c>
    </row>
    <row r="1608" spans="1:4" ht="15.75" customHeight="1" x14ac:dyDescent="0.25">
      <c r="A1608" s="1" t="s">
        <v>2857</v>
      </c>
      <c r="B1608" s="1" t="s">
        <v>5255</v>
      </c>
      <c r="C1608" s="1" t="s">
        <v>2858</v>
      </c>
      <c r="D1608" s="1" t="str">
        <f ca="1">IFERROR(__xludf.DUMMYFUNCTION("GoogleTranslate(B1608,""ja"",""en"")"),"The maximum number of consecutive")</f>
        <v>The maximum number of consecutive</v>
      </c>
    </row>
    <row r="1609" spans="1:4" ht="15.75" customHeight="1" x14ac:dyDescent="0.25">
      <c r="A1609" s="1" t="s">
        <v>2859</v>
      </c>
      <c r="B1609" s="1" t="s">
        <v>5256</v>
      </c>
      <c r="C1609" s="1" t="s">
        <v>2860</v>
      </c>
      <c r="D1609" s="1" t="str">
        <f ca="1">IFERROR(__xludf.DUMMYFUNCTION("GoogleTranslate(B1609,""ja"",""en"")"),"Total sales")</f>
        <v>Total sales</v>
      </c>
    </row>
    <row r="1610" spans="1:4" ht="15.75" customHeight="1" x14ac:dyDescent="0.25">
      <c r="A1610" s="1" t="s">
        <v>2861</v>
      </c>
      <c r="B1610" s="1" t="s">
        <v>5257</v>
      </c>
      <c r="C1610" s="1" t="s">
        <v>2862</v>
      </c>
      <c r="D1610" s="1" t="str">
        <f ca="1">IFERROR(__xludf.DUMMYFUNCTION("GoogleTranslate(B1610,""ja"",""en"")"),"General Council of Trade Unions of Japan")</f>
        <v>General Council of Trade Unions of Japan</v>
      </c>
    </row>
    <row r="1611" spans="1:4" ht="15.75" customHeight="1" x14ac:dyDescent="0.25">
      <c r="A1611" s="1" t="s">
        <v>2863</v>
      </c>
      <c r="B1611" s="1" t="s">
        <v>5258</v>
      </c>
      <c r="C1611" s="1" t="s">
        <v>2864</v>
      </c>
      <c r="D1611" s="1" t="str">
        <f ca="1">IFERROR(__xludf.DUMMYFUNCTION("GoogleTranslate(B1611,""ja"",""en"")"),"God")</f>
        <v>God</v>
      </c>
    </row>
    <row r="1612" spans="1:4" ht="15.75" customHeight="1" x14ac:dyDescent="0.25">
      <c r="A1612" s="1" t="s">
        <v>2865</v>
      </c>
      <c r="B1612" s="1" t="s">
        <v>5259</v>
      </c>
      <c r="C1612" s="1" t="s">
        <v>2866</v>
      </c>
      <c r="D1612" s="1" t="str">
        <f ca="1">IFERROR(__xludf.DUMMYFUNCTION("GoogleTranslate(B1612,""ja"",""en"")"),"Superiority")</f>
        <v>Superiority</v>
      </c>
    </row>
    <row r="1613" spans="1:4" ht="15.75" customHeight="1" x14ac:dyDescent="0.25">
      <c r="A1613" s="1" t="s">
        <v>2867</v>
      </c>
      <c r="B1613" s="1" t="s">
        <v>5260</v>
      </c>
      <c r="C1613" s="1" t="s">
        <v>2868</v>
      </c>
      <c r="D1613" s="1" t="str">
        <f ca="1">IFERROR(__xludf.DUMMYFUNCTION("GoogleTranslate(B1613,""ja"",""en"")"),"Good")</f>
        <v>Good</v>
      </c>
    </row>
    <row r="1614" spans="1:4" ht="15.75" customHeight="1" x14ac:dyDescent="0.25">
      <c r="A1614" s="1" t="s">
        <v>2869</v>
      </c>
      <c r="B1614" s="1" t="s">
        <v>5261</v>
      </c>
      <c r="C1614" s="1" t="s">
        <v>2688</v>
      </c>
      <c r="D1614" s="1" t="str">
        <f ca="1">IFERROR(__xludf.DUMMYFUNCTION("GoogleTranslate(B1614,""ja"",""en"")"),"Yes")</f>
        <v>Yes</v>
      </c>
    </row>
    <row r="1615" spans="1:4" ht="15.75" customHeight="1" x14ac:dyDescent="0.25">
      <c r="A1615" s="1" t="s">
        <v>2870</v>
      </c>
      <c r="B1615" s="1" t="s">
        <v>5262</v>
      </c>
      <c r="C1615" s="1" t="s">
        <v>2871</v>
      </c>
      <c r="D1615" s="1" t="str">
        <f ca="1">IFERROR(__xludf.DUMMYFUNCTION("GoogleTranslate(B1615,""ja"",""en"")"),"Improper")</f>
        <v>Improper</v>
      </c>
    </row>
    <row r="1616" spans="1:4" ht="15.75" customHeight="1" x14ac:dyDescent="0.25">
      <c r="A1616" s="1" t="s">
        <v>2872</v>
      </c>
      <c r="B1616" s="1" t="s">
        <v>2857</v>
      </c>
      <c r="C1616" s="1" t="s">
        <v>1416</v>
      </c>
      <c r="D1616" s="1" t="str">
        <f ca="1">IFERROR(__xludf.DUMMYFUNCTION("GoogleTranslate(B1616,""ja"",""en"")"),"Grayed")</f>
        <v>Grayed</v>
      </c>
    </row>
    <row r="1617" spans="1:4" ht="15.75" customHeight="1" x14ac:dyDescent="0.25">
      <c r="A1617" s="1" t="s">
        <v>2873</v>
      </c>
      <c r="B1617" s="1" t="s">
        <v>5263</v>
      </c>
      <c r="C1617" s="1" t="s">
        <v>1416</v>
      </c>
      <c r="D1617" s="1" t="str">
        <f ca="1">IFERROR(__xludf.DUMMYFUNCTION("GoogleTranslate(B1617,""ja"",""en"")"),"Grayed")</f>
        <v>Grayed</v>
      </c>
    </row>
    <row r="1618" spans="1:4" ht="15.75" customHeight="1" x14ac:dyDescent="0.25">
      <c r="A1618" s="1" t="s">
        <v>2874</v>
      </c>
      <c r="B1618" s="1" t="s">
        <v>5264</v>
      </c>
      <c r="C1618" s="1" t="s">
        <v>2875</v>
      </c>
      <c r="D1618" s="1" t="str">
        <f ca="1">IFERROR(__xludf.DUMMYFUNCTION("GoogleTranslate(B1618,""ja"",""en"")"),"letter")</f>
        <v>letter</v>
      </c>
    </row>
    <row r="1619" spans="1:4" ht="15.75" customHeight="1" x14ac:dyDescent="0.25">
      <c r="A1619" s="1" t="s">
        <v>2876</v>
      </c>
      <c r="B1619" s="1" t="s">
        <v>5265</v>
      </c>
      <c r="C1619" s="1" t="s">
        <v>2877</v>
      </c>
      <c r="D1619" s="1" t="str">
        <f ca="1">IFERROR(__xludf.DUMMYFUNCTION("GoogleTranslate(B1619,""ja"",""en"")"),"Vegetarian inventory")</f>
        <v>Vegetarian inventory</v>
      </c>
    </row>
    <row r="1620" spans="1:4" ht="15.75" customHeight="1" x14ac:dyDescent="0.25">
      <c r="A1620" s="1" t="s">
        <v>2878</v>
      </c>
      <c r="B1620" s="1" t="s">
        <v>5266</v>
      </c>
      <c r="C1620" s="1" t="s">
        <v>2879</v>
      </c>
      <c r="D1620" s="1" t="str">
        <f ca="1">IFERROR(__xludf.DUMMYFUNCTION("GoogleTranslate(B1620,""ja"",""en"")"),"Substory")</f>
        <v>Substory</v>
      </c>
    </row>
    <row r="1621" spans="1:4" ht="15.75" customHeight="1" x14ac:dyDescent="0.25">
      <c r="A1621" s="1" t="s">
        <v>2880</v>
      </c>
      <c r="B1621" s="1" t="s">
        <v>5267</v>
      </c>
      <c r="C1621" s="1" t="s">
        <v>2881</v>
      </c>
      <c r="D1621" s="1" t="str">
        <f ca="1">IFERROR(__xludf.DUMMYFUNCTION("GoogleTranslate(B1621,""ja"",""en"")"),"Drawing")</f>
        <v>Drawing</v>
      </c>
    </row>
    <row r="1622" spans="1:4" ht="15.75" customHeight="1" x14ac:dyDescent="0.25">
      <c r="A1622" s="1" t="s">
        <v>2882</v>
      </c>
      <c r="B1622" s="1" t="s">
        <v>5268</v>
      </c>
      <c r="C1622" s="1" t="s">
        <v>2883</v>
      </c>
      <c r="D1622" s="1" t="str">
        <f ca="1">IFERROR(__xludf.DUMMYFUNCTION("GoogleTranslate(B1622,""ja"",""en"")"),"Glossary")</f>
        <v>Glossary</v>
      </c>
    </row>
    <row r="1623" spans="1:4" ht="15.75" customHeight="1" x14ac:dyDescent="0.25">
      <c r="A1623" s="1" t="s">
        <v>2884</v>
      </c>
      <c r="B1623" s="1" t="s">
        <v>5269</v>
      </c>
      <c r="C1623" s="1" t="s">
        <v>2885</v>
      </c>
      <c r="D1623" s="1" t="str">
        <f ca="1">IFERROR(__xludf.DUMMYFUNCTION("GoogleTranslate(B1623,""ja"",""en"")"),"memorandum")</f>
        <v>memorandum</v>
      </c>
    </row>
    <row r="1624" spans="1:4" ht="15.75" customHeight="1" x14ac:dyDescent="0.25">
      <c r="A1624" s="1" t="s">
        <v>2886</v>
      </c>
      <c r="B1624" s="1" t="s">
        <v>5270</v>
      </c>
      <c r="C1624" s="1" t="s">
        <v>2887</v>
      </c>
      <c r="D1624" s="1" t="str">
        <f ca="1">IFERROR(__xludf.DUMMYFUNCTION("GoogleTranslate(B1624,""ja"",""en"")"),"Save / Settings")</f>
        <v>Save / Settings</v>
      </c>
    </row>
    <row r="1625" spans="1:4" ht="15.75" customHeight="1" x14ac:dyDescent="0.25">
      <c r="A1625" s="1" t="s">
        <v>2888</v>
      </c>
      <c r="B1625" s="1" t="s">
        <v>5271</v>
      </c>
      <c r="C1625" s="1" t="s">
        <v>2889</v>
      </c>
      <c r="D1625" s="1" t="str">
        <f ca="1">IFERROR(__xludf.DUMMYFUNCTION("GoogleTranslate(B1625,""ja"",""en"")"),"Associated Corps officer")</f>
        <v>Associated Corps officer</v>
      </c>
    </row>
    <row r="1626" spans="1:4" ht="15.75" customHeight="1" x14ac:dyDescent="0.25">
      <c r="A1626" s="1" t="s">
        <v>2890</v>
      </c>
      <c r="B1626" s="1" t="s">
        <v>5272</v>
      </c>
      <c r="C1626" s="1" t="s">
        <v>2891</v>
      </c>
      <c r="D1626" s="1" t="str">
        <f ca="1">IFERROR(__xludf.DUMMYFUNCTION("GoogleTranslate(B1626,""ja"",""en"")"),"Agriculture Details")</f>
        <v>Agriculture Details</v>
      </c>
    </row>
    <row r="1627" spans="1:4" ht="15.75" customHeight="1" x14ac:dyDescent="0.25">
      <c r="A1627" s="1" t="s">
        <v>2892</v>
      </c>
      <c r="B1627" s="1" t="s">
        <v>5273</v>
      </c>
      <c r="C1627" s="1" t="s">
        <v>2893</v>
      </c>
      <c r="D1627" s="1" t="str">
        <f ca="1">IFERROR(__xludf.DUMMYFUNCTION("GoogleTranslate(B1627,""ja"",""en"")"),"Cuisine details")</f>
        <v>Cuisine details</v>
      </c>
    </row>
    <row r="1628" spans="1:4" ht="15.75" customHeight="1" x14ac:dyDescent="0.25">
      <c r="A1628" s="1" t="s">
        <v>2894</v>
      </c>
      <c r="B1628" s="1" t="s">
        <v>5274</v>
      </c>
      <c r="C1628" s="1" t="s">
        <v>2895</v>
      </c>
      <c r="D1628" s="1" t="str">
        <f ca="1">IFERROR(__xludf.DUMMYFUNCTION("GoogleTranslate(B1628,""ja"",""en"")"),"You can capacity building")</f>
        <v>You can capacity building</v>
      </c>
    </row>
    <row r="1629" spans="1:4" ht="15.75" customHeight="1" x14ac:dyDescent="0.25">
      <c r="A1629" s="1" t="s">
        <v>2896</v>
      </c>
      <c r="B1629" s="1" t="s">
        <v>5275</v>
      </c>
      <c r="C1629" s="1" t="s">
        <v>2897</v>
      </c>
      <c r="D1629" s="1" t="str">
        <f ca="1">IFERROR(__xludf.DUMMYFUNCTION("GoogleTranslate(B1629,""ja"",""en"")"),"Possession of the number of order")</f>
        <v>Possession of the number of order</v>
      </c>
    </row>
    <row r="1630" spans="1:4" ht="15.75" customHeight="1" x14ac:dyDescent="0.25">
      <c r="A1630" s="1" t="s">
        <v>2898</v>
      </c>
      <c r="B1630" s="1" t="s">
        <v>5276</v>
      </c>
      <c r="C1630" s="1" t="s">
        <v>2899</v>
      </c>
      <c r="D1630" s="1" t="str">
        <f ca="1">IFERROR(__xludf.DUMMYFUNCTION("GoogleTranslate(B1630,""ja"",""en"")"),"Experience value went up")</f>
        <v>Experience value went up</v>
      </c>
    </row>
    <row r="1631" spans="1:4" ht="15.75" customHeight="1" x14ac:dyDescent="0.25">
      <c r="A1631" s="1" t="s">
        <v>2900</v>
      </c>
      <c r="B1631" s="1" t="s">
        <v>5277</v>
      </c>
      <c r="C1631" s="1" t="s">
        <v>2901</v>
      </c>
      <c r="D1631" s="1" t="str">
        <f ca="1">IFERROR(__xludf.DUMMYFUNCTION("GoogleTranslate(B1631,""ja"",""en"")"),"Experience value of% s has risen")</f>
        <v>Experience value of% s has risen</v>
      </c>
    </row>
    <row r="1632" spans="1:4" ht="15.75" customHeight="1" x14ac:dyDescent="0.25">
      <c r="A1632" s="1" t="s">
        <v>2902</v>
      </c>
      <c r="B1632" s="1" t="s">
        <v>5278</v>
      </c>
      <c r="C1632" s="1" t="s">
        <v>2903</v>
      </c>
      <c r="D1632" s="1" t="str">
        <f ca="1">IFERROR(__xludf.DUMMYFUNCTION("GoogleTranslate(B1632,""ja"",""en"")"),"Won the virtue")</f>
        <v>Won the virtue</v>
      </c>
    </row>
    <row r="1633" spans="1:4" ht="15.75" customHeight="1" x14ac:dyDescent="0.25">
      <c r="A1633" s="1" t="s">
        <v>2904</v>
      </c>
      <c r="B1633" s="1" t="s">
        <v>5279</v>
      </c>
      <c r="C1633" s="1" t="s">
        <v>2905</v>
      </c>
      <c r="D1633" s="1" t="str">
        <f ca="1">IFERROR(__xludf.DUMMYFUNCTION("GoogleTranslate(B1633,""ja"",""en"")"),"Personal belongings")</f>
        <v>Personal belongings</v>
      </c>
    </row>
    <row r="1634" spans="1:4" ht="15.75" customHeight="1" x14ac:dyDescent="0.25">
      <c r="A1634" s="1" t="s">
        <v>2906</v>
      </c>
      <c r="B1634" s="1" t="s">
        <v>2898</v>
      </c>
      <c r="C1634" s="1" t="s">
        <v>2907</v>
      </c>
      <c r="D1634" s="1" t="str">
        <f ca="1">IFERROR(__xludf.DUMMYFUNCTION("GoogleTranslate(B1634,""ja"",""en"")"),"crops")</f>
        <v>crops</v>
      </c>
    </row>
    <row r="1635" spans="1:4" ht="15.75" customHeight="1" x14ac:dyDescent="0.25">
      <c r="A1635" s="1" t="s">
        <v>2908</v>
      </c>
      <c r="B1635" s="1" t="s">
        <v>5280</v>
      </c>
      <c r="C1635" s="1" t="s">
        <v>2909</v>
      </c>
      <c r="D1635" s="1" t="str">
        <f ca="1">IFERROR(__xludf.DUMMYFUNCTION("GoogleTranslate(B1635,""ja"",""en"")"),"Fishes")</f>
        <v>Fishes</v>
      </c>
    </row>
    <row r="1636" spans="1:4" ht="15.75" customHeight="1" x14ac:dyDescent="0.25">
      <c r="A1636" s="1" t="s">
        <v>2910</v>
      </c>
      <c r="B1636" s="1" t="s">
        <v>5281</v>
      </c>
      <c r="C1636" s="1" t="s">
        <v>2911</v>
      </c>
      <c r="D1636" s="1" t="str">
        <f ca="1">IFERROR(__xludf.DUMMYFUNCTION("GoogleTranslate(B1636,""ja"",""en"")"),"Equipment material")</f>
        <v>Equipment material</v>
      </c>
    </row>
    <row r="1637" spans="1:4" ht="15.75" customHeight="1" x14ac:dyDescent="0.25">
      <c r="A1637" s="1" t="s">
        <v>2912</v>
      </c>
      <c r="B1637" s="1" t="s">
        <v>5282</v>
      </c>
      <c r="C1637" s="1" t="s">
        <v>2913</v>
      </c>
      <c r="D1637" s="1" t="str">
        <f ca="1">IFERROR(__xludf.DUMMYFUNCTION("GoogleTranslate(B1637,""ja"",""en"")"),"Equipped weapon")</f>
        <v>Equipped weapon</v>
      </c>
    </row>
    <row r="1638" spans="1:4" ht="15.75" customHeight="1" x14ac:dyDescent="0.25">
      <c r="A1638" s="1" t="s">
        <v>2914</v>
      </c>
      <c r="B1638" s="1" t="s">
        <v>5283</v>
      </c>
      <c r="C1638" s="1" t="s">
        <v>2915</v>
      </c>
      <c r="D1638" s="1" t="str">
        <f ca="1">IFERROR(__xludf.DUMMYFUNCTION("GoogleTranslate(B1638,""ja"",""en"")"),"Equipped with armor")</f>
        <v>Equipped with armor</v>
      </c>
    </row>
    <row r="1639" spans="1:4" ht="15.75" customHeight="1" x14ac:dyDescent="0.25">
      <c r="A1639" s="1" t="s">
        <v>2916</v>
      </c>
      <c r="B1639" s="1" t="s">
        <v>5284</v>
      </c>
      <c r="C1639" s="1" t="s">
        <v>2917</v>
      </c>
      <c r="D1639" s="1" t="str">
        <f ca="1">IFERROR(__xludf.DUMMYFUNCTION("GoogleTranslate(B1639,""ja"",""en"")"),"Possession of weapons")</f>
        <v>Possession of weapons</v>
      </c>
    </row>
    <row r="1640" spans="1:4" ht="15.75" customHeight="1" x14ac:dyDescent="0.25">
      <c r="A1640" s="1" t="s">
        <v>2918</v>
      </c>
      <c r="B1640" s="1" t="s">
        <v>2904</v>
      </c>
      <c r="C1640" s="1" t="s">
        <v>2919</v>
      </c>
      <c r="D1640" s="1" t="str">
        <f ca="1">IFERROR(__xludf.DUMMYFUNCTION("GoogleTranslate(B1640,""ja"",""en"")"),"Possession Armor")</f>
        <v>Possession Armor</v>
      </c>
    </row>
    <row r="1641" spans="1:4" ht="15.75" customHeight="1" x14ac:dyDescent="0.25">
      <c r="A1641" s="1" t="s">
        <v>2920</v>
      </c>
      <c r="B1641" s="1" t="s">
        <v>5285</v>
      </c>
      <c r="C1641" s="1" t="s">
        <v>2921</v>
      </c>
      <c r="D1641" s="1" t="str">
        <f ca="1">IFERROR(__xludf.DUMMYFUNCTION("GoogleTranslate(B1641,""ja"",""en"")"),"sword")</f>
        <v>sword</v>
      </c>
    </row>
    <row r="1642" spans="1:4" ht="15.75" customHeight="1" x14ac:dyDescent="0.25">
      <c r="A1642" s="1" t="s">
        <v>2922</v>
      </c>
      <c r="B1642" s="1" t="s">
        <v>5286</v>
      </c>
      <c r="C1642" s="1" t="s">
        <v>2923</v>
      </c>
      <c r="D1642" s="1" t="str">
        <f ca="1">IFERROR(__xludf.DUMMYFUNCTION("GoogleTranslate(B1642,""ja"",""en"")"),"Special Weapons")</f>
        <v>Special Weapons</v>
      </c>
    </row>
    <row r="1643" spans="1:4" ht="15.75" customHeight="1" x14ac:dyDescent="0.25">
      <c r="A1643" s="1" t="s">
        <v>2924</v>
      </c>
      <c r="B1643" s="1" t="s">
        <v>5287</v>
      </c>
      <c r="C1643" s="1" t="s">
        <v>2925</v>
      </c>
      <c r="D1643" s="1" t="str">
        <f ca="1">IFERROR(__xludf.DUMMYFUNCTION("GoogleTranslate(B1643,""ja"",""en"")"),"gun")</f>
        <v>gun</v>
      </c>
    </row>
    <row r="1644" spans="1:4" ht="15.75" customHeight="1" x14ac:dyDescent="0.25">
      <c r="A1644" s="1" t="s">
        <v>2926</v>
      </c>
      <c r="B1644" s="1" t="s">
        <v>5288</v>
      </c>
      <c r="C1644" s="1" t="s">
        <v>2927</v>
      </c>
      <c r="D1644" s="1" t="str">
        <f ca="1">IFERROR(__xludf.DUMMYFUNCTION("GoogleTranslate(B1644,""ja"",""en"")"),"bullet")</f>
        <v>bullet</v>
      </c>
    </row>
    <row r="1645" spans="1:4" ht="15.75" customHeight="1" x14ac:dyDescent="0.25">
      <c r="A1645" s="1" t="s">
        <v>2928</v>
      </c>
      <c r="B1645" s="1" t="s">
        <v>5289</v>
      </c>
      <c r="C1645" s="1" t="s">
        <v>2929</v>
      </c>
      <c r="D1645" s="1" t="str">
        <f ca="1">IFERROR(__xludf.DUMMYFUNCTION("GoogleTranslate(B1645,""ja"",""en"")"),"headband")</f>
        <v>headband</v>
      </c>
    </row>
    <row r="1646" spans="1:4" ht="15.75" customHeight="1" x14ac:dyDescent="0.25">
      <c r="A1646" s="1" t="s">
        <v>2930</v>
      </c>
      <c r="B1646" s="1" t="s">
        <v>5290</v>
      </c>
      <c r="C1646" s="1" t="s">
        <v>2931</v>
      </c>
      <c r="D1646" s="1" t="str">
        <f ca="1">IFERROR(__xludf.DUMMYFUNCTION("GoogleTranslate(B1646,""ja"",""en"")"),"breastplate")</f>
        <v>breastplate</v>
      </c>
    </row>
    <row r="1647" spans="1:4" ht="15.75" customHeight="1" x14ac:dyDescent="0.25">
      <c r="A1647" s="1" t="s">
        <v>2932</v>
      </c>
      <c r="B1647" s="1" t="s">
        <v>5291</v>
      </c>
      <c r="C1647" s="1" t="s">
        <v>2933</v>
      </c>
      <c r="D1647" s="1" t="str">
        <f ca="1">IFERROR(__xludf.DUMMYFUNCTION("GoogleTranslate(B1647,""ja"",""en"")"),"gauntlet")</f>
        <v>gauntlet</v>
      </c>
    </row>
    <row r="1648" spans="1:4" ht="15.75" customHeight="1" x14ac:dyDescent="0.25">
      <c r="A1648" s="1" t="s">
        <v>2934</v>
      </c>
      <c r="B1648" s="1" t="s">
        <v>5292</v>
      </c>
      <c r="C1648" s="1" t="s">
        <v>2935</v>
      </c>
      <c r="D1648" s="1" t="str">
        <f ca="1">IFERROR(__xludf.DUMMYFUNCTION("GoogleTranslate(B1648,""ja"",""en"")"),"Offensive power")</f>
        <v>Offensive power</v>
      </c>
    </row>
    <row r="1649" spans="1:4" ht="15.75" customHeight="1" x14ac:dyDescent="0.25">
      <c r="A1649" s="1" t="s">
        <v>2936</v>
      </c>
      <c r="B1649" s="1" t="s">
        <v>5293</v>
      </c>
      <c r="C1649" s="1" t="s">
        <v>2937</v>
      </c>
      <c r="D1649" s="1" t="str">
        <f ca="1">IFERROR(__xludf.DUMMYFUNCTION("GoogleTranslate(B1649,""ja"",""en"")"),"Defense power")</f>
        <v>Defense power</v>
      </c>
    </row>
    <row r="1650" spans="1:4" ht="15.75" customHeight="1" x14ac:dyDescent="0.25">
      <c r="A1650" s="1" t="s">
        <v>2938</v>
      </c>
      <c r="B1650" s="1" t="s">
        <v>2920</v>
      </c>
      <c r="C1650" s="1" t="s">
        <v>2939</v>
      </c>
      <c r="D1650" s="1" t="str">
        <f ca="1">IFERROR(__xludf.DUMMYFUNCTION("GoogleTranslate(B1650,""ja"",""en"")"),"Rarity")</f>
        <v>Rarity</v>
      </c>
    </row>
    <row r="1651" spans="1:4" ht="15.75" customHeight="1" x14ac:dyDescent="0.25">
      <c r="A1651" s="1" t="s">
        <v>2940</v>
      </c>
      <c r="B1651" s="1" t="s">
        <v>2922</v>
      </c>
      <c r="C1651" s="1" t="s">
        <v>2941</v>
      </c>
      <c r="D1651" s="1" t="str">
        <f ca="1">IFERROR(__xludf.DUMMYFUNCTION("GoogleTranslate(B1651,""ja"",""en"")"),"Case")</f>
        <v>Case</v>
      </c>
    </row>
    <row r="1652" spans="1:4" ht="15.75" customHeight="1" x14ac:dyDescent="0.25">
      <c r="A1652" s="1" t="s">
        <v>2942</v>
      </c>
      <c r="B1652" s="1" t="s">
        <v>5294</v>
      </c>
      <c r="C1652" s="1" t="s">
        <v>2943</v>
      </c>
      <c r="D1652" s="1" t="str">
        <f ca="1">IFERROR(__xludf.DUMMYFUNCTION("GoogleTranslate(B1652,""ja"",""en"")"),"In you can see the strengthening material of the armor in the selection.")</f>
        <v>In you can see the strengthening material of the armor in the selection.</v>
      </c>
    </row>
    <row r="1653" spans="1:4" ht="15.75" customHeight="1" x14ac:dyDescent="0.25">
      <c r="A1653" s="1" t="s">
        <v>2944</v>
      </c>
      <c r="B1653" s="1" t="s">
        <v>5295</v>
      </c>
      <c r="C1653" s="1" t="s">
        <v>2945</v>
      </c>
      <c r="D1653" s="1" t="str">
        <f ca="1">IFERROR(__xludf.DUMMYFUNCTION("GoogleTranslate(B1653,""ja"",""en"")"),"basic operation")</f>
        <v>basic operation</v>
      </c>
    </row>
    <row r="1654" spans="1:4" ht="15.75" customHeight="1" x14ac:dyDescent="0.25">
      <c r="A1654" s="1" t="s">
        <v>2946</v>
      </c>
      <c r="B1654" s="1" t="s">
        <v>5296</v>
      </c>
      <c r="C1654" s="1" t="s">
        <v>2947</v>
      </c>
      <c r="D1654" s="1" t="str">
        <f ca="1">IFERROR(__xludf.DUMMYFUNCTION("GoogleTranslate(B1654,""ja"",""en"")"),"Special skill")</f>
        <v>Special skill</v>
      </c>
    </row>
    <row r="1655" spans="1:4" ht="15.75" customHeight="1" x14ac:dyDescent="0.25">
      <c r="A1655" s="1" t="s">
        <v>2948</v>
      </c>
      <c r="B1655" s="1" t="s">
        <v>2938</v>
      </c>
      <c r="C1655" s="1" t="s">
        <v>2949</v>
      </c>
      <c r="D1655" s="1" t="str">
        <f ca="1">IFERROR(__xludf.DUMMYFUNCTION("GoogleTranslate(B1655,""ja"",""en"")"),"The type of fighting")</f>
        <v>The type of fighting</v>
      </c>
    </row>
    <row r="1656" spans="1:4" ht="15.75" customHeight="1" x14ac:dyDescent="0.25">
      <c r="A1656" s="1" t="s">
        <v>2950</v>
      </c>
      <c r="B1656" s="1" t="s">
        <v>5297</v>
      </c>
      <c r="C1656" s="1" t="s">
        <v>2951</v>
      </c>
      <c r="D1656" s="1" t="str">
        <f ca="1">IFERROR(__xludf.DUMMYFUNCTION("GoogleTranslate(B1656,""ja"",""en"")"),"The type of cut with a sword")</f>
        <v>The type of cut with a sword</v>
      </c>
    </row>
    <row r="1657" spans="1:4" ht="15.75" customHeight="1" x14ac:dyDescent="0.25">
      <c r="A1657" s="1" t="s">
        <v>2952</v>
      </c>
      <c r="B1657" s="1" t="s">
        <v>5298</v>
      </c>
      <c r="C1657" s="1" t="s">
        <v>2953</v>
      </c>
      <c r="D1657" s="1" t="str">
        <f ca="1">IFERROR(__xludf.DUMMYFUNCTION("GoogleTranslate(B1657,""ja"",""en"")"),"The type of Ranbu")</f>
        <v>The type of Ranbu</v>
      </c>
    </row>
    <row r="1658" spans="1:4" ht="15.75" customHeight="1" x14ac:dyDescent="0.25">
      <c r="A1658" s="1" t="s">
        <v>2954</v>
      </c>
      <c r="B1658" s="1" t="s">
        <v>5299</v>
      </c>
      <c r="C1658" s="1" t="s">
        <v>2955</v>
      </c>
      <c r="D1658" s="1" t="str">
        <f ca="1">IFERROR(__xludf.DUMMYFUNCTION("GoogleTranslate(B1658,""ja"",""en"")"),"Type of pistol")</f>
        <v>Type of pistol</v>
      </c>
    </row>
    <row r="1659" spans="1:4" ht="15.75" customHeight="1" x14ac:dyDescent="0.25">
      <c r="A1659" s="1" t="s">
        <v>2956</v>
      </c>
      <c r="B1659" s="1" t="s">
        <v>2946</v>
      </c>
      <c r="C1659" s="1" t="s">
        <v>2957</v>
      </c>
      <c r="D1659" s="1" t="str">
        <f ca="1">IFERROR(__xludf.DUMMYFUNCTION("GoogleTranslate(B1659,""ja"",""en"")"),"You can not learn now.")</f>
        <v>You can not learn now.</v>
      </c>
    </row>
    <row r="1660" spans="1:4" ht="15.75" customHeight="1" x14ac:dyDescent="0.25">
      <c r="A1660" s="1" t="s">
        <v>2958</v>
      </c>
      <c r="B1660" s="1" t="s">
        <v>5300</v>
      </c>
      <c r="C1660" s="1" t="s">
        <v>2959</v>
      </c>
      <c r="D1660" s="1" t="str">
        <f ca="1">IFERROR(__xludf.DUMMYFUNCTION("GoogleTranslate(B1660,""ja"",""en"")"),"I could not use your belongings.")</f>
        <v>I could not use your belongings.</v>
      </c>
    </row>
    <row r="1661" spans="1:4" ht="15.75" customHeight="1" x14ac:dyDescent="0.25">
      <c r="A1661" s="1" t="s">
        <v>2960</v>
      </c>
      <c r="B1661" s="1" t="s">
        <v>5301</v>
      </c>
      <c r="C1661" s="1" t="s">
        <v>2961</v>
      </c>
      <c r="D1661" s="1" t="str">
        <f ca="1">IFERROR(__xludf.DUMMYFUNCTION("GoogleTranslate(B1661,""ja"",""en"")"),"It could not be loaded.")</f>
        <v>It could not be loaded.</v>
      </c>
    </row>
    <row r="1662" spans="1:4" ht="15.75" customHeight="1" x14ac:dyDescent="0.25">
      <c r="A1662" s="1" t="s">
        <v>2962</v>
      </c>
      <c r="B1662" s="1" t="s">
        <v>5302</v>
      </c>
      <c r="C1662" s="1" t="s">
        <v>2963</v>
      </c>
      <c r="D1662" s="1" t="str">
        <f ca="1">IFERROR(__xludf.DUMMYFUNCTION("GoogleTranslate(B1662,""ja"",""en"")"),"I was not able to throw away your belongings.")</f>
        <v>I was not able to throw away your belongings.</v>
      </c>
    </row>
    <row r="1663" spans="1:4" ht="15.75" customHeight="1" x14ac:dyDescent="0.25">
      <c r="A1663" s="1" t="s">
        <v>2964</v>
      </c>
      <c r="B1663" s="1" t="s">
        <v>5303</v>
      </c>
      <c r="C1663" s="1" t="s">
        <v>2965</v>
      </c>
      <c r="D1663" s="1" t="str">
        <f ca="1">IFERROR(__xludf.DUMMYFUNCTION("GoogleTranslate(B1663,""ja"",""en"")"),"Incoming mail")</f>
        <v>Incoming mail</v>
      </c>
    </row>
    <row r="1664" spans="1:4" ht="15.75" customHeight="1" x14ac:dyDescent="0.25">
      <c r="A1664" s="1" t="s">
        <v>2966</v>
      </c>
      <c r="B1664" s="1" t="s">
        <v>5304</v>
      </c>
      <c r="C1664" s="1" t="s">
        <v>2967</v>
      </c>
      <c r="D1664" s="1" t="str">
        <f ca="1">IFERROR(__xludf.DUMMYFUNCTION("GoogleTranslate(B1664,""ja"",""en"")"),"Email")</f>
        <v>Email</v>
      </c>
    </row>
    <row r="1665" spans="1:4" ht="15.75" customHeight="1" x14ac:dyDescent="0.25">
      <c r="A1665" s="1" t="s">
        <v>2968</v>
      </c>
      <c r="B1665" s="1" t="s">
        <v>5305</v>
      </c>
      <c r="C1665" s="1" t="s">
        <v>2969</v>
      </c>
      <c r="D1665" s="1" t="str">
        <f ca="1">IFERROR(__xludf.DUMMYFUNCTION("GoogleTranslate(B1665,""ja"",""en"")"),"restaurant")</f>
        <v>restaurant</v>
      </c>
    </row>
    <row r="1666" spans="1:4" ht="15.75" customHeight="1" x14ac:dyDescent="0.25">
      <c r="A1666" s="1" t="s">
        <v>2970</v>
      </c>
      <c r="B1666" s="1" t="s">
        <v>5306</v>
      </c>
      <c r="C1666" s="1" t="s">
        <v>2971</v>
      </c>
      <c r="D1666" s="1" t="str">
        <f ca="1">IFERROR(__xludf.DUMMYFUNCTION("GoogleTranslate(B1666,""ja"",""en"")"),"Sales outlet")</f>
        <v>Sales outlet</v>
      </c>
    </row>
    <row r="1667" spans="1:4" ht="15.75" customHeight="1" x14ac:dyDescent="0.25">
      <c r="A1667" s="1" t="s">
        <v>2972</v>
      </c>
      <c r="B1667" s="1" t="s">
        <v>5307</v>
      </c>
      <c r="C1667" s="1" t="s">
        <v>2973</v>
      </c>
      <c r="D1667" s="1" t="str">
        <f ca="1">IFERROR(__xludf.DUMMYFUNCTION("GoogleTranslate(B1667,""ja"",""en"")"),"Play spot")</f>
        <v>Play spot</v>
      </c>
    </row>
    <row r="1668" spans="1:4" ht="15.75" customHeight="1" x14ac:dyDescent="0.25">
      <c r="A1668" s="1" t="s">
        <v>2974</v>
      </c>
      <c r="B1668" s="1" t="s">
        <v>5308</v>
      </c>
      <c r="C1668" s="1" t="s">
        <v>2975</v>
      </c>
      <c r="D1668" s="1" t="str">
        <f ca="1">IFERROR(__xludf.DUMMYFUNCTION("GoogleTranslate(B1668,""ja"",""en"")"),"scenario")</f>
        <v>scenario</v>
      </c>
    </row>
    <row r="1669" spans="1:4" ht="15.75" customHeight="1" x14ac:dyDescent="0.25">
      <c r="A1669" s="1" t="s">
        <v>2976</v>
      </c>
      <c r="B1669" s="1" t="s">
        <v>5309</v>
      </c>
      <c r="C1669" s="1" t="s">
        <v>2977</v>
      </c>
      <c r="D1669" s="1" t="str">
        <f ca="1">IFERROR(__xludf.DUMMYFUNCTION("GoogleTranslate(B1669,""ja"",""en"")"),"Training")</f>
        <v>Training</v>
      </c>
    </row>
    <row r="1670" spans="1:4" ht="15.75" customHeight="1" x14ac:dyDescent="0.25">
      <c r="A1670" s="1" t="s">
        <v>2978</v>
      </c>
      <c r="B1670" s="1" t="s">
        <v>5310</v>
      </c>
      <c r="C1670" s="1" t="s">
        <v>2979</v>
      </c>
      <c r="D1670" s="1" t="str">
        <f ca="1">IFERROR(__xludf.DUMMYFUNCTION("GoogleTranslate(B1670,""ja"",""en"")"),"Set destination")</f>
        <v>Set destination</v>
      </c>
    </row>
    <row r="1671" spans="1:4" ht="15.75" customHeight="1" x14ac:dyDescent="0.25">
      <c r="A1671" s="1" t="s">
        <v>2980</v>
      </c>
      <c r="B1671" s="1" t="s">
        <v>5311</v>
      </c>
      <c r="C1671" s="1" t="s">
        <v>2981</v>
      </c>
      <c r="D1671" s="1" t="str">
        <f ca="1">IFERROR(__xludf.DUMMYFUNCTION("GoogleTranslate(B1671,""ja"",""en"")"),"Udon restaurant")</f>
        <v>Udon restaurant</v>
      </c>
    </row>
    <row r="1672" spans="1:4" ht="15.75" customHeight="1" x14ac:dyDescent="0.25">
      <c r="A1672" s="1" t="s">
        <v>2982</v>
      </c>
      <c r="B1672" s="1" t="s">
        <v>5312</v>
      </c>
      <c r="C1672" s="1" t="s">
        <v>2983</v>
      </c>
      <c r="D1672" s="1" t="str">
        <f ca="1">IFERROR(__xludf.DUMMYFUNCTION("GoogleTranslate(B1672,""ja"",""en"")"),"Soba")</f>
        <v>Soba</v>
      </c>
    </row>
    <row r="1673" spans="1:4" ht="15.75" customHeight="1" x14ac:dyDescent="0.25">
      <c r="A1673" s="1" t="s">
        <v>2984</v>
      </c>
      <c r="B1673" s="1" t="s">
        <v>5313</v>
      </c>
      <c r="C1673" s="1" t="s">
        <v>2985</v>
      </c>
      <c r="D1673" s="1" t="str">
        <f ca="1">IFERROR(__xludf.DUMMYFUNCTION("GoogleTranslate(B1673,""ja"",""en"")"),"Takoyakiya")</f>
        <v>Takoyakiya</v>
      </c>
    </row>
    <row r="1674" spans="1:4" ht="15.75" customHeight="1" x14ac:dyDescent="0.25">
      <c r="A1674" s="1" t="s">
        <v>2986</v>
      </c>
      <c r="B1674" s="1" t="s">
        <v>5314</v>
      </c>
      <c r="C1674" s="1" t="s">
        <v>2987</v>
      </c>
      <c r="D1674" s="1" t="str">
        <f ca="1">IFERROR(__xludf.DUMMYFUNCTION("GoogleTranslate(B1674,""ja"",""en"")"),"Hanako")</f>
        <v>Hanako</v>
      </c>
    </row>
    <row r="1675" spans="1:4" ht="15.75" customHeight="1" x14ac:dyDescent="0.25">
      <c r="A1675" s="1" t="s">
        <v>2988</v>
      </c>
      <c r="B1675" s="1" t="s">
        <v>5315</v>
      </c>
      <c r="C1675" s="1" t="s">
        <v>2989</v>
      </c>
      <c r="D1675" s="1" t="str">
        <f ca="1">IFERROR(__xludf.DUMMYFUNCTION("GoogleTranslate(B1675,""ja"",""en"")"),"Tavern")</f>
        <v>Tavern</v>
      </c>
    </row>
    <row r="1676" spans="1:4" ht="15.75" customHeight="1" x14ac:dyDescent="0.25">
      <c r="A1676" s="1" t="s">
        <v>2990</v>
      </c>
      <c r="B1676" s="1" t="s">
        <v>5316</v>
      </c>
      <c r="C1676" s="1" t="s">
        <v>2991</v>
      </c>
      <c r="D1676" s="1" t="str">
        <f ca="1">IFERROR(__xludf.DUMMYFUNCTION("GoogleTranslate(B1676,""ja"",""en"")"),"Teahouse")</f>
        <v>Teahouse</v>
      </c>
    </row>
    <row r="1677" spans="1:4" ht="15.75" customHeight="1" x14ac:dyDescent="0.25">
      <c r="A1677" s="1" t="s">
        <v>2992</v>
      </c>
      <c r="B1677" s="1" t="s">
        <v>5317</v>
      </c>
      <c r="C1677" s="1" t="s">
        <v>2993</v>
      </c>
      <c r="D1677" s="1" t="str">
        <f ca="1">IFERROR(__xludf.DUMMYFUNCTION("GoogleTranslate(B1677,""ja"",""en"")"),"Fishmonger")</f>
        <v>Fishmonger</v>
      </c>
    </row>
    <row r="1678" spans="1:4" ht="15.75" customHeight="1" x14ac:dyDescent="0.25">
      <c r="A1678" s="1" t="s">
        <v>2994</v>
      </c>
      <c r="B1678" s="1" t="s">
        <v>5318</v>
      </c>
      <c r="C1678" s="1" t="s">
        <v>2995</v>
      </c>
      <c r="D1678" s="1" t="str">
        <f ca="1">IFERROR(__xludf.DUMMYFUNCTION("GoogleTranslate(B1678,""ja"",""en"")"),"Kamameshiya")</f>
        <v>Kamameshiya</v>
      </c>
    </row>
    <row r="1679" spans="1:4" ht="15.75" customHeight="1" x14ac:dyDescent="0.25">
      <c r="A1679" s="1" t="s">
        <v>2996</v>
      </c>
      <c r="B1679" s="1" t="s">
        <v>5319</v>
      </c>
      <c r="C1679" s="1" t="s">
        <v>2997</v>
      </c>
      <c r="D1679" s="1" t="str">
        <f ca="1">IFERROR(__xludf.DUMMYFUNCTION("GoogleTranslate(B1679,""ja"",""en"")"),"Messiah 1")</f>
        <v>Messiah 1</v>
      </c>
    </row>
    <row r="1680" spans="1:4" ht="15.75" customHeight="1" x14ac:dyDescent="0.25">
      <c r="A1680" s="1" t="s">
        <v>2998</v>
      </c>
      <c r="B1680" s="1" t="s">
        <v>5320</v>
      </c>
      <c r="C1680" s="1" t="s">
        <v>2999</v>
      </c>
      <c r="D1680" s="1" t="str">
        <f ca="1">IFERROR(__xludf.DUMMYFUNCTION("GoogleTranslate(B1680,""ja"",""en"")"),"Messiah 2")</f>
        <v>Messiah 2</v>
      </c>
    </row>
    <row r="1681" spans="1:4" ht="15.75" customHeight="1" x14ac:dyDescent="0.25">
      <c r="A1681" s="1" t="s">
        <v>3000</v>
      </c>
      <c r="B1681" s="1" t="s">
        <v>5321</v>
      </c>
      <c r="C1681" s="1" t="s">
        <v>3001</v>
      </c>
      <c r="D1681" s="1" t="str">
        <f ca="1">IFERROR(__xludf.DUMMYFUNCTION("GoogleTranslate(B1681,""ja"",""en"")"),"Greengrocer")</f>
        <v>Greengrocer</v>
      </c>
    </row>
    <row r="1682" spans="1:4" ht="15.75" customHeight="1" x14ac:dyDescent="0.25">
      <c r="A1682" s="1" t="s">
        <v>3002</v>
      </c>
      <c r="B1682" s="1" t="s">
        <v>5322</v>
      </c>
      <c r="C1682" s="1" t="s">
        <v>3003</v>
      </c>
      <c r="D1682" s="1" t="str">
        <f ca="1">IFERROR(__xludf.DUMMYFUNCTION("GoogleTranslate(B1682,""ja"",""en"")"),"Shrine 1")</f>
        <v>Shrine 1</v>
      </c>
    </row>
    <row r="1683" spans="1:4" ht="15.75" customHeight="1" x14ac:dyDescent="0.25">
      <c r="A1683" s="1" t="s">
        <v>3004</v>
      </c>
      <c r="B1683" s="1" t="s">
        <v>5323</v>
      </c>
      <c r="C1683" s="1" t="s">
        <v>3005</v>
      </c>
      <c r="D1683" s="1" t="str">
        <f ca="1">IFERROR(__xludf.DUMMYFUNCTION("GoogleTranslate(B1683,""ja"",""en"")"),"Shrine 2")</f>
        <v>Shrine 2</v>
      </c>
    </row>
    <row r="1684" spans="1:4" ht="15.75" customHeight="1" x14ac:dyDescent="0.25">
      <c r="A1684" s="1" t="s">
        <v>3006</v>
      </c>
      <c r="B1684" s="1" t="s">
        <v>5324</v>
      </c>
      <c r="C1684" s="1" t="s">
        <v>3007</v>
      </c>
      <c r="D1684" s="1" t="str">
        <f ca="1">IFERROR(__xludf.DUMMYFUNCTION("GoogleTranslate(B1684,""ja"",""en"")"),"Teacher 2")</f>
        <v>Teacher 2</v>
      </c>
    </row>
    <row r="1685" spans="1:4" ht="15.75" customHeight="1" x14ac:dyDescent="0.25">
      <c r="A1685" s="1" t="s">
        <v>3008</v>
      </c>
      <c r="B1685" s="1" t="s">
        <v>2980</v>
      </c>
      <c r="C1685" s="1" t="s">
        <v>3009</v>
      </c>
      <c r="D1685" s="1" t="str">
        <f ca="1">IFERROR(__xludf.DUMMYFUNCTION("GoogleTranslate(B1685,""ja"",""en"")"),"Mentor 1")</f>
        <v>Mentor 1</v>
      </c>
    </row>
    <row r="1686" spans="1:4" ht="15.75" customHeight="1" x14ac:dyDescent="0.25">
      <c r="A1686" s="1" t="s">
        <v>3010</v>
      </c>
      <c r="B1686" s="1" t="s">
        <v>5325</v>
      </c>
      <c r="C1686" s="1" t="s">
        <v>3011</v>
      </c>
      <c r="D1686" s="1" t="str">
        <f ca="1">IFERROR(__xludf.DUMMYFUNCTION("GoogleTranslate(B1686,""ja"",""en"")"),"Hogan")</f>
        <v>Hogan</v>
      </c>
    </row>
    <row r="1687" spans="1:4" ht="15.75" customHeight="1" x14ac:dyDescent="0.25">
      <c r="A1687" s="1" t="s">
        <v>3012</v>
      </c>
      <c r="B1687" s="1" t="s">
        <v>5326</v>
      </c>
      <c r="C1687" s="1" t="s">
        <v>1412</v>
      </c>
      <c r="D1687" s="1" t="str">
        <f ca="1">IFERROR(__xludf.DUMMYFUNCTION("GoogleTranslate(B1687,""ja"",""en"")"),"Door")</f>
        <v>Door</v>
      </c>
    </row>
    <row r="1688" spans="1:4" ht="15.75" customHeight="1" x14ac:dyDescent="0.25">
      <c r="A1688" s="1" t="s">
        <v>3013</v>
      </c>
      <c r="B1688" s="1" t="s">
        <v>2998</v>
      </c>
      <c r="C1688" s="1" t="s">
        <v>3014</v>
      </c>
      <c r="D1688" s="1" t="str">
        <f ca="1">IFERROR(__xludf.DUMMYFUNCTION("GoogleTranslate(B1688,""ja"",""en"")"),"Ya")</f>
        <v>Ya</v>
      </c>
    </row>
    <row r="1689" spans="1:4" ht="15.75" customHeight="1" x14ac:dyDescent="0.25">
      <c r="A1689" s="1" t="s">
        <v>3015</v>
      </c>
      <c r="B1689" s="1" t="s">
        <v>5327</v>
      </c>
      <c r="C1689" s="1" t="s">
        <v>343</v>
      </c>
      <c r="D1689" s="1" t="str">
        <f ca="1">IFERROR(__xludf.DUMMYFUNCTION("GoogleTranslate(B1689,""ja"",""en"")"),"Over")</f>
        <v>Over</v>
      </c>
    </row>
    <row r="1690" spans="1:4" ht="15.75" customHeight="1" x14ac:dyDescent="0.25">
      <c r="A1690" s="1" t="s">
        <v>3016</v>
      </c>
      <c r="B1690" s="1" t="s">
        <v>3000</v>
      </c>
      <c r="C1690" s="1" t="s">
        <v>3017</v>
      </c>
      <c r="D1690" s="1" t="str">
        <f ca="1">IFERROR(__xludf.DUMMYFUNCTION("GoogleTranslate(B1690,""ja"",""en"")"),"Teacher")</f>
        <v>Teacher</v>
      </c>
    </row>
    <row r="1691" spans="1:4" ht="15.75" customHeight="1" x14ac:dyDescent="0.25">
      <c r="A1691" s="1" t="s">
        <v>3018</v>
      </c>
      <c r="B1691" s="1" t="s">
        <v>3004</v>
      </c>
      <c r="C1691" s="1" t="s">
        <v>1483</v>
      </c>
      <c r="D1691" s="1" t="str">
        <f ca="1">IFERROR(__xludf.DUMMYFUNCTION("GoogleTranslate(B1691,""ja"",""en"")"),"Le")</f>
        <v>Le</v>
      </c>
    </row>
    <row r="1692" spans="1:4" ht="15.75" customHeight="1" x14ac:dyDescent="0.25">
      <c r="A1692" s="1" t="s">
        <v>3019</v>
      </c>
      <c r="B1692" s="1" t="s">
        <v>3008</v>
      </c>
      <c r="C1692" s="1" t="s">
        <v>213</v>
      </c>
      <c r="D1692" s="1" t="str">
        <f ca="1">IFERROR(__xludf.DUMMYFUNCTION("GoogleTranslate(B1692,""ja"",""en"")"),".")</f>
        <v>.</v>
      </c>
    </row>
    <row r="1693" spans="1:4" ht="15.75" customHeight="1" x14ac:dyDescent="0.25">
      <c r="A1693" s="1" t="s">
        <v>3020</v>
      </c>
      <c r="B1693" s="1" t="s">
        <v>3010</v>
      </c>
      <c r="C1693" s="1" t="s">
        <v>213</v>
      </c>
      <c r="D1693" s="1" t="str">
        <f ca="1">IFERROR(__xludf.DUMMYFUNCTION("GoogleTranslate(B1693,""ja"",""en"")"),".")</f>
        <v>.</v>
      </c>
    </row>
    <row r="1694" spans="1:4" ht="15.75" customHeight="1" x14ac:dyDescent="0.25">
      <c r="A1694" s="1" t="s">
        <v>3021</v>
      </c>
      <c r="B1694" s="1" t="s">
        <v>5328</v>
      </c>
      <c r="C1694" s="1" t="s">
        <v>3022</v>
      </c>
      <c r="D1694" s="1" t="str">
        <f ca="1">IFERROR(__xludf.DUMMYFUNCTION("GoogleTranslate(B1694,""ja"",""en"")"),"There is no map")</f>
        <v>There is no map</v>
      </c>
    </row>
    <row r="1695" spans="1:4" ht="15.75" customHeight="1" x14ac:dyDescent="0.25">
      <c r="A1695" s="1" t="s">
        <v>3023</v>
      </c>
      <c r="B1695" s="1" t="s">
        <v>5329</v>
      </c>
      <c r="C1695" s="1" t="s">
        <v>213</v>
      </c>
      <c r="D1695" s="1" t="str">
        <f ca="1">IFERROR(__xludf.DUMMYFUNCTION("GoogleTranslate(B1695,""ja"",""en"")"),".")</f>
        <v>.</v>
      </c>
    </row>
    <row r="1696" spans="1:4" ht="15.75" customHeight="1" x14ac:dyDescent="0.25">
      <c r="A1696" s="1" t="s">
        <v>3024</v>
      </c>
      <c r="B1696" s="1" t="s">
        <v>5330</v>
      </c>
      <c r="C1696" s="1" t="s">
        <v>3025</v>
      </c>
      <c r="D1696" s="1" t="str">
        <f ca="1">IFERROR(__xludf.DUMMYFUNCTION("GoogleTranslate(B1696,""ja"",""en"")"),"fishing rod")</f>
        <v>fishing rod</v>
      </c>
    </row>
    <row r="1697" spans="1:4" ht="15.75" customHeight="1" x14ac:dyDescent="0.25">
      <c r="A1697" s="1" t="s">
        <v>3026</v>
      </c>
      <c r="B1697" s="1" t="s">
        <v>5331</v>
      </c>
      <c r="C1697" s="1" t="s">
        <v>3027</v>
      </c>
      <c r="D1697" s="1" t="str">
        <f ca="1">IFERROR(__xludf.DUMMYFUNCTION("GoogleTranslate(B1697,""ja"",""en"")"),"Poultry Plant")</f>
        <v>Poultry Plant</v>
      </c>
    </row>
    <row r="1698" spans="1:4" ht="15.75" customHeight="1" x14ac:dyDescent="0.25">
      <c r="A1698" s="1" t="s">
        <v>3028</v>
      </c>
      <c r="B1698" s="1" t="s">
        <v>3013</v>
      </c>
      <c r="C1698" s="1" t="s">
        <v>3029</v>
      </c>
      <c r="D1698" s="1" t="str">
        <f ca="1">IFERROR(__xludf.DUMMYFUNCTION("GoogleTranslate(B1698,""ja"",""en"")"),"Cat futon")</f>
        <v>Cat futon</v>
      </c>
    </row>
    <row r="1699" spans="1:4" ht="15.75" customHeight="1" x14ac:dyDescent="0.25">
      <c r="A1699" s="1" t="s">
        <v>3030</v>
      </c>
      <c r="B1699" s="1" t="s">
        <v>5332</v>
      </c>
      <c r="C1699" s="1" t="s">
        <v>3031</v>
      </c>
      <c r="D1699" s="1" t="str">
        <f ca="1">IFERROR(__xludf.DUMMYFUNCTION("GoogleTranslate(B1699,""ja"",""en"")"),"Kennel level")</f>
        <v>Kennel level</v>
      </c>
    </row>
    <row r="1700" spans="1:4" ht="15.75" customHeight="1" x14ac:dyDescent="0.25">
      <c r="A1700" s="1" t="s">
        <v>3032</v>
      </c>
      <c r="B1700" s="1" t="s">
        <v>5333</v>
      </c>
      <c r="C1700" s="1" t="s">
        <v>3033</v>
      </c>
      <c r="D1700" s="1" t="str">
        <f ca="1">IFERROR(__xludf.DUMMYFUNCTION("GoogleTranslate(B1700,""ja"",""en"")"),"kitchenware")</f>
        <v>kitchenware</v>
      </c>
    </row>
    <row r="1701" spans="1:4" ht="15.75" customHeight="1" x14ac:dyDescent="0.25">
      <c r="A1701" s="1" t="s">
        <v>3034</v>
      </c>
      <c r="B1701" s="1" t="s">
        <v>3020</v>
      </c>
      <c r="C1701" s="1" t="s">
        <v>3035</v>
      </c>
      <c r="D1701" s="1" t="str">
        <f ca="1">IFERROR(__xludf.DUMMYFUNCTION("GoogleTranslate(B1701,""ja"",""en"")"),"Interior")</f>
        <v>Interior</v>
      </c>
    </row>
    <row r="1702" spans="1:4" ht="15.75" customHeight="1" x14ac:dyDescent="0.25">
      <c r="A1702" s="1" t="s">
        <v>3036</v>
      </c>
      <c r="B1702" s="1" t="s">
        <v>5334</v>
      </c>
      <c r="C1702" s="1" t="s">
        <v>3037</v>
      </c>
      <c r="D1702" s="1" t="str">
        <f ca="1">IFERROR(__xludf.DUMMYFUNCTION("GoogleTranslate(B1702,""ja"",""en"")"),"-")</f>
        <v>-</v>
      </c>
    </row>
    <row r="1703" spans="1:4" ht="15.75" customHeight="1" x14ac:dyDescent="0.25">
      <c r="A1703" s="1" t="s">
        <v>3038</v>
      </c>
      <c r="B1703" s="1" t="s">
        <v>5335</v>
      </c>
      <c r="C1703" s="1" t="s">
        <v>3039</v>
      </c>
      <c r="D1703" s="1" t="str">
        <f ca="1">IFERROR(__xludf.DUMMYFUNCTION("GoogleTranslate(B1703,""ja"",""en"")"),"Day")</f>
        <v>Day</v>
      </c>
    </row>
    <row r="1704" spans="1:4" ht="15.75" customHeight="1" x14ac:dyDescent="0.25">
      <c r="A1704" s="1" t="s">
        <v>3040</v>
      </c>
      <c r="B1704" s="1" t="s">
        <v>5336</v>
      </c>
      <c r="C1704" s="1" t="s">
        <v>3041</v>
      </c>
      <c r="D1704" s="1" t="str">
        <f ca="1">IFERROR(__xludf.DUMMYFUNCTION("GoogleTranslate(B1704,""ja"",""en"")"),"Mold")</f>
        <v>Mold</v>
      </c>
    </row>
    <row r="1705" spans="1:4" ht="15.75" customHeight="1" x14ac:dyDescent="0.25">
      <c r="A1705" s="1" t="s">
        <v>3042</v>
      </c>
      <c r="B1705" s="1" t="s">
        <v>5337</v>
      </c>
      <c r="C1705" s="1" t="s">
        <v>397</v>
      </c>
      <c r="D1705" s="1" t="str">
        <f ca="1">IFERROR(__xludf.DUMMYFUNCTION("GoogleTranslate(B1705,""ja"",""en"")"),"of")</f>
        <v>of</v>
      </c>
    </row>
    <row r="1706" spans="1:4" ht="15.75" customHeight="1" x14ac:dyDescent="0.25">
      <c r="A1706" s="1" t="s">
        <v>3043</v>
      </c>
      <c r="B1706" s="1" t="s">
        <v>5338</v>
      </c>
      <c r="C1706" s="1" t="s">
        <v>397</v>
      </c>
      <c r="D1706" s="1" t="str">
        <f ca="1">IFERROR(__xludf.DUMMYFUNCTION("GoogleTranslate(B1706,""ja"",""en"")"),"of")</f>
        <v>of</v>
      </c>
    </row>
    <row r="1707" spans="1:4" ht="15.75" customHeight="1" x14ac:dyDescent="0.25">
      <c r="A1707" s="1" t="s">
        <v>3044</v>
      </c>
      <c r="B1707" s="1" t="s">
        <v>5339</v>
      </c>
      <c r="C1707" s="1" t="s">
        <v>3045</v>
      </c>
      <c r="D1707" s="1" t="str">
        <f ca="1">IFERROR(__xludf.DUMMYFUNCTION("GoogleTranslate(B1707,""ja"",""en"")"),"amount")</f>
        <v>amount</v>
      </c>
    </row>
    <row r="1708" spans="1:4" ht="15.75" customHeight="1" x14ac:dyDescent="0.25">
      <c r="A1708" s="1" t="s">
        <v>3046</v>
      </c>
      <c r="B1708" s="1" t="s">
        <v>5340</v>
      </c>
      <c r="C1708" s="1" t="s">
        <v>3047</v>
      </c>
      <c r="D1708" s="1" t="str">
        <f ca="1">IFERROR(__xludf.DUMMYFUNCTION("GoogleTranslate(B1708,""ja"",""en"")"),"Wins")</f>
        <v>Wins</v>
      </c>
    </row>
    <row r="1709" spans="1:4" ht="15.75" customHeight="1" x14ac:dyDescent="0.25">
      <c r="A1709" s="1" t="s">
        <v>3048</v>
      </c>
      <c r="B1709" s="1" t="s">
        <v>5341</v>
      </c>
      <c r="C1709" s="1" t="s">
        <v>2690</v>
      </c>
      <c r="D1709" s="1" t="str">
        <f ca="1">IFERROR(__xludf.DUMMYFUNCTION("GoogleTranslate(B1709,""ja"",""en"")"),"Already")</f>
        <v>Already</v>
      </c>
    </row>
    <row r="1710" spans="1:4" ht="15.75" customHeight="1" x14ac:dyDescent="0.25">
      <c r="A1710" s="1" t="s">
        <v>3049</v>
      </c>
      <c r="B1710" s="1" t="s">
        <v>5342</v>
      </c>
      <c r="C1710" s="1" t="s">
        <v>2690</v>
      </c>
      <c r="D1710" s="1" t="str">
        <f ca="1">IFERROR(__xludf.DUMMYFUNCTION("GoogleTranslate(B1710,""ja"",""en"")"),"Already")</f>
        <v>Already</v>
      </c>
    </row>
    <row r="1711" spans="1:4" ht="15.75" customHeight="1" x14ac:dyDescent="0.25">
      <c r="A1711" s="1" t="s">
        <v>3050</v>
      </c>
      <c r="B1711" s="1" t="s">
        <v>5343</v>
      </c>
      <c r="C1711" s="1" t="s">
        <v>3051</v>
      </c>
      <c r="D1711" s="1" t="str">
        <f ca="1">IFERROR(__xludf.DUMMYFUNCTION("GoogleTranslate(B1711,""ja"",""en"")"),"Obtained")</f>
        <v>Obtained</v>
      </c>
    </row>
    <row r="1712" spans="1:4" ht="15.75" customHeight="1" x14ac:dyDescent="0.25">
      <c r="A1712" s="1" t="s">
        <v>3052</v>
      </c>
      <c r="B1712" s="1" t="s">
        <v>5344</v>
      </c>
      <c r="C1712" s="1" t="s">
        <v>3053</v>
      </c>
      <c r="D1712" s="1" t="str">
        <f ca="1">IFERROR(__xludf.DUMMYFUNCTION("GoogleTranslate(B1712,""ja"",""en"")"),"Mini-games")</f>
        <v>Mini-games</v>
      </c>
    </row>
    <row r="1713" spans="1:4" ht="15.75" customHeight="1" x14ac:dyDescent="0.25">
      <c r="A1713" s="1" t="s">
        <v>3054</v>
      </c>
      <c r="B1713" s="1" t="s">
        <v>5345</v>
      </c>
      <c r="C1713" s="1" t="s">
        <v>3055</v>
      </c>
      <c r="D1713" s="1" t="str">
        <f ca="1">IFERROR(__xludf.DUMMYFUNCTION("GoogleTranslate(B1713,""ja"",""en"")"),"Meal")</f>
        <v>Meal</v>
      </c>
    </row>
    <row r="1714" spans="1:4" ht="15.75" customHeight="1" x14ac:dyDescent="0.25">
      <c r="A1714" s="1" t="s">
        <v>3056</v>
      </c>
      <c r="B1714" s="1" t="s">
        <v>5346</v>
      </c>
      <c r="C1714" s="1" t="s">
        <v>3057</v>
      </c>
      <c r="D1714" s="1" t="str">
        <f ca="1">IFERROR(__xludf.DUMMYFUNCTION("GoogleTranslate(B1714,""ja"",""en"")"),"Arms and armor")</f>
        <v>Arms and armor</v>
      </c>
    </row>
    <row r="1715" spans="1:4" ht="15.75" customHeight="1" x14ac:dyDescent="0.25">
      <c r="A1715" s="1" t="s">
        <v>3058</v>
      </c>
      <c r="B1715" s="1" t="s">
        <v>5347</v>
      </c>
      <c r="C1715" s="1" t="s">
        <v>3059</v>
      </c>
      <c r="D1715" s="1" t="str">
        <f ca="1">IFERROR(__xludf.DUMMYFUNCTION("GoogleTranslate(B1715,""ja"",""en"")"),"Wanted man")</f>
        <v>Wanted man</v>
      </c>
    </row>
    <row r="1716" spans="1:4" ht="15.75" customHeight="1" x14ac:dyDescent="0.25">
      <c r="A1716" s="1" t="s">
        <v>3060</v>
      </c>
      <c r="B1716" s="1" t="s">
        <v>5348</v>
      </c>
      <c r="C1716" s="1" t="s">
        <v>3061</v>
      </c>
      <c r="D1716" s="1" t="str">
        <f ca="1">IFERROR(__xludf.DUMMYFUNCTION("GoogleTranslate(B1716,""ja"",""en"")"),"Battle Dungeon")</f>
        <v>Battle Dungeon</v>
      </c>
    </row>
    <row r="1717" spans="1:4" ht="15.75" customHeight="1" x14ac:dyDescent="0.25">
      <c r="A1717" s="1" t="s">
        <v>3062</v>
      </c>
      <c r="B1717" s="1" t="s">
        <v>5349</v>
      </c>
      <c r="C1717" s="1" t="s">
        <v>3063</v>
      </c>
      <c r="D1717" s="1" t="str">
        <f ca="1">IFERROR(__xludf.DUMMYFUNCTION("GoogleTranslate(B1717,""ja"",""en"")"),"Place")</f>
        <v>Place</v>
      </c>
    </row>
    <row r="1718" spans="1:4" ht="15.75" customHeight="1" x14ac:dyDescent="0.25">
      <c r="A1718" s="1" t="s">
        <v>3064</v>
      </c>
      <c r="B1718" s="1" t="s">
        <v>3052</v>
      </c>
      <c r="C1718" s="1" t="s">
        <v>3065</v>
      </c>
      <c r="D1718" s="1" t="str">
        <f ca="1">IFERROR(__xludf.DUMMYFUNCTION("GoogleTranslate(B1718,""ja"",""en"")"),"It is a complete sub-story. [N]")</f>
        <v>It is a complete sub-story. [N]</v>
      </c>
    </row>
    <row r="1719" spans="1:4" ht="15.75" customHeight="1" x14ac:dyDescent="0.25">
      <c r="A1719" s="1" t="s">
        <v>3066</v>
      </c>
      <c r="B1719" s="1" t="s">
        <v>3058</v>
      </c>
      <c r="C1719" s="1" t="s">
        <v>3067</v>
      </c>
      <c r="D1719" s="1" t="str">
        <f ca="1">IFERROR(__xludf.DUMMYFUNCTION("GoogleTranslate(B1719,""ja"",""en"")"),"Is a complete mini-games. [N] You can check the progress of each mini-game.")</f>
        <v>Is a complete mini-games. [N] You can check the progress of each mini-game.</v>
      </c>
    </row>
    <row r="1720" spans="1:4" ht="15.75" customHeight="1" x14ac:dyDescent="0.25">
      <c r="A1720" s="1" t="s">
        <v>3068</v>
      </c>
      <c r="B1720" s="1" t="s">
        <v>5350</v>
      </c>
      <c r="C1720" s="1" t="s">
        <v>3069</v>
      </c>
      <c r="D1720" s="1" t="str">
        <f ca="1">IFERROR(__xludf.DUMMYFUNCTION("GoogleTranslate(B1720,""ja"",""en"")"),"Another is a life of complete.")</f>
        <v>Another is a life of complete.</v>
      </c>
    </row>
    <row r="1721" spans="1:4" ht="15.75" customHeight="1" x14ac:dyDescent="0.25">
      <c r="A1721" s="1" t="s">
        <v>3070</v>
      </c>
      <c r="B1721" s="1" t="s">
        <v>5351</v>
      </c>
      <c r="C1721" s="1" t="s">
        <v>3071</v>
      </c>
      <c r="D1721" s="1" t="str">
        <f ca="1">IFERROR(__xludf.DUMMYFUNCTION("GoogleTranslate(B1721,""ja"",""en"")"),"This meal complete. [N] is achieved and to conquer all of the food and drink-based store menu.")</f>
        <v>This meal complete. [N] is achieved and to conquer all of the food and drink-based store menu.</v>
      </c>
    </row>
    <row r="1722" spans="1:4" ht="15.75" customHeight="1" x14ac:dyDescent="0.25">
      <c r="A1722" s="1" t="s">
        <v>3072</v>
      </c>
      <c r="B1722" s="1" t="s">
        <v>5352</v>
      </c>
      <c r="C1722" s="1" t="s">
        <v>3073</v>
      </c>
      <c r="D1722" s="1" t="str">
        <f ca="1">IFERROR(__xludf.DUMMYFUNCTION("GoogleTranslate(B1722,""ja"",""en"")"),"It is complete of heat action. [N] is achieved and to activate all of the heat action.")</f>
        <v>It is complete of heat action. [N] is achieved and to activate all of the heat action.</v>
      </c>
    </row>
    <row r="1723" spans="1:4" ht="15.75" customHeight="1" x14ac:dyDescent="0.25">
      <c r="A1723" s="1" t="s">
        <v>3074</v>
      </c>
      <c r="B1723" s="1" t="s">
        <v>5353</v>
      </c>
      <c r="C1723" s="1" t="s">
        <v>3075</v>
      </c>
      <c r="D1723" s="1" t="str">
        <f ca="1">IFERROR(__xludf.DUMMYFUNCTION("GoogleTranslate(B1723,""ja"",""en"")"),"It is the arms and armor complete.")</f>
        <v>It is the arms and armor complete.</v>
      </c>
    </row>
    <row r="1724" spans="1:4" ht="15.75" customHeight="1" x14ac:dyDescent="0.25">
      <c r="A1724" s="1" t="s">
        <v>3076</v>
      </c>
      <c r="B1724" s="1" t="s">
        <v>5354</v>
      </c>
      <c r="C1724" s="1" t="s">
        <v>3077</v>
      </c>
      <c r="D1724" s="1" t="str">
        <f ca="1">IFERROR(__xludf.DUMMYFUNCTION("GoogleTranslate(B1724,""ja"",""en"")"),"Teacher is of complete. [N] is achieved and to complete all the mission training of each teacher.")</f>
        <v>Teacher is of complete. [N] is achieved and to complete all the mission training of each teacher.</v>
      </c>
    </row>
    <row r="1725" spans="1:4" ht="15.75" customHeight="1" x14ac:dyDescent="0.25">
      <c r="A1725" s="1" t="s">
        <v>3078</v>
      </c>
      <c r="B1725" s="1" t="s">
        <v>5355</v>
      </c>
      <c r="C1725" s="1" t="s">
        <v>3079</v>
      </c>
      <c r="D1725" s="1" t="str">
        <f ca="1">IFERROR(__xludf.DUMMYFUNCTION("GoogleTranslate(B1725,""ja"",""en"")"),"Wanted is the complete. [N]")</f>
        <v>Wanted is the complete. [N]</v>
      </c>
    </row>
    <row r="1726" spans="1:4" ht="15.75" customHeight="1" x14ac:dyDescent="0.25">
      <c r="A1726" s="1" t="s">
        <v>3080</v>
      </c>
      <c r="B1726" s="1" t="s">
        <v>5356</v>
      </c>
      <c r="C1726" s="1" t="s">
        <v>3081</v>
      </c>
      <c r="D1726" s="1" t="str">
        <f ca="1">IFERROR(__xludf.DUMMYFUNCTION("GoogleTranslate(B1726,""ja"",""en"")"),"It is complete of battle dungeon.")</f>
        <v>It is complete of battle dungeon.</v>
      </c>
    </row>
    <row r="1727" spans="1:4" ht="15.75" customHeight="1" x14ac:dyDescent="0.25">
      <c r="A1727" s="1" t="s">
        <v>3082</v>
      </c>
      <c r="B1727" s="1" t="s">
        <v>5357</v>
      </c>
      <c r="C1727" s="1" t="s">
        <v>3083</v>
      </c>
      <c r="D1727" s="1" t="str">
        <f ca="1">IFERROR(__xludf.DUMMYFUNCTION("GoogleTranslate(B1727,""ja"",""en"")"),"It is complete of the arena.")</f>
        <v>It is complete of the arena.</v>
      </c>
    </row>
    <row r="1728" spans="1:4" ht="15.75" customHeight="1" x14ac:dyDescent="0.25">
      <c r="A1728" s="1" t="s">
        <v>3084</v>
      </c>
      <c r="B1728" s="1" t="s">
        <v>5358</v>
      </c>
      <c r="C1728" s="1" t="s">
        <v>2690</v>
      </c>
      <c r="D1728" s="1" t="str">
        <f ca="1">IFERROR(__xludf.DUMMYFUNCTION("GoogleTranslate(B1728,""ja"",""en"")"),"Already")</f>
        <v>Already</v>
      </c>
    </row>
    <row r="1729" spans="1:4" ht="15.75" customHeight="1" x14ac:dyDescent="0.25">
      <c r="A1729" s="1" t="s">
        <v>3085</v>
      </c>
      <c r="B1729" s="1" t="s">
        <v>5359</v>
      </c>
      <c r="C1729" s="1" t="s">
        <v>3086</v>
      </c>
      <c r="D1729" s="1" t="str">
        <f ca="1">IFERROR(__xludf.DUMMYFUNCTION("GoogleTranslate(B1729,""ja"",""en"")"),"mark")</f>
        <v>mark</v>
      </c>
    </row>
    <row r="1730" spans="1:4" ht="15.75" customHeight="1" x14ac:dyDescent="0.25">
      <c r="A1730" s="1" t="s">
        <v>3087</v>
      </c>
      <c r="B1730" s="1" t="s">
        <v>5360</v>
      </c>
      <c r="C1730" s="1" t="s">
        <v>3088</v>
      </c>
      <c r="D1730" s="1" t="str">
        <f ca="1">IFERROR(__xludf.DUMMYFUNCTION("GoogleTranslate(B1730,""ja"",""en"")"),"Tips Display")</f>
        <v>Tips Display</v>
      </c>
    </row>
    <row r="1731" spans="1:4" ht="15.75" customHeight="1" x14ac:dyDescent="0.25">
      <c r="A1731" s="1" t="s">
        <v>3089</v>
      </c>
      <c r="B1731" s="1" t="s">
        <v>5361</v>
      </c>
      <c r="C1731" s="1" t="s">
        <v>3090</v>
      </c>
      <c r="D1731" s="1" t="str">
        <f ca="1">IFERROR(__xludf.DUMMYFUNCTION("GoogleTranslate(B1731,""ja"",""en"")"),"Random growth set")</f>
        <v>Random growth set</v>
      </c>
    </row>
    <row r="1732" spans="1:4" ht="15.75" customHeight="1" x14ac:dyDescent="0.25">
      <c r="A1732" s="1" t="s">
        <v>3091</v>
      </c>
      <c r="B1732" s="1" t="s">
        <v>5362</v>
      </c>
      <c r="C1732" s="1" t="s">
        <v>3092</v>
      </c>
      <c r="D1732" s="1" t="str">
        <f ca="1">IFERROR(__xludf.DUMMYFUNCTION("GoogleTranslate(B1732,""ja"",""en"")"),"Point of view operation (vertical)")</f>
        <v>Point of view operation (vertical)</v>
      </c>
    </row>
    <row r="1733" spans="1:4" ht="15.75" customHeight="1" x14ac:dyDescent="0.25">
      <c r="A1733" s="1" t="s">
        <v>3093</v>
      </c>
      <c r="B1733" s="1" t="s">
        <v>5363</v>
      </c>
      <c r="C1733" s="1" t="s">
        <v>3094</v>
      </c>
      <c r="D1733" s="1" t="str">
        <f ca="1">IFERROR(__xludf.DUMMYFUNCTION("GoogleTranslate(B1733,""ja"",""en"")"),"Point of view operation (horizontal)")</f>
        <v>Point of view operation (horizontal)</v>
      </c>
    </row>
    <row r="1734" spans="1:4" ht="15.75" customHeight="1" x14ac:dyDescent="0.25">
      <c r="A1734" s="1" t="s">
        <v>3095</v>
      </c>
      <c r="B1734" s="1" t="s">
        <v>5364</v>
      </c>
      <c r="C1734" s="1" t="s">
        <v>3096</v>
      </c>
      <c r="D1734" s="1" t="str">
        <f ca="1">IFERROR(__xludf.DUMMYFUNCTION("GoogleTranslate(B1734,""ja"",""en"")"),"Subjective point of view mode operation (vertical)")</f>
        <v>Subjective point of view mode operation (vertical)</v>
      </c>
    </row>
    <row r="1735" spans="1:4" ht="15.75" customHeight="1" x14ac:dyDescent="0.25">
      <c r="A1735" s="1" t="s">
        <v>3097</v>
      </c>
      <c r="B1735" s="1" t="s">
        <v>3084</v>
      </c>
      <c r="C1735" s="1" t="s">
        <v>3098</v>
      </c>
      <c r="D1735" s="1" t="str">
        <f ca="1">IFERROR(__xludf.DUMMYFUNCTION("GoogleTranslate(B1735,""ja"",""en"")"),"Subjective point of view mode operation (horizontal)")</f>
        <v>Subjective point of view mode operation (horizontal)</v>
      </c>
    </row>
    <row r="1736" spans="1:4" ht="15.75" customHeight="1" x14ac:dyDescent="0.25">
      <c r="A1736" s="1" t="s">
        <v>3099</v>
      </c>
      <c r="B1736" s="1" t="s">
        <v>5365</v>
      </c>
      <c r="C1736" s="1" t="s">
        <v>3100</v>
      </c>
      <c r="D1736" s="1" t="str">
        <f ca="1">IFERROR(__xludf.DUMMYFUNCTION("GoogleTranslate(B1736,""ja"",""en"")"),"Mini-map display")</f>
        <v>Mini-map display</v>
      </c>
    </row>
    <row r="1737" spans="1:4" ht="15.75" customHeight="1" x14ac:dyDescent="0.25">
      <c r="A1737" s="1" t="s">
        <v>3101</v>
      </c>
      <c r="B1737" s="1" t="s">
        <v>5366</v>
      </c>
      <c r="C1737" s="1" t="s">
        <v>3102</v>
      </c>
      <c r="D1737" s="1" t="str">
        <f ca="1">IFERROR(__xludf.DUMMYFUNCTION("GoogleTranslate(B1737,""ja"",""en"")"),"Mini-map display (upward)")</f>
        <v>Mini-map display (upward)</v>
      </c>
    </row>
    <row r="1738" spans="1:4" ht="15.75" customHeight="1" x14ac:dyDescent="0.25">
      <c r="A1738" s="1" t="s">
        <v>3103</v>
      </c>
      <c r="B1738" s="1" t="s">
        <v>3093</v>
      </c>
      <c r="C1738" s="1" t="s">
        <v>3104</v>
      </c>
      <c r="D1738" s="1" t="str">
        <f ca="1">IFERROR(__xludf.DUMMYFUNCTION("GoogleTranslate(B1738,""ja"",""en"")"),"Subtitle Settings")</f>
        <v>Subtitle Settings</v>
      </c>
    </row>
    <row r="1739" spans="1:4" ht="15.75" customHeight="1" x14ac:dyDescent="0.25">
      <c r="A1739" s="1" t="s">
        <v>3105</v>
      </c>
      <c r="B1739" s="1" t="s">
        <v>3095</v>
      </c>
      <c r="C1739" s="1" t="s">
        <v>3106</v>
      </c>
      <c r="D1739" s="1" t="str">
        <f ca="1">IFERROR(__xludf.DUMMYFUNCTION("GoogleTranslate(B1739,""ja"",""en"")"),"Term highlighting settings")</f>
        <v>Term highlighting settings</v>
      </c>
    </row>
    <row r="1740" spans="1:4" ht="15.75" customHeight="1" x14ac:dyDescent="0.25">
      <c r="A1740" s="1" t="s">
        <v>3107</v>
      </c>
      <c r="B1740" s="1" t="s">
        <v>5367</v>
      </c>
      <c r="C1740" s="1" t="s">
        <v>3108</v>
      </c>
      <c r="D1740" s="1" t="str">
        <f ca="1">IFERROR(__xludf.DUMMYFUNCTION("GoogleTranslate(B1740,""ja"",""en"")"),"Synopsis Set")</f>
        <v>Synopsis Set</v>
      </c>
    </row>
    <row r="1741" spans="1:4" ht="15.75" customHeight="1" x14ac:dyDescent="0.25">
      <c r="A1741" s="1" t="s">
        <v>3109</v>
      </c>
      <c r="B1741" s="1" t="s">
        <v>5368</v>
      </c>
      <c r="C1741" s="1" t="s">
        <v>3110</v>
      </c>
      <c r="D1741" s="1" t="str">
        <f ca="1">IFERROR(__xludf.DUMMYFUNCTION("GoogleTranslate(B1741,""ja"",""en"")"),"In the change display equipped weapon events")</f>
        <v>In the change display equipped weapon events</v>
      </c>
    </row>
    <row r="1742" spans="1:4" ht="15.75" customHeight="1" x14ac:dyDescent="0.25">
      <c r="A1742" s="1" t="s">
        <v>3111</v>
      </c>
      <c r="B1742" s="1" t="s">
        <v>5369</v>
      </c>
      <c r="C1742" s="1" t="s">
        <v>3112</v>
      </c>
      <c r="D1742" s="1" t="str">
        <f ca="1">IFERROR(__xludf.DUMMYFUNCTION("GoogleTranslate(B1742,""ja"",""en"")"),"Narration voice of Synopsis")</f>
        <v>Narration voice of Synopsis</v>
      </c>
    </row>
    <row r="1743" spans="1:4" ht="15.75" customHeight="1" x14ac:dyDescent="0.25">
      <c r="A1743" s="1" t="s">
        <v>3113</v>
      </c>
      <c r="B1743" s="1" t="s">
        <v>5370</v>
      </c>
      <c r="C1743" s="1" t="s">
        <v>3114</v>
      </c>
      <c r="D1743" s="1" t="str">
        <f ca="1">IFERROR(__xludf.DUMMYFUNCTION("GoogleTranslate(B1743,""ja"",""en"")"),"Brightness adjustment of the screen")</f>
        <v>Brightness adjustment of the screen</v>
      </c>
    </row>
    <row r="1744" spans="1:4" ht="15.75" customHeight="1" x14ac:dyDescent="0.25">
      <c r="A1744" s="1" t="s">
        <v>3115</v>
      </c>
      <c r="B1744" s="1" t="s">
        <v>5371</v>
      </c>
      <c r="C1744" s="1" t="s">
        <v>3116</v>
      </c>
      <c r="D1744" s="1" t="str">
        <f ca="1">IFERROR(__xludf.DUMMYFUNCTION("GoogleTranslate(B1744,""ja"",""en"")"),"Gradation adjustment of the screen")</f>
        <v>Gradation adjustment of the screen</v>
      </c>
    </row>
    <row r="1745" spans="1:4" ht="15.75" customHeight="1" x14ac:dyDescent="0.25">
      <c r="A1745" s="1" t="s">
        <v>3117</v>
      </c>
      <c r="B1745" s="1" t="s">
        <v>5372</v>
      </c>
      <c r="C1745" s="1" t="s">
        <v>3118</v>
      </c>
      <c r="D1745" s="1" t="str">
        <f ca="1">IFERROR(__xludf.DUMMYFUNCTION("GoogleTranslate(B1745,""ja"",""en"")"),"2D display position control")</f>
        <v>2D display position control</v>
      </c>
    </row>
    <row r="1746" spans="1:4" ht="15.75" customHeight="1" x14ac:dyDescent="0.25">
      <c r="A1746" s="1" t="s">
        <v>3119</v>
      </c>
      <c r="B1746" s="1" t="s">
        <v>5373</v>
      </c>
      <c r="C1746" s="1" t="s">
        <v>3120</v>
      </c>
      <c r="D1746" s="1" t="str">
        <f ca="1">IFERROR(__xludf.DUMMYFUNCTION("GoogleTranslate(B1746,""ja"",""en"")"),"Font settings")</f>
        <v>Font settings</v>
      </c>
    </row>
    <row r="1747" spans="1:4" ht="15.75" customHeight="1" x14ac:dyDescent="0.25">
      <c r="A1747" s="1" t="s">
        <v>3121</v>
      </c>
      <c r="B1747" s="1" t="s">
        <v>5374</v>
      </c>
      <c r="C1747" s="1" t="s">
        <v>3122</v>
      </c>
      <c r="D1747" s="1" t="str">
        <f ca="1">IFERROR(__xludf.DUMMYFUNCTION("GoogleTranslate(B1747,""ja"",""en"")"),"Live!")</f>
        <v>Live!</v>
      </c>
    </row>
    <row r="1748" spans="1:4" ht="15.75" customHeight="1" x14ac:dyDescent="0.25">
      <c r="A1748" s="1" t="s">
        <v>3123</v>
      </c>
      <c r="B1748" s="1" t="s">
        <v>5375</v>
      </c>
      <c r="C1748" s="1" t="s">
        <v>3124</v>
      </c>
      <c r="D1748" s="1" t="str">
        <f ca="1">IFERROR(__xludf.DUMMYFUNCTION("GoogleTranslate(B1748,""ja"",""en"")"),"Difficulty settings")</f>
        <v>Difficulty settings</v>
      </c>
    </row>
    <row r="1749" spans="1:4" ht="15.75" customHeight="1" x14ac:dyDescent="0.25">
      <c r="A1749" s="1" t="s">
        <v>3125</v>
      </c>
      <c r="B1749" s="1" t="s">
        <v>3119</v>
      </c>
      <c r="C1749" s="1" t="s">
        <v>3126</v>
      </c>
      <c r="D1749" s="1" t="str">
        <f ca="1">IFERROR(__xludf.DUMMYFUNCTION("GoogleTranslate(B1749,""ja"",""en"")"),"You can choose to display the amount of Tips. [N] need other than the minimum amount of information that it is ""fewer"" will no longer be displayed. For those of [n] Yakuza series first play it is recommended ""generous"".")</f>
        <v>You can choose to display the amount of Tips. [N] need other than the minimum amount of information that it is "fewer" will no longer be displayed. For those of [n] Yakuza series first play it is recommended "generous".</v>
      </c>
    </row>
    <row r="1750" spans="1:4" ht="15.75" customHeight="1" x14ac:dyDescent="0.25">
      <c r="A1750" s="1" t="s">
        <v>3127</v>
      </c>
      <c r="B1750" s="1" t="s">
        <v>5376</v>
      </c>
      <c r="C1750" s="1" t="s">
        <v>3128</v>
      </c>
      <c r="D1750" s="1" t="str">
        <f ca="1">IFERROR(__xludf.DUMMYFUNCTION("GoogleTranslate(B1750,""ja"",""en"")"),"It is the vertical direction of the operation setting of the free camera. [N] will move in the direction of tilting the right stick in the ""forward"". [N]")</f>
        <v>It is the vertical direction of the operation setting of the free camera. [N] will move in the direction of tilting the right stick in the "forward". [N]</v>
      </c>
    </row>
    <row r="1751" spans="1:4" ht="15.75" customHeight="1" x14ac:dyDescent="0.25">
      <c r="A1751" s="1" t="s">
        <v>3129</v>
      </c>
      <c r="B1751" s="1" t="s">
        <v>5377</v>
      </c>
      <c r="C1751" s="1" t="s">
        <v>3130</v>
      </c>
      <c r="D1751" s="1" t="str">
        <f ca="1">IFERROR(__xludf.DUMMYFUNCTION("GoogleTranslate(B1751,""ja"",""en"")"),"It is the horizontal direction of the operation setting of the free camera. [N] will move in the direction of tilting the right stick in the ""forward"". [N]")</f>
        <v>It is the horizontal direction of the operation setting of the free camera. [N] will move in the direction of tilting the right stick in the "forward". [N]</v>
      </c>
    </row>
    <row r="1752" spans="1:4" ht="15.75" customHeight="1" x14ac:dyDescent="0.25">
      <c r="A1752" s="1" t="s">
        <v>3131</v>
      </c>
      <c r="B1752" s="1" t="s">
        <v>5378</v>
      </c>
      <c r="C1752" s="1" t="s">
        <v>3132</v>
      </c>
      <c r="D1752" s="1" t="str">
        <f ca="1">IFERROR(__xludf.DUMMYFUNCTION("GoogleTranslate(B1752,""ja"",""en"")"),"It is the vertical direction of the operation setting of the subjective mode. [N] will move in the direction of tilting the right stick in the ""forward"". [N]")</f>
        <v>It is the vertical direction of the operation setting of the subjective mode. [N] will move in the direction of tilting the right stick in the "forward". [N]</v>
      </c>
    </row>
    <row r="1753" spans="1:4" ht="15.75" customHeight="1" x14ac:dyDescent="0.25">
      <c r="A1753" s="1" t="s">
        <v>3133</v>
      </c>
      <c r="B1753" s="1" t="s">
        <v>5379</v>
      </c>
      <c r="C1753" s="1" t="s">
        <v>3134</v>
      </c>
      <c r="D1753" s="1" t="str">
        <f ca="1">IFERROR(__xludf.DUMMYFUNCTION("GoogleTranslate(B1753,""ja"",""en"")"),"It is the horizontal direction of the operation setting of the subjective mode. [N] will move in the direction of tilting the right stick in the ""forward"". [N]")</f>
        <v>It is the horizontal direction of the operation setting of the subjective mode. [N] will move in the direction of tilting the right stick in the "forward". [N]</v>
      </c>
    </row>
    <row r="1754" spans="1:4" ht="15.75" customHeight="1" x14ac:dyDescent="0.25">
      <c r="A1754" s="1" t="s">
        <v>3135</v>
      </c>
      <c r="B1754" s="1" t="s">
        <v>5380</v>
      </c>
      <c r="C1754" s="1" t="s">
        <v>3136</v>
      </c>
      <c r="D1754" s="1" t="str">
        <f ca="1">IFERROR(__xludf.DUMMYFUNCTION("GoogleTranslate(B1754,""ja"",""en"")"),"Mini map there of / No settings that are displayed on the bottom left of the screen.")</f>
        <v>Mini map there of / No settings that are displayed on the bottom left of the screen.</v>
      </c>
    </row>
    <row r="1755" spans="1:4" ht="15.75" customHeight="1" x14ac:dyDescent="0.25">
      <c r="A1755" s="1" t="s">
        <v>3137</v>
      </c>
      <c r="B1755" s="1" t="s">
        <v>5381</v>
      </c>
      <c r="C1755" s="1" t="s">
        <v>3138</v>
      </c>
      <c r="D1755" s="1" t="str">
        <f ca="1">IFERROR(__xludf.DUMMYFUNCTION("GoogleTranslate(B1755,""ja"",""en"")"),"It is a set of mini-map to be displayed on the bottom left of the screen. [N] ""fixed"" in the direction is fixed on top of the map, it will follow the camera orientation in the ""front"".")</f>
        <v>It is a set of mini-map to be displayed on the bottom left of the screen. [N] "fixed" in the direction is fixed on top of the map, it will follow the camera orientation in the "front".</v>
      </c>
    </row>
    <row r="1756" spans="1:4" ht="15.75" customHeight="1" x14ac:dyDescent="0.25">
      <c r="A1756" s="1" t="s">
        <v>3139</v>
      </c>
      <c r="B1756" s="1" t="s">
        <v>5382</v>
      </c>
      <c r="C1756" s="1" t="s">
        <v>3140</v>
      </c>
      <c r="D1756" s="1" t="str">
        <f ca="1">IFERROR(__xludf.DUMMYFUNCTION("GoogleTranslate(B1756,""ja"",""en"")"),"The event scene has subtitles / No setting.")</f>
        <v>The event scene has subtitles / No setting.</v>
      </c>
    </row>
    <row r="1757" spans="1:4" ht="15.75" customHeight="1" x14ac:dyDescent="0.25">
      <c r="A1757" s="1" t="s">
        <v>3141</v>
      </c>
      <c r="B1757" s="1" t="s">
        <v>5383</v>
      </c>
      <c r="C1757" s="1" t="s">
        <v>3142</v>
      </c>
      <c r="D1757" s="1" t="str">
        <f ca="1">IFERROR(__xludf.DUMMYFUNCTION("GoogleTranslate(B1757,""ja"",""en"")"),"Sets whether to highlight the character pulling subject of the term.")</f>
        <v>Sets whether to highlight the character pulling subject of the term.</v>
      </c>
    </row>
    <row r="1758" spans="1:4" ht="15.75" customHeight="1" x14ac:dyDescent="0.25">
      <c r="A1758" s="1" t="s">
        <v>3143</v>
      </c>
      <c r="B1758" s="1" t="s">
        <v>5384</v>
      </c>
      <c r="C1758" s="1" t="s">
        <v>3144</v>
      </c>
      <c r="D1758" s="1" t="str">
        <f ca="1">IFERROR(__xludf.DUMMYFUNCTION("GoogleTranslate(B1758,""ja"",""en"")"),"The previous chapter synopsis before going to the next chapter is set to [n] that do not / to play.")</f>
        <v>The previous chapter synopsis before going to the next chapter is set to [n] that do not / to play.</v>
      </c>
    </row>
    <row r="1759" spans="1:4" ht="15.75" customHeight="1" x14ac:dyDescent="0.25">
      <c r="A1759" s="1" t="s">
        <v>3145</v>
      </c>
      <c r="B1759" s="1" t="s">
        <v>5385</v>
      </c>
      <c r="C1759" s="1" t="s">
        <v>3146</v>
      </c>
      <c r="D1759" s="1" t="str">
        <f ca="1">IFERROR(__xludf.DUMMYFUNCTION("GoogleTranslate(B1759,""ja"",""en"")"),"Equipped with weapons of the hero is the settings that are not either of the [n] to / and displayed as it is in the [n] event scene even if you had a special shape.")</f>
        <v>Equipped with weapons of the hero is the settings that are not either of the [n] to / and displayed as it is in the [n] event scene even if you had a special shape.</v>
      </c>
    </row>
    <row r="1760" spans="1:4" ht="15.75" customHeight="1" x14ac:dyDescent="0.25">
      <c r="A1760" s="1" t="s">
        <v>3147</v>
      </c>
      <c r="B1760" s="1" t="s">
        <v>5386</v>
      </c>
      <c r="C1760" s="1" t="s">
        <v>3148</v>
      </c>
      <c r="D1760" s="1" t="str">
        <f ca="1">IFERROR(__xludf.DUMMYFUNCTION("GoogleTranslate(B1760,""ja"",""en"")"),"You can change the narration voice of Synopsis.")</f>
        <v>You can change the narration voice of Synopsis.</v>
      </c>
    </row>
    <row r="1761" spans="1:4" ht="15.75" customHeight="1" x14ac:dyDescent="0.25">
      <c r="A1761" s="1" t="s">
        <v>3149</v>
      </c>
      <c r="B1761" s="1" t="s">
        <v>5387</v>
      </c>
      <c r="C1761" s="1" t="s">
        <v>3150</v>
      </c>
      <c r="D1761" s="1" t="str">
        <f ca="1">IFERROR(__xludf.DUMMYFUNCTION("GoogleTranslate(B1761,""ja"",""en"")"),"By sliding the cursor, you can adjust the brightness of the [n] screen.")</f>
        <v>By sliding the cursor, you can adjust the brightness of the [n] screen.</v>
      </c>
    </row>
    <row r="1762" spans="1:4" ht="15.75" customHeight="1" x14ac:dyDescent="0.25">
      <c r="A1762" s="1" t="s">
        <v>3151</v>
      </c>
      <c r="B1762" s="1" t="s">
        <v>5388</v>
      </c>
      <c r="C1762" s="1" t="s">
        <v>3152</v>
      </c>
      <c r="D1762" s="1" t="str">
        <f ca="1">IFERROR(__xludf.DUMMYFUNCTION("GoogleTranslate(B1762,""ja"",""en"")"),"By sliding the cursor, you can adjust the tone of the [n] screen.")</f>
        <v>By sliding the cursor, you can adjust the tone of the [n] screen.</v>
      </c>
    </row>
    <row r="1763" spans="1:4" ht="15.75" customHeight="1" x14ac:dyDescent="0.25">
      <c r="A1763" s="1" t="s">
        <v>3153</v>
      </c>
      <c r="B1763" s="1" t="s">
        <v>3149</v>
      </c>
      <c r="C1763" s="1" t="s">
        <v>3154</v>
      </c>
      <c r="D1763" s="1" t="str">
        <f ca="1">IFERROR(__xludf.DUMMYFUNCTION("GoogleTranslate(B1763,""ja"",""en"")"),"You can change the font to be used during the game. [N] font that is suitable to the video output system in the ""Auto"" will be displayed. [N]")</f>
        <v>You can change the font to be used during the game. [N] font that is suitable to the video output system in the "Auto" will be displayed. [N]</v>
      </c>
    </row>
    <row r="1764" spans="1:4" ht="15.75" customHeight="1" x14ac:dyDescent="0.25">
      <c r="A1764" s="1" t="s">
        <v>3155</v>
      </c>
      <c r="B1764" s="1" t="s">
        <v>5389</v>
      </c>
      <c r="C1764" s="1" t="s">
        <v>3156</v>
      </c>
      <c r="D1764" s="1" t="str">
        <f ca="1">IFERROR(__xludf.DUMMYFUNCTION("GoogleTranslate(B1764,""ja"",""en"")"),"You can select the degree of difficulty.")</f>
        <v>You can select the degree of difficulty.</v>
      </c>
    </row>
    <row r="1765" spans="1:4" ht="15.75" customHeight="1" x14ac:dyDescent="0.25">
      <c r="A1765" s="1" t="s">
        <v>3157</v>
      </c>
      <c r="B1765" s="1" t="s">
        <v>5390</v>
      </c>
      <c r="C1765" s="1" t="s">
        <v>3158</v>
      </c>
      <c r="D1765" s="1" t="str">
        <f ca="1">IFERROR(__xludf.DUMMYFUNCTION("GoogleTranslate(B1765,""ja"",""en"")"),"Please determine the interface display position")</f>
        <v>Please determine the interface display position</v>
      </c>
    </row>
    <row r="1766" spans="1:4" ht="15.75" customHeight="1" x14ac:dyDescent="0.25">
      <c r="A1766" s="1" t="s">
        <v>3159</v>
      </c>
      <c r="B1766" s="1" t="s">
        <v>5391</v>
      </c>
      <c r="C1766" s="1" t="s">
        <v>3160</v>
      </c>
      <c r="D1766" s="1" t="str">
        <f ca="1">IFERROR(__xludf.DUMMYFUNCTION("GoogleTranslate(B1766,""ja"",""en"")"),"order")</f>
        <v>order</v>
      </c>
    </row>
    <row r="1767" spans="1:4" ht="15.75" customHeight="1" x14ac:dyDescent="0.25">
      <c r="A1767" s="1" t="s">
        <v>3161</v>
      </c>
      <c r="B1767" s="1" t="s">
        <v>5392</v>
      </c>
      <c r="C1767" s="1" t="s">
        <v>3162</v>
      </c>
      <c r="D1767" s="1" t="str">
        <f ca="1">IFERROR(__xludf.DUMMYFUNCTION("GoogleTranslate(B1767,""ja"",""en"")"),"Reverse")</f>
        <v>Reverse</v>
      </c>
    </row>
    <row r="1768" spans="1:4" ht="15.75" customHeight="1" x14ac:dyDescent="0.25">
      <c r="A1768" s="1" t="s">
        <v>3163</v>
      </c>
      <c r="B1768" s="1" t="s">
        <v>5393</v>
      </c>
      <c r="C1768" s="1" t="s">
        <v>3164</v>
      </c>
      <c r="D1768" s="1" t="str">
        <f ca="1">IFERROR(__xludf.DUMMYFUNCTION("GoogleTranslate(B1768,""ja"",""en"")"),"Fixation")</f>
        <v>Fixation</v>
      </c>
    </row>
    <row r="1769" spans="1:4" ht="15.75" customHeight="1" x14ac:dyDescent="0.25">
      <c r="A1769" s="1" t="s">
        <v>3165</v>
      </c>
      <c r="B1769" s="1" t="s">
        <v>5394</v>
      </c>
      <c r="C1769" s="1" t="s">
        <v>3166</v>
      </c>
      <c r="D1769" s="1" t="str">
        <f ca="1">IFERROR(__xludf.DUMMYFUNCTION("GoogleTranslate(B1769,""ja"",""en"")"),"front")</f>
        <v>front</v>
      </c>
    </row>
    <row r="1770" spans="1:4" ht="15.75" customHeight="1" x14ac:dyDescent="0.25">
      <c r="A1770" s="1" t="s">
        <v>3167</v>
      </c>
      <c r="B1770" s="1" t="s">
        <v>5395</v>
      </c>
      <c r="C1770" s="1" t="s">
        <v>3168</v>
      </c>
      <c r="D1770" s="1" t="str">
        <f ca="1">IFERROR(__xludf.DUMMYFUNCTION("GoogleTranslate(B1770,""ja"",""en"")"),"Yes")</f>
        <v>Yes</v>
      </c>
    </row>
    <row r="1771" spans="1:4" ht="15.75" customHeight="1" x14ac:dyDescent="0.25">
      <c r="A1771" s="1" t="s">
        <v>3169</v>
      </c>
      <c r="B1771" s="1" t="s">
        <v>5396</v>
      </c>
      <c r="C1771" s="1" t="s">
        <v>3170</v>
      </c>
      <c r="D1771" s="1" t="str">
        <f ca="1">IFERROR(__xludf.DUMMYFUNCTION("GoogleTranslate(B1771,""ja"",""en"")"),"Auto")</f>
        <v>Auto</v>
      </c>
    </row>
    <row r="1772" spans="1:4" ht="15.75" customHeight="1" x14ac:dyDescent="0.25">
      <c r="A1772" s="1" t="s">
        <v>3171</v>
      </c>
      <c r="B1772" s="1" t="s">
        <v>5397</v>
      </c>
      <c r="C1772" s="1" t="s">
        <v>3172</v>
      </c>
      <c r="D1772" s="1" t="str">
        <f ca="1">IFERROR(__xludf.DUMMYFUNCTION("GoogleTranslate(B1772,""ja"",""en"")"),"Mincho")</f>
        <v>Mincho</v>
      </c>
    </row>
    <row r="1773" spans="1:4" ht="15.75" customHeight="1" x14ac:dyDescent="0.25">
      <c r="A1773" s="1" t="s">
        <v>3173</v>
      </c>
      <c r="B1773" s="1" t="s">
        <v>5398</v>
      </c>
      <c r="C1773" s="1" t="s">
        <v>3174</v>
      </c>
      <c r="D1773" s="1" t="str">
        <f ca="1">IFERROR(__xludf.DUMMYFUNCTION("GoogleTranslate(B1773,""ja"",""en"")"),"Gothic")</f>
        <v>Gothic</v>
      </c>
    </row>
    <row r="1774" spans="1:4" ht="15.75" customHeight="1" x14ac:dyDescent="0.25">
      <c r="A1774" s="1" t="s">
        <v>3175</v>
      </c>
      <c r="B1774" s="1" t="s">
        <v>5399</v>
      </c>
      <c r="C1774" s="1" t="s">
        <v>3176</v>
      </c>
      <c r="D1774" s="1" t="str">
        <f ca="1">IFERROR(__xludf.DUMMYFUNCTION("GoogleTranslate(B1774,""ja"",""en"")"),"Fewer")</f>
        <v>Fewer</v>
      </c>
    </row>
    <row r="1775" spans="1:4" ht="15.75" customHeight="1" x14ac:dyDescent="0.25">
      <c r="A1775" s="1" t="s">
        <v>3177</v>
      </c>
      <c r="B1775" s="1" t="s">
        <v>5400</v>
      </c>
      <c r="C1775" s="1" t="s">
        <v>3178</v>
      </c>
      <c r="D1775" s="1" t="str">
        <f ca="1">IFERROR(__xludf.DUMMYFUNCTION("GoogleTranslate(B1775,""ja"",""en"")"),"Generous")</f>
        <v>Generous</v>
      </c>
    </row>
    <row r="1776" spans="1:4" ht="15.75" customHeight="1" x14ac:dyDescent="0.25">
      <c r="A1776" s="1" t="s">
        <v>3179</v>
      </c>
      <c r="B1776" s="1" t="s">
        <v>3165</v>
      </c>
      <c r="C1776" s="1" t="s">
        <v>3180</v>
      </c>
      <c r="D1776" s="1" t="str">
        <f ca="1">IFERROR(__xludf.DUMMYFUNCTION("GoogleTranslate(B1776,""ja"",""en"")"),"Configuration of the main title")</f>
        <v>Configuration of the main title</v>
      </c>
    </row>
    <row r="1777" spans="1:4" ht="15.75" customHeight="1" x14ac:dyDescent="0.25">
      <c r="A1777" s="1" t="s">
        <v>3181</v>
      </c>
      <c r="B1777" s="1" t="s">
        <v>5401</v>
      </c>
      <c r="C1777" s="1" t="s">
        <v>3182</v>
      </c>
      <c r="D1777" s="1" t="str">
        <f ca="1">IFERROR(__xludf.DUMMYFUNCTION("GoogleTranslate(B1777,""ja"",""en"")"),"Chuji Matsubara")</f>
        <v>Chuji Matsubara</v>
      </c>
    </row>
    <row r="1778" spans="1:4" ht="15.75" customHeight="1" x14ac:dyDescent="0.25">
      <c r="A1778" s="1" t="s">
        <v>3183</v>
      </c>
      <c r="B1778" s="1" t="s">
        <v>5402</v>
      </c>
      <c r="C1778" s="1" t="s">
        <v>3184</v>
      </c>
      <c r="D1778" s="1" t="str">
        <f ca="1">IFERROR(__xludf.DUMMYFUNCTION("GoogleTranslate(B1778,""ja"",""en"")"),"Inoue Genzaburō")</f>
        <v>Inoue Genzaburō</v>
      </c>
    </row>
    <row r="1779" spans="1:4" ht="15.75" customHeight="1" x14ac:dyDescent="0.25">
      <c r="A1779" s="1" t="s">
        <v>3185</v>
      </c>
      <c r="B1779" s="1" t="s">
        <v>3171</v>
      </c>
      <c r="C1779" s="1" t="s">
        <v>3186</v>
      </c>
      <c r="D1779" s="1" t="str">
        <f ca="1">IFERROR(__xludf.DUMMYFUNCTION("GoogleTranslate(B1779,""ja"",""en"")"),"Harada Sanosuke")</f>
        <v>Harada Sanosuke</v>
      </c>
    </row>
    <row r="1780" spans="1:4" ht="15.75" customHeight="1" x14ac:dyDescent="0.25">
      <c r="A1780" s="1" t="s">
        <v>3187</v>
      </c>
      <c r="B1780" s="1" t="s">
        <v>5403</v>
      </c>
      <c r="C1780" s="1" t="s">
        <v>3188</v>
      </c>
      <c r="D1780" s="1" t="str">
        <f ca="1">IFERROR(__xludf.DUMMYFUNCTION("GoogleTranslate(B1780,""ja"",""en"")"),"Okada Izō")</f>
        <v>Okada Izō</v>
      </c>
    </row>
    <row r="1781" spans="1:4" ht="15.75" customHeight="1" x14ac:dyDescent="0.25">
      <c r="A1781" s="1" t="s">
        <v>3189</v>
      </c>
      <c r="B1781" s="1" t="s">
        <v>5404</v>
      </c>
      <c r="C1781" s="1" t="s">
        <v>3190</v>
      </c>
      <c r="D1781" s="1" t="str">
        <f ca="1">IFERROR(__xludf.DUMMYFUNCTION("GoogleTranslate(B1781,""ja"",""en"")"),"Shintaro Nakaoka")</f>
        <v>Shintaro Nakaoka</v>
      </c>
    </row>
    <row r="1782" spans="1:4" ht="15.75" customHeight="1" x14ac:dyDescent="0.25">
      <c r="A1782" s="1" t="s">
        <v>3191</v>
      </c>
      <c r="B1782" s="1" t="s">
        <v>3175</v>
      </c>
      <c r="C1782" s="1" t="s">
        <v>3192</v>
      </c>
      <c r="D1782" s="1" t="str">
        <f ca="1">IFERROR(__xludf.DUMMYFUNCTION("GoogleTranslate(B1782,""ja"",""en"")"),"Contact Tose")</f>
        <v>Contact Tose</v>
      </c>
    </row>
    <row r="1783" spans="1:4" ht="15.75" customHeight="1" x14ac:dyDescent="0.25">
      <c r="A1783" s="1" t="s">
        <v>3193</v>
      </c>
      <c r="B1783" s="1" t="s">
        <v>3177</v>
      </c>
      <c r="C1783" s="1" t="s">
        <v>3194</v>
      </c>
      <c r="D1783" s="1" t="str">
        <f ca="1">IFERROR(__xludf.DUMMYFUNCTION("GoogleTranslate(B1783,""ja"",""en"")"),"Tadasaburo Sasaki")</f>
        <v>Tadasaburo Sasaki</v>
      </c>
    </row>
    <row r="1784" spans="1:4" ht="15.75" customHeight="1" x14ac:dyDescent="0.25">
      <c r="A1784" s="1" t="s">
        <v>3195</v>
      </c>
      <c r="B1784" s="1" t="s">
        <v>5405</v>
      </c>
      <c r="C1784" s="1" t="s">
        <v>3196</v>
      </c>
      <c r="D1784" s="1" t="str">
        <f ca="1">IFERROR(__xludf.DUMMYFUNCTION("GoogleTranslate(B1784,""ja"",""en"")"),"Ikumatsu")</f>
        <v>Ikumatsu</v>
      </c>
    </row>
    <row r="1785" spans="1:4" ht="15.75" customHeight="1" x14ac:dyDescent="0.25">
      <c r="A1785" s="1" t="s">
        <v>3197</v>
      </c>
      <c r="B1785" s="1" t="s">
        <v>5406</v>
      </c>
      <c r="C1785" s="1" t="s">
        <v>3198</v>
      </c>
      <c r="D1785" s="1" t="str">
        <f ca="1">IFERROR(__xludf.DUMMYFUNCTION("GoogleTranslate(B1785,""ja"",""en"")"),"&lt;Sign: D&gt; When you do enter, you will see the detailed description.")</f>
        <v>&lt;Sign: D&gt; When you do enter, you will see the detailed description.</v>
      </c>
    </row>
    <row r="1786" spans="1:4" ht="15.75" customHeight="1" x14ac:dyDescent="0.25">
      <c r="A1786" s="1" t="s">
        <v>3199</v>
      </c>
      <c r="B1786" s="1" t="s">
        <v>5407</v>
      </c>
      <c r="C1786" s="1" t="s">
        <v>3200</v>
      </c>
      <c r="D1786" s="1" t="str">
        <f ca="1">IFERROR(__xludf.DUMMYFUNCTION("GoogleTranslate(B1786,""ja"",""en"")"),"&lt;Sign: C&gt; performs an input to close the explanation display details. [N] by entering the left and right direction keys and the left stick, you can change the [n] describes the display contents.")</f>
        <v>&lt;Sign: C&gt; performs an input to close the explanation display details. [N] by entering the left and right direction keys and the left stick, you can change the [n] describes the display contents.</v>
      </c>
    </row>
    <row r="1787" spans="1:4" ht="15.75" customHeight="1" x14ac:dyDescent="0.25">
      <c r="A1787" s="1" t="s">
        <v>3201</v>
      </c>
      <c r="B1787" s="1" t="s">
        <v>5408</v>
      </c>
      <c r="C1787" s="1" t="s">
        <v>3202</v>
      </c>
      <c r="D1787" s="1" t="str">
        <f ca="1">IFERROR(__xludf.DUMMYFUNCTION("GoogleTranslate(B1787,""ja"",""en"")"),"challenge again")</f>
        <v>challenge again</v>
      </c>
    </row>
    <row r="1788" spans="1:4" ht="15.75" customHeight="1" x14ac:dyDescent="0.25">
      <c r="A1788" s="1" t="s">
        <v>3203</v>
      </c>
      <c r="B1788" s="1" t="s">
        <v>5409</v>
      </c>
      <c r="C1788" s="1" t="s">
        <v>3204</v>
      </c>
      <c r="D1788" s="1" t="str">
        <f ca="1">IFERROR(__xludf.DUMMYFUNCTION("GoogleTranslate(B1788,""ja"",""en"")"),"Try again to load")</f>
        <v>Try again to load</v>
      </c>
    </row>
    <row r="1789" spans="1:4" ht="15.75" customHeight="1" x14ac:dyDescent="0.25">
      <c r="A1789" s="1" t="s">
        <v>3205</v>
      </c>
      <c r="B1789" s="1" t="s">
        <v>5410</v>
      </c>
      <c r="C1789" s="1" t="s">
        <v>3206</v>
      </c>
      <c r="D1789" s="1" t="str">
        <f ca="1">IFERROR(__xludf.DUMMYFUNCTION("GoogleTranslate(B1789,""ja"",""en"")"),"Try again from the last checkpoint")</f>
        <v>Try again from the last checkpoint</v>
      </c>
    </row>
    <row r="1790" spans="1:4" ht="15.75" customHeight="1" x14ac:dyDescent="0.25">
      <c r="A1790" s="1" t="s">
        <v>3207</v>
      </c>
      <c r="B1790" s="1" t="s">
        <v>5411</v>
      </c>
      <c r="C1790" s="1" t="s">
        <v>3208</v>
      </c>
      <c r="D1790" s="1" t="str">
        <f ca="1">IFERROR(__xludf.DUMMYFUNCTION("GoogleTranslate(B1790,""ja"",""en"")"),"To end the game")</f>
        <v>To end the game</v>
      </c>
    </row>
    <row r="1791" spans="1:4" ht="15.75" customHeight="1" x14ac:dyDescent="0.25">
      <c r="A1791" s="1" t="s">
        <v>3209</v>
      </c>
      <c r="B1791" s="1" t="s">
        <v>5412</v>
      </c>
      <c r="C1791" s="1" t="s">
        <v>3210</v>
      </c>
      <c r="D1791" s="1" t="str">
        <f ca="1">IFERROR(__xludf.DUMMYFUNCTION("GoogleTranslate(B1791,""ja"",""en"")"),"Back to the main menu")</f>
        <v>Back to the main menu</v>
      </c>
    </row>
    <row r="1792" spans="1:4" ht="15.75" customHeight="1" x14ac:dyDescent="0.25">
      <c r="A1792" s="1" t="s">
        <v>3211</v>
      </c>
      <c r="B1792" s="1" t="s">
        <v>5413</v>
      </c>
      <c r="C1792" s="1" t="s">
        <v>3212</v>
      </c>
      <c r="D1792" s="1" t="str">
        <f ca="1">IFERROR(__xludf.DUMMYFUNCTION("GoogleTranslate(B1792,""ja"",""en"")"),"Back to the ultimate competition menu")</f>
        <v>Back to the ultimate competition menu</v>
      </c>
    </row>
    <row r="1793" spans="1:4" ht="15.75" customHeight="1" x14ac:dyDescent="0.25">
      <c r="A1793" s="1" t="s">
        <v>3213</v>
      </c>
      <c r="B1793" s="1" t="s">
        <v>5414</v>
      </c>
      <c r="C1793" s="1" t="s">
        <v>1483</v>
      </c>
      <c r="D1793" s="1" t="str">
        <f ca="1">IFERROR(__xludf.DUMMYFUNCTION("GoogleTranslate(B1793,""ja"",""en"")"),"Le")</f>
        <v>Le</v>
      </c>
    </row>
    <row r="1794" spans="1:4" ht="15.75" customHeight="1" x14ac:dyDescent="0.25">
      <c r="A1794" s="1" t="s">
        <v>3214</v>
      </c>
      <c r="B1794" s="1" t="s">
        <v>5415</v>
      </c>
      <c r="C1794" s="1" t="s">
        <v>216</v>
      </c>
      <c r="D1794" s="1" t="str">
        <f ca="1">IFERROR(__xludf.DUMMYFUNCTION("GoogleTranslate(B1794,""ja"",""en"")"),"?")</f>
        <v>?</v>
      </c>
    </row>
    <row r="1795" spans="1:4" ht="15.75" customHeight="1" x14ac:dyDescent="0.25">
      <c r="A1795" s="1" t="s">
        <v>3215</v>
      </c>
      <c r="B1795" s="1" t="s">
        <v>3207</v>
      </c>
      <c r="C1795" s="1" t="s">
        <v>3216</v>
      </c>
      <c r="D1795" s="1" t="str">
        <f ca="1">IFERROR(__xludf.DUMMYFUNCTION("GoogleTranslate(B1795,""ja"",""en"")"),"Art")</f>
        <v>Art</v>
      </c>
    </row>
    <row r="1796" spans="1:4" ht="15.75" customHeight="1" x14ac:dyDescent="0.25">
      <c r="A1796" s="1" t="s">
        <v>3217</v>
      </c>
      <c r="B1796" s="1" t="s">
        <v>5416</v>
      </c>
      <c r="C1796" s="1" t="s">
        <v>3216</v>
      </c>
      <c r="D1796" s="1" t="str">
        <f ca="1">IFERROR(__xludf.DUMMYFUNCTION("GoogleTranslate(B1796,""ja"",""en"")"),"Art")</f>
        <v>Art</v>
      </c>
    </row>
    <row r="1797" spans="1:4" ht="15.75" customHeight="1" x14ac:dyDescent="0.25">
      <c r="A1797" s="1" t="s">
        <v>3218</v>
      </c>
      <c r="B1797" s="1" t="s">
        <v>5417</v>
      </c>
      <c r="C1797" s="1" t="s">
        <v>3216</v>
      </c>
      <c r="D1797" s="1" t="str">
        <f ca="1">IFERROR(__xludf.DUMMYFUNCTION("GoogleTranslate(B1797,""ja"",""en"")"),"Art")</f>
        <v>Art</v>
      </c>
    </row>
    <row r="1798" spans="1:4" ht="15.75" customHeight="1" x14ac:dyDescent="0.25">
      <c r="A1798" s="1" t="s">
        <v>3219</v>
      </c>
      <c r="B1798" s="1" t="s">
        <v>3209</v>
      </c>
      <c r="C1798" s="1" t="s">
        <v>3220</v>
      </c>
      <c r="D1798" s="1" t="str">
        <f ca="1">IFERROR(__xludf.DUMMYFUNCTION("GoogleTranslate(B1798,""ja"",""en"")"),"Registered net shop")</f>
        <v>Registered net shop</v>
      </c>
    </row>
    <row r="1799" spans="1:4" ht="15.75" customHeight="1" x14ac:dyDescent="0.25">
      <c r="A1799" s="1" t="s">
        <v>3221</v>
      </c>
      <c r="B1799" s="1" t="s">
        <v>3211</v>
      </c>
      <c r="C1799" s="1" t="s">
        <v>3222</v>
      </c>
      <c r="D1799" s="1" t="str">
        <f ca="1">IFERROR(__xludf.DUMMYFUNCTION("GoogleTranslate(B1799,""ja"",""en"")"),"Letter of unopened")</f>
        <v>Letter of unopened</v>
      </c>
    </row>
    <row r="1800" spans="1:4" ht="15.75" customHeight="1" x14ac:dyDescent="0.25">
      <c r="A1800" s="1" t="s">
        <v>3223</v>
      </c>
      <c r="B1800" s="1" t="s">
        <v>5418</v>
      </c>
      <c r="C1800" s="1" t="s">
        <v>3224</v>
      </c>
      <c r="D1800" s="1" t="str">
        <f ca="1">IFERROR(__xludf.DUMMYFUNCTION("GoogleTranslate(B1800,""ja"",""en"")"),"% D /% d shop")</f>
        <v>% D /% d shop</v>
      </c>
    </row>
    <row r="1801" spans="1:4" ht="15.75" customHeight="1" x14ac:dyDescent="0.25">
      <c r="A1801" s="1" t="s">
        <v>3225</v>
      </c>
      <c r="B1801" s="1" t="s">
        <v>5419</v>
      </c>
      <c r="C1801" s="1" t="s">
        <v>3226</v>
      </c>
      <c r="D1801" s="1" t="str">
        <f ca="1">IFERROR(__xludf.DUMMYFUNCTION("GoogleTranslate(B1801,""ja"",""en"")"),"% D communication")</f>
        <v>% D communication</v>
      </c>
    </row>
    <row r="1802" spans="1:4" ht="15.75" customHeight="1" x14ac:dyDescent="0.25">
      <c r="A1802" s="1" t="s">
        <v>3227</v>
      </c>
      <c r="B1802" s="1" t="s">
        <v>3213</v>
      </c>
      <c r="C1802" s="1" t="s">
        <v>3228</v>
      </c>
      <c r="D1802" s="1" t="str">
        <f ca="1">IFERROR(__xludf.DUMMYFUNCTION("GoogleTranslate(B1802,""ja"",""en"")"),"Part")</f>
        <v>Part</v>
      </c>
    </row>
    <row r="1803" spans="1:4" ht="15.75" customHeight="1" x14ac:dyDescent="0.25">
      <c r="A1803" s="1" t="s">
        <v>3229</v>
      </c>
      <c r="B1803" s="1" t="s">
        <v>5420</v>
      </c>
      <c r="C1803" s="1" t="s">
        <v>3228</v>
      </c>
      <c r="D1803" s="1" t="str">
        <f ca="1">IFERROR(__xludf.DUMMYFUNCTION("GoogleTranslate(B1803,""ja"",""en"")"),"Part")</f>
        <v>Part</v>
      </c>
    </row>
    <row r="1804" spans="1:4" ht="15.75" customHeight="1" x14ac:dyDescent="0.25">
      <c r="A1804" s="1" t="s">
        <v>3230</v>
      </c>
      <c r="B1804" s="1" t="s">
        <v>5421</v>
      </c>
      <c r="C1804" s="1" t="s">
        <v>3228</v>
      </c>
      <c r="D1804" s="1" t="str">
        <f ca="1">IFERROR(__xludf.DUMMYFUNCTION("GoogleTranslate(B1804,""ja"",""en"")"),"Part")</f>
        <v>Part</v>
      </c>
    </row>
    <row r="1805" spans="1:4" ht="15.75" customHeight="1" x14ac:dyDescent="0.25">
      <c r="A1805" s="1" t="s">
        <v>3231</v>
      </c>
      <c r="B1805" s="1" t="s">
        <v>5422</v>
      </c>
      <c r="C1805" s="1" t="s">
        <v>3228</v>
      </c>
      <c r="D1805" s="1" t="str">
        <f ca="1">IFERROR(__xludf.DUMMYFUNCTION("GoogleTranslate(B1805,""ja"",""en"")"),"Part")</f>
        <v>Part</v>
      </c>
    </row>
    <row r="1806" spans="1:4" ht="15.75" customHeight="1" x14ac:dyDescent="0.25">
      <c r="A1806" s="1" t="s">
        <v>3232</v>
      </c>
      <c r="B1806" s="1" t="s">
        <v>5423</v>
      </c>
      <c r="C1806" s="1" t="s">
        <v>3228</v>
      </c>
      <c r="D1806" s="1" t="str">
        <f ca="1">IFERROR(__xludf.DUMMYFUNCTION("GoogleTranslate(B1806,""ja"",""en"")"),"Part")</f>
        <v>Part</v>
      </c>
    </row>
    <row r="1807" spans="1:4" ht="15.75" customHeight="1" x14ac:dyDescent="0.25">
      <c r="A1807" s="1" t="s">
        <v>3233</v>
      </c>
      <c r="B1807" s="1" t="s">
        <v>3215</v>
      </c>
      <c r="C1807" s="1" t="s">
        <v>3228</v>
      </c>
      <c r="D1807" s="1" t="str">
        <f ca="1">IFERROR(__xludf.DUMMYFUNCTION("GoogleTranslate(B1807,""ja"",""en"")"),"Part")</f>
        <v>Part</v>
      </c>
    </row>
    <row r="1808" spans="1:4" ht="15.75" customHeight="1" x14ac:dyDescent="0.25">
      <c r="A1808" s="1" t="s">
        <v>3234</v>
      </c>
      <c r="B1808" s="1" t="s">
        <v>5424</v>
      </c>
      <c r="C1808" s="1" t="s">
        <v>3235</v>
      </c>
      <c r="D1808" s="1" t="str">
        <f ca="1">IFERROR(__xludf.DUMMYFUNCTION("GoogleTranslate(B1808,""ja"",""en"")"),"Complete achievement rate")</f>
        <v>Complete achievement rate</v>
      </c>
    </row>
    <row r="1809" spans="1:4" ht="15.75" customHeight="1" x14ac:dyDescent="0.25">
      <c r="A1809" s="1" t="s">
        <v>3236</v>
      </c>
      <c r="B1809" s="1" t="s">
        <v>5425</v>
      </c>
      <c r="C1809" s="1" t="s">
        <v>3237</v>
      </c>
      <c r="D1809" s="1" t="str">
        <f ca="1">IFERROR(__xludf.DUMMYFUNCTION("GoogleTranslate(B1809,""ja"",""en"")"),"Rumors of the city")</f>
        <v>Rumors of the city</v>
      </c>
    </row>
    <row r="1810" spans="1:4" ht="15.75" customHeight="1" x14ac:dyDescent="0.25">
      <c r="A1810" s="1" t="s">
        <v>3238</v>
      </c>
      <c r="B1810" s="1" t="s">
        <v>5426</v>
      </c>
      <c r="C1810" s="1" t="s">
        <v>3239</v>
      </c>
      <c r="D1810" s="1" t="str">
        <f ca="1">IFERROR(__xludf.DUMMYFUNCTION("GoogleTranslate(B1810,""ja"",""en"")"),"% D items")</f>
        <v>% D items</v>
      </c>
    </row>
    <row r="1811" spans="1:4" ht="15.75" customHeight="1" x14ac:dyDescent="0.25">
      <c r="A1811" s="1" t="s">
        <v>3240</v>
      </c>
      <c r="B1811" s="1" t="s">
        <v>5427</v>
      </c>
      <c r="C1811" s="1" t="s">
        <v>3241</v>
      </c>
      <c r="D1811" s="1" t="str">
        <f ca="1">IFERROR(__xludf.DUMMYFUNCTION("GoogleTranslate(B1811,""ja"",""en"")"),"Physical strength")</f>
        <v>Physical strength</v>
      </c>
    </row>
    <row r="1812" spans="1:4" ht="15.75" customHeight="1" x14ac:dyDescent="0.25">
      <c r="A1812" s="1" t="s">
        <v>3242</v>
      </c>
      <c r="B1812" s="1" t="s">
        <v>5428</v>
      </c>
      <c r="C1812" s="1" t="s">
        <v>3243</v>
      </c>
      <c r="D1812" s="1" t="str">
        <f ca="1">IFERROR(__xludf.DUMMYFUNCTION("GoogleTranslate(B1812,""ja"",""en"")"),"fighting spirit")</f>
        <v>fighting spirit</v>
      </c>
    </row>
    <row r="1813" spans="1:4" ht="15.75" customHeight="1" x14ac:dyDescent="0.25">
      <c r="A1813" s="1" t="s">
        <v>3244</v>
      </c>
      <c r="B1813" s="1" t="s">
        <v>5429</v>
      </c>
      <c r="C1813" s="1" t="s">
        <v>3245</v>
      </c>
      <c r="D1813" s="1" t="str">
        <f ca="1">IFERROR(__xludf.DUMMYFUNCTION("GoogleTranslate(B1813,""ja"",""en"")"),"Melee force")</f>
        <v>Melee force</v>
      </c>
    </row>
    <row r="1814" spans="1:4" ht="15.75" customHeight="1" x14ac:dyDescent="0.25">
      <c r="A1814" s="1" t="s">
        <v>3246</v>
      </c>
      <c r="B1814" s="1" t="s">
        <v>5430</v>
      </c>
      <c r="C1814" s="1" t="s">
        <v>3247</v>
      </c>
      <c r="D1814" s="1" t="str">
        <f ca="1">IFERROR(__xludf.DUMMYFUNCTION("GoogleTranslate(B1814,""ja"",""en"")"),"His sword attack force")</f>
        <v>His sword attack force</v>
      </c>
    </row>
    <row r="1815" spans="1:4" ht="15.75" customHeight="1" x14ac:dyDescent="0.25">
      <c r="A1815" s="1" t="s">
        <v>3248</v>
      </c>
      <c r="B1815" s="1" t="s">
        <v>3233</v>
      </c>
      <c r="C1815" s="1" t="s">
        <v>3249</v>
      </c>
      <c r="D1815" s="1" t="str">
        <f ca="1">IFERROR(__xludf.DUMMYFUNCTION("GoogleTranslate(B1815,""ja"",""en"")"),"Pistol attack force")</f>
        <v>Pistol attack force</v>
      </c>
    </row>
    <row r="1816" spans="1:4" ht="15.75" customHeight="1" x14ac:dyDescent="0.25">
      <c r="A1816" s="1" t="s">
        <v>3250</v>
      </c>
      <c r="B1816" s="1" t="s">
        <v>5431</v>
      </c>
      <c r="C1816" s="1" t="s">
        <v>3251</v>
      </c>
      <c r="D1816" s="1" t="str">
        <f ca="1">IFERROR(__xludf.DUMMYFUNCTION("GoogleTranslate(B1816,""ja"",""en"")"),"Ranbu attack force")</f>
        <v>Ranbu attack force</v>
      </c>
    </row>
    <row r="1817" spans="1:4" ht="15.75" customHeight="1" x14ac:dyDescent="0.25">
      <c r="A1817" s="1" t="s">
        <v>3252</v>
      </c>
      <c r="B1817" s="1" t="s">
        <v>5432</v>
      </c>
      <c r="C1817" s="1" t="s">
        <v>3253</v>
      </c>
      <c r="D1817" s="1" t="str">
        <f ca="1">IFERROR(__xludf.DUMMYFUNCTION("GoogleTranslate(B1817,""ja"",""en"")"),"Soul sphere of fighting")</f>
        <v>Soul sphere of fighting</v>
      </c>
    </row>
    <row r="1818" spans="1:4" ht="15.75" customHeight="1" x14ac:dyDescent="0.25">
      <c r="A1818" s="1" t="s">
        <v>3254</v>
      </c>
      <c r="B1818" s="1" t="s">
        <v>3238</v>
      </c>
      <c r="C1818" s="1" t="s">
        <v>3255</v>
      </c>
      <c r="D1818" s="1" t="str">
        <f ca="1">IFERROR(__xludf.DUMMYFUNCTION("GoogleTranslate(B1818,""ja"",""en"")"),"His sword of soul sphere")</f>
        <v>His sword of soul sphere</v>
      </c>
    </row>
    <row r="1819" spans="1:4" ht="15.75" customHeight="1" x14ac:dyDescent="0.25">
      <c r="A1819" s="1" t="s">
        <v>3256</v>
      </c>
      <c r="B1819" s="1" t="s">
        <v>5433</v>
      </c>
      <c r="C1819" s="1" t="s">
        <v>3257</v>
      </c>
      <c r="D1819" s="1" t="str">
        <f ca="1">IFERROR(__xludf.DUMMYFUNCTION("GoogleTranslate(B1819,""ja"",""en"")"),"Pistol of soul sphere")</f>
        <v>Pistol of soul sphere</v>
      </c>
    </row>
    <row r="1820" spans="1:4" ht="15.75" customHeight="1" x14ac:dyDescent="0.25">
      <c r="A1820" s="1" t="s">
        <v>3258</v>
      </c>
      <c r="B1820" s="1" t="s">
        <v>5434</v>
      </c>
      <c r="C1820" s="1" t="s">
        <v>3259</v>
      </c>
      <c r="D1820" s="1" t="str">
        <f ca="1">IFERROR(__xludf.DUMMYFUNCTION("GoogleTranslate(B1820,""ja"",""en"")"),"Wild dance of the soul sphere")</f>
        <v>Wild dance of the soul sphere</v>
      </c>
    </row>
    <row r="1821" spans="1:4" ht="15.75" customHeight="1" x14ac:dyDescent="0.25">
      <c r="A1821" s="1" t="s">
        <v>3260</v>
      </c>
      <c r="B1821" s="1" t="s">
        <v>5435</v>
      </c>
      <c r="C1821" s="1" t="s">
        <v>3261</v>
      </c>
      <c r="D1821" s="1" t="str">
        <f ca="1">IFERROR(__xludf.DUMMYFUNCTION("GoogleTranslate(B1821,""ja"",""en"")"),"Soul sphere of training")</f>
        <v>Soul sphere of training</v>
      </c>
    </row>
    <row r="1822" spans="1:4" ht="15.75" customHeight="1" x14ac:dyDescent="0.25">
      <c r="A1822" s="1" t="s">
        <v>3262</v>
      </c>
      <c r="B1822" s="1" t="s">
        <v>5436</v>
      </c>
      <c r="C1822" s="1" t="s">
        <v>3263</v>
      </c>
      <c r="D1822" s="1" t="str">
        <f ca="1">IFERROR(__xludf.DUMMYFUNCTION("GoogleTranslate(B1822,""ja"",""en"")"),"Do you want to% s and the replacement?")</f>
        <v>Do you want to% s and the replacement?</v>
      </c>
    </row>
    <row r="1823" spans="1:4" ht="15.75" customHeight="1" x14ac:dyDescent="0.25">
      <c r="A1823" s="1" t="s">
        <v>3264</v>
      </c>
      <c r="B1823" s="1" t="s">
        <v>3254</v>
      </c>
      <c r="C1823" s="1" t="s">
        <v>3265</v>
      </c>
      <c r="D1823" s="1" t="str">
        <f ca="1">IFERROR(__xludf.DUMMYFUNCTION("GoogleTranslate(B1823,""ja"",""en"")"),"Ah")</f>
        <v>Ah</v>
      </c>
    </row>
    <row r="1824" spans="1:4" ht="15.75" customHeight="1" x14ac:dyDescent="0.25">
      <c r="A1824" s="1" t="s">
        <v>3266</v>
      </c>
      <c r="B1824" s="1" t="s">
        <v>5437</v>
      </c>
      <c r="C1824" s="1" t="s">
        <v>3267</v>
      </c>
      <c r="D1824" s="1" t="str">
        <f ca="1">IFERROR(__xludf.DUMMYFUNCTION("GoogleTranslate(B1824,""ja"",""en"")"),"")</f>
        <v/>
      </c>
    </row>
    <row r="1825" spans="1:4" ht="15.75" customHeight="1" x14ac:dyDescent="0.25">
      <c r="A1825" s="1" t="s">
        <v>3268</v>
      </c>
      <c r="B1825" s="1" t="s">
        <v>3256</v>
      </c>
      <c r="C1825" s="1" t="s">
        <v>995</v>
      </c>
      <c r="D1825" s="1" t="str">
        <f ca="1">IFERROR(__xludf.DUMMYFUNCTION("GoogleTranslate(B1825,""ja"",""en"")"),"It was")</f>
        <v>It was</v>
      </c>
    </row>
    <row r="1826" spans="1:4" ht="15.75" customHeight="1" x14ac:dyDescent="0.25">
      <c r="A1826" s="1" t="s">
        <v>3269</v>
      </c>
      <c r="B1826" s="1" t="s">
        <v>5438</v>
      </c>
      <c r="C1826" s="1" t="s">
        <v>3270</v>
      </c>
      <c r="D1826" s="1" t="str">
        <f ca="1">IFERROR(__xludf.DUMMYFUNCTION("GoogleTranslate(B1826,""ja"",""en"")"),"Or")</f>
        <v>Or</v>
      </c>
    </row>
    <row r="1827" spans="1:4" ht="15.75" customHeight="1" x14ac:dyDescent="0.25">
      <c r="A1827" s="1" t="s">
        <v>3271</v>
      </c>
      <c r="B1827" s="1" t="s">
        <v>3258</v>
      </c>
      <c r="C1827" s="1" t="s">
        <v>2130</v>
      </c>
      <c r="D1827" s="1" t="str">
        <f ca="1">IFERROR(__xludf.DUMMYFUNCTION("GoogleTranslate(B1827,""ja"",""en"")"),"Et al.")</f>
        <v>Et al.</v>
      </c>
    </row>
    <row r="1828" spans="1:4" ht="15.75" customHeight="1" x14ac:dyDescent="0.25">
      <c r="A1828" s="1" t="s">
        <v>3272</v>
      </c>
      <c r="B1828" s="1" t="s">
        <v>5439</v>
      </c>
      <c r="C1828" s="1" t="s">
        <v>2001</v>
      </c>
      <c r="D1828" s="1" t="str">
        <f ca="1">IFERROR(__xludf.DUMMYFUNCTION("GoogleTranslate(B1828,""ja"",""en"")"),"")</f>
        <v/>
      </c>
    </row>
    <row r="1829" spans="1:4" ht="15.75" customHeight="1" x14ac:dyDescent="0.25">
      <c r="A1829" s="1" t="s">
        <v>3273</v>
      </c>
      <c r="B1829" s="1" t="s">
        <v>5440</v>
      </c>
      <c r="C1829" s="1" t="s">
        <v>3274</v>
      </c>
      <c r="D1829" s="1" t="str">
        <f ca="1">IFERROR(__xludf.DUMMYFUNCTION("GoogleTranslate(B1829,""ja"",""en"")"),"The number of achievement items")</f>
        <v>The number of achievement items</v>
      </c>
    </row>
    <row r="1830" spans="1:4" ht="15.75" customHeight="1" x14ac:dyDescent="0.25">
      <c r="A1830" s="1" t="s">
        <v>3275</v>
      </c>
      <c r="B1830" s="1" t="s">
        <v>5441</v>
      </c>
      <c r="C1830" s="1" t="s">
        <v>3276</v>
      </c>
      <c r="D1830" s="1" t="str">
        <f ca="1">IFERROR(__xludf.DUMMYFUNCTION("GoogleTranslate(B1830,""ja"",""en"")"),"Achieved")</f>
        <v>Achieved</v>
      </c>
    </row>
    <row r="1831" spans="1:4" ht="15.75" customHeight="1" x14ac:dyDescent="0.25">
      <c r="A1831" s="1" t="s">
        <v>3277</v>
      </c>
      <c r="B1831" s="1" t="s">
        <v>5442</v>
      </c>
      <c r="C1831" s="1" t="s">
        <v>3278</v>
      </c>
      <c r="D1831" s="1" t="str">
        <f ca="1">IFERROR(__xludf.DUMMYFUNCTION("GoogleTranslate(B1831,""ja"",""en"")"),"People commentary")</f>
        <v>People commentary</v>
      </c>
    </row>
    <row r="1832" spans="1:4" ht="15.75" customHeight="1" x14ac:dyDescent="0.25">
      <c r="A1832" s="1" t="s">
        <v>3279</v>
      </c>
      <c r="B1832" s="1" t="s">
        <v>5443</v>
      </c>
      <c r="C1832" s="1" t="s">
        <v>3280</v>
      </c>
      <c r="D1832" s="1" t="str">
        <f ca="1">IFERROR(__xludf.DUMMYFUNCTION("GoogleTranslate(B1832,""ja"",""en"")"),"Glossary")</f>
        <v>Glossary</v>
      </c>
    </row>
    <row r="1833" spans="1:4" ht="15.75" customHeight="1" x14ac:dyDescent="0.25">
      <c r="A1833" s="1" t="s">
        <v>3281</v>
      </c>
      <c r="B1833" s="1" t="s">
        <v>5444</v>
      </c>
      <c r="C1833" s="1" t="s">
        <v>3282</v>
      </c>
      <c r="D1833" s="1" t="str">
        <f ca="1">IFERROR(__xludf.DUMMYFUNCTION("GoogleTranslate(B1833,""ja"",""en"")"),"Cave of Noto")</f>
        <v>Cave of Noto</v>
      </c>
    </row>
    <row r="1834" spans="1:4" ht="15.75" customHeight="1" x14ac:dyDescent="0.25">
      <c r="A1834" s="1" t="s">
        <v>3283</v>
      </c>
      <c r="B1834" s="1" t="s">
        <v>5445</v>
      </c>
      <c r="C1834" s="1" t="s">
        <v>3284</v>
      </c>
      <c r="D1834" s="1" t="str">
        <f ca="1">IFERROR(__xludf.DUMMYFUNCTION("GoogleTranslate(B1834,""ja"",""en"")"),"Abandonment of the gentleman thief")</f>
        <v>Abandonment of the gentleman thief</v>
      </c>
    </row>
    <row r="1835" spans="1:4" ht="15.75" customHeight="1" x14ac:dyDescent="0.25">
      <c r="A1835" s="1" t="s">
        <v>3285</v>
      </c>
      <c r="B1835" s="1" t="s">
        <v>5446</v>
      </c>
      <c r="C1835" s="1" t="s">
        <v>3286</v>
      </c>
      <c r="D1835" s="1" t="str">
        <f ca="1">IFERROR(__xludf.DUMMYFUNCTION("GoogleTranslate(B1835,""ja"",""en"")"),"Toyotomi house remnants")</f>
        <v>Toyotomi house remnants</v>
      </c>
    </row>
    <row r="1836" spans="1:4" ht="15.75" customHeight="1" x14ac:dyDescent="0.25">
      <c r="A1836" s="1" t="s">
        <v>3287</v>
      </c>
      <c r="B1836" s="1" t="s">
        <v>5447</v>
      </c>
      <c r="C1836" s="1" t="s">
        <v>3288</v>
      </c>
      <c r="D1836" s="1" t="str">
        <f ca="1">IFERROR(__xludf.DUMMYFUNCTION("GoogleTranslate(B1836,""ja"",""en"")"),"Agriculture")</f>
        <v>Agriculture</v>
      </c>
    </row>
    <row r="1837" spans="1:4" ht="15.75" customHeight="1" x14ac:dyDescent="0.25">
      <c r="A1837" s="1" t="s">
        <v>3289</v>
      </c>
      <c r="B1837" s="1" t="s">
        <v>5448</v>
      </c>
      <c r="C1837" s="1" t="s">
        <v>3290</v>
      </c>
      <c r="D1837" s="1" t="str">
        <f ca="1">IFERROR(__xludf.DUMMYFUNCTION("GoogleTranslate(B1837,""ja"",""en"")"),"cuisine")</f>
        <v>cuisine</v>
      </c>
    </row>
    <row r="1838" spans="1:4" ht="15.75" customHeight="1" x14ac:dyDescent="0.25">
      <c r="A1838" s="1" t="s">
        <v>3291</v>
      </c>
      <c r="B1838" s="1" t="s">
        <v>5449</v>
      </c>
      <c r="C1838" s="1" t="s">
        <v>3292</v>
      </c>
      <c r="D1838" s="1" t="str">
        <f ca="1">IFERROR(__xludf.DUMMYFUNCTION("GoogleTranslate(B1838,""ja"",""en"")"),"Peddling")</f>
        <v>Peddling</v>
      </c>
    </row>
    <row r="1839" spans="1:4" ht="15.75" customHeight="1" x14ac:dyDescent="0.25">
      <c r="A1839" s="1" t="s">
        <v>3293</v>
      </c>
      <c r="B1839" s="1" t="s">
        <v>5450</v>
      </c>
      <c r="C1839" s="1" t="s">
        <v>3294</v>
      </c>
      <c r="D1839" s="1" t="str">
        <f ca="1">IFERROR(__xludf.DUMMYFUNCTION("GoogleTranslate(B1839,""ja"",""en"")"),"Pet")</f>
        <v>Pet</v>
      </c>
    </row>
    <row r="1840" spans="1:4" ht="15.75" customHeight="1" x14ac:dyDescent="0.25">
      <c r="A1840" s="1" t="s">
        <v>3295</v>
      </c>
      <c r="B1840" s="1" t="s">
        <v>5451</v>
      </c>
      <c r="C1840" s="1" t="s">
        <v>3296</v>
      </c>
      <c r="D1840" s="1" t="str">
        <f ca="1">IFERROR(__xludf.DUMMYFUNCTION("GoogleTranslate(B1840,""ja"",""en"")"),"Exchanges with Haruka")</f>
        <v>Exchanges with Haruka</v>
      </c>
    </row>
    <row r="1841" spans="1:4" ht="15.75" customHeight="1" x14ac:dyDescent="0.25">
      <c r="A1841" s="1" t="s">
        <v>3297</v>
      </c>
      <c r="B1841" s="1" t="s">
        <v>3283</v>
      </c>
      <c r="C1841" s="1" t="s">
        <v>3298</v>
      </c>
      <c r="D1841" s="1" t="str">
        <f ca="1">IFERROR(__xludf.DUMMYFUNCTION("GoogleTranslate(B1841,""ja"",""en"")"),"Total transaction amount")</f>
        <v>Total transaction amount</v>
      </c>
    </row>
    <row r="1842" spans="1:4" ht="15.75" customHeight="1" x14ac:dyDescent="0.25">
      <c r="A1842" s="1" t="s">
        <v>3299</v>
      </c>
      <c r="B1842" s="1" t="s">
        <v>5452</v>
      </c>
      <c r="C1842" s="1" t="s">
        <v>3300</v>
      </c>
      <c r="D1842" s="1" t="str">
        <f ca="1">IFERROR(__xludf.DUMMYFUNCTION("GoogleTranslate(B1842,""ja"",""en"")"),"Play time")</f>
        <v>Play time</v>
      </c>
    </row>
    <row r="1843" spans="1:4" ht="15.75" customHeight="1" x14ac:dyDescent="0.25">
      <c r="A1843" s="1" t="s">
        <v>3301</v>
      </c>
      <c r="B1843" s="1" t="s">
        <v>3287</v>
      </c>
      <c r="C1843" s="1" t="s">
        <v>3302</v>
      </c>
      <c r="D1843" s="1" t="str">
        <f ca="1">IFERROR(__xludf.DUMMYFUNCTION("GoogleTranslate(B1843,""ja"",""en"")"),"Training possible vegetables number")</f>
        <v>Training possible vegetables number</v>
      </c>
    </row>
    <row r="1844" spans="1:4" ht="15.75" customHeight="1" x14ac:dyDescent="0.25">
      <c r="A1844" s="1" t="s">
        <v>3303</v>
      </c>
      <c r="B1844" s="1" t="s">
        <v>5453</v>
      </c>
      <c r="C1844" s="1" t="s">
        <v>3304</v>
      </c>
      <c r="D1844" s="1" t="str">
        <f ca="1">IFERROR(__xludf.DUMMYFUNCTION("GoogleTranslate(B1844,""ja"",""en"")"),"The type of fish caught was")</f>
        <v>The type of fish caught was</v>
      </c>
    </row>
    <row r="1845" spans="1:4" ht="15.75" customHeight="1" x14ac:dyDescent="0.25">
      <c r="A1845" s="1" t="s">
        <v>3305</v>
      </c>
      <c r="B1845" s="1" t="s">
        <v>5454</v>
      </c>
      <c r="C1845" s="1" t="s">
        <v>3306</v>
      </c>
      <c r="D1845" s="1" t="str">
        <f ca="1">IFERROR(__xludf.DUMMYFUNCTION("GoogleTranslate(B1845,""ja"",""en"")"),"The number of recipes that could be cooking")</f>
        <v>The number of recipes that could be cooking</v>
      </c>
    </row>
    <row r="1846" spans="1:4" ht="15.75" customHeight="1" x14ac:dyDescent="0.25">
      <c r="A1846" s="1" t="s">
        <v>3307</v>
      </c>
      <c r="B1846" s="1" t="s">
        <v>5455</v>
      </c>
      <c r="C1846" s="1" t="s">
        <v>3308</v>
      </c>
      <c r="D1846" s="1" t="str">
        <f ca="1">IFERROR(__xludf.DUMMYFUNCTION("GoogleTranslate(B1846,""ja"",""en"")"),"Closing the transaction number")</f>
        <v>Closing the transaction number</v>
      </c>
    </row>
    <row r="1847" spans="1:4" ht="15.75" customHeight="1" x14ac:dyDescent="0.25">
      <c r="A1847" s="1" t="s">
        <v>3309</v>
      </c>
      <c r="B1847" s="1" t="s">
        <v>5456</v>
      </c>
      <c r="C1847" s="1" t="s">
        <v>3310</v>
      </c>
      <c r="D1847" s="1" t="str">
        <f ca="1">IFERROR(__xludf.DUMMYFUNCTION("GoogleTranslate(B1847,""ja"",""en"")"),"Road")</f>
        <v>Road</v>
      </c>
    </row>
    <row r="1848" spans="1:4" ht="15.75" customHeight="1" x14ac:dyDescent="0.25">
      <c r="A1848" s="1" t="s">
        <v>3311</v>
      </c>
      <c r="B1848" s="1" t="s">
        <v>5457</v>
      </c>
      <c r="C1848" s="1" t="s">
        <v>3312</v>
      </c>
      <c r="D1848" s="1" t="str">
        <f ca="1">IFERROR(__xludf.DUMMYFUNCTION("GoogleTranslate(B1848,""ja"",""en"")"),"Setting")</f>
        <v>Setting</v>
      </c>
    </row>
    <row r="1849" spans="1:4" ht="15.75" customHeight="1" x14ac:dyDescent="0.25">
      <c r="A1849" s="1" t="s">
        <v>3313</v>
      </c>
      <c r="B1849" s="1" t="s">
        <v>5458</v>
      </c>
      <c r="C1849" s="1" t="s">
        <v>3314</v>
      </c>
      <c r="D1849" s="1" t="str">
        <f ca="1">IFERROR(__xludf.DUMMYFUNCTION("GoogleTranslate(B1849,""ja"",""en"")"),"Back to title")</f>
        <v>Back to title</v>
      </c>
    </row>
    <row r="1850" spans="1:4" ht="15.75" customHeight="1" x14ac:dyDescent="0.25">
      <c r="A1850" s="1" t="s">
        <v>3315</v>
      </c>
      <c r="B1850" s="1" t="s">
        <v>3303</v>
      </c>
      <c r="C1850" s="1" t="s">
        <v>3316</v>
      </c>
      <c r="D1850" s="1" t="str">
        <f ca="1">IFERROR(__xludf.DUMMYFUNCTION("GoogleTranslate(B1850,""ja"",""en"")"),"Initial equipment")</f>
        <v>Initial equipment</v>
      </c>
    </row>
    <row r="1851" spans="1:4" ht="15.75" customHeight="1" x14ac:dyDescent="0.25">
      <c r="A1851" s="1" t="s">
        <v>3317</v>
      </c>
      <c r="B1851" s="1" t="s">
        <v>3305</v>
      </c>
      <c r="C1851" s="1" t="s">
        <v>3318</v>
      </c>
      <c r="D1851" s="1" t="str">
        <f ca="1">IFERROR(__xludf.DUMMYFUNCTION("GoogleTranslate(B1851,""ja"",""en"")"),"Gorgeous")</f>
        <v>Gorgeous</v>
      </c>
    </row>
    <row r="1852" spans="1:4" ht="15.75" customHeight="1" x14ac:dyDescent="0.25">
      <c r="A1852" s="1" t="s">
        <v>3319</v>
      </c>
      <c r="B1852" s="1" t="s">
        <v>5459</v>
      </c>
      <c r="C1852" s="1" t="s">
        <v>3320</v>
      </c>
      <c r="D1852" s="1" t="str">
        <f ca="1">IFERROR(__xludf.DUMMYFUNCTION("GoogleTranslate(B1852,""ja"",""en"")"),"Ultra-luxurious")</f>
        <v>Ultra-luxurious</v>
      </c>
    </row>
    <row r="1853" spans="1:4" ht="15.75" customHeight="1" x14ac:dyDescent="0.25">
      <c r="A1853" s="1" t="s">
        <v>3321</v>
      </c>
      <c r="B1853" s="1" t="s">
        <v>5460</v>
      </c>
      <c r="C1853" s="1" t="s">
        <v>3322</v>
      </c>
      <c r="D1853" s="1" t="str">
        <f ca="1">IFERROR(__xludf.DUMMYFUNCTION("GoogleTranslate(B1853,""ja"",""en"")"),"inconvenience")</f>
        <v>inconvenience</v>
      </c>
    </row>
    <row r="1854" spans="1:4" ht="15.75" customHeight="1" x14ac:dyDescent="0.25">
      <c r="A1854" s="1" t="s">
        <v>3323</v>
      </c>
      <c r="B1854" s="1" t="s">
        <v>5461</v>
      </c>
      <c r="C1854" s="1" t="s">
        <v>3324</v>
      </c>
      <c r="D1854" s="1" t="str">
        <f ca="1">IFERROR(__xludf.DUMMYFUNCTION("GoogleTranslate(B1854,""ja"",""en"")"),"Favorite dish")</f>
        <v>Favorite dish</v>
      </c>
    </row>
    <row r="1855" spans="1:4" ht="15.75" customHeight="1" x14ac:dyDescent="0.25">
      <c r="A1855" s="1" t="s">
        <v>3325</v>
      </c>
      <c r="B1855" s="1" t="s">
        <v>3309</v>
      </c>
      <c r="C1855" s="1" t="s">
        <v>3326</v>
      </c>
      <c r="D1855" s="1" t="str">
        <f ca="1">IFERROR(__xludf.DUMMYFUNCTION("GoogleTranslate(B1855,""ja"",""en"")"),"Omnipotent")</f>
        <v>Omnipotent</v>
      </c>
    </row>
    <row r="1856" spans="1:4" ht="15.75" customHeight="1" x14ac:dyDescent="0.25">
      <c r="A1856" s="1" t="s">
        <v>3327</v>
      </c>
      <c r="B1856" s="1" t="s">
        <v>5462</v>
      </c>
      <c r="C1856" s="1" t="s">
        <v>3328</v>
      </c>
      <c r="D1856" s="1" t="str">
        <f ca="1">IFERROR(__xludf.DUMMYFUNCTION("GoogleTranslate(B1856,""ja"",""en"")"),"Corporal ability")</f>
        <v>Corporal ability</v>
      </c>
    </row>
    <row r="1857" spans="1:4" ht="15.75" customHeight="1" x14ac:dyDescent="0.25">
      <c r="A1857" s="1" t="s">
        <v>3329</v>
      </c>
      <c r="B1857" s="1" t="s">
        <v>5463</v>
      </c>
      <c r="C1857" s="1" t="s">
        <v>3330</v>
      </c>
      <c r="D1857" s="1" t="str">
        <f ca="1">IFERROR(__xludf.DUMMYFUNCTION("GoogleTranslate(B1857,""ja"",""en"")"),"Corps worker ability")</f>
        <v>Corps worker ability</v>
      </c>
    </row>
    <row r="1858" spans="1:4" ht="15.75" customHeight="1" x14ac:dyDescent="0.25">
      <c r="A1858" s="1" t="s">
        <v>3331</v>
      </c>
      <c r="B1858" s="1" t="s">
        <v>5464</v>
      </c>
      <c r="C1858" s="1" t="s">
        <v>3332</v>
      </c>
      <c r="D1858" s="1" t="str">
        <f ca="1">IFERROR(__xludf.DUMMYFUNCTION("GoogleTranslate(B1858,""ja"",""en"")"),"Back to the military station")</f>
        <v>Back to the military station</v>
      </c>
    </row>
    <row r="1859" spans="1:4" ht="15.75" customHeight="1" x14ac:dyDescent="0.25">
      <c r="A1859" s="1" t="s">
        <v>3333</v>
      </c>
      <c r="B1859" s="1" t="s">
        <v>5465</v>
      </c>
      <c r="C1859" s="1" t="s">
        <v>3334</v>
      </c>
      <c r="D1859" s="1" t="str">
        <f ca="1">IFERROR(__xludf.DUMMYFUNCTION("GoogleTranslate(B1859,""ja"",""en"")"),"Necessary material information")</f>
        <v>Necessary material information</v>
      </c>
    </row>
    <row r="1860" spans="1:4" ht="15.75" customHeight="1" x14ac:dyDescent="0.25">
      <c r="A1860" s="1" t="s">
        <v>3335</v>
      </c>
      <c r="B1860" s="1" t="s">
        <v>3323</v>
      </c>
      <c r="C1860" s="1" t="s">
        <v>3336</v>
      </c>
      <c r="D1860" s="1" t="str">
        <f ca="1">IFERROR(__xludf.DUMMYFUNCTION("GoogleTranslate(B1860,""ja"",""en"")"),"Required number")</f>
        <v>Required number</v>
      </c>
    </row>
    <row r="1861" spans="1:4" ht="15.75" customHeight="1" x14ac:dyDescent="0.25">
      <c r="A1861" s="1" t="s">
        <v>3337</v>
      </c>
      <c r="B1861" s="1" t="s">
        <v>5466</v>
      </c>
      <c r="C1861" s="1" t="s">
        <v>3338</v>
      </c>
      <c r="D1861" s="1" t="str">
        <f ca="1">IFERROR(__xludf.DUMMYFUNCTION("GoogleTranslate(B1861,""ja"",""en"")"),"The number of possession")</f>
        <v>The number of possession</v>
      </c>
    </row>
    <row r="1862" spans="1:4" ht="15.75" customHeight="1" x14ac:dyDescent="0.25">
      <c r="A1862" s="1" t="s">
        <v>3339</v>
      </c>
      <c r="B1862" s="1" t="s">
        <v>3325</v>
      </c>
      <c r="C1862" s="1" t="s">
        <v>3340</v>
      </c>
      <c r="D1862" s="1" t="str">
        <f ca="1">IFERROR(__xludf.DUMMYFUNCTION("GoogleTranslate(B1862,""ja"",""en"")"),"Training material")</f>
        <v>Training material</v>
      </c>
    </row>
    <row r="1863" spans="1:4" ht="15.75" customHeight="1" x14ac:dyDescent="0.25">
      <c r="A1863" s="1" t="s">
        <v>3341</v>
      </c>
      <c r="B1863" s="1" t="s">
        <v>5467</v>
      </c>
      <c r="C1863" s="1" t="s">
        <v>3342</v>
      </c>
      <c r="D1863" s="1" t="str">
        <f ca="1">IFERROR(__xludf.DUMMYFUNCTION("GoogleTranslate(B1863,""ja"",""en"")"),"Upgraded material")</f>
        <v>Upgraded material</v>
      </c>
    </row>
    <row r="1864" spans="1:4" ht="15.75" customHeight="1" x14ac:dyDescent="0.25">
      <c r="A1864" s="1" t="s">
        <v>3343</v>
      </c>
      <c r="B1864" s="1" t="s">
        <v>5468</v>
      </c>
      <c r="C1864" s="1" t="s">
        <v>3344</v>
      </c>
      <c r="D1864" s="1" t="str">
        <f ca="1">IFERROR(__xludf.DUMMYFUNCTION("GoogleTranslate(B1864,""ja"",""en"")"),"You can create armor and materials")</f>
        <v>You can create armor and materials</v>
      </c>
    </row>
    <row r="1865" spans="1:4" ht="15.75" customHeight="1" x14ac:dyDescent="0.25">
      <c r="A1865" s="1" t="s">
        <v>3345</v>
      </c>
      <c r="B1865" s="1" t="s">
        <v>5469</v>
      </c>
      <c r="C1865" s="1" t="s">
        <v>3346</v>
      </c>
      <c r="D1865" s="1" t="str">
        <f ca="1">IFERROR(__xludf.DUMMYFUNCTION("GoogleTranslate(B1865,""ja"",""en"")"),"Total transaction amount is achieved in 100 cars or more.")</f>
        <v>Total transaction amount is achieved in 100 cars or more.</v>
      </c>
    </row>
    <row r="1866" spans="1:4" ht="15.75" customHeight="1" x14ac:dyDescent="0.25">
      <c r="A1866" s="1" t="s">
        <v>3347</v>
      </c>
      <c r="B1866" s="1" t="s">
        <v>5470</v>
      </c>
      <c r="C1866" s="1" t="s">
        <v>3348</v>
      </c>
      <c r="D1866" s="1" t="str">
        <f ca="1">IFERROR(__xludf.DUMMYFUNCTION("GoogleTranslate(B1866,""ja"",""en"")"),"Seal of ""% s"" has been solved.")</f>
        <v>Seal of "% s" has been solved.</v>
      </c>
    </row>
    <row r="1867" spans="1:4" ht="15.75" customHeight="1" x14ac:dyDescent="0.25">
      <c r="A1867" s="1" t="s">
        <v>3349</v>
      </c>
      <c r="B1867" s="1" t="s">
        <v>5471</v>
      </c>
      <c r="C1867" s="1" t="s">
        <v>3350</v>
      </c>
      <c r="D1867" s="1" t="str">
        <f ca="1">IFERROR(__xludf.DUMMYFUNCTION("GoogleTranslate(B1867,""ja"",""en"")"),"And kept all of the pet, is accomplished and I'll take care.")</f>
        <v>And kept all of the pet, is accomplished and I'll take care.</v>
      </c>
    </row>
    <row r="1868" spans="1:4" ht="15.75" customHeight="1" x14ac:dyDescent="0.25">
      <c r="A1868" s="1" t="s">
        <v>3351</v>
      </c>
      <c r="B1868" s="1" t="s">
        <v>5472</v>
      </c>
      <c r="C1868" s="1" t="s">
        <v>3352</v>
      </c>
      <c r="D1868" s="1" t="str">
        <f ca="1">IFERROR(__xludf.DUMMYFUNCTION("GoogleTranslate(B1868,""ja"",""en"")"),"It is achieved if caught all kinds of fish.")</f>
        <v>It is achieved if caught all kinds of fish.</v>
      </c>
    </row>
    <row r="1869" spans="1:4" ht="15.75" customHeight="1" x14ac:dyDescent="0.25">
      <c r="A1869" s="1" t="s">
        <v>3353</v>
      </c>
      <c r="B1869" s="1" t="s">
        <v>5473</v>
      </c>
      <c r="C1869" s="1" t="s">
        <v>3354</v>
      </c>
      <c r="D1869" s="1" t="str">
        <f ca="1">IFERROR(__xludf.DUMMYFUNCTION("GoogleTranslate(B1869,""ja"",""en"")"),"Special")</f>
        <v>Special</v>
      </c>
    </row>
    <row r="1870" spans="1:4" ht="15.75" customHeight="1" x14ac:dyDescent="0.25">
      <c r="A1870" s="1" t="s">
        <v>3355</v>
      </c>
      <c r="B1870" s="1" t="s">
        <v>5474</v>
      </c>
      <c r="C1870" s="1" t="s">
        <v>3356</v>
      </c>
      <c r="D1870" s="1" t="str">
        <f ca="1">IFERROR(__xludf.DUMMYFUNCTION("GoogleTranslate(B1870,""ja"",""en"")"),"Armor")</f>
        <v>Armor</v>
      </c>
    </row>
    <row r="1871" spans="1:4" ht="15.75" customHeight="1" x14ac:dyDescent="0.25">
      <c r="A1871" s="1" t="s">
        <v>3357</v>
      </c>
      <c r="B1871" s="1" t="s">
        <v>5475</v>
      </c>
      <c r="C1871" s="1" t="s">
        <v>3358</v>
      </c>
      <c r="D1871" s="1" t="str">
        <f ca="1">IFERROR(__xludf.DUMMYFUNCTION("GoogleTranslate(B1871,""ja"",""en"")"),"&lt;Sign: 1&gt; display switching &lt;Sign: D&gt; decision &lt;Sign: C&gt; Back")</f>
        <v>&lt;Sign: 1&gt; display switching &lt;Sign: D&gt; decision &lt;Sign: C&gt; Back</v>
      </c>
    </row>
    <row r="1872" spans="1:4" ht="15.75" customHeight="1" x14ac:dyDescent="0.25">
      <c r="A1872" s="1" t="s">
        <v>3359</v>
      </c>
      <c r="B1872" s="1" t="s">
        <v>5476</v>
      </c>
      <c r="C1872" s="1" t="s">
        <v>3360</v>
      </c>
      <c r="D1872" s="1" t="str">
        <f ca="1">IFERROR(__xludf.DUMMYFUNCTION("GoogleTranslate(B1872,""ja"",""en"")"),"ATK% d")</f>
        <v>ATK% d</v>
      </c>
    </row>
    <row r="1873" spans="1:4" ht="15.75" customHeight="1" x14ac:dyDescent="0.25">
      <c r="A1873" s="1" t="s">
        <v>3361</v>
      </c>
      <c r="B1873" s="1" t="s">
        <v>5477</v>
      </c>
      <c r="C1873" s="1" t="s">
        <v>3362</v>
      </c>
      <c r="D1873" s="1" t="str">
        <f ca="1">IFERROR(__xludf.DUMMYFUNCTION("GoogleTranslate(B1873,""ja"",""en"")"),"Defense force% d")</f>
        <v>Defense force% d</v>
      </c>
    </row>
    <row r="1874" spans="1:4" ht="15.75" customHeight="1" x14ac:dyDescent="0.25">
      <c r="A1874" s="1" t="s">
        <v>3363</v>
      </c>
      <c r="B1874" s="1" t="s">
        <v>5478</v>
      </c>
      <c r="C1874" s="1" t="s">
        <v>3364</v>
      </c>
      <c r="D1874" s="1" t="str">
        <f ca="1">IFERROR(__xludf.DUMMYFUNCTION("GoogleTranslate(B1874,""ja"",""en"")"),"free")</f>
        <v>free</v>
      </c>
    </row>
    <row r="1875" spans="1:4" ht="15.75" customHeight="1" x14ac:dyDescent="0.25">
      <c r="A1875" s="1" t="s">
        <v>3365</v>
      </c>
      <c r="B1875" s="1" t="s">
        <v>5479</v>
      </c>
      <c r="C1875" s="1" t="s">
        <v>3366</v>
      </c>
      <c r="D1875" s="1" t="str">
        <f ca="1">IFERROR(__xludf.DUMMYFUNCTION("GoogleTranslate(B1875,""ja"",""en"")"),"&lt;Sign: C&gt; line-of-sight reset")</f>
        <v>&lt;Sign: C&gt; line-of-sight reset</v>
      </c>
    </row>
    <row r="1876" spans="1:4" ht="15.75" customHeight="1" x14ac:dyDescent="0.25">
      <c r="A1876" s="1" t="s">
        <v>3367</v>
      </c>
      <c r="B1876" s="1" t="s">
        <v>5480</v>
      </c>
      <c r="C1876" s="1" t="s">
        <v>3368</v>
      </c>
      <c r="D1876" s="1" t="str">
        <f ca="1">IFERROR(__xludf.DUMMYFUNCTION("GoogleTranslate(B1876,""ja"",""en"")"),"&lt;Sign: 29&gt; eye movement")</f>
        <v>&lt;Sign: 29&gt; eye movement</v>
      </c>
    </row>
    <row r="1877" spans="1:4" ht="15.75" customHeight="1" x14ac:dyDescent="0.25">
      <c r="A1877" s="1" t="s">
        <v>3369</v>
      </c>
      <c r="B1877" s="1" t="s">
        <v>5481</v>
      </c>
      <c r="C1877" s="1" t="s">
        <v>3370</v>
      </c>
      <c r="D1877" s="1" t="str">
        <f ca="1">IFERROR(__xludf.DUMMYFUNCTION("GoogleTranslate(B1877,""ja"",""en"")"),"The destination is also full. Are you sure you want to throw away?")</f>
        <v>The destination is also full. Are you sure you want to throw away?</v>
      </c>
    </row>
    <row r="1878" spans="1:4" ht="15.75" customHeight="1" x14ac:dyDescent="0.25">
      <c r="A1878" s="1" t="s">
        <v>3371</v>
      </c>
      <c r="B1878" s="1" t="s">
        <v>5482</v>
      </c>
      <c r="C1878" s="1" t="s">
        <v>3372</v>
      </c>
      <c r="D1878" s="1" t="str">
        <f ca="1">IFERROR(__xludf.DUMMYFUNCTION("GoogleTranslate(B1878,""ja"",""en"")"),"% Threw away the s")</f>
        <v>% Threw away the s</v>
      </c>
    </row>
    <row r="1879" spans="1:4" ht="15.75" customHeight="1" x14ac:dyDescent="0.25">
      <c r="A1879" s="1" t="s">
        <v>3373</v>
      </c>
      <c r="B1879" s="1" t="s">
        <v>5483</v>
      </c>
      <c r="C1879" s="1" t="s">
        <v>3374</v>
      </c>
      <c r="D1879" s="1" t="str">
        <f ca="1">IFERROR(__xludf.DUMMYFUNCTION("GoogleTranslate(B1879,""ja"",""en"")"),"(Do not have what seems to be given ...)")</f>
        <v>(Do not have what seems to be given ...)</v>
      </c>
    </row>
    <row r="1880" spans="1:4" ht="15.75" customHeight="1" x14ac:dyDescent="0.25">
      <c r="A1880" s="1" t="s">
        <v>3375</v>
      </c>
      <c r="B1880" s="1" t="s">
        <v>5484</v>
      </c>
      <c r="C1880" s="1" t="s">
        <v>3376</v>
      </c>
      <c r="D1880" s="1" t="str">
        <f ca="1">IFERROR(__xludf.DUMMYFUNCTION("GoogleTranslate(B1880,""ja"",""en"")"),"(Or try to do even those that something fine arrive ...)")</f>
        <v>(Or try to do even those that something fine arrive ...)</v>
      </c>
    </row>
    <row r="1881" spans="1:4" ht="15.75" customHeight="1" x14ac:dyDescent="0.25">
      <c r="A1881" s="1" t="s">
        <v>3377</v>
      </c>
      <c r="B1881" s="1" t="s">
        <v>5485</v>
      </c>
      <c r="C1881" s="1" t="s">
        <v>3378</v>
      </c>
      <c r="D1881" s="1" t="str">
        <f ca="1">IFERROR(__xludf.DUMMYFUNCTION("GoogleTranslate(B1881,""ja"",""en"")"),"Can you really give?")</f>
        <v>Can you really give?</v>
      </c>
    </row>
    <row r="1882" spans="1:4" ht="15.75" customHeight="1" x14ac:dyDescent="0.25">
      <c r="A1882" s="1" t="s">
        <v>3379</v>
      </c>
      <c r="B1882" s="1" t="s">
        <v>5486</v>
      </c>
      <c r="C1882" s="1" t="s">
        <v>3380</v>
      </c>
      <c r="D1882" s="1" t="str">
        <f ca="1">IFERROR(__xludf.DUMMYFUNCTION("GoogleTranslate(B1882,""ja"",""en"")"),"(Eat Do not have what is likely ...)")</f>
        <v>(Eat Do not have what is likely ...)</v>
      </c>
    </row>
    <row r="1883" spans="1:4" ht="15.75" customHeight="1" x14ac:dyDescent="0.25">
      <c r="A1883" s="1" t="s">
        <v>3381</v>
      </c>
      <c r="B1883" s="1" t="s">
        <v>5487</v>
      </c>
      <c r="C1883" s="1" t="s">
        <v>3382</v>
      </c>
      <c r="D1883" s="1" t="str">
        <f ca="1">IFERROR(__xludf.DUMMYFUNCTION("GoogleTranslate(B1883,""ja"",""en"")"),"(... What do you Kuo)")</f>
        <v>(... What do you Kuo)</v>
      </c>
    </row>
    <row r="1884" spans="1:4" ht="15.75" customHeight="1" x14ac:dyDescent="0.25">
      <c r="A1884" s="1" t="s">
        <v>3383</v>
      </c>
      <c r="B1884" s="1" t="s">
        <v>5488</v>
      </c>
      <c r="C1884" s="1" t="s">
        <v>3384</v>
      </c>
      <c r="D1884" s="1" t="str">
        <f ca="1">IFERROR(__xludf.DUMMYFUNCTION("GoogleTranslate(B1884,""ja"",""en"")"),"Can you really eat?")</f>
        <v>Can you really eat?</v>
      </c>
    </row>
    <row r="1885" spans="1:4" ht="15.75" customHeight="1" x14ac:dyDescent="0.25">
      <c r="A1885" s="1" t="s">
        <v>3385</v>
      </c>
      <c r="B1885" s="1" t="s">
        <v>5489</v>
      </c>
      <c r="C1885" s="1" t="s">
        <v>3386</v>
      </c>
      <c r="D1885" s="1" t="str">
        <f ca="1">IFERROR(__xludf.DUMMYFUNCTION("GoogleTranslate(B1885,""ja"",""en"")"),"Capacity use")</f>
        <v>Capacity use</v>
      </c>
    </row>
    <row r="1886" spans="1:4" ht="15.75" customHeight="1" x14ac:dyDescent="0.25">
      <c r="A1886" s="1" t="s">
        <v>3387</v>
      </c>
      <c r="B1886" s="1" t="s">
        <v>5490</v>
      </c>
      <c r="C1886" s="1" t="s">
        <v>3388</v>
      </c>
      <c r="D1886" s="1" t="str">
        <f ca="1">IFERROR(__xludf.DUMMYFUNCTION("GoogleTranslate(B1886,""ja"",""en"")"),"Make the organization of the troops.")</f>
        <v>Make the organization of the troops.</v>
      </c>
    </row>
    <row r="1887" spans="1:4" ht="15.75" customHeight="1" x14ac:dyDescent="0.25">
      <c r="A1887" s="1" t="s">
        <v>3389</v>
      </c>
      <c r="B1887" s="1" t="s">
        <v>5491</v>
      </c>
      <c r="C1887" s="1" t="s">
        <v>3390</v>
      </c>
      <c r="D1887" s="1" t="str">
        <f ca="1">IFERROR(__xludf.DUMMYFUNCTION("GoogleTranslate(B1887,""ja"",""en"")"),"And troops led troops.")</f>
        <v>And troops led troops.</v>
      </c>
    </row>
    <row r="1888" spans="1:4" ht="15.75" customHeight="1" x14ac:dyDescent="0.25">
      <c r="A1888" s="1" t="s">
        <v>3391</v>
      </c>
      <c r="B1888" s="1" t="s">
        <v>5492</v>
      </c>
      <c r="C1888" s="1" t="s">
        <v>3392</v>
      </c>
      <c r="D1888" s="1" t="str">
        <f ca="1">IFERROR(__xludf.DUMMYFUNCTION("GoogleTranslate(B1888,""ja"",""en"")"),"Recruit with money.")</f>
        <v>Recruit with money.</v>
      </c>
    </row>
    <row r="1889" spans="1:4" ht="15.75" customHeight="1" x14ac:dyDescent="0.25">
      <c r="A1889" s="1" t="s">
        <v>3393</v>
      </c>
      <c r="B1889" s="1" t="s">
        <v>5493</v>
      </c>
      <c r="C1889" s="1" t="s">
        <v>3394</v>
      </c>
      <c r="D1889" s="1" t="str">
        <f ca="1">IFERROR(__xludf.DUMMYFUNCTION("GoogleTranslate(B1889,""ja"",""en"")"),"And the change of belongings.")</f>
        <v>And the change of belongings.</v>
      </c>
    </row>
    <row r="1890" spans="1:4" ht="15.75" customHeight="1" x14ac:dyDescent="0.25">
      <c r="A1890" s="1" t="s">
        <v>3395</v>
      </c>
      <c r="B1890" s="1" t="s">
        <v>3385</v>
      </c>
      <c r="C1890" s="1" t="s">
        <v>3396</v>
      </c>
      <c r="D1890" s="1" t="str">
        <f ca="1">IFERROR(__xludf.DUMMYFUNCTION("GoogleTranslate(B1890,""ja"",""en"")"),"You can see how to play description.")</f>
        <v>You can see how to play description.</v>
      </c>
    </row>
    <row r="1891" spans="1:4" ht="15.75" customHeight="1" x14ac:dyDescent="0.25">
      <c r="A1891" s="1" t="s">
        <v>3397</v>
      </c>
      <c r="B1891" s="1" t="s">
        <v>5494</v>
      </c>
      <c r="C1891" s="1" t="s">
        <v>3398</v>
      </c>
      <c r="D1891" s="1" t="str">
        <f ca="1">IFERROR(__xludf.DUMMYFUNCTION("GoogleTranslate(B1891,""ja"",""en"")"),"Exit the battle dungeon.")</f>
        <v>Exit the battle dungeon.</v>
      </c>
    </row>
    <row r="1892" spans="1:4" ht="15.75" customHeight="1" x14ac:dyDescent="0.25">
      <c r="A1892" s="1" t="s">
        <v>3399</v>
      </c>
      <c r="B1892" s="1" t="s">
        <v>5495</v>
      </c>
      <c r="C1892" s="1" t="s">
        <v>3400</v>
      </c>
      <c r="D1892" s="1" t="str">
        <f ca="1">IFERROR(__xludf.DUMMYFUNCTION("GoogleTranslate(B1892,""ja"",""en"")"),"Replacement")</f>
        <v>Replacement</v>
      </c>
    </row>
    <row r="1893" spans="1:4" ht="15.75" customHeight="1" x14ac:dyDescent="0.25">
      <c r="A1893" s="1" t="s">
        <v>3401</v>
      </c>
      <c r="B1893" s="1" t="s">
        <v>5496</v>
      </c>
      <c r="C1893" s="1" t="s">
        <v>3402</v>
      </c>
      <c r="D1893" s="1" t="str">
        <f ca="1">IFERROR(__xludf.DUMMYFUNCTION("GoogleTranslate(B1893,""ja"",""en"")"),"Reinforced synthetic")</f>
        <v>Reinforced synthetic</v>
      </c>
    </row>
    <row r="1894" spans="1:4" ht="15.75" customHeight="1" x14ac:dyDescent="0.25">
      <c r="A1894" s="1" t="s">
        <v>3403</v>
      </c>
      <c r="B1894" s="1" t="s">
        <v>5497</v>
      </c>
      <c r="C1894" s="1" t="s">
        <v>3404</v>
      </c>
      <c r="D1894" s="1" t="str">
        <f ca="1">IFERROR(__xludf.DUMMYFUNCTION("GoogleTranslate(B1894,""ja"",""en"")"),"Reincarnation")</f>
        <v>Reincarnation</v>
      </c>
    </row>
    <row r="1895" spans="1:4" ht="15.75" customHeight="1" x14ac:dyDescent="0.25">
      <c r="A1895" s="1" t="s">
        <v>3405</v>
      </c>
      <c r="B1895" s="1" t="s">
        <v>5498</v>
      </c>
      <c r="C1895" s="1" t="s">
        <v>3406</v>
      </c>
      <c r="D1895" s="1" t="str">
        <f ca="1">IFERROR(__xludf.DUMMYFUNCTION("GoogleTranslate(B1895,""ja"",""en"")"),"Remove from troops")</f>
        <v>Remove from troops</v>
      </c>
    </row>
    <row r="1896" spans="1:4" ht="15.75" customHeight="1" x14ac:dyDescent="0.25">
      <c r="A1896" s="1" t="s">
        <v>3407</v>
      </c>
      <c r="B1896" s="1" t="s">
        <v>5499</v>
      </c>
      <c r="C1896" s="1" t="s">
        <v>3408</v>
      </c>
      <c r="D1896" s="1" t="str">
        <f ca="1">IFERROR(__xludf.DUMMYFUNCTION("GoogleTranslate(B1896,""ja"",""en"")"),"Expelling")</f>
        <v>Expelling</v>
      </c>
    </row>
    <row r="1897" spans="1:4" ht="15.75" customHeight="1" x14ac:dyDescent="0.25">
      <c r="A1897" s="1" t="s">
        <v>3409</v>
      </c>
      <c r="B1897" s="1" t="s">
        <v>5500</v>
      </c>
      <c r="C1897" s="1" t="s">
        <v>3410</v>
      </c>
      <c r="D1897" s="1" t="str">
        <f ca="1">IFERROR(__xludf.DUMMYFUNCTION("GoogleTranslate(B1897,""ja"",""en"")"),"10 cars")</f>
        <v>10 cars</v>
      </c>
    </row>
    <row r="1898" spans="1:4" ht="15.75" customHeight="1" x14ac:dyDescent="0.25">
      <c r="A1898" s="1" t="s">
        <v>3411</v>
      </c>
      <c r="B1898" s="1" t="s">
        <v>5501</v>
      </c>
      <c r="C1898" s="1" t="s">
        <v>3412</v>
      </c>
      <c r="D1898" s="1" t="str">
        <f ca="1">IFERROR(__xludf.DUMMYFUNCTION("GoogleTranslate(B1898,""ja"",""en"")"),"5 cars")</f>
        <v>5 cars</v>
      </c>
    </row>
    <row r="1899" spans="1:4" ht="15.75" customHeight="1" x14ac:dyDescent="0.25">
      <c r="A1899" s="1" t="s">
        <v>3413</v>
      </c>
      <c r="B1899" s="1" t="s">
        <v>5502</v>
      </c>
      <c r="C1899" s="1" t="s">
        <v>3414</v>
      </c>
      <c r="D1899" s="1" t="str">
        <f ca="1">IFERROR(__xludf.DUMMYFUNCTION("GoogleTranslate(B1899,""ja"",""en"")"),"1 Both")</f>
        <v>1 Both</v>
      </c>
    </row>
    <row r="1900" spans="1:4" ht="15.75" customHeight="1" x14ac:dyDescent="0.25">
      <c r="A1900" s="1" t="s">
        <v>3415</v>
      </c>
      <c r="B1900" s="1" t="s">
        <v>5503</v>
      </c>
      <c r="C1900" s="1" t="s">
        <v>3416</v>
      </c>
      <c r="D1900" s="1" t="str">
        <f ca="1">IFERROR(__xludf.DUMMYFUNCTION("GoogleTranslate(B1900,""ja"",""en"")"),"5000 statement")</f>
        <v>5000 statement</v>
      </c>
    </row>
    <row r="1901" spans="1:4" ht="15.75" customHeight="1" x14ac:dyDescent="0.25">
      <c r="A1901" s="1" t="s">
        <v>3417</v>
      </c>
      <c r="B1901" s="1" t="s">
        <v>5504</v>
      </c>
      <c r="C1901" s="1" t="s">
        <v>3418</v>
      </c>
      <c r="D1901" s="1" t="str">
        <f ca="1">IFERROR(__xludf.DUMMYFUNCTION("GoogleTranslate(B1901,""ja"",""en"")"),"% S used by you recruit.")</f>
        <v>% S used by you recruit.</v>
      </c>
    </row>
    <row r="1902" spans="1:4" ht="15.75" customHeight="1" x14ac:dyDescent="0.25">
      <c r="A1902" s="1" t="s">
        <v>3419</v>
      </c>
      <c r="B1902" s="1" t="s">
        <v>5505</v>
      </c>
      <c r="C1902" s="1" t="s">
        <v>3420</v>
      </c>
      <c r="D1902" s="1" t="str">
        <f ca="1">IFERROR(__xludf.DUMMYFUNCTION("GoogleTranslate(B1902,""ja"",""en"")"),"It can not be held any more corps officer.")</f>
        <v>It can not be held any more corps officer.</v>
      </c>
    </row>
    <row r="1903" spans="1:4" ht="15.75" customHeight="1" x14ac:dyDescent="0.25">
      <c r="A1903" s="1" t="s">
        <v>3421</v>
      </c>
      <c r="B1903" s="1" t="s">
        <v>3413</v>
      </c>
      <c r="C1903" s="1" t="s">
        <v>3422</v>
      </c>
      <c r="D1903" s="1" t="str">
        <f ca="1">IFERROR(__xludf.DUMMYFUNCTION("GoogleTranslate(B1903,""ja"",""en"")"),"Please select troops.")</f>
        <v>Please select troops.</v>
      </c>
    </row>
    <row r="1904" spans="1:4" ht="15.75" customHeight="1" x14ac:dyDescent="0.25">
      <c r="A1904" s="1" t="s">
        <v>3423</v>
      </c>
      <c r="B1904" s="1" t="s">
        <v>5506</v>
      </c>
      <c r="C1904" s="1" t="s">
        <v>3424</v>
      </c>
      <c r="D1904" s="1" t="str">
        <f ca="1">IFERROR(__xludf.DUMMYFUNCTION("GoogleTranslate(B1904,""ja"",""en"")"),"Please select a corps officer.")</f>
        <v>Please select a corps officer.</v>
      </c>
    </row>
    <row r="1905" spans="1:4" ht="15.75" customHeight="1" x14ac:dyDescent="0.25">
      <c r="A1905" s="1" t="s">
        <v>3425</v>
      </c>
      <c r="B1905" s="1" t="s">
        <v>5507</v>
      </c>
      <c r="C1905" s="1" t="s">
        <v>3426</v>
      </c>
      <c r="D1905" s="1" t="str">
        <f ca="1">IFERROR(__xludf.DUMMYFUNCTION("GoogleTranslate(B1905,""ja"",""en"")"),"Please select a replacement want Corps officer.")</f>
        <v>Please select a replacement want Corps officer.</v>
      </c>
    </row>
    <row r="1906" spans="1:4" ht="15.75" customHeight="1" x14ac:dyDescent="0.25">
      <c r="A1906" s="1" t="s">
        <v>3427</v>
      </c>
      <c r="B1906" s="1" t="s">
        <v>3421</v>
      </c>
      <c r="C1906" s="1" t="s">
        <v>3428</v>
      </c>
      <c r="D1906" s="1" t="str">
        <f ca="1">IFERROR(__xludf.DUMMYFUNCTION("GoogleTranslate(B1906,""ja"",""en"")"),"Swaps the corps officer.")</f>
        <v>Swaps the corps officer.</v>
      </c>
    </row>
    <row r="1907" spans="1:4" ht="15.75" customHeight="1" x14ac:dyDescent="0.25">
      <c r="A1907" s="1" t="s">
        <v>3429</v>
      </c>
      <c r="B1907" s="1" t="s">
        <v>5508</v>
      </c>
      <c r="C1907" s="1" t="s">
        <v>3430</v>
      </c>
      <c r="D1907" s="1" t="str">
        <f ca="1">IFERROR(__xludf.DUMMYFUNCTION("GoogleTranslate(B1907,""ja"",""en"")"),"Do the strengthening of the corps officer.")</f>
        <v>Do the strengthening of the corps officer.</v>
      </c>
    </row>
    <row r="1908" spans="1:4" ht="15.75" customHeight="1" x14ac:dyDescent="0.25">
      <c r="A1908" s="1" t="s">
        <v>3431</v>
      </c>
      <c r="B1908" s="1" t="s">
        <v>5509</v>
      </c>
      <c r="C1908" s="1" t="s">
        <v>3432</v>
      </c>
      <c r="D1908" s="1" t="str">
        <f ca="1">IFERROR(__xludf.DUMMYFUNCTION("GoogleTranslate(B1908,""ja"",""en"")"),"Listening to the needs of the Corps workers, and to the further evolution.")</f>
        <v>Listening to the needs of the Corps workers, and to the further evolution.</v>
      </c>
    </row>
    <row r="1909" spans="1:4" ht="15.75" customHeight="1" x14ac:dyDescent="0.25">
      <c r="A1909" s="1" t="s">
        <v>3433</v>
      </c>
      <c r="B1909" s="1" t="s">
        <v>5510</v>
      </c>
      <c r="C1909" s="1" t="s">
        <v>3434</v>
      </c>
      <c r="D1909" s="1" t="str">
        <f ca="1">IFERROR(__xludf.DUMMYFUNCTION("GoogleTranslate(B1909,""ja"",""en"")"),"Remove from the troops.")</f>
        <v>Remove from the troops.</v>
      </c>
    </row>
    <row r="1910" spans="1:4" ht="15.75" customHeight="1" x14ac:dyDescent="0.25">
      <c r="A1910" s="1" t="s">
        <v>3435</v>
      </c>
      <c r="B1910" s="1" t="s">
        <v>5511</v>
      </c>
      <c r="C1910" s="1" t="s">
        <v>3436</v>
      </c>
      <c r="D1910" s="1" t="str">
        <f ca="1">IFERROR(__xludf.DUMMYFUNCTION("GoogleTranslate(B1910,""ja"",""en"")"),"Close the menu.")</f>
        <v>Close the menu.</v>
      </c>
    </row>
    <row r="1911" spans="1:4" ht="15.75" customHeight="1" x14ac:dyDescent="0.25">
      <c r="A1911" s="1" t="s">
        <v>3437</v>
      </c>
      <c r="B1911" s="1" t="s">
        <v>5512</v>
      </c>
      <c r="C1911" s="1" t="s">
        <v>3438</v>
      </c>
      <c r="D1911" s="1" t="str">
        <f ca="1">IFERROR(__xludf.DUMMYFUNCTION("GoogleTranslate(B1911,""ja"",""en"")"),"And expelled the corps officer.")</f>
        <v>And expelled the corps officer.</v>
      </c>
    </row>
    <row r="1912" spans="1:4" ht="15.75" customHeight="1" x14ac:dyDescent="0.25">
      <c r="A1912" s="1" t="s">
        <v>3439</v>
      </c>
      <c r="B1912" s="1" t="s">
        <v>5513</v>
      </c>
      <c r="C1912" s="1" t="s">
        <v>3440</v>
      </c>
      <c r="D1912" s="1" t="str">
        <f ca="1">IFERROR(__xludf.DUMMYFUNCTION("GoogleTranslate(B1912,""ja"",""en"")"),"Do you add this corps officer in the third Corps?")</f>
        <v>Do you add this corps officer in the third Corps?</v>
      </c>
    </row>
    <row r="1913" spans="1:4" ht="15.75" customHeight="1" x14ac:dyDescent="0.25">
      <c r="A1913" s="1" t="s">
        <v>3441</v>
      </c>
      <c r="B1913" s="1" t="s">
        <v>5514</v>
      </c>
      <c r="C1913" s="1" t="s">
        <v>3442</v>
      </c>
      <c r="D1913" s="1" t="str">
        <f ca="1">IFERROR(__xludf.DUMMYFUNCTION("GoogleTranslate(B1913,""ja"",""en"")"),"On a mission failure that overlaps every time, it seems to be frustrated to the captain.")</f>
        <v>On a mission failure that overlaps every time, it seems to be frustrated to the captain.</v>
      </c>
    </row>
    <row r="1914" spans="1:4" ht="15.75" customHeight="1" x14ac:dyDescent="0.25">
      <c r="A1914" s="1" t="s">
        <v>3443</v>
      </c>
      <c r="B1914" s="1" t="s">
        <v>5515</v>
      </c>
      <c r="C1914" s="1" t="s">
        <v>3444</v>
      </c>
      <c r="D1914" s="1" t="str">
        <f ca="1">IFERROR(__xludf.DUMMYFUNCTION("GoogleTranslate(B1914,""ja"",""en"")"),"There is a place where a little lacking in loyalty, seems dissatisfied with the ability of the captain.")</f>
        <v>There is a place where a little lacking in loyalty, seems dissatisfied with the ability of the captain.</v>
      </c>
    </row>
    <row r="1915" spans="1:4" ht="15.75" customHeight="1" x14ac:dyDescent="0.25">
      <c r="A1915" s="1" t="s">
        <v>3445</v>
      </c>
      <c r="B1915" s="1" t="s">
        <v>5516</v>
      </c>
      <c r="C1915" s="1" t="s">
        <v>3446</v>
      </c>
      <c r="D1915" s="1" t="str">
        <f ca="1">IFERROR(__xludf.DUMMYFUNCTION("GoogleTranslate(B1915,""ja"",""en"")"),"Prospectively have a loyalty to tackle the mission, it seems to be working hard.")</f>
        <v>Prospectively have a loyalty to tackle the mission, it seems to be working hard.</v>
      </c>
    </row>
    <row r="1916" spans="1:4" ht="15.75" customHeight="1" x14ac:dyDescent="0.25">
      <c r="A1916" s="1" t="s">
        <v>3447</v>
      </c>
      <c r="B1916" s="1" t="s">
        <v>5517</v>
      </c>
      <c r="C1916" s="1" t="s">
        <v>3448</v>
      </c>
      <c r="D1916" s="1" t="str">
        <f ca="1">IFERROR(__xludf.DUMMYFUNCTION("GoogleTranslate(B1916,""ja"",""en"")"),"Full of loyalty, it seems to be looking forward to the next mission.")</f>
        <v>Full of loyalty, it seems to be looking forward to the next mission.</v>
      </c>
    </row>
    <row r="1917" spans="1:4" ht="15.75" customHeight="1" x14ac:dyDescent="0.25">
      <c r="A1917" s="1" t="s">
        <v>3449</v>
      </c>
      <c r="B1917" s="1" t="s">
        <v>5518</v>
      </c>
      <c r="C1917" s="1" t="s">
        <v>3450</v>
      </c>
      <c r="D1917" s="1" t="str">
        <f ca="1">IFERROR(__xludf.DUMMYFUNCTION("GoogleTranslate(B1917,""ja"",""en"")"),"Full of loyalty to the captain, it seems to look forward to the next mission.")</f>
        <v>Full of loyalty to the captain, it seems to look forward to the next mission.</v>
      </c>
    </row>
    <row r="1918" spans="1:4" ht="15.75" customHeight="1" x14ac:dyDescent="0.25">
      <c r="A1918" s="1" t="s">
        <v>3451</v>
      </c>
      <c r="B1918" s="1" t="s">
        <v>5519</v>
      </c>
      <c r="C1918" s="1" t="s">
        <v>3452</v>
      </c>
      <c r="D1918" s="1" t="str">
        <f ca="1">IFERROR(__xludf.DUMMYFUNCTION("GoogleTranslate(B1918,""ja"",""en"")"),"Please select the troops destination.")</f>
        <v>Please select the troops destination.</v>
      </c>
    </row>
    <row r="1919" spans="1:4" ht="15.75" customHeight="1" x14ac:dyDescent="0.25">
      <c r="A1919" s="1" t="s">
        <v>3453</v>
      </c>
      <c r="B1919" s="1" t="s">
        <v>5520</v>
      </c>
      <c r="C1919" s="1" t="s">
        <v>3454</v>
      </c>
      <c r="D1919" s="1" t="str">
        <f ca="1">IFERROR(__xludf.DUMMYFUNCTION("GoogleTranslate(B1919,""ja"",""en"")"),"Please select a mission.")</f>
        <v>Please select a mission.</v>
      </c>
    </row>
    <row r="1920" spans="1:4" ht="15.75" customHeight="1" x14ac:dyDescent="0.25">
      <c r="A1920" s="1" t="s">
        <v>3455</v>
      </c>
      <c r="B1920" s="1" t="s">
        <v>5521</v>
      </c>
      <c r="C1920" s="1" t="s">
        <v>3456</v>
      </c>
      <c r="D1920" s="1" t="str">
        <f ca="1">IFERROR(__xludf.DUMMYFUNCTION("GoogleTranslate(B1920,""ja"",""en"")"),"View List")</f>
        <v>View List</v>
      </c>
    </row>
    <row r="1921" spans="1:4" ht="15.75" customHeight="1" x14ac:dyDescent="0.25">
      <c r="A1921" s="1" t="s">
        <v>3457</v>
      </c>
      <c r="B1921" s="1" t="s">
        <v>5522</v>
      </c>
      <c r="C1921" s="1" t="s">
        <v>3458</v>
      </c>
      <c r="D1921" s="1" t="str">
        <f ca="1">IFERROR(__xludf.DUMMYFUNCTION("GoogleTranslate(B1921,""ja"",""en"")"),"View troops destination information")</f>
        <v>View troops destination information</v>
      </c>
    </row>
    <row r="1922" spans="1:4" ht="15.75" customHeight="1" x14ac:dyDescent="0.25">
      <c r="A1922" s="1" t="s">
        <v>3459</v>
      </c>
      <c r="B1922" s="1" t="s">
        <v>5523</v>
      </c>
      <c r="C1922" s="1" t="s">
        <v>3460</v>
      </c>
      <c r="D1922" s="1" t="str">
        <f ca="1">IFERROR(__xludf.DUMMYFUNCTION("GoogleTranslate(B1922,""ja"",""en"")"),"Start-reinforced synthetic")</f>
        <v>Start-reinforced synthetic</v>
      </c>
    </row>
    <row r="1923" spans="1:4" ht="15.75" customHeight="1" x14ac:dyDescent="0.25">
      <c r="A1923" s="1" t="s">
        <v>3461</v>
      </c>
      <c r="B1923" s="1" t="s">
        <v>5524</v>
      </c>
      <c r="C1923" s="1" t="s">
        <v>3462</v>
      </c>
      <c r="D1923" s="1" t="str">
        <f ca="1">IFERROR(__xludf.DUMMYFUNCTION("GoogleTranslate(B1923,""ja"",""en"")"),"Do you want to start a reinforced synthetic?")</f>
        <v>Do you want to start a reinforced synthetic?</v>
      </c>
    </row>
    <row r="1924" spans="1:4" ht="15.75" customHeight="1" x14ac:dyDescent="0.25">
      <c r="A1924" s="1" t="s">
        <v>3463</v>
      </c>
      <c r="B1924" s="1" t="s">
        <v>5525</v>
      </c>
      <c r="C1924" s="1" t="s">
        <v>3464</v>
      </c>
      <c r="D1924" s="1" t="str">
        <f ca="1">IFERROR(__xludf.DUMMYFUNCTION("GoogleTranslate(B1924,""ja"",""en"")"),"After &lt;Color: 5&gt;% d people &lt;Color: Default&gt; can be selected.")</f>
        <v>After &lt;Color: 5&gt;% d people &lt;Color: Default&gt; can be selected.</v>
      </c>
    </row>
    <row r="1925" spans="1:4" ht="15.75" customHeight="1" x14ac:dyDescent="0.25">
      <c r="A1925" s="1" t="s">
        <v>3465</v>
      </c>
      <c r="B1925" s="1" t="s">
        <v>5526</v>
      </c>
      <c r="C1925" s="1" t="s">
        <v>3466</v>
      </c>
      <c r="D1925" s="1" t="str">
        <f ca="1">IFERROR(__xludf.DUMMYFUNCTION("GoogleTranslate(B1925,""ja"",""en"")"),"Corps Officer List")</f>
        <v>Corps Officer List</v>
      </c>
    </row>
    <row r="1926" spans="1:4" ht="15.75" customHeight="1" x14ac:dyDescent="0.25">
      <c r="A1926" s="1" t="s">
        <v>3467</v>
      </c>
      <c r="B1926" s="1" t="s">
        <v>5527</v>
      </c>
      <c r="C1926" s="1" t="s">
        <v>3468</v>
      </c>
      <c r="D1926" s="1" t="str">
        <f ca="1">IFERROR(__xludf.DUMMYFUNCTION("GoogleTranslate(B1926,""ja"",""en"")"),"Please select the desired Corps officer to look at the details.")</f>
        <v>Please select the desired Corps officer to look at the details.</v>
      </c>
    </row>
    <row r="1927" spans="1:4" ht="15.75" customHeight="1" x14ac:dyDescent="0.25">
      <c r="A1927" s="1" t="s">
        <v>3469</v>
      </c>
      <c r="B1927" s="1" t="s">
        <v>5528</v>
      </c>
      <c r="C1927" s="1" t="s">
        <v>213</v>
      </c>
      <c r="D1927" s="1" t="str">
        <f ca="1">IFERROR(__xludf.DUMMYFUNCTION("GoogleTranslate(B1927,""ja"",""en"")"),".")</f>
        <v>.</v>
      </c>
    </row>
    <row r="1928" spans="1:4" ht="15.75" customHeight="1" x14ac:dyDescent="0.25">
      <c r="A1928" s="1" t="s">
        <v>3470</v>
      </c>
      <c r="B1928" s="1" t="s">
        <v>5529</v>
      </c>
      <c r="C1928" s="1" t="s">
        <v>3471</v>
      </c>
      <c r="D1928" s="1" t="str">
        <f ca="1">IFERROR(__xludf.DUMMYFUNCTION("GoogleTranslate(B1928,""ja"",""en"")"),"Can not be held any more corps officer, did not accept the [n] enlisted seekers")</f>
        <v>Can not be held any more corps officer, did not accept the [n] enlisted seekers</v>
      </c>
    </row>
    <row r="1929" spans="1:4" ht="15.75" customHeight="1" x14ac:dyDescent="0.25">
      <c r="A1929" s="1" t="s">
        <v>3472</v>
      </c>
      <c r="B1929" s="1" t="s">
        <v>5530</v>
      </c>
      <c r="C1929" s="1" t="s">
        <v>3473</v>
      </c>
      <c r="D1929" s="1" t="str">
        <f ca="1">IFERROR(__xludf.DUMMYFUNCTION("GoogleTranslate(B1929,""ja"",""en"")"),"? ? ?")</f>
        <v>? ? ?</v>
      </c>
    </row>
    <row r="1930" spans="1:4" ht="15.75" customHeight="1" x14ac:dyDescent="0.25">
      <c r="A1930" s="1" t="s">
        <v>3474</v>
      </c>
      <c r="B1930" s="1" t="s">
        <v>5531</v>
      </c>
      <c r="C1930" s="1" t="s">
        <v>3475</v>
      </c>
      <c r="D1930" s="1" t="str">
        <f ca="1">IFERROR(__xludf.DUMMYFUNCTION("GoogleTranslate(B1930,""ja"",""en"")"),"To end the veterans report")</f>
        <v>To end the veterans report</v>
      </c>
    </row>
    <row r="1931" spans="1:4" ht="15.75" customHeight="1" x14ac:dyDescent="0.25">
      <c r="A1931" s="1" t="s">
        <v>3476</v>
      </c>
      <c r="B1931" s="1" t="s">
        <v>3470</v>
      </c>
      <c r="C1931" s="1" t="s">
        <v>3477</v>
      </c>
      <c r="D1931" s="1" t="str">
        <f ca="1">IFERROR(__xludf.DUMMYFUNCTION("GoogleTranslate(B1931,""ja"",""en"")"),"Add physical strength")</f>
        <v>Add physical strength</v>
      </c>
    </row>
    <row r="1932" spans="1:4" ht="15.75" customHeight="1" x14ac:dyDescent="0.25">
      <c r="A1932" s="1" t="s">
        <v>3478</v>
      </c>
      <c r="B1932" s="1" t="s">
        <v>5532</v>
      </c>
      <c r="C1932" s="1" t="s">
        <v>3479</v>
      </c>
      <c r="D1932" s="1" t="str">
        <f ca="1">IFERROR(__xludf.DUMMYFUNCTION("GoogleTranslate(B1932,""ja"",""en"")"),"Loyalty has increased% s.")</f>
        <v>Loyalty has increased% s.</v>
      </c>
    </row>
    <row r="1933" spans="1:4" ht="15.75" customHeight="1" x14ac:dyDescent="0.25">
      <c r="A1933" s="1" t="s">
        <v>3480</v>
      </c>
      <c r="B1933" s="1" t="s">
        <v>5533</v>
      </c>
      <c r="C1933" s="1" t="s">
        <v>3481</v>
      </c>
      <c r="D1933" s="1" t="str">
        <f ca="1">IFERROR(__xludf.DUMMYFUNCTION("GoogleTranslate(B1933,""ja"",""en"")"),"Loyalty has been reduced% s.")</f>
        <v>Loyalty has been reduced% s.</v>
      </c>
    </row>
    <row r="1934" spans="1:4" ht="15.75" customHeight="1" x14ac:dyDescent="0.25">
      <c r="A1934" s="1" t="s">
        <v>3482</v>
      </c>
      <c r="B1934" s="1" t="s">
        <v>5534</v>
      </c>
      <c r="C1934" s="1" t="s">
        <v>3483</v>
      </c>
      <c r="D1934" s="1" t="str">
        <f ca="1">IFERROR(__xludf.DUMMYFUNCTION("GoogleTranslate(B1934,""ja"",""en"")"),"It was the experience value% s to get.")</f>
        <v>It was the experience value% s to get.</v>
      </c>
    </row>
    <row r="1935" spans="1:4" ht="15.75" customHeight="1" x14ac:dyDescent="0.25">
      <c r="A1935" s="1" t="s">
        <v>3484</v>
      </c>
      <c r="B1935" s="1" t="s">
        <v>5535</v>
      </c>
      <c r="C1935" s="1" t="s">
        <v>3485</v>
      </c>
      <c r="D1935" s="1" t="str">
        <f ca="1">IFERROR(__xludf.DUMMYFUNCTION("GoogleTranslate(B1935,""ja"",""en"")"),"Physical strength has been increased to% s from% s.")</f>
        <v>Physical strength has been increased to% s from% s.</v>
      </c>
    </row>
    <row r="1936" spans="1:4" ht="15.75" customHeight="1" x14ac:dyDescent="0.25">
      <c r="A1936" s="1" t="s">
        <v>3486</v>
      </c>
      <c r="B1936" s="1" t="s">
        <v>5536</v>
      </c>
      <c r="C1936" s="1" t="s">
        <v>3487</v>
      </c>
      <c r="D1936" s="1" t="str">
        <f ca="1">IFERROR(__xludf.DUMMYFUNCTION("GoogleTranslate(B1936,""ja"",""en"")"),"Has been increased to from the filling speed is% s% s.")</f>
        <v>Has been increased to from the filling speed is% s% s.</v>
      </c>
    </row>
    <row r="1937" spans="1:4" ht="15.75" customHeight="1" x14ac:dyDescent="0.25">
      <c r="A1937" s="1" t="s">
        <v>3488</v>
      </c>
      <c r="B1937" s="1" t="s">
        <v>5537</v>
      </c>
      <c r="C1937" s="1" t="s">
        <v>3489</v>
      </c>
      <c r="D1937" s="1" t="str">
        <f ca="1">IFERROR(__xludf.DUMMYFUNCTION("GoogleTranslate(B1937,""ja"",""en"")"),"Ability proficiency went up% s.")</f>
        <v>Ability proficiency went up% s.</v>
      </c>
    </row>
    <row r="1938" spans="1:4" ht="15.75" customHeight="1" x14ac:dyDescent="0.25">
      <c r="A1938" s="1" t="s">
        <v>3490</v>
      </c>
      <c r="B1938" s="1" t="s">
        <v>5538</v>
      </c>
      <c r="C1938" s="1" t="s">
        <v>3491</v>
      </c>
      <c r="D1938" s="1" t="str">
        <f ca="1">IFERROR(__xludf.DUMMYFUNCTION("GoogleTranslate(B1938,""ja"",""en"")"),"In order to further growth, we wanted to get a rare degree of% s or more% s.")</f>
        <v>In order to further growth, we wanted to get a rare degree of% s or more% s.</v>
      </c>
    </row>
    <row r="1939" spans="1:4" ht="15.75" customHeight="1" x14ac:dyDescent="0.25">
      <c r="A1939" s="1" t="s">
        <v>3492</v>
      </c>
      <c r="B1939" s="1" t="s">
        <v>5539</v>
      </c>
      <c r="C1939" s="1" t="s">
        <v>3493</v>
      </c>
      <c r="D1939" s="1" t="str">
        <f ca="1">IFERROR(__xludf.DUMMYFUNCTION("GoogleTranslate(B1939,""ja"",""en"")"),"In order to further growth, we wanted to get% s.")</f>
        <v>In order to further growth, we wanted to get% s.</v>
      </c>
    </row>
    <row r="1940" spans="1:4" ht="15.75" customHeight="1" x14ac:dyDescent="0.25">
      <c r="A1940" s="1" t="s">
        <v>3494</v>
      </c>
      <c r="B1940" s="1" t="s">
        <v>5540</v>
      </c>
      <c r="C1940" s="1" t="s">
        <v>3495</v>
      </c>
      <c r="D1940" s="1" t="str">
        <f ca="1">IFERROR(__xludf.DUMMYFUNCTION("GoogleTranslate(B1940,""ja"",""en"")"),"This Taishi is being escaped. Whereabouts is unknown, it seems to be hiding somewhere in Kyoto.")</f>
        <v>This Taishi is being escaped. Whereabouts is unknown, it seems to be hiding somewhere in Kyoto.</v>
      </c>
    </row>
    <row r="1941" spans="1:4" ht="15.75" customHeight="1" x14ac:dyDescent="0.25">
      <c r="A1941" s="1" t="s">
        <v>3496</v>
      </c>
      <c r="B1941" s="1" t="s">
        <v>5541</v>
      </c>
      <c r="C1941" s="1" t="s">
        <v>3497</v>
      </c>
      <c r="D1941" s="1" t="str">
        <f ca="1">IFERROR(__xludf.DUMMYFUNCTION("GoogleTranslate(B1941,""ja"",""en"")"),"You can not send troops for corporal, must not have")</f>
        <v>You can not send troops for corporal, must not have</v>
      </c>
    </row>
    <row r="1942" spans="1:4" ht="15.75" customHeight="1" x14ac:dyDescent="0.25">
      <c r="A1942" s="1" t="s">
        <v>3498</v>
      </c>
      <c r="B1942" s="1" t="s">
        <v>5542</v>
      </c>
      <c r="C1942" s="1" t="s">
        <v>3499</v>
      </c>
      <c r="D1942" s="1" t="str">
        <f ca="1">IFERROR(__xludf.DUMMYFUNCTION("GoogleTranslate(B1942,""ja"",""en"")"),"This mission can not be troops other than attack Corps workers")</f>
        <v>This mission can not be troops other than attack Corps workers</v>
      </c>
    </row>
    <row r="1943" spans="1:4" ht="15.75" customHeight="1" x14ac:dyDescent="0.25">
      <c r="A1943" s="1" t="s">
        <v>3500</v>
      </c>
      <c r="B1943" s="1" t="s">
        <v>5543</v>
      </c>
      <c r="C1943" s="1" t="s">
        <v>3501</v>
      </c>
      <c r="D1943" s="1" t="str">
        <f ca="1">IFERROR(__xludf.DUMMYFUNCTION("GoogleTranslate(B1943,""ja"",""en"")"),"This mission except garrison officer can not troops")</f>
        <v>This mission except garrison officer can not troops</v>
      </c>
    </row>
    <row r="1944" spans="1:4" ht="15.75" customHeight="1" x14ac:dyDescent="0.25">
      <c r="A1944" s="1" t="s">
        <v>3502</v>
      </c>
      <c r="B1944" s="1" t="s">
        <v>5544</v>
      </c>
      <c r="C1944" s="1" t="s">
        <v>3503</v>
      </c>
      <c r="D1944" s="1" t="str">
        <f ca="1">IFERROR(__xludf.DUMMYFUNCTION("GoogleTranslate(B1944,""ja"",""en"")"),"This mission can not be troops other than hygiene Corps workers")</f>
        <v>This mission can not be troops other than hygiene Corps workers</v>
      </c>
    </row>
    <row r="1945" spans="1:4" ht="15.75" customHeight="1" x14ac:dyDescent="0.25">
      <c r="A1945" s="1" t="s">
        <v>3504</v>
      </c>
      <c r="B1945" s="1" t="s">
        <v>5545</v>
      </c>
      <c r="C1945" s="1" t="s">
        <v>3505</v>
      </c>
      <c r="D1945" s="1" t="str">
        <f ca="1">IFERROR(__xludf.DUMMYFUNCTION("GoogleTranslate(B1945,""ja"",""en"")"),"This mission can not be troops other than the sword Corps workers")</f>
        <v>This mission can not be troops other than the sword Corps workers</v>
      </c>
    </row>
    <row r="1946" spans="1:4" ht="15.75" customHeight="1" x14ac:dyDescent="0.25">
      <c r="A1946" s="1" t="s">
        <v>3506</v>
      </c>
      <c r="B1946" s="1" t="s">
        <v>5546</v>
      </c>
      <c r="C1946" s="1" t="s">
        <v>3507</v>
      </c>
      <c r="D1946" s="1" t="str">
        <f ca="1">IFERROR(__xludf.DUMMYFUNCTION("GoogleTranslate(B1946,""ja"",""en"")"),"This mission except spear Corps mechanic can not troops")</f>
        <v>This mission except spear Corps mechanic can not troops</v>
      </c>
    </row>
    <row r="1947" spans="1:4" ht="15.75" customHeight="1" x14ac:dyDescent="0.25">
      <c r="A1947" s="1" t="s">
        <v>3508</v>
      </c>
      <c r="B1947" s="1" t="s">
        <v>5547</v>
      </c>
      <c r="C1947" s="1" t="s">
        <v>3509</v>
      </c>
      <c r="D1947" s="1" t="str">
        <f ca="1">IFERROR(__xludf.DUMMYFUNCTION("GoogleTranslate(B1947,""ja"",""en"")"),"This mission can not be troops other than the gun Corps workers")</f>
        <v>This mission can not be troops other than the gun Corps workers</v>
      </c>
    </row>
    <row r="1948" spans="1:4" ht="15.75" customHeight="1" x14ac:dyDescent="0.25">
      <c r="A1948" s="1" t="s">
        <v>3510</v>
      </c>
      <c r="B1948" s="1" t="s">
        <v>5548</v>
      </c>
      <c r="C1948" s="1" t="s">
        <v>3511</v>
      </c>
      <c r="D1948" s="1" t="str">
        <f ca="1">IFERROR(__xludf.DUMMYFUNCTION("GoogleTranslate(B1948,""ja"",""en"")"),"? ? ? ? ? ?")</f>
        <v>? ? ? ? ? ?</v>
      </c>
    </row>
    <row r="1949" spans="1:4" ht="15.75" customHeight="1" x14ac:dyDescent="0.25">
      <c r="A1949" s="1" t="s">
        <v>3512</v>
      </c>
      <c r="B1949" s="1" t="s">
        <v>5549</v>
      </c>
      <c r="C1949" s="1" t="s">
        <v>3513</v>
      </c>
      <c r="D1949" s="1" t="str">
        <f ca="1">IFERROR(__xludf.DUMMYFUNCTION("GoogleTranslate(B1949,""ja"",""en"")"),"Corps workers acquisition situation")</f>
        <v>Corps workers acquisition situation</v>
      </c>
    </row>
    <row r="1950" spans="1:4" ht="15.75" customHeight="1" x14ac:dyDescent="0.25">
      <c r="A1950" s="1" t="s">
        <v>3514</v>
      </c>
      <c r="B1950" s="1" t="s">
        <v>5550</v>
      </c>
      <c r="C1950" s="1" t="s">
        <v>3515</v>
      </c>
      <c r="D1950" s="1" t="str">
        <f ca="1">IFERROR(__xludf.DUMMYFUNCTION("GoogleTranslate(B1950,""ja"",""en"")"),"If you are allowed to accompany the corps officer initiated the mission, you will see the corps officer who accompanied the [n] the right side of the screen.")</f>
        <v>If you are allowed to accompany the corps officer initiated the mission, you will see the corps officer who accompanied the [n] the right side of the screen.</v>
      </c>
    </row>
    <row r="1951" spans="1:4" ht="15.75" customHeight="1" x14ac:dyDescent="0.25">
      <c r="A1951" s="1" t="s">
        <v>3516</v>
      </c>
      <c r="B1951" s="1" t="s">
        <v>5551</v>
      </c>
      <c r="C1951" s="1" t="s">
        <v>3517</v>
      </c>
      <c r="D1951" s="1" t="str">
        <f ca="1">IFERROR(__xludf.DUMMYFUNCTION("GoogleTranslate(B1951,""ja"",""en"")"),"Depending on the total value of the Taishi our physical strength during the mission start will be added physical strength to [n] Saito captain.")</f>
        <v>Depending on the total value of the Taishi our physical strength during the mission start will be added physical strength to [n] Saito captain.</v>
      </c>
    </row>
    <row r="1952" spans="1:4" ht="15.75" customHeight="1" x14ac:dyDescent="0.25">
      <c r="A1952" s="1" t="s">
        <v>3518</v>
      </c>
      <c r="B1952" s="1" t="s">
        <v>5552</v>
      </c>
      <c r="C1952" s="1" t="s">
        <v>3519</v>
      </c>
      <c r="D1952" s="1" t="str">
        <f ca="1">IFERROR(__xludf.DUMMYFUNCTION("GoogleTranslate(B1952,""ja"",""en"")"),"Noto is a strong man complete set. So as not to [n] own head, let's do our best.")</f>
        <v>Noto is a strong man complete set. So as not to [n] own head, let's do our best.</v>
      </c>
    </row>
    <row r="1953" spans="1:4" ht="15.75" customHeight="1" x14ac:dyDescent="0.25">
      <c r="A1953" s="1" t="s">
        <v>3520</v>
      </c>
      <c r="B1953" s="1" t="s">
        <v>5553</v>
      </c>
      <c r="C1953" s="1" t="s">
        <v>3521</v>
      </c>
      <c r="D1953" s="1" t="str">
        <f ca="1">IFERROR(__xludf.DUMMYFUNCTION("GoogleTranslate(B1953,""ja"",""en"")"),"Corps officer of ability and filling gauge in the above figure is in full [n] &lt;Sign: 7&gt; + You can use the arrow keys.")</f>
        <v>Corps officer of ability and filling gauge in the above figure is in full [n] &lt;Sign: 7&gt; + You can use the arrow keys.</v>
      </c>
    </row>
    <row r="1954" spans="1:4" ht="15.75" customHeight="1" x14ac:dyDescent="0.25">
      <c r="A1954" s="1" t="s">
        <v>3522</v>
      </c>
      <c r="B1954" s="1" t="s">
        <v>5554</v>
      </c>
      <c r="C1954" s="1" t="s">
        <v>3523</v>
      </c>
      <c r="D1954" s="1" t="str">
        <f ca="1">IFERROR(__xludf.DUMMYFUNCTION("GoogleTranslate(B1954,""ja"",""en"")"),"Filling speed is determined by the result of the filling speed of the Corps mechanic [n] fight side of the Saito captain. [N] Corps officer course to grow, you can reduce the time to use the [n] increases the morale of the corps officer by the good fight "&amp;"how [n] ability.")</f>
        <v>Filling speed is determined by the result of the filling speed of the Corps mechanic [n] fight side of the Saito captain. [N] Corps officer course to grow, you can reduce the time to use the [n] increases the morale of the corps officer by the good fight how [n] ability.</v>
      </c>
    </row>
    <row r="1955" spans="1:4" ht="15.75" customHeight="1" x14ac:dyDescent="0.25">
      <c r="A1955" s="1" t="s">
        <v>3524</v>
      </c>
      <c r="B1955" s="1" t="s">
        <v>5555</v>
      </c>
      <c r="C1955" s="1" t="s">
        <v>3525</v>
      </c>
      <c r="D1955" s="1" t="str">
        <f ca="1">IFERROR(__xludf.DUMMYFUNCTION("GoogleTranslate(B1955,""ja"",""en"")"),"So immediately [n] &lt;Sign: 7&gt; + &lt;Sign: 43&gt; in the Let's use the [n] Corps mechanic ability of Goro Narita.")</f>
        <v>So immediately [n] &lt;Sign: 7&gt; + &lt;Sign: 43&gt; in the Let's use the [n] Corps mechanic ability of Goro Narita.</v>
      </c>
    </row>
    <row r="1956" spans="1:4" ht="15.75" customHeight="1" x14ac:dyDescent="0.25">
      <c r="A1956" s="1" t="s">
        <v>3526</v>
      </c>
      <c r="B1956" s="1" t="s">
        <v>5556</v>
      </c>
      <c r="C1956" s="1" t="s">
        <v>3527</v>
      </c>
      <c r="D1956" s="1" t="str">
        <f ca="1">IFERROR(__xludf.DUMMYFUNCTION("GoogleTranslate(B1956,""ja"",""en"")"),"Now, Goro Narita's ability was activated. [N] because this ability effect to ""heal"" is a [n], it will be benefited a certain period of time.")</f>
        <v>Now, Goro Narita's ability was activated. [N] because this ability effect to "heal" is a [n], it will be benefited a certain period of time.</v>
      </c>
    </row>
    <row r="1957" spans="1:4" ht="15.75" customHeight="1" x14ac:dyDescent="0.25">
      <c r="A1957" s="1" t="s">
        <v>3528</v>
      </c>
      <c r="B1957" s="1" t="s">
        <v>5557</v>
      </c>
      <c r="C1957" s="1" t="s">
        <v>3529</v>
      </c>
      <c r="D1957" s="1" t="str">
        <f ca="1">IFERROR(__xludf.DUMMYFUNCTION("GoogleTranslate(B1957,""ja"",""en"")"),"The remaining time of this ability effect, can be found in the filling gauge of the screen right [n] Corps officer. [N] When you no longer filled gauge, it is the effect the end.")</f>
        <v>The remaining time of this ability effect, can be found in the filling gauge of the screen right [n] Corps officer. [N] When you no longer filled gauge, it is the effect the end.</v>
      </c>
    </row>
    <row r="1958" spans="1:4" ht="15.75" customHeight="1" x14ac:dyDescent="0.25">
      <c r="A1958" s="1" t="s">
        <v>3530</v>
      </c>
      <c r="B1958" s="1" t="s">
        <v>5558</v>
      </c>
      <c r="C1958" s="1" t="s">
        <v>3531</v>
      </c>
      <c r="D1958" s="1" t="str">
        <f ca="1">IFERROR(__xludf.DUMMYFUNCTION("GoogleTranslate(B1958,""ja"",""en"")"),"To instruct the corps officer to automatically carry out the imposition of capacity [n], but you can also, if you do? [N] [n] &lt;Sign: D&gt; Corps officer to leave &lt;Sign: C&gt; be activated on their own")</f>
        <v>To instruct the corps officer to automatically carry out the imposition of capacity [n], but you can also, if you do? [N] [n] &lt;Sign: D&gt; Corps officer to leave &lt;Sign: C&gt; be activated on their own</v>
      </c>
    </row>
    <row r="1959" spans="1:4" ht="15.75" customHeight="1" x14ac:dyDescent="0.25">
      <c r="A1959" s="1" t="s">
        <v>3532</v>
      </c>
      <c r="B1959" s="1" t="s">
        <v>3530</v>
      </c>
      <c r="C1959" s="1" t="s">
        <v>3533</v>
      </c>
      <c r="D1959" s="1" t="str">
        <f ca="1">IFERROR(__xludf.DUMMYFUNCTION("GoogleTranslate(B1959,""ja"",""en"")"),"This setting can be changed from the reception, please talk to accept When it want to change [n].")</f>
        <v>This setting can be changed from the reception, please talk to accept When it want to change [n].</v>
      </c>
    </row>
    <row r="1960" spans="1:4" ht="15.75" customHeight="1" x14ac:dyDescent="0.25">
      <c r="A1960" s="1" t="s">
        <v>3534</v>
      </c>
      <c r="B1960" s="1" t="s">
        <v>5559</v>
      </c>
      <c r="C1960" s="1" t="s">
        <v>3535</v>
      </c>
      <c r="D1960" s="1" t="str">
        <f ca="1">IFERROR(__xludf.DUMMYFUNCTION("GoogleTranslate(B1960,""ja"",""en"")"),"So, let's continue while defeating the enemy proceed to [n] earlier.")</f>
        <v>So, let's continue while defeating the enemy proceed to [n] earlier.</v>
      </c>
    </row>
    <row r="1961" spans="1:4" ht="15.75" customHeight="1" x14ac:dyDescent="0.25">
      <c r="A1961" s="1" t="s">
        <v>3536</v>
      </c>
      <c r="B1961" s="1" t="s">
        <v>5560</v>
      </c>
      <c r="C1961" s="1" t="s">
        <v>3537</v>
      </c>
      <c r="D1961" s="1" t="str">
        <f ca="1">IFERROR(__xludf.DUMMYFUNCTION("GoogleTranslate(B1961,""ja"",""en"")"),"In the door, there is a door where there is a mechanism for opening. In order to advance to the [n] earlier, it will help you find and open the [n] door the trick.")</f>
        <v>In the door, there is a door where there is a mechanism for opening. In order to advance to the [n] earlier, it will help you find and open the [n] door the trick.</v>
      </c>
    </row>
    <row r="1962" spans="1:4" ht="15.75" customHeight="1" x14ac:dyDescent="0.25">
      <c r="A1962" s="1" t="s">
        <v>3538</v>
      </c>
      <c r="B1962" s="1" t="s">
        <v>5561</v>
      </c>
      <c r="C1962" s="1" t="s">
        <v>3539</v>
      </c>
      <c r="D1962" s="1" t="str">
        <f ca="1">IFERROR(__xludf.DUMMYFUNCTION("GoogleTranslate(B1962,""ja"",""en"")"),"The door of the previous, road or to go, there is also that you have entered a box is placed [n] materials and expensive goods necessary in order to train the [n] weapon.")</f>
        <v>The door of the previous, road or to go, there is also that you have entered a box is placed [n] materials and expensive goods necessary in order to train the [n] weapon.</v>
      </c>
    </row>
    <row r="1963" spans="1:4" ht="15.75" customHeight="1" x14ac:dyDescent="0.25">
      <c r="A1963" s="1" t="s">
        <v>3540</v>
      </c>
      <c r="B1963" s="1" t="s">
        <v>5562</v>
      </c>
      <c r="C1963" s="1" t="s">
        <v>3541</v>
      </c>
      <c r="D1963" s="1" t="str">
        <f ca="1">IFERROR(__xludf.DUMMYFUNCTION("GoogleTranslate(B1963,""ja"",""en"")"),"Since the materials and goods that got is a thing of the captain, [n] door is let's open aggressively.")</f>
        <v>Since the materials and goods that got is a thing of the captain, [n] door is let's open aggressively.</v>
      </c>
    </row>
    <row r="1964" spans="1:4" ht="15.75" customHeight="1" x14ac:dyDescent="0.25">
      <c r="A1964" s="1" t="s">
        <v>3542</v>
      </c>
      <c r="B1964" s="1" t="s">
        <v>5563</v>
      </c>
      <c r="C1964" s="1" t="s">
        <v>3543</v>
      </c>
      <c r="D1964" s="1" t="str">
        <f ca="1">IFERROR(__xludf.DUMMYFUNCTION("GoogleTranslate(B1964,""ja"",""en"")"),"This basic training in will be the end. [N] to find the boss of this cave, you must annihilate.")</f>
        <v>This basic training in will be the end. [N] to find the boss of this cave, you must annihilate.</v>
      </c>
    </row>
    <row r="1965" spans="1:4" ht="15.75" customHeight="1" x14ac:dyDescent="0.25">
      <c r="A1965" s="1" t="s">
        <v>3544</v>
      </c>
      <c r="B1965" s="1" t="s">
        <v>5564</v>
      </c>
      <c r="C1965" s="1" t="s">
        <v>3545</v>
      </c>
      <c r="D1965" s="1" t="str">
        <f ca="1">IFERROR(__xludf.DUMMYFUNCTION("GoogleTranslate(B1965,""ja"",""en"")"),"Training associated Corps workers")</f>
        <v>Training associated Corps workers</v>
      </c>
    </row>
    <row r="1966" spans="1:4" ht="15.75" customHeight="1" x14ac:dyDescent="0.25">
      <c r="A1966" s="1" t="s">
        <v>3546</v>
      </c>
      <c r="B1966" s="1" t="s">
        <v>5565</v>
      </c>
      <c r="C1966" s="1" t="s">
        <v>3547</v>
      </c>
      <c r="D1966" s="1" t="str">
        <f ca="1">IFERROR(__xludf.DUMMYFUNCTION("GoogleTranslate(B1966,""ja"",""en"")"),"Benefit of training Corps workers")</f>
        <v>Benefit of training Corps workers</v>
      </c>
    </row>
    <row r="1967" spans="1:4" ht="15.75" customHeight="1" x14ac:dyDescent="0.25">
      <c r="A1967" s="1" t="s">
        <v>3548</v>
      </c>
      <c r="B1967" s="1" t="s">
        <v>5566</v>
      </c>
      <c r="C1967" s="1" t="s">
        <v>3549</v>
      </c>
      <c r="D1967" s="1" t="str">
        <f ca="1">IFERROR(__xludf.DUMMYFUNCTION("GoogleTranslate(B1967,""ja"",""en"")"),"Training enemy is the strong complete set")</f>
        <v>Training enemy is the strong complete set</v>
      </c>
    </row>
    <row r="1968" spans="1:4" ht="15.75" customHeight="1" x14ac:dyDescent="0.25">
      <c r="A1968" s="1" t="s">
        <v>3550</v>
      </c>
      <c r="B1968" s="1" t="s">
        <v>5567</v>
      </c>
      <c r="C1968" s="1" t="s">
        <v>3551</v>
      </c>
      <c r="D1968" s="1" t="str">
        <f ca="1">IFERROR(__xludf.DUMMYFUNCTION("GoogleTranslate(B1968,""ja"",""en"")"),"Use of training capacity")</f>
        <v>Use of training capacity</v>
      </c>
    </row>
    <row r="1969" spans="1:4" ht="15.75" customHeight="1" x14ac:dyDescent="0.25">
      <c r="A1969" s="1" t="s">
        <v>3552</v>
      </c>
      <c r="B1969" s="1" t="s">
        <v>5568</v>
      </c>
      <c r="C1969" s="1" t="s">
        <v>3553</v>
      </c>
      <c r="D1969" s="1" t="str">
        <f ca="1">IFERROR(__xludf.DUMMYFUNCTION("GoogleTranslate(B1969,""ja"",""en"")"),"Activation of training capacity")</f>
        <v>Activation of training capacity</v>
      </c>
    </row>
    <row r="1970" spans="1:4" ht="15.75" customHeight="1" x14ac:dyDescent="0.25">
      <c r="A1970" s="1" t="s">
        <v>3554</v>
      </c>
      <c r="B1970" s="1" t="s">
        <v>5569</v>
      </c>
      <c r="C1970" s="1" t="s">
        <v>3555</v>
      </c>
      <c r="D1970" s="1" t="str">
        <f ca="1">IFERROR(__xludf.DUMMYFUNCTION("GoogleTranslate(B1970,""ja"",""en"")"),"Duration of training capacity")</f>
        <v>Duration of training capacity</v>
      </c>
    </row>
    <row r="1971" spans="1:4" ht="15.75" customHeight="1" x14ac:dyDescent="0.25">
      <c r="A1971" s="1" t="s">
        <v>3556</v>
      </c>
      <c r="B1971" s="1" t="s">
        <v>5570</v>
      </c>
      <c r="C1971" s="1" t="s">
        <v>3557</v>
      </c>
      <c r="D1971" s="1" t="str">
        <f ca="1">IFERROR(__xludf.DUMMYFUNCTION("GoogleTranslate(B1971,""ja"",""en"")"),"Training Random ability triggered")</f>
        <v>Training Random ability triggered</v>
      </c>
    </row>
    <row r="1972" spans="1:4" ht="15.75" customHeight="1" x14ac:dyDescent="0.25">
      <c r="A1972" s="1" t="s">
        <v>3558</v>
      </c>
      <c r="B1972" s="1" t="s">
        <v>3548</v>
      </c>
      <c r="C1972" s="1" t="s">
        <v>3559</v>
      </c>
      <c r="D1972" s="1" t="str">
        <f ca="1">IFERROR(__xludf.DUMMYFUNCTION("GoogleTranslate(B1972,""ja"",""en"")"),"Training subdue")</f>
        <v>Training subdue</v>
      </c>
    </row>
    <row r="1973" spans="1:4" ht="15.75" customHeight="1" x14ac:dyDescent="0.25">
      <c r="A1973" s="1" t="s">
        <v>3560</v>
      </c>
      <c r="B1973" s="1" t="s">
        <v>5571</v>
      </c>
      <c r="C1973" s="1" t="s">
        <v>3561</v>
      </c>
      <c r="D1973" s="1" t="str">
        <f ca="1">IFERROR(__xludf.DUMMYFUNCTION("GoogleTranslate(B1973,""ja"",""en"")"),"Training trick")</f>
        <v>Training trick</v>
      </c>
    </row>
    <row r="1974" spans="1:4" ht="15.75" customHeight="1" x14ac:dyDescent="0.25">
      <c r="A1974" s="1" t="s">
        <v>3562</v>
      </c>
      <c r="B1974" s="1" t="s">
        <v>5572</v>
      </c>
      <c r="C1974" s="1" t="s">
        <v>3563</v>
      </c>
      <c r="D1974" s="1" t="str">
        <f ca="1">IFERROR(__xludf.DUMMYFUNCTION("GoogleTranslate(B1974,""ja"",""en"")"),"Training end")</f>
        <v>Training end</v>
      </c>
    </row>
    <row r="1975" spans="1:4" ht="15.75" customHeight="1" x14ac:dyDescent="0.25">
      <c r="A1975" s="1" t="s">
        <v>3564</v>
      </c>
      <c r="B1975" s="1" t="s">
        <v>5573</v>
      </c>
      <c r="C1975" s="1" t="s">
        <v>3565</v>
      </c>
      <c r="D1975" s="1" t="str">
        <f ca="1">IFERROR(__xludf.DUMMYFUNCTION("GoogleTranslate(B1975,""ja"",""en"")"),"defense")</f>
        <v>defense</v>
      </c>
    </row>
    <row r="1976" spans="1:4" ht="15.75" customHeight="1" x14ac:dyDescent="0.25">
      <c r="A1976" s="1" t="s">
        <v>3566</v>
      </c>
      <c r="B1976" s="1" t="s">
        <v>5574</v>
      </c>
      <c r="C1976" s="1" t="s">
        <v>3567</v>
      </c>
      <c r="D1976" s="1" t="str">
        <f ca="1">IFERROR(__xludf.DUMMYFUNCTION("GoogleTranslate(B1976,""ja"",""en"")"),"Health")</f>
        <v>Health</v>
      </c>
    </row>
    <row r="1977" spans="1:4" ht="15.75" customHeight="1" x14ac:dyDescent="0.25">
      <c r="A1977" s="1" t="s">
        <v>3568</v>
      </c>
      <c r="B1977" s="1" t="s">
        <v>5575</v>
      </c>
      <c r="C1977" s="1" t="s">
        <v>3569</v>
      </c>
      <c r="D1977" s="1" t="str">
        <f ca="1">IFERROR(__xludf.DUMMYFUNCTION("GoogleTranslate(B1977,""ja"",""en"")"),"Support")</f>
        <v>Support</v>
      </c>
    </row>
    <row r="1978" spans="1:4" ht="15.75" customHeight="1" x14ac:dyDescent="0.25">
      <c r="A1978" s="1" t="s">
        <v>3570</v>
      </c>
      <c r="B1978" s="1" t="s">
        <v>5576</v>
      </c>
      <c r="C1978" s="1" t="s">
        <v>3571</v>
      </c>
      <c r="D1978" s="1" t="str">
        <f ca="1">IFERROR(__xludf.DUMMYFUNCTION("GoogleTranslate(B1978,""ja"",""en"")"),"support")</f>
        <v>support</v>
      </c>
    </row>
    <row r="1979" spans="1:4" ht="15.75" customHeight="1" x14ac:dyDescent="0.25">
      <c r="A1979" s="1" t="s">
        <v>3572</v>
      </c>
      <c r="B1979" s="1" t="s">
        <v>5577</v>
      </c>
      <c r="C1979" s="1" t="s">
        <v>3573</v>
      </c>
      <c r="D1979" s="1" t="str">
        <f ca="1">IFERROR(__xludf.DUMMYFUNCTION("GoogleTranslate(B1979,""ja"",""en"")"),"There is no loyalty by repeated mission failure [n] it seems there are deserters and corps officer")</f>
        <v>There is no loyalty by repeated mission failure [n] it seems there are deserters and corps officer</v>
      </c>
    </row>
    <row r="1980" spans="1:4" ht="15.75" customHeight="1" x14ac:dyDescent="0.25">
      <c r="A1980" s="1" t="s">
        <v>3574</v>
      </c>
      <c r="B1980" s="1" t="s">
        <v>5578</v>
      </c>
      <c r="C1980" s="1" t="s">
        <v>3575</v>
      </c>
      <c r="D1980" s="1" t="str">
        <f ca="1">IFERROR(__xludf.DUMMYFUNCTION("GoogleTranslate(B1980,""ja"",""en"")"),"But let incarnated giving weapons [n] Are you sure you want?")</f>
        <v>But let incarnated giving weapons [n] Are you sure you want?</v>
      </c>
    </row>
    <row r="1981" spans="1:4" ht="15.75" customHeight="1" x14ac:dyDescent="0.25">
      <c r="A1981" s="1" t="s">
        <v>3576</v>
      </c>
      <c r="B1981" s="1" t="s">
        <v>3572</v>
      </c>
      <c r="C1981" s="1" t="s">
        <v>3577</v>
      </c>
      <c r="D1981" s="1" t="str">
        <f ca="1">IFERROR(__xludf.DUMMYFUNCTION("GoogleTranslate(B1981,""ja"",""en"")"),"Do you want to enable the Random ability?")</f>
        <v>Do you want to enable the Random ability?</v>
      </c>
    </row>
    <row r="1982" spans="1:4" ht="15.75" customHeight="1" x14ac:dyDescent="0.25">
      <c r="A1982" s="1" t="s">
        <v>3578</v>
      </c>
      <c r="B1982" s="1" t="s">
        <v>5579</v>
      </c>
      <c r="C1982" s="1" t="s">
        <v>3579</v>
      </c>
      <c r="D1982" s="1" t="str">
        <f ca="1">IFERROR(__xludf.DUMMYFUNCTION("GoogleTranslate(B1982,""ja"",""en"")"),"Remove from the troops. Is it OK?")</f>
        <v>Remove from the troops. Is it OK?</v>
      </c>
    </row>
    <row r="1983" spans="1:4" ht="15.75" customHeight="1" x14ac:dyDescent="0.25">
      <c r="A1983" s="1" t="s">
        <v>3580</v>
      </c>
      <c r="B1983" s="1" t="s">
        <v>5580</v>
      </c>
      <c r="C1983" s="1" t="s">
        <v>3581</v>
      </c>
      <c r="D1983" s="1" t="str">
        <f ca="1">IFERROR(__xludf.DUMMYFUNCTION("GoogleTranslate(B1983,""ja"",""en"")"),"And expulsion. Is it OK?")</f>
        <v>And expulsion. Is it OK?</v>
      </c>
    </row>
    <row r="1984" spans="1:4" ht="15.75" customHeight="1" x14ac:dyDescent="0.25">
      <c r="A1984" s="1" t="s">
        <v>3582</v>
      </c>
      <c r="B1984" s="1" t="s">
        <v>5581</v>
      </c>
      <c r="C1984" s="1" t="s">
        <v>3583</v>
      </c>
      <c r="D1984" s="1" t="str">
        <f ca="1">IFERROR(__xludf.DUMMYFUNCTION("GoogleTranslate(B1984,""ja"",""en"")"),"Man of the hood")</f>
        <v>Man of the hood</v>
      </c>
    </row>
    <row r="1985" spans="1:4" ht="15.75" customHeight="1" x14ac:dyDescent="0.25">
      <c r="A1985" s="1" t="s">
        <v>3584</v>
      </c>
      <c r="B1985" s="1" t="s">
        <v>3578</v>
      </c>
      <c r="C1985" s="1" t="s">
        <v>3585</v>
      </c>
      <c r="D1985" s="1" t="str">
        <f ca="1">IFERROR(__xludf.DUMMYFUNCTION("GoogleTranslate(B1985,""ja"",""en"")"),"Troops List")</f>
        <v>Troops List</v>
      </c>
    </row>
    <row r="1986" spans="1:4" ht="15.75" customHeight="1" x14ac:dyDescent="0.25">
      <c r="A1986" s="1" t="s">
        <v>3586</v>
      </c>
      <c r="B1986" s="1" t="s">
        <v>5582</v>
      </c>
      <c r="C1986" s="1" t="s">
        <v>3587</v>
      </c>
      <c r="D1986" s="1" t="str">
        <f ca="1">IFERROR(__xludf.DUMMYFUNCTION("GoogleTranslate(B1986,""ja"",""en"")"),"Ability details")</f>
        <v>Ability details</v>
      </c>
    </row>
    <row r="1987" spans="1:4" ht="15.75" customHeight="1" x14ac:dyDescent="0.25">
      <c r="A1987" s="1" t="s">
        <v>3588</v>
      </c>
      <c r="B1987" s="1" t="s">
        <v>5583</v>
      </c>
      <c r="C1987" s="1" t="s">
        <v>3589</v>
      </c>
      <c r="D1987" s="1" t="str">
        <f ca="1">IFERROR(__xludf.DUMMYFUNCTION("GoogleTranslate(B1987,""ja"",""en"")"),"There is no weapon needed to reincarnate")</f>
        <v>There is no weapon needed to reincarnate</v>
      </c>
    </row>
    <row r="1988" spans="1:4" ht="15.75" customHeight="1" x14ac:dyDescent="0.25">
      <c r="A1988" s="1" t="s">
        <v>3590</v>
      </c>
      <c r="B1988" s="1" t="s">
        <v>5584</v>
      </c>
      <c r="C1988" s="1" t="s">
        <v>3591</v>
      </c>
      <c r="D1988" s="1" t="str">
        <f ca="1">IFERROR(__xludf.DUMMYFUNCTION("GoogleTranslate(B1988,""ja"",""en"")"),"Corps officer roster")</f>
        <v>Corps officer roster</v>
      </c>
    </row>
    <row r="1989" spans="1:4" ht="15.75" customHeight="1" x14ac:dyDescent="0.25">
      <c r="A1989" s="1" t="s">
        <v>3592</v>
      </c>
      <c r="B1989" s="1" t="s">
        <v>5585</v>
      </c>
      <c r="C1989" s="1" t="s">
        <v>3593</v>
      </c>
      <c r="D1989" s="1" t="str">
        <f ca="1">IFERROR(__xludf.DUMMYFUNCTION("GoogleTranslate(B1989,""ja"",""en"")"),"Taishi Overview")</f>
        <v>Taishi Overview</v>
      </c>
    </row>
    <row r="1990" spans="1:4" ht="15.75" customHeight="1" x14ac:dyDescent="0.25">
      <c r="A1990" s="1" t="s">
        <v>3594</v>
      </c>
      <c r="B1990" s="1" t="s">
        <v>5586</v>
      </c>
      <c r="C1990" s="1" t="s">
        <v>3595</v>
      </c>
      <c r="D1990" s="1" t="str">
        <f ca="1">IFERROR(__xludf.DUMMYFUNCTION("GoogleTranslate(B1990,""ja"",""en"")"),"spear")</f>
        <v>spear</v>
      </c>
    </row>
    <row r="1991" spans="1:4" ht="15.75" customHeight="1" x14ac:dyDescent="0.25">
      <c r="A1991" s="1" t="s">
        <v>3596</v>
      </c>
      <c r="B1991" s="1" t="s">
        <v>5587</v>
      </c>
      <c r="C1991" s="1" t="s">
        <v>3597</v>
      </c>
      <c r="D1991" s="1" t="str">
        <f ca="1">IFERROR(__xludf.DUMMYFUNCTION("GoogleTranslate(B1991,""ja"",""en"")"),"You start the game from the beginning. &lt;Color: 5&gt; ""Yakuza Restoration! Is to take over the [n] data of the free app for PlayStation Vita ""Please select the data that has been"" downloaded ""in"" from the continued "". &lt;Color: Default&gt;")</f>
        <v>You start the game from the beginning. &lt;Color: 5&gt; "Yakuza Restoration! Is to take over the [n] data of the free app for PlayStation Vita "Please select the data that has been" downloaded "in" from the continued ". &lt;Color: Default&gt;</v>
      </c>
    </row>
    <row r="1992" spans="1:4" ht="15.75" customHeight="1" x14ac:dyDescent="0.25">
      <c r="A1992" s="1" t="s">
        <v>3598</v>
      </c>
      <c r="B1992" s="1" t="s">
        <v>5588</v>
      </c>
      <c r="C1992" s="1" t="s">
        <v>3599</v>
      </c>
      <c r="D1992" s="1" t="str">
        <f ca="1">IFERROR(__xludf.DUMMYFUNCTION("GoogleTranslate(B1992,""ja"",""en"")"),"You start the game from the continuation that was saved.")</f>
        <v>You start the game from the continuation that was saved.</v>
      </c>
    </row>
    <row r="1993" spans="1:4" ht="15.75" customHeight="1" x14ac:dyDescent="0.25">
      <c r="A1993" s="1" t="s">
        <v>3600</v>
      </c>
      <c r="B1993" s="1" t="s">
        <v>5589</v>
      </c>
      <c r="C1993" s="1" t="s">
        <v>3601</v>
      </c>
      <c r="D1993" s="1" t="str">
        <f ca="1">IFERROR(__xludf.DUMMYFUNCTION("GoogleTranslate(B1993,""ja"",""en"")"),"""Yakuza Restoration! Free app for PlayStation Vita ""[n] or share the progress and PlayStation 4 version.")</f>
        <v>"Yakuza Restoration! Free app for PlayStation Vita "[n] or share the progress and PlayStation 4 version.</v>
      </c>
    </row>
    <row r="1994" spans="1:4" ht="15.75" customHeight="1" x14ac:dyDescent="0.25">
      <c r="A1994" s="1" t="s">
        <v>3602</v>
      </c>
      <c r="B1994" s="1" t="s">
        <v>5590</v>
      </c>
      <c r="C1994" s="1" t="s">
        <v>3603</v>
      </c>
      <c r="D1994" s="1" t="str">
        <f ca="1">IFERROR(__xludf.DUMMYFUNCTION("GoogleTranslate(B1994,""ja"",""en"")"),"Mahjong, shogi, Koi-Koi, placed Cho stock, can play in the network play a [n] 5 types of mini-game of poker.")</f>
        <v>Mahjong, shogi, Koi-Koi, placed Cho stock, can play in the network play a [n] 5 types of mini-game of poker.</v>
      </c>
    </row>
    <row r="1995" spans="1:4" ht="15.75" customHeight="1" x14ac:dyDescent="0.25">
      <c r="A1995" s="1" t="s">
        <v>3604</v>
      </c>
      <c r="B1995" s="1" t="s">
        <v>5591</v>
      </c>
      <c r="C1995" s="1" t="s">
        <v>3605</v>
      </c>
      <c r="D1995" s="1" t="str">
        <f ca="1">IFERROR(__xludf.DUMMYFUNCTION("GoogleTranslate(B1995,""ja"",""en"")"),"[N] You can freely explore the world of the end of the Edo period, regardless of the scenario of the main story.")</f>
        <v>[N] You can freely explore the world of the end of the Edo period, regardless of the scenario of the main story.</v>
      </c>
    </row>
    <row r="1996" spans="1:4" ht="15.75" customHeight="1" x14ac:dyDescent="0.25">
      <c r="A1996" s="1" t="s">
        <v>3606</v>
      </c>
      <c r="B1996" s="1" t="s">
        <v>5592</v>
      </c>
      <c r="C1996" s="1" t="s">
        <v>3607</v>
      </c>
      <c r="D1996" s="1" t="str">
        <f ca="1">IFERROR(__xludf.DUMMYFUNCTION("GoogleTranslate(B1996,""ja"",""en"")"),"Only to extremely the fight who is the mode that can challenge. [N] When you win all of the fight, a rare tool is to come.")</f>
        <v>Only to extremely the fight who is the mode that can challenge. [N] When you win all of the fight, a rare tool is to come.</v>
      </c>
    </row>
    <row r="1997" spans="1:4" ht="15.75" customHeight="1" x14ac:dyDescent="0.25">
      <c r="A1997" s="1" t="s">
        <v>3608</v>
      </c>
      <c r="B1997" s="1" t="s">
        <v>5593</v>
      </c>
      <c r="C1997" s="1" t="s">
        <v>3609</v>
      </c>
      <c r="D1997" s="1" t="str">
        <f ca="1">IFERROR(__xludf.DUMMYFUNCTION("GoogleTranslate(B1997,""ja"",""en"")"),"You can check the information about the network.")</f>
        <v>You can check the information about the network.</v>
      </c>
    </row>
    <row r="1998" spans="1:4" ht="15.75" customHeight="1" x14ac:dyDescent="0.25">
      <c r="A1998" s="1" t="s">
        <v>3610</v>
      </c>
      <c r="B1998" s="1" t="s">
        <v>5594</v>
      </c>
      <c r="C1998" s="1" t="s">
        <v>3611</v>
      </c>
      <c r="D1998" s="1" t="str">
        <f ca="1">IFERROR(__xludf.DUMMYFUNCTION("GoogleTranslate(B1998,""ja"",""en"")"),"You can watch once saw was an event scene.")</f>
        <v>You can watch once saw was an event scene.</v>
      </c>
    </row>
    <row r="1999" spans="1:4" ht="15.75" customHeight="1" x14ac:dyDescent="0.25">
      <c r="A1999" s="1" t="s">
        <v>3612</v>
      </c>
      <c r="B1999" s="1" t="s">
        <v>5595</v>
      </c>
      <c r="C1999" s="1" t="s">
        <v>3613</v>
      </c>
      <c r="D1999" s="1" t="str">
        <f ca="1">IFERROR(__xludf.DUMMYFUNCTION("GoogleTranslate(B1999,""ja"",""en"")"),"You can change the various settings item. [N]")</f>
        <v>You can change the various settings item. [N]</v>
      </c>
    </row>
    <row r="2000" spans="1:4" ht="15.75" customHeight="1" x14ac:dyDescent="0.25">
      <c r="A2000" s="1" t="s">
        <v>3614</v>
      </c>
      <c r="B2000" s="1" t="s">
        <v>5596</v>
      </c>
      <c r="C2000" s="1" t="s">
        <v>3615</v>
      </c>
      <c r="D2000" s="1" t="str">
        <f ca="1">IFERROR(__xludf.DUMMYFUNCTION("GoogleTranslate(B2000,""ja"",""en"")"),"Save PlayStation 3 side of the save data on the [n] network.")</f>
        <v>Save PlayStation 3 side of the save data on the [n] network.</v>
      </c>
    </row>
    <row r="2001" spans="1:4" ht="15.75" customHeight="1" x14ac:dyDescent="0.25">
      <c r="A2001" s="1" t="s">
        <v>3616</v>
      </c>
      <c r="B2001" s="1" t="s">
        <v>5597</v>
      </c>
      <c r="C2001" s="1" t="s">
        <v>3617</v>
      </c>
      <c r="D2001" s="1" t="str">
        <f ca="1">IFERROR(__xludf.DUMMYFUNCTION("GoogleTranslate(B2001,""ja"",""en"")"),"Save PlayStation 4 side of the save data on the [n] network.")</f>
        <v>Save PlayStation 4 side of the save data on the [n] network.</v>
      </c>
    </row>
    <row r="2002" spans="1:4" ht="15.75" customHeight="1" x14ac:dyDescent="0.25">
      <c r="A2002" s="1" t="s">
        <v>3618</v>
      </c>
      <c r="B2002" s="1" t="s">
        <v>3614</v>
      </c>
      <c r="C2002" s="1" t="s">
        <v>3619</v>
      </c>
      <c r="D2002" s="1" t="str">
        <f ca="1">IFERROR(__xludf.DUMMYFUNCTION("GoogleTranslate(B2002,""ja"",""en"")"),"Save the save data of PlayStation Vita side on the [n] network.")</f>
        <v>Save the save data of PlayStation Vita side on the [n] network.</v>
      </c>
    </row>
    <row r="2003" spans="1:4" ht="15.75" customHeight="1" x14ac:dyDescent="0.25">
      <c r="A2003" s="1" t="s">
        <v>3620</v>
      </c>
      <c r="B2003" s="1" t="s">
        <v>3616</v>
      </c>
      <c r="C2003" s="1" t="s">
        <v>3621</v>
      </c>
      <c r="D2003" s="1" t="str">
        <f ca="1">IFERROR(__xludf.DUMMYFUNCTION("GoogleTranslate(B2003,""ja"",""en"")"),"The save data that is stored on the network to download [n], to share the progress.")</f>
        <v>The save data that is stored on the network to download [n], to share the progress.</v>
      </c>
    </row>
    <row r="2004" spans="1:4" ht="15.75" customHeight="1" x14ac:dyDescent="0.25">
      <c r="A2004" s="1" t="s">
        <v>3622</v>
      </c>
      <c r="B2004" s="1" t="s">
        <v>5598</v>
      </c>
      <c r="C2004" s="1" t="s">
        <v>213</v>
      </c>
      <c r="D2004" s="1" t="str">
        <f ca="1">IFERROR(__xludf.DUMMYFUNCTION("GoogleTranslate(B2004,""ja"",""en"")"),".")</f>
        <v>.</v>
      </c>
    </row>
    <row r="2005" spans="1:4" ht="15.75" customHeight="1" x14ac:dyDescent="0.25">
      <c r="A2005" s="1" t="s">
        <v>3623</v>
      </c>
      <c r="B2005" s="1" t="s">
        <v>5599</v>
      </c>
      <c r="C2005" s="1" t="s">
        <v>3624</v>
      </c>
      <c r="D2005" s="1" t="str">
        <f ca="1">IFERROR(__xludf.DUMMYFUNCTION("GoogleTranslate(B2005,""ja"",""en"")"),"We do not subscribe to PlayStation Plus. To return to the [n] the main menu screen.")</f>
        <v>We do not subscribe to PlayStation Plus. To return to the [n] the main menu screen.</v>
      </c>
    </row>
    <row r="2006" spans="1:4" ht="15.75" customHeight="1" x14ac:dyDescent="0.25">
      <c r="A2006" s="1" t="s">
        <v>3625</v>
      </c>
      <c r="B2006" s="1" t="s">
        <v>5600</v>
      </c>
      <c r="C2006" s="1" t="s">
        <v>3626</v>
      </c>
      <c r="D2006" s="1" t="str">
        <f ca="1">IFERROR(__xludf.DUMMYFUNCTION("GoogleTranslate(B2006,""ja"",""en"")"),"[N] A communication error occurred during the authentication of PlayStation Plus. To return to the [n] the main menu screen.")</f>
        <v>[N] A communication error occurred during the authentication of PlayStation Plus. To return to the [n] the main menu screen.</v>
      </c>
    </row>
    <row r="2007" spans="1:4" ht="15.75" customHeight="1" x14ac:dyDescent="0.25">
      <c r="A2007" s="1" t="s">
        <v>3627</v>
      </c>
      <c r="B2007" s="1" t="s">
        <v>5601</v>
      </c>
      <c r="C2007" s="1" t="s">
        <v>3628</v>
      </c>
      <c r="D2007" s="1" t="str">
        <f ca="1">IFERROR(__xludf.DUMMYFUNCTION("GoogleTranslate(B2007,""ja"",""en"")"),"From the beginning in the clear data use")</f>
        <v>From the beginning in the clear data use</v>
      </c>
    </row>
    <row r="2008" spans="1:4" ht="15.75" customHeight="1" x14ac:dyDescent="0.25">
      <c r="A2008" s="1" t="s">
        <v>3629</v>
      </c>
      <c r="B2008" s="1" t="s">
        <v>5602</v>
      </c>
      <c r="C2008" s="1" t="s">
        <v>3630</v>
      </c>
      <c r="D2008" s="1" t="str">
        <f ca="1">IFERROR(__xludf.DUMMYFUNCTION("GoogleTranslate(B2008,""ja"",""en"")"),"From the beginning without a clear data")</f>
        <v>From the beginning without a clear data</v>
      </c>
    </row>
    <row r="2009" spans="1:4" ht="15.75" customHeight="1" x14ac:dyDescent="0.25">
      <c r="A2009" s="1" t="s">
        <v>3631</v>
      </c>
      <c r="B2009" s="1" t="s">
        <v>5603</v>
      </c>
      <c r="C2009" s="1" t="s">
        <v>3632</v>
      </c>
      <c r="D2009" s="1" t="str">
        <f ca="1">IFERROR(__xludf.DUMMYFUNCTION("GoogleTranslate(B2009,""ja"",""en"")"),"Of clear data capacity, items, taken over the money in [n] will newly start the game from the beginning.")</f>
        <v>Of clear data capacity, items, taken over the money in [n] will newly start the game from the beginning.</v>
      </c>
    </row>
    <row r="2010" spans="1:4" ht="15.75" customHeight="1" x14ac:dyDescent="0.25">
      <c r="A2010" s="1" t="s">
        <v>3633</v>
      </c>
      <c r="B2010" s="1" t="s">
        <v>3631</v>
      </c>
      <c r="C2010" s="1" t="s">
        <v>3634</v>
      </c>
      <c r="D2010" s="1" t="str">
        <f ca="1">IFERROR(__xludf.DUMMYFUNCTION("GoogleTranslate(B2010,""ja"",""en"")"),"Clear data is not used, it starts again the game from the first [n] in a complete initial state.")</f>
        <v>Clear data is not used, it starts again the game from the first [n] in a complete initial state.</v>
      </c>
    </row>
    <row r="2011" spans="1:4" ht="15.75" customHeight="1" x14ac:dyDescent="0.25">
      <c r="A2011" s="1" t="s">
        <v>3635</v>
      </c>
      <c r="B2011" s="1" t="s">
        <v>5604</v>
      </c>
      <c r="C2011" s="1" t="s">
        <v>3636</v>
      </c>
      <c r="D2011" s="1" t="str">
        <f ca="1">IFERROR(__xludf.DUMMYFUNCTION("GoogleTranslate(B2011,""ja"",""en"")"),"Master class")</f>
        <v>Master class</v>
      </c>
    </row>
    <row r="2012" spans="1:4" ht="15.75" customHeight="1" x14ac:dyDescent="0.25">
      <c r="A2012" s="1" t="s">
        <v>3637</v>
      </c>
      <c r="B2012" s="1" t="s">
        <v>5605</v>
      </c>
      <c r="C2012" s="1" t="s">
        <v>3638</v>
      </c>
      <c r="D2012" s="1" t="str">
        <f ca="1">IFERROR(__xludf.DUMMYFUNCTION("GoogleTranslate(B2012,""ja"",""en"")"),"Action Games is one weaker and is recommended for those of [n] ""Yakuza"" series beginner.")</f>
        <v>Action Games is one weaker and is recommended for those of [n] "Yakuza" series beginner.</v>
      </c>
    </row>
    <row r="2013" spans="1:4" ht="15.75" customHeight="1" x14ac:dyDescent="0.25">
      <c r="A2013" s="1" t="s">
        <v>3639</v>
      </c>
      <c r="B2013" s="1" t="s">
        <v>5606</v>
      </c>
      <c r="C2013" s="1" t="s">
        <v>3640</v>
      </c>
      <c r="D2013" s="1" t="str">
        <f ca="1">IFERROR(__xludf.DUMMYFUNCTION("GoogleTranslate(B2013,""ja"",""en"")"),"This is the standard difficulty.")</f>
        <v>This is the standard difficulty.</v>
      </c>
    </row>
    <row r="2014" spans="1:4" ht="15.75" customHeight="1" x14ac:dyDescent="0.25">
      <c r="A2014" s="1" t="s">
        <v>3641</v>
      </c>
      <c r="B2014" s="1" t="s">
        <v>5607</v>
      </c>
      <c r="C2014" s="1" t="s">
        <v>3642</v>
      </c>
      <c r="D2014" s="1" t="str">
        <f ca="1">IFERROR(__xludf.DUMMYFUNCTION("GoogleTranslate(B2014,""ja"",""en"")"),"Action is recommended for those who are confident in.")</f>
        <v>Action is recommended for those who are confident in.</v>
      </c>
    </row>
    <row r="2015" spans="1:4" ht="15.75" customHeight="1" x14ac:dyDescent="0.25">
      <c r="A2015" s="1" t="s">
        <v>3643</v>
      </c>
      <c r="B2015" s="1" t="s">
        <v>5608</v>
      </c>
      <c r="C2015" s="1" t="s">
        <v>3644</v>
      </c>
      <c r="D2015" s="1" t="str">
        <f ca="1">IFERROR(__xludf.DUMMYFUNCTION("GoogleTranslate(B2015,""ja"",""en"")"),"You can not re-challenge when the game is over. [N] Please challenging only those who want ultimate in this game. [N]")</f>
        <v>You can not re-challenge when the game is over. [N] Please challenging only those who want ultimate in this game. [N]</v>
      </c>
    </row>
    <row r="2016" spans="1:4" ht="15.75" customHeight="1" x14ac:dyDescent="0.25">
      <c r="A2016" s="1" t="s">
        <v>3645</v>
      </c>
      <c r="B2016" s="1" t="s">
        <v>5609</v>
      </c>
      <c r="C2016" s="1" t="s">
        <v>3646</v>
      </c>
      <c r="D2016" s="1" t="str">
        <f ca="1">IFERROR(__xludf.DUMMYFUNCTION("GoogleTranslate(B2016,""ja"",""en"")"),"upload")</f>
        <v>upload</v>
      </c>
    </row>
    <row r="2017" spans="1:4" ht="15.75" customHeight="1" x14ac:dyDescent="0.25">
      <c r="A2017" s="1" t="s">
        <v>3647</v>
      </c>
      <c r="B2017" s="1" t="s">
        <v>5610</v>
      </c>
      <c r="C2017" s="1" t="s">
        <v>3648</v>
      </c>
      <c r="D2017" s="1" t="str">
        <f ca="1">IFERROR(__xludf.DUMMYFUNCTION("GoogleTranslate(B2017,""ja"",""en"")"),"download")</f>
        <v>download</v>
      </c>
    </row>
    <row r="2018" spans="1:4" ht="15.75" customHeight="1" x14ac:dyDescent="0.25">
      <c r="A2018" s="1" t="s">
        <v>3649</v>
      </c>
      <c r="B2018" s="1" t="s">
        <v>5611</v>
      </c>
      <c r="C2018" s="1" t="s">
        <v>3650</v>
      </c>
      <c r="D2018" s="1" t="str">
        <f ca="1">IFERROR(__xludf.DUMMYFUNCTION("GoogleTranslate(B2018,""ja"",""en"")"),"Start with a clear data use")</f>
        <v>Start with a clear data use</v>
      </c>
    </row>
    <row r="2019" spans="1:4" ht="15.75" customHeight="1" x14ac:dyDescent="0.25">
      <c r="A2019" s="1" t="s">
        <v>3651</v>
      </c>
      <c r="B2019" s="1" t="s">
        <v>5612</v>
      </c>
      <c r="C2019" s="1" t="s">
        <v>3652</v>
      </c>
      <c r="D2019" s="1" t="str">
        <f ca="1">IFERROR(__xludf.DUMMYFUNCTION("GoogleTranslate(B2019,""ja"",""en"")"),"Start without a clear data")</f>
        <v>Start without a clear data</v>
      </c>
    </row>
    <row r="2020" spans="1:4" ht="15.75" customHeight="1" x14ac:dyDescent="0.25">
      <c r="A2020" s="1" t="s">
        <v>3653</v>
      </c>
      <c r="B2020" s="1" t="s">
        <v>5613</v>
      </c>
      <c r="C2020" s="1" t="s">
        <v>3654</v>
      </c>
      <c r="D2020" s="1" t="str">
        <f ca="1">IFERROR(__xludf.DUMMYFUNCTION("GoogleTranslate(B2020,""ja"",""en"")"),"Regardless of the [n] scenario in the state took over all the elements of clear data, you can freely explore the world.")</f>
        <v>Regardless of the [n] scenario in the state took over all the elements of clear data, you can freely explore the world.</v>
      </c>
    </row>
    <row r="2021" spans="1:4" ht="15.75" customHeight="1" x14ac:dyDescent="0.25">
      <c r="A2021" s="1" t="s">
        <v>3655</v>
      </c>
      <c r="B2021" s="1" t="s">
        <v>3653</v>
      </c>
      <c r="C2021" s="1" t="s">
        <v>3656</v>
      </c>
      <c r="D2021" s="1" t="str">
        <f ca="1">IFERROR(__xludf.DUMMYFUNCTION("GoogleTranslate(B2021,""ja"",""en"")"),"You start the game from the complete initial state. [N], regardless of the scenario, you are free to explore the world.")</f>
        <v>You start the game from the complete initial state. [N], regardless of the scenario, you are free to explore the world.</v>
      </c>
    </row>
    <row r="2022" spans="1:4" ht="15.75" customHeight="1" x14ac:dyDescent="0.25">
      <c r="A2022" s="1" t="s">
        <v>3657</v>
      </c>
      <c r="B2022" s="1" t="s">
        <v>5614</v>
      </c>
      <c r="C2022" s="1" t="s">
        <v>3658</v>
      </c>
      <c r="D2022" s="1" t="str">
        <f ca="1">IFERROR(__xludf.DUMMYFUNCTION("GoogleTranslate(B2022,""ja"",""en"")"),"Reki")</f>
        <v>Reki</v>
      </c>
    </row>
    <row r="2023" spans="1:4" ht="15.75" customHeight="1" x14ac:dyDescent="0.25">
      <c r="A2023" s="1" t="s">
        <v>3659</v>
      </c>
      <c r="B2023" s="1" t="s">
        <v>5615</v>
      </c>
      <c r="C2023" s="1" t="s">
        <v>3660</v>
      </c>
      <c r="D2023" s="1" t="str">
        <f ca="1">IFERROR(__xludf.DUMMYFUNCTION("GoogleTranslate(B2023,""ja"",""en"")"),"Download History")</f>
        <v>Download History</v>
      </c>
    </row>
    <row r="2024" spans="1:4" ht="15.75" customHeight="1" x14ac:dyDescent="0.25">
      <c r="A2024" s="1" t="s">
        <v>3661</v>
      </c>
      <c r="B2024" s="1" t="s">
        <v>5616</v>
      </c>
      <c r="C2024" s="1" t="s">
        <v>3662</v>
      </c>
      <c r="D2024" s="1" t="str">
        <f ca="1">IFERROR(__xludf.DUMMYFUNCTION("GoogleTranslate(B2024,""ja"",""en"")"),"Achievements List")</f>
        <v>Achievements List</v>
      </c>
    </row>
    <row r="2025" spans="1:4" ht="15.75" customHeight="1" x14ac:dyDescent="0.25">
      <c r="A2025" s="1" t="s">
        <v>3663</v>
      </c>
      <c r="B2025" s="1" t="s">
        <v>5617</v>
      </c>
      <c r="C2025" s="1" t="s">
        <v>3664</v>
      </c>
      <c r="D2025" s="1" t="str">
        <f ca="1">IFERROR(__xludf.DUMMYFUNCTION("GoogleTranslate(B2025,""ja"",""en"")"),"Fully achieved")</f>
        <v>Fully achieved</v>
      </c>
    </row>
    <row r="2026" spans="1:4" ht="15.75" customHeight="1" x14ac:dyDescent="0.25">
      <c r="A2026" s="1" t="s">
        <v>3665</v>
      </c>
      <c r="B2026" s="1" t="s">
        <v>5618</v>
      </c>
      <c r="C2026" s="1" t="s">
        <v>3666</v>
      </c>
      <c r="D2026" s="1" t="str">
        <f ca="1">IFERROR(__xludf.DUMMYFUNCTION("GoogleTranslate(B2026,""ja"",""en"")"),"body")</f>
        <v>body</v>
      </c>
    </row>
    <row r="2027" spans="1:4" ht="15.75" customHeight="1" x14ac:dyDescent="0.25">
      <c r="A2027" s="1" t="s">
        <v>3667</v>
      </c>
      <c r="B2027" s="1" t="s">
        <v>5619</v>
      </c>
      <c r="C2027" s="1" t="s">
        <v>3668</v>
      </c>
      <c r="D2027" s="1" t="str">
        <f ca="1">IFERROR(__xludf.DUMMYFUNCTION("GoogleTranslate(B2027,""ja"",""en"")"),"The degree of difficulty of playing")</f>
        <v>The degree of difficulty of playing</v>
      </c>
    </row>
    <row r="2028" spans="1:4" ht="15.75" customHeight="1" x14ac:dyDescent="0.25">
      <c r="A2028" s="1" t="s">
        <v>3669</v>
      </c>
      <c r="B2028" s="1" t="s">
        <v>5620</v>
      </c>
      <c r="C2028" s="1" t="s">
        <v>3670</v>
      </c>
      <c r="D2028" s="1" t="str">
        <f ca="1">IFERROR(__xludf.DUMMYFUNCTION("GoogleTranslate(B2028,""ja"",""en"")"),"Continue the number of times")</f>
        <v>Continue the number of times</v>
      </c>
    </row>
    <row r="2029" spans="1:4" ht="15.75" customHeight="1" x14ac:dyDescent="0.25">
      <c r="A2029" s="1" t="s">
        <v>3671</v>
      </c>
      <c r="B2029" s="1" t="s">
        <v>5621</v>
      </c>
      <c r="C2029" s="1" t="s">
        <v>3672</v>
      </c>
      <c r="D2029" s="1" t="str">
        <f ca="1">IFERROR(__xludf.DUMMYFUNCTION("GoogleTranslate(B2029,""ja"",""en"")"),"Level at the time of clear")</f>
        <v>Level at the time of clear</v>
      </c>
    </row>
    <row r="2030" spans="1:4" ht="15.75" customHeight="1" x14ac:dyDescent="0.25">
      <c r="A2030" s="1" t="s">
        <v>3673</v>
      </c>
      <c r="B2030" s="1" t="s">
        <v>5622</v>
      </c>
      <c r="C2030" s="1" t="s">
        <v>3674</v>
      </c>
      <c r="D2030" s="1" t="str">
        <f ca="1">IFERROR(__xludf.DUMMYFUNCTION("GoogleTranslate(B2030,""ja"",""en"")"),"Number of achieving devotion inventory")</f>
        <v>Number of achieving devotion inventory</v>
      </c>
    </row>
    <row r="2031" spans="1:4" ht="15.75" customHeight="1" x14ac:dyDescent="0.25">
      <c r="A2031" s="1" t="s">
        <v>3675</v>
      </c>
      <c r="B2031" s="1" t="s">
        <v>5623</v>
      </c>
      <c r="C2031" s="1" t="s">
        <v>3676</v>
      </c>
      <c r="D2031" s="1" t="str">
        <f ca="1">IFERROR(__xludf.DUMMYFUNCTION("GoogleTranslate(B2031,""ja"",""en"")"),"Acquisition Corps mechanic number card")</f>
        <v>Acquisition Corps mechanic number card</v>
      </c>
    </row>
    <row r="2032" spans="1:4" ht="15.75" customHeight="1" x14ac:dyDescent="0.25">
      <c r="A2032" s="1" t="s">
        <v>3677</v>
      </c>
      <c r="B2032" s="1" t="s">
        <v>5624</v>
      </c>
      <c r="C2032" s="1" t="s">
        <v>3678</v>
      </c>
      <c r="D2032" s="1" t="str">
        <f ca="1">IFERROR(__xludf.DUMMYFUNCTION("GoogleTranslate(B2032,""ja"",""en"")"),"Complete total")</f>
        <v>Complete total</v>
      </c>
    </row>
    <row r="2033" spans="1:4" ht="15.75" customHeight="1" x14ac:dyDescent="0.25">
      <c r="A2033" s="1" t="s">
        <v>3679</v>
      </c>
      <c r="B2033" s="1" t="s">
        <v>5625</v>
      </c>
      <c r="C2033" s="1" t="s">
        <v>3680</v>
      </c>
      <c r="D2033" s="1" t="str">
        <f ca="1">IFERROR(__xludf.DUMMYFUNCTION("GoogleTranslate(B2033,""ja"",""en"")"),"% S got the.")</f>
        <v>% S got the.</v>
      </c>
    </row>
    <row r="2034" spans="1:4" ht="15.75" customHeight="1" x14ac:dyDescent="0.25">
      <c r="A2034" s="1" t="s">
        <v>3681</v>
      </c>
      <c r="B2034" s="1" t="s">
        <v>5626</v>
      </c>
      <c r="C2034" s="1" t="s">
        <v>3682</v>
      </c>
      <c r="D2034" s="1" t="str">
        <f ca="1">IFERROR(__xludf.DUMMYFUNCTION("GoogleTranslate(B2034,""ja"",""en"")"),"% S were now available.")</f>
        <v>% S were now available.</v>
      </c>
    </row>
    <row r="2035" spans="1:4" ht="15.75" customHeight="1" x14ac:dyDescent="0.25">
      <c r="A2035" s="1" t="s">
        <v>3683</v>
      </c>
      <c r="B2035" s="1" t="s">
        <v>5627</v>
      </c>
      <c r="C2035" s="1" t="s">
        <v>3684</v>
      </c>
      <c r="D2035" s="1" t="str">
        <f ca="1">IFERROR(__xludf.DUMMYFUNCTION("GoogleTranslate(B2035,""ja"",""en"")")," As after the clearing mode, [n] [n] end of the Edo period Man'yu [n] ultimate arena [n] [n] has been added to the menu.")</f>
        <v xml:space="preserve"> As after the clearing mode, [n] [n] end of the Edo period Man'yu [n] ultimate arena [n] [n] has been added to the menu.</v>
      </c>
    </row>
    <row r="2036" spans="1:4" ht="15.75" customHeight="1" x14ac:dyDescent="0.25">
      <c r="A2036" s="1" t="s">
        <v>3685</v>
      </c>
      <c r="B2036" s="1" t="s">
        <v>5628</v>
      </c>
      <c r="C2036" s="1" t="s">
        <v>3686</v>
      </c>
      <c r="D2036" s="1" t="str">
        <f ca="1">IFERROR(__xludf.DUMMYFUNCTION("GoogleTranslate(B2036,""ja"",""en"")"),"Master class has been added to the difficulty settings.")</f>
        <v>Master class has been added to the difficulty settings.</v>
      </c>
    </row>
    <row r="2037" spans="1:4" ht="15.75" customHeight="1" x14ac:dyDescent="0.25">
      <c r="A2037" s="1" t="s">
        <v>3687</v>
      </c>
      <c r="B2037" s="1" t="s">
        <v>5629</v>
      </c>
      <c r="C2037" s="1" t="s">
        <v>3688</v>
      </c>
      <c r="D2037" s="1" t="str">
        <f ca="1">IFERROR(__xludf.DUMMYFUNCTION("GoogleTranslate(B2037,""ja"",""en"")"),"Or ""from the beginning in the clear data use"", you can receive in a [n] When you start the game in the ""Edo Man'yu"" [n] ""can store Naomi of fortune-telling.""")</f>
        <v>Or "from the beginning in the clear data use", you can receive in a [n] When you start the game in the "Edo Man'yu" [n] "can store Naomi of fortune-telling."</v>
      </c>
    </row>
    <row r="2038" spans="1:4" ht="15.75" customHeight="1" x14ac:dyDescent="0.25">
      <c r="A2038" s="1" t="s">
        <v>3689</v>
      </c>
      <c r="B2038" s="1" t="s">
        <v>3687</v>
      </c>
      <c r="C2038" s="1" t="s">
        <v>3690</v>
      </c>
      <c r="D2038" s="1" t="str">
        <f ca="1">IFERROR(__xludf.DUMMYFUNCTION("GoogleTranslate(B2038,""ja"",""en"")"),"Or ""from the beginning in the clear data use"", you can get the ""% s"" from Utsunomiya you are in when you start the game with ""Edo Man'yu"" [n] Teradaya.")</f>
        <v>Or "from the beginning in the clear data use", you can get the "% s" from Utsunomiya you are in when you start the game with "Edo Man'yu" [n] Teradaya.</v>
      </c>
    </row>
    <row r="2039" spans="1:4" ht="15.75" customHeight="1" x14ac:dyDescent="0.25">
      <c r="A2039" s="1" t="s">
        <v>3691</v>
      </c>
      <c r="B2039" s="1" t="s">
        <v>5630</v>
      </c>
      <c r="C2039" s="1" t="s">
        <v>3692</v>
      </c>
      <c r="D2039" s="1" t="str">
        <f ca="1">IFERROR(__xludf.DUMMYFUNCTION("GoogleTranslate(B2039,""ja"",""en"")"),"% S% s is now to choose.")</f>
        <v>% S% s is now to choose.</v>
      </c>
    </row>
    <row r="2040" spans="1:4" ht="15.75" customHeight="1" x14ac:dyDescent="0.25">
      <c r="A2040" s="1" t="s">
        <v>3693</v>
      </c>
      <c r="B2040" s="1" t="s">
        <v>5631</v>
      </c>
      <c r="C2040" s="1" t="s">
        <v>3694</v>
      </c>
      <c r="D2040" s="1" t="str">
        <f ca="1">IFERROR(__xludf.DUMMYFUNCTION("GoogleTranslate(B2040,""ja"",""en"")"),"strongest")</f>
        <v>strongest</v>
      </c>
    </row>
    <row r="2041" spans="1:4" ht="15.75" customHeight="1" x14ac:dyDescent="0.25">
      <c r="A2041" s="1" t="s">
        <v>3695</v>
      </c>
      <c r="B2041" s="1" t="s">
        <v>5632</v>
      </c>
      <c r="C2041" s="1" t="s">
        <v>3696</v>
      </c>
      <c r="D2041" s="1" t="str">
        <f ca="1">IFERROR(__xludf.DUMMYFUNCTION("GoogleTranslate(B2041,""ja"",""en"")"),"Weakest")</f>
        <v>Weakest</v>
      </c>
    </row>
    <row r="2042" spans="1:4" ht="15.75" customHeight="1" x14ac:dyDescent="0.25">
      <c r="A2042" s="1" t="s">
        <v>3697</v>
      </c>
      <c r="B2042" s="1" t="s">
        <v>5633</v>
      </c>
      <c r="C2042" s="1" t="s">
        <v>3698</v>
      </c>
      <c r="D2042" s="1" t="str">
        <f ca="1">IFERROR(__xludf.DUMMYFUNCTION("GoogleTranslate(B2042,""ja"",""en"")"),"About NETWORK SERVICE")</f>
        <v>About NETWORK SERVICE</v>
      </c>
    </row>
    <row r="2043" spans="1:4" ht="15.75" customHeight="1" x14ac:dyDescent="0.25">
      <c r="A2043" s="1" t="s">
        <v>3699</v>
      </c>
      <c r="B2043" s="1" t="s">
        <v>5634</v>
      </c>
      <c r="C2043" s="1" t="s">
        <v>3700</v>
      </c>
      <c r="D2043" s="1" t="str">
        <f ca="1">IFERROR(__xludf.DUMMYFUNCTION("GoogleTranslate(B2043,""ja"",""en"")"),"Manual update")</f>
        <v>Manual update</v>
      </c>
    </row>
    <row r="2044" spans="1:4" ht="15.75" customHeight="1" x14ac:dyDescent="0.25">
      <c r="A2044" s="1" t="s">
        <v>3701</v>
      </c>
      <c r="B2044" s="1" t="s">
        <v>5635</v>
      </c>
      <c r="C2044" s="1" t="s">
        <v>343</v>
      </c>
      <c r="D2044" s="1" t="str">
        <f ca="1">IFERROR(__xludf.DUMMYFUNCTION("GoogleTranslate(B2044,""ja"",""en"")"),"Over")</f>
        <v>Over</v>
      </c>
    </row>
    <row r="2045" spans="1:4" ht="15.75" customHeight="1" x14ac:dyDescent="0.25">
      <c r="A2045" s="1" t="s">
        <v>3702</v>
      </c>
      <c r="B2045" s="1" t="s">
        <v>5636</v>
      </c>
      <c r="C2045" s="1" t="s">
        <v>3703</v>
      </c>
      <c r="D2045" s="1" t="str">
        <f ca="1">IFERROR(__xludf.DUMMYFUNCTION("GoogleTranslate(B2045,""ja"",""en"")"),"Please have a wireless controller to connect the two")</f>
        <v>Please have a wireless controller to connect the two</v>
      </c>
    </row>
    <row r="2046" spans="1:4" ht="15.75" customHeight="1" x14ac:dyDescent="0.25">
      <c r="A2046" s="1" t="s">
        <v>3704</v>
      </c>
      <c r="B2046" s="1" t="s">
        <v>5637</v>
      </c>
      <c r="C2046" s="1" t="s">
        <v>3705</v>
      </c>
      <c r="D2046" s="1" t="str">
        <f ca="1">IFERROR(__xludf.DUMMYFUNCTION("GoogleTranslate(B2046,""ja"",""en"")"),"You can see the content that is available by using the network.")</f>
        <v>You can see the content that is available by using the network.</v>
      </c>
    </row>
    <row r="2047" spans="1:4" ht="15.75" customHeight="1" x14ac:dyDescent="0.25">
      <c r="A2047" s="1" t="s">
        <v>3706</v>
      </c>
      <c r="B2047" s="1" t="s">
        <v>3702</v>
      </c>
      <c r="C2047" s="1" t="s">
        <v>3707</v>
      </c>
      <c r="D2047" s="1" t="str">
        <f ca="1">IFERROR(__xludf.DUMMYFUNCTION("GoogleTranslate(B2047,""ja"",""en"")"),"You can check the information of the added content.")</f>
        <v>You can check the information of the added content.</v>
      </c>
    </row>
    <row r="2048" spans="1:4" ht="15.75" customHeight="1" x14ac:dyDescent="0.25">
      <c r="A2048" s="1" t="s">
        <v>3708</v>
      </c>
      <c r="B2048" s="1" t="s">
        <v>5638</v>
      </c>
      <c r="C2048" s="1" t="s">
        <v>3709</v>
      </c>
      <c r="D2048" s="1" t="str">
        <f ca="1">IFERROR(__xludf.DUMMYFUNCTION("GoogleTranslate(B2048,""ja"",""en"")"),"Body that is connected to the network I will auto-update [n] door but, or the like which is the middle cut, if it fails, you can perform the update manually from here [n].")</f>
        <v>Body that is connected to the network I will auto-update [n] door but, or the like which is the middle cut, if it fails, you can perform the update manually from here [n].</v>
      </c>
    </row>
    <row r="2049" spans="1:4" ht="15.75" customHeight="1" x14ac:dyDescent="0.25">
      <c r="A2049" s="1" t="s">
        <v>3710</v>
      </c>
      <c r="B2049" s="1" t="s">
        <v>5639</v>
      </c>
      <c r="C2049" s="1" t="s">
        <v>3711</v>
      </c>
      <c r="D2049" s="1" t="str">
        <f ca="1">IFERROR(__xludf.DUMMYFUNCTION("GoogleTranslate(B2049,""ja"",""en"")"),"&lt;Sign: D&gt; Agree")</f>
        <v>&lt;Sign: D&gt; Agree</v>
      </c>
    </row>
    <row r="2050" spans="1:4" ht="15.75" customHeight="1" x14ac:dyDescent="0.25">
      <c r="A2050" s="1" t="s">
        <v>3712</v>
      </c>
      <c r="B2050" s="1" t="s">
        <v>5640</v>
      </c>
      <c r="C2050" s="1" t="s">
        <v>3713</v>
      </c>
      <c r="D2050" s="1" t="str">
        <f ca="1">IFERROR(__xludf.DUMMYFUNCTION("GoogleTranslate(B2050,""ja"",""en"")"),"&lt;Sign: C&gt; do not agree")</f>
        <v>&lt;Sign: C&gt; do not agree</v>
      </c>
    </row>
    <row r="2051" spans="1:4" ht="15.75" customHeight="1" x14ac:dyDescent="0.25">
      <c r="A2051" s="1" t="s">
        <v>3714</v>
      </c>
      <c r="B2051" s="1" t="s">
        <v>5641</v>
      </c>
      <c r="C2051" s="1" t="s">
        <v>3715</v>
      </c>
      <c r="D2051" s="1" t="str">
        <f ca="1">IFERROR(__xludf.DUMMYFUNCTION("GoogleTranslate(B2051,""ja"",""en"")"),"-Option")</f>
        <v>-Option</v>
      </c>
    </row>
    <row r="2052" spans="1:4" ht="15.75" customHeight="1" x14ac:dyDescent="0.25">
      <c r="A2052" s="1" t="s">
        <v>3716</v>
      </c>
      <c r="B2052" s="1" t="s">
        <v>5642</v>
      </c>
      <c r="C2052" s="1" t="s">
        <v>2682</v>
      </c>
      <c r="D2052" s="1" t="str">
        <f ca="1">IFERROR(__xludf.DUMMYFUNCTION("GoogleTranslate(B2052,""ja"",""en"")"),"De")</f>
        <v>De</v>
      </c>
    </row>
    <row r="2053" spans="1:4" ht="15.75" customHeight="1" x14ac:dyDescent="0.25">
      <c r="A2053" s="1" t="s">
        <v>3717</v>
      </c>
      <c r="B2053" s="1" t="s">
        <v>5643</v>
      </c>
      <c r="C2053" s="1" t="s">
        <v>213</v>
      </c>
      <c r="D2053" s="1" t="str">
        <f ca="1">IFERROR(__xludf.DUMMYFUNCTION("GoogleTranslate(B2053,""ja"",""en"")"),".")</f>
        <v>.</v>
      </c>
    </row>
    <row r="2054" spans="1:4" ht="15.75" customHeight="1" x14ac:dyDescent="0.25">
      <c r="A2054" s="1" t="s">
        <v>3718</v>
      </c>
      <c r="B2054" s="1" t="s">
        <v>5644</v>
      </c>
      <c r="C2054" s="1" t="s">
        <v>213</v>
      </c>
      <c r="D2054" s="1" t="str">
        <f ca="1">IFERROR(__xludf.DUMMYFUNCTION("GoogleTranslate(B2054,""ja"",""en"")"),".")</f>
        <v>.</v>
      </c>
    </row>
    <row r="2055" spans="1:4" ht="15.75" customHeight="1" x14ac:dyDescent="0.25">
      <c r="A2055" s="1" t="s">
        <v>3719</v>
      </c>
      <c r="B2055" s="1" t="s">
        <v>5645</v>
      </c>
      <c r="C2055" s="1" t="s">
        <v>213</v>
      </c>
      <c r="D2055" s="1" t="str">
        <f ca="1">IFERROR(__xludf.DUMMYFUNCTION("GoogleTranslate(B2055,""ja"",""en"")"),".")</f>
        <v>.</v>
      </c>
    </row>
    <row r="2056" spans="1:4" ht="15.75" customHeight="1" x14ac:dyDescent="0.25">
      <c r="A2056" s="1" t="s">
        <v>3720</v>
      </c>
      <c r="B2056" s="1" t="s">
        <v>5646</v>
      </c>
      <c r="C2056" s="1" t="s">
        <v>1416</v>
      </c>
      <c r="D2056" s="1" t="str">
        <f ca="1">IFERROR(__xludf.DUMMYFUNCTION("GoogleTranslate(B2056,""ja"",""en"")"),"Grayed")</f>
        <v>Grayed</v>
      </c>
    </row>
    <row r="2057" spans="1:4" ht="15.75" customHeight="1" x14ac:dyDescent="0.25">
      <c r="A2057" s="1" t="s">
        <v>3721</v>
      </c>
      <c r="B2057" s="1" t="s">
        <v>3717</v>
      </c>
      <c r="C2057" s="1" t="s">
        <v>1416</v>
      </c>
      <c r="D2057" s="1" t="str">
        <f ca="1">IFERROR(__xludf.DUMMYFUNCTION("GoogleTranslate(B2057,""ja"",""en"")"),"Grayed")</f>
        <v>Grayed</v>
      </c>
    </row>
    <row r="2058" spans="1:4" ht="15.75" customHeight="1" x14ac:dyDescent="0.25">
      <c r="A2058" s="1" t="s">
        <v>3722</v>
      </c>
      <c r="B2058" s="1" t="s">
        <v>5647</v>
      </c>
      <c r="C2058" s="1" t="s">
        <v>213</v>
      </c>
      <c r="D2058" s="1" t="str">
        <f ca="1">IFERROR(__xludf.DUMMYFUNCTION("GoogleTranslate(B2058,""ja"",""en"")"),".")</f>
        <v>.</v>
      </c>
    </row>
    <row r="2059" spans="1:4" ht="15.75" customHeight="1" x14ac:dyDescent="0.25">
      <c r="A2059" s="1" t="s">
        <v>3723</v>
      </c>
      <c r="B2059" s="1" t="s">
        <v>5648</v>
      </c>
      <c r="C2059" s="1" t="s">
        <v>213</v>
      </c>
      <c r="D2059" s="1" t="str">
        <f ca="1">IFERROR(__xludf.DUMMYFUNCTION("GoogleTranslate(B2059,""ja"",""en"")"),".")</f>
        <v>.</v>
      </c>
    </row>
    <row r="2060" spans="1:4" ht="15.75" customHeight="1" x14ac:dyDescent="0.25">
      <c r="A2060" s="1" t="s">
        <v>3724</v>
      </c>
      <c r="B2060" s="1" t="s">
        <v>5649</v>
      </c>
      <c r="C2060" s="1" t="s">
        <v>213</v>
      </c>
      <c r="D2060" s="1" t="str">
        <f ca="1">IFERROR(__xludf.DUMMYFUNCTION("GoogleTranslate(B2060,""ja"",""en"")"),".")</f>
        <v>.</v>
      </c>
    </row>
    <row r="2061" spans="1:4" ht="15.75" customHeight="1" x14ac:dyDescent="0.25">
      <c r="A2061" s="1" t="s">
        <v>3725</v>
      </c>
      <c r="B2061" s="1" t="s">
        <v>5650</v>
      </c>
      <c r="C2061" s="1" t="s">
        <v>213</v>
      </c>
      <c r="D2061" s="1" t="str">
        <f ca="1">IFERROR(__xludf.DUMMYFUNCTION("GoogleTranslate(B2061,""ja"",""en"")"),".")</f>
        <v>.</v>
      </c>
    </row>
    <row r="2062" spans="1:4" ht="15.75" customHeight="1" x14ac:dyDescent="0.25">
      <c r="A2062" s="1" t="s">
        <v>3726</v>
      </c>
      <c r="B2062" s="1" t="s">
        <v>5651</v>
      </c>
      <c r="C2062" s="1" t="s">
        <v>381</v>
      </c>
      <c r="D2062" s="1" t="str">
        <f ca="1">IFERROR(__xludf.DUMMYFUNCTION("GoogleTranslate(B2062,""ja"",""en"")"),"That")</f>
        <v>That</v>
      </c>
    </row>
    <row r="2063" spans="1:4" ht="15.75" customHeight="1" x14ac:dyDescent="0.25">
      <c r="A2063" s="1" t="s">
        <v>3727</v>
      </c>
      <c r="B2063" s="1" t="s">
        <v>5652</v>
      </c>
      <c r="C2063" s="1" t="s">
        <v>3728</v>
      </c>
      <c r="D2063" s="1" t="str">
        <f ca="1">IFERROR(__xludf.DUMMYFUNCTION("GoogleTranslate(B2063,""ja"",""en"")"),"Play online")</f>
        <v>Play online</v>
      </c>
    </row>
    <row r="2064" spans="1:4" ht="15.75" customHeight="1" x14ac:dyDescent="0.25">
      <c r="A2064" s="1" t="s">
        <v>3729</v>
      </c>
      <c r="B2064" s="1" t="s">
        <v>5653</v>
      </c>
      <c r="C2064" s="1" t="s">
        <v>3730</v>
      </c>
      <c r="D2064" s="1" t="str">
        <f ca="1">IFERROR(__xludf.DUMMYFUNCTION("GoogleTranslate(B2064,""ja"",""en"")"),"Play by one person")</f>
        <v>Play by one person</v>
      </c>
    </row>
    <row r="2065" spans="1:4" ht="15.75" customHeight="1" x14ac:dyDescent="0.25">
      <c r="A2065" s="1" t="s">
        <v>3731</v>
      </c>
      <c r="B2065" s="1" t="s">
        <v>5654</v>
      </c>
      <c r="C2065" s="1" t="s">
        <v>3732</v>
      </c>
      <c r="D2065" s="1" t="str">
        <f ca="1">IFERROR(__xludf.DUMMYFUNCTION("GoogleTranslate(B2065,""ja"",""en"")"),"Mahjong, play Koi-Koi, placed Cho Co., poker, Shogi [n] the five types of mini-games in the online competition.")</f>
        <v>Mahjong, play Koi-Koi, placed Cho Co., poker, Shogi [n] the five types of mini-games in the online competition.</v>
      </c>
    </row>
    <row r="2066" spans="1:4" ht="15.75" customHeight="1" x14ac:dyDescent="0.25">
      <c r="A2066" s="1" t="s">
        <v>3733</v>
      </c>
      <c r="B2066" s="1" t="s">
        <v>5655</v>
      </c>
      <c r="C2066" s="1" t="s">
        <v>3734</v>
      </c>
      <c r="D2066" s="1" t="str">
        <f ca="1">IFERROR(__xludf.DUMMYFUNCTION("GoogleTranslate(B2066,""ja"",""en"")"),"Mahjong, play Koi-Koi, placed Cho Co., poker, Shogi [n] the five types of mini-games in only one person.")</f>
        <v>Mahjong, play Koi-Koi, placed Cho Co., poker, Shogi [n] the five types of mini-games in only one person.</v>
      </c>
    </row>
    <row r="2067" spans="1:4" ht="15.75" customHeight="1" x14ac:dyDescent="0.25">
      <c r="A2067" s="1" t="s">
        <v>3735</v>
      </c>
      <c r="B2067" s="1" t="s">
        <v>5656</v>
      </c>
      <c r="C2067" s="1" t="s">
        <v>3736</v>
      </c>
      <c r="D2067" s="1" t="str">
        <f ca="1">IFERROR(__xludf.DUMMYFUNCTION("GoogleTranslate(B2067,""ja"",""en"")"),"Use the Mahjong tiles, will compete on the strength of the fast and the role of go [n] role making pulling the tiles in order.")</f>
        <v>Use the Mahjong tiles, will compete on the strength of the fast and the role of go [n] role making pulling the tiles in order.</v>
      </c>
    </row>
    <row r="2068" spans="1:4" ht="15.75" customHeight="1" x14ac:dyDescent="0.25">
      <c r="A2068" s="1" t="s">
        <v>3737</v>
      </c>
      <c r="B2068" s="1" t="s">
        <v>5657</v>
      </c>
      <c r="C2068" s="1" t="s">
        <v>3738</v>
      </c>
      <c r="D2068" s="1" t="str">
        <f ca="1">IFERROR(__xludf.DUMMYFUNCTION("GoogleTranslate(B2068,""ja"",""en"")"),"Use the shogi pieces, move the Tegoma alternately either [n] to compete with or take the opponent's king ahead.")</f>
        <v>Use the shogi pieces, move the Tegoma alternately either [n] to compete with or take the opponent's king ahead.</v>
      </c>
    </row>
    <row r="2069" spans="1:4" ht="15.75" customHeight="1" x14ac:dyDescent="0.25">
      <c r="A2069" s="1" t="s">
        <v>3739</v>
      </c>
      <c r="B2069" s="1" t="s">
        <v>5658</v>
      </c>
      <c r="C2069" s="1" t="s">
        <v>3740</v>
      </c>
      <c r="D2069" s="1" t="str">
        <f ca="1">IFERROR(__xludf.DUMMYFUNCTION("GoogleTranslate(B2069,""ja"",""en"")"),"Use the playing cards, and then continue [n] match to create a role doing the picture matching.")</f>
        <v>Use the playing cards, and then continue [n] match to create a role doing the picture matching.</v>
      </c>
    </row>
    <row r="2070" spans="1:4" ht="15.75" customHeight="1" x14ac:dyDescent="0.25">
      <c r="A2070" s="1" t="s">
        <v>3741</v>
      </c>
      <c r="B2070" s="1" t="s">
        <v>5659</v>
      </c>
      <c r="C2070" s="1" t="s">
        <v>3742</v>
      </c>
      <c r="D2070" s="1" t="str">
        <f ca="1">IFERROR(__xludf.DUMMYFUNCTION("GoogleTranslate(B2070,""ja"",""en"")"),"Use the kabufuda or playing cards, your hand is dealt two or three sheets [n] to compete on the last digit of the total number.")</f>
        <v>Use the kabufuda or playing cards, your hand is dealt two or three sheets [n] to compete on the last digit of the total number.</v>
      </c>
    </row>
    <row r="2071" spans="1:4" ht="15.75" customHeight="1" x14ac:dyDescent="0.25">
      <c r="A2071" s="1" t="s">
        <v>3743</v>
      </c>
      <c r="B2071" s="1" t="s">
        <v>5660</v>
      </c>
      <c r="C2071" s="1" t="s">
        <v>3744</v>
      </c>
      <c r="D2071" s="1" t="str">
        <f ca="1">IFERROR(__xludf.DUMMYFUNCTION("GoogleTranslate(B2071,""ja"",""en"")"),"Use the play bills of the foreign country, consider a combination of five of the bills will compete on the strength of the [n] role.")</f>
        <v>Use the play bills of the foreign country, consider a combination of five of the bills will compete on the strength of the [n] role.</v>
      </c>
    </row>
    <row r="2072" spans="1:4" ht="15.75" customHeight="1" x14ac:dyDescent="0.25">
      <c r="A2072" s="1" t="s">
        <v>3745</v>
      </c>
      <c r="B2072" s="1" t="s">
        <v>5661</v>
      </c>
      <c r="C2072" s="1" t="s">
        <v>3746</v>
      </c>
      <c r="D2072" s="1" t="str">
        <f ca="1">IFERROR(__xludf.DUMMYFUNCTION("GoogleTranslate(B2072,""ja"",""en"")"),"High betting point")</f>
        <v>High betting point</v>
      </c>
    </row>
    <row r="2073" spans="1:4" ht="15.75" customHeight="1" x14ac:dyDescent="0.25">
      <c r="A2073" s="1" t="s">
        <v>3747</v>
      </c>
      <c r="B2073" s="1" t="s">
        <v>5662</v>
      </c>
      <c r="C2073" s="1" t="s">
        <v>3748</v>
      </c>
      <c r="D2073" s="1" t="str">
        <f ca="1">IFERROR(__xludf.DUMMYFUNCTION("GoogleTranslate(B2073,""ja"",""en"")"),"Low betting point")</f>
        <v>Low betting point</v>
      </c>
    </row>
    <row r="2074" spans="1:4" ht="15.75" customHeight="1" x14ac:dyDescent="0.25">
      <c r="A2074" s="1" t="s">
        <v>3749</v>
      </c>
      <c r="B2074" s="1" t="s">
        <v>5663</v>
      </c>
      <c r="C2074" s="1" t="s">
        <v>3750</v>
      </c>
      <c r="D2074" s="1" t="str">
        <f ca="1">IFERROR(__xludf.DUMMYFUNCTION("GoogleTranslate(B2074,""ja"",""en"")"),"One game")</f>
        <v>One game</v>
      </c>
    </row>
    <row r="2075" spans="1:4" ht="15.75" customHeight="1" x14ac:dyDescent="0.25">
      <c r="A2075" s="1" t="s">
        <v>3751</v>
      </c>
      <c r="B2075" s="1" t="s">
        <v>5664</v>
      </c>
      <c r="C2075" s="1" t="s">
        <v>3752</v>
      </c>
      <c r="D2075" s="1" t="str">
        <f ca="1">IFERROR(__xludf.DUMMYFUNCTION("GoogleTranslate(B2075,""ja"",""en"")"),"The betting point 250 points you play and replace it with a 25,000-point outlook.")</f>
        <v>The betting point 250 points you play and replace it with a 25,000-point outlook.</v>
      </c>
    </row>
    <row r="2076" spans="1:4" ht="15.75" customHeight="1" x14ac:dyDescent="0.25">
      <c r="A2076" s="1" t="s">
        <v>3753</v>
      </c>
      <c r="B2076" s="1" t="s">
        <v>5665</v>
      </c>
      <c r="C2076" s="1" t="s">
        <v>3754</v>
      </c>
      <c r="D2076" s="1" t="str">
        <f ca="1">IFERROR(__xludf.DUMMYFUNCTION("GoogleTranslate(B2076,""ja"",""en"")"),"The betting point 25 points you play and replace it with a 25,000-point outlook.")</f>
        <v>The betting point 25 points you play and replace it with a 25,000-point outlook.</v>
      </c>
    </row>
    <row r="2077" spans="1:4" ht="15.75" customHeight="1" x14ac:dyDescent="0.25">
      <c r="A2077" s="1" t="s">
        <v>3755</v>
      </c>
      <c r="B2077" s="1" t="s">
        <v>3749</v>
      </c>
      <c r="C2077" s="1" t="s">
        <v>3756</v>
      </c>
      <c r="D2077" s="1" t="str">
        <f ca="1">IFERROR(__xludf.DUMMYFUNCTION("GoogleTranslate(B2077,""ja"",""en"")"),"I can not play because the betting point is not enough. [N] Please have accumulated more than 250 points.")</f>
        <v>I can not play because the betting point is not enough. [N] Please have accumulated more than 250 points.</v>
      </c>
    </row>
    <row r="2078" spans="1:4" ht="15.75" customHeight="1" x14ac:dyDescent="0.25">
      <c r="A2078" s="1" t="s">
        <v>3757</v>
      </c>
      <c r="B2078" s="1" t="s">
        <v>5666</v>
      </c>
      <c r="C2078" s="1" t="s">
        <v>3758</v>
      </c>
      <c r="D2078" s="1" t="str">
        <f ca="1">IFERROR(__xludf.DUMMYFUNCTION("GoogleTranslate(B2078,""ja"",""en"")"),"I can not play because the betting point is not enough. [N] Please have accumulated more than 25 points.")</f>
        <v>I can not play because the betting point is not enough. [N] Please have accumulated more than 25 points.</v>
      </c>
    </row>
    <row r="2079" spans="1:4" ht="15.75" customHeight="1" x14ac:dyDescent="0.25">
      <c r="A2079" s="1" t="s">
        <v>3759</v>
      </c>
      <c r="B2079" s="1" t="s">
        <v>5667</v>
      </c>
      <c r="C2079" s="1" t="s">
        <v>3760</v>
      </c>
      <c r="D2079" s="1" t="str">
        <f ca="1">IFERROR(__xludf.DUMMYFUNCTION("GoogleTranslate(B2079,""ja"",""en"")"),"You can play in one game 5 points.")</f>
        <v>You can play in one game 5 points.</v>
      </c>
    </row>
    <row r="2080" spans="1:4" ht="15.75" customHeight="1" x14ac:dyDescent="0.25">
      <c r="A2080" s="1" t="s">
        <v>3761</v>
      </c>
      <c r="B2080" s="1" t="s">
        <v>5668</v>
      </c>
      <c r="C2080" s="1" t="s">
        <v>3762</v>
      </c>
      <c r="D2080" s="1" t="str">
        <f ca="1">IFERROR(__xludf.DUMMYFUNCTION("GoogleTranslate(B2080,""ja"",""en"")"),"This online competition Ikoi will be three times game. [N] score difference × 100 points and the opponent will be exchanged. To play with [n] high betting point, it must be at least 2000 points.")</f>
        <v>This online competition Ikoi will be three times game. [N] score difference × 100 points and the opponent will be exchanged. To play with [n] high betting point, it must be at least 2000 points.</v>
      </c>
    </row>
    <row r="2081" spans="1:4" ht="15.75" customHeight="1" x14ac:dyDescent="0.25">
      <c r="A2081" s="1" t="s">
        <v>3763</v>
      </c>
      <c r="B2081" s="1" t="s">
        <v>5669</v>
      </c>
      <c r="C2081" s="1" t="s">
        <v>3764</v>
      </c>
      <c r="D2081" s="1" t="str">
        <f ca="1">IFERROR(__xludf.DUMMYFUNCTION("GoogleTranslate(B2081,""ja"",""en"")"),"This online competition Ikoi will be three times game. [N] score difference × 10 points and the opponent will be exchanged. To play with [n] low betting point, we need points at least 200.")</f>
        <v>This online competition Ikoi will be three times game. [N] score difference × 10 points and the opponent will be exchanged. To play with [n] low betting point, we need points at least 200.</v>
      </c>
    </row>
    <row r="2082" spans="1:4" ht="15.75" customHeight="1" x14ac:dyDescent="0.25">
      <c r="A2082" s="1" t="s">
        <v>3765</v>
      </c>
      <c r="B2082" s="1" t="s">
        <v>5670</v>
      </c>
      <c r="C2082" s="1" t="s">
        <v>3766</v>
      </c>
      <c r="D2082" s="1" t="str">
        <f ca="1">IFERROR(__xludf.DUMMYFUNCTION("GoogleTranslate(B2082,""ja"",""en"")"),"Contact posthumous edition strains of online play is 4 times game. [N] upper limit of bets wagered point at a time up to 1000 points. To play with [n] high betting point, it must be at least 4000 points.")</f>
        <v>Contact posthumous edition strains of online play is 4 times game. [N] upper limit of bets wagered point at a time up to 1000 points. To play with [n] high betting point, it must be at least 4000 points.</v>
      </c>
    </row>
    <row r="2083" spans="1:4" ht="15.75" customHeight="1" x14ac:dyDescent="0.25">
      <c r="A2083" s="1" t="s">
        <v>3767</v>
      </c>
      <c r="B2083" s="1" t="s">
        <v>5671</v>
      </c>
      <c r="C2083" s="1" t="s">
        <v>3768</v>
      </c>
      <c r="D2083" s="1" t="str">
        <f ca="1">IFERROR(__xludf.DUMMYFUNCTION("GoogleTranslate(B2083,""ja"",""en"")"),"Contact posthumous edition strains of online play is 4 times game. [N] upper limit of bets wagered point at a time is up to 100 points. [N] to play in the low betting point is, we need points at least 400.")</f>
        <v>Contact posthumous edition strains of online play is 4 times game. [N] upper limit of bets wagered point at a time is up to 100 points. [N] to play in the low betting point is, we need points at least 400.</v>
      </c>
    </row>
    <row r="2084" spans="1:4" ht="15.75" customHeight="1" x14ac:dyDescent="0.25">
      <c r="A2084" s="1" t="s">
        <v>3769</v>
      </c>
      <c r="B2084" s="1" t="s">
        <v>5672</v>
      </c>
      <c r="C2084" s="1" t="s">
        <v>3770</v>
      </c>
      <c r="D2084" s="1" t="str">
        <f ca="1">IFERROR(__xludf.DUMMYFUNCTION("GoogleTranslate(B2084,""ja"",""en"")"),"I can not play because the betting point is not enough. [N] Please have accumulated more than 4000 points.")</f>
        <v>I can not play because the betting point is not enough. [N] Please have accumulated more than 4000 points.</v>
      </c>
    </row>
    <row r="2085" spans="1:4" ht="15.75" customHeight="1" x14ac:dyDescent="0.25">
      <c r="A2085" s="1" t="s">
        <v>3771</v>
      </c>
      <c r="B2085" s="1" t="s">
        <v>5673</v>
      </c>
      <c r="C2085" s="1" t="s">
        <v>3772</v>
      </c>
      <c r="D2085" s="1" t="str">
        <f ca="1">IFERROR(__xludf.DUMMYFUNCTION("GoogleTranslate(B2085,""ja"",""en"")"),"I can not play because the betting point is not enough. [N] Please have accumulated more than 400 points.")</f>
        <v>I can not play because the betting point is not enough. [N] Please have accumulated more than 400 points.</v>
      </c>
    </row>
    <row r="2086" spans="1:4" ht="15.75" customHeight="1" x14ac:dyDescent="0.25">
      <c r="A2086" s="1" t="s">
        <v>3773</v>
      </c>
      <c r="B2086" s="1" t="s">
        <v>5674</v>
      </c>
      <c r="C2086" s="1" t="s">
        <v>3774</v>
      </c>
      <c r="D2086" s="1" t="str">
        <f ca="1">IFERROR(__xludf.DUMMYFUNCTION("GoogleTranslate(B2086,""ja"",""en"")"),"To play at a high betting point, it must be at least 4000 points. Play in the [n] Texas Hold'em, the minimum BET number [n] 1~2 round is 50 points, 3-4 round is 100 points.")</f>
        <v>To play at a high betting point, it must be at least 4000 points. Play in the [n] Texas Hold'em, the minimum BET number [n] 1~2 round is 50 points, 3-4 round is 100 points.</v>
      </c>
    </row>
    <row r="2087" spans="1:4" ht="15.75" customHeight="1" x14ac:dyDescent="0.25">
      <c r="A2087" s="1" t="s">
        <v>3775</v>
      </c>
      <c r="B2087" s="1" t="s">
        <v>5675</v>
      </c>
      <c r="C2087" s="1" t="s">
        <v>3776</v>
      </c>
      <c r="D2087" s="1" t="str">
        <f ca="1">IFERROR(__xludf.DUMMYFUNCTION("GoogleTranslate(B2087,""ja"",""en"")"),"To play in the low betting point is, you need points at least 400. Play in the [n] Texas Hold'em, the minimum BET number [n] 1~2 round 5 points, 3-4 round is 10 points.")</f>
        <v>To play in the low betting point is, you need points at least 400. Play in the [n] Texas Hold'em, the minimum BET number [n] 1~2 round 5 points, 3-4 round is 10 points.</v>
      </c>
    </row>
    <row r="2088" spans="1:4" ht="15.75" customHeight="1" x14ac:dyDescent="0.25">
      <c r="A2088" s="1" t="s">
        <v>3777</v>
      </c>
      <c r="B2088" s="1" t="s">
        <v>5676</v>
      </c>
      <c r="C2088" s="1" t="s">
        <v>3778</v>
      </c>
      <c r="D2088" s="1" t="str">
        <f ca="1">IFERROR(__xludf.DUMMYFUNCTION("GoogleTranslate(B2088,""ja"",""en"")"),"The upper limit of the betting point wagered at a time up to 1000 points. To play with [n] high betting point, it must be at least 1000 points.")</f>
        <v>The upper limit of the betting point wagered at a time up to 1000 points. To play with [n] high betting point, it must be at least 1000 points.</v>
      </c>
    </row>
    <row r="2089" spans="1:4" ht="15.75" customHeight="1" x14ac:dyDescent="0.25">
      <c r="A2089" s="1" t="s">
        <v>3779</v>
      </c>
      <c r="B2089" s="1" t="s">
        <v>5677</v>
      </c>
      <c r="C2089" s="1" t="s">
        <v>3780</v>
      </c>
      <c r="D2089" s="1" t="str">
        <f ca="1">IFERROR(__xludf.DUMMYFUNCTION("GoogleTranslate(B2089,""ja"",""en"")"),"The upper limit of the betting point wagered at a time is up to 100 points. [N] to play in the low betting point, it must be at least 100 points.")</f>
        <v>The upper limit of the betting point wagered at a time is up to 100 points. [N] to play in the low betting point, it must be at least 100 points.</v>
      </c>
    </row>
    <row r="2090" spans="1:4" ht="15.75" customHeight="1" x14ac:dyDescent="0.25">
      <c r="A2090" s="1" t="s">
        <v>3781</v>
      </c>
      <c r="B2090" s="1" t="s">
        <v>5678</v>
      </c>
      <c r="C2090" s="1" t="s">
        <v>3782</v>
      </c>
      <c r="D2090" s="1" t="str">
        <f ca="1">IFERROR(__xludf.DUMMYFUNCTION("GoogleTranslate(B2090,""ja"",""en"")"),"To play at a high betting point, it must be at least 1000 points.")</f>
        <v>To play at a high betting point, it must be at least 1000 points.</v>
      </c>
    </row>
    <row r="2091" spans="1:4" ht="15.75" customHeight="1" x14ac:dyDescent="0.25">
      <c r="A2091" s="1" t="s">
        <v>3783</v>
      </c>
      <c r="B2091" s="1" t="s">
        <v>5679</v>
      </c>
      <c r="C2091" s="1" t="s">
        <v>3784</v>
      </c>
      <c r="D2091" s="1" t="str">
        <f ca="1">IFERROR(__xludf.DUMMYFUNCTION("GoogleTranslate(B2091,""ja"",""en"")"),"To play in the low betting point, it must be at least 100 points.")</f>
        <v>To play in the low betting point, it must be at least 100 points.</v>
      </c>
    </row>
    <row r="2092" spans="1:4" ht="15.75" customHeight="1" x14ac:dyDescent="0.25">
      <c r="A2092" s="1" t="s">
        <v>3785</v>
      </c>
      <c r="B2092" s="1" t="s">
        <v>5680</v>
      </c>
      <c r="C2092" s="1" t="s">
        <v>3786</v>
      </c>
      <c r="D2092" s="1" t="str">
        <f ca="1">IFERROR(__xludf.DUMMYFUNCTION("GoogleTranslate(B2092,""ja"",""en"")"),"Place")</f>
        <v>Place</v>
      </c>
    </row>
    <row r="2093" spans="1:4" ht="15.75" customHeight="1" x14ac:dyDescent="0.25">
      <c r="A2093" s="1" t="s">
        <v>3787</v>
      </c>
      <c r="B2093" s="1" t="s">
        <v>5681</v>
      </c>
      <c r="C2093" s="1" t="s">
        <v>2682</v>
      </c>
      <c r="D2093" s="1" t="str">
        <f ca="1">IFERROR(__xludf.DUMMYFUNCTION("GoogleTranslate(B2093,""ja"",""en"")"),"De")</f>
        <v>De</v>
      </c>
    </row>
    <row r="2094" spans="1:4" ht="15.75" customHeight="1" x14ac:dyDescent="0.25">
      <c r="A2094" s="1" t="s">
        <v>3788</v>
      </c>
      <c r="B2094" s="1" t="s">
        <v>5682</v>
      </c>
      <c r="C2094" s="1" t="s">
        <v>3789</v>
      </c>
      <c r="D2094" s="1" t="str">
        <f ca="1">IFERROR(__xludf.DUMMYFUNCTION("GoogleTranslate(B2094,""ja"",""en"")"),"Betting point exchange")</f>
        <v>Betting point exchange</v>
      </c>
    </row>
    <row r="2095" spans="1:4" ht="15.75" customHeight="1" x14ac:dyDescent="0.25">
      <c r="A2095" s="1" t="s">
        <v>3790</v>
      </c>
      <c r="B2095" s="1" t="s">
        <v>5683</v>
      </c>
      <c r="C2095" s="1" t="s">
        <v>3791</v>
      </c>
      <c r="D2095" s="1" t="str">
        <f ca="1">IFERROR(__xludf.DUMMYFUNCTION("GoogleTranslate(B2095,""ja"",""en"")"),"Purchased with money")</f>
        <v>Purchased with money</v>
      </c>
    </row>
    <row r="2096" spans="1:4" ht="15.75" customHeight="1" x14ac:dyDescent="0.25">
      <c r="A2096" s="1" t="s">
        <v>3792</v>
      </c>
      <c r="B2096" s="1" t="s">
        <v>5684</v>
      </c>
      <c r="C2096" s="1" t="s">
        <v>3793</v>
      </c>
      <c r="D2096" s="1" t="str">
        <f ca="1">IFERROR(__xludf.DUMMYFUNCTION("GoogleTranslate(B2096,""ja"",""en"")"),"If you have a betting point, and replace it with [n] a variety of prizes or money, last days.")</f>
        <v>If you have a betting point, and replace it with [n] a variety of prizes or money, last days.</v>
      </c>
    </row>
    <row r="2097" spans="1:4" ht="15.75" customHeight="1" x14ac:dyDescent="0.25">
      <c r="A2097" s="1" t="s">
        <v>3794</v>
      </c>
      <c r="B2097" s="1" t="s">
        <v>3787</v>
      </c>
      <c r="C2097" s="1" t="s">
        <v>3795</v>
      </c>
      <c r="D2097" s="1" t="str">
        <f ca="1">IFERROR(__xludf.DUMMYFUNCTION("GoogleTranslate(B2097,""ja"",""en"")"),"If you have a money, [n] and replace it with a variety of prizes or betting point, last days.")</f>
        <v>If you have a money, [n] and replace it with a variety of prizes or betting point, last days.</v>
      </c>
    </row>
    <row r="2098" spans="1:4" ht="15.75" customHeight="1" x14ac:dyDescent="0.25">
      <c r="A2098" s="1" t="s">
        <v>3796</v>
      </c>
      <c r="B2098" s="1" t="s">
        <v>5685</v>
      </c>
      <c r="C2098" s="1" t="s">
        <v>3797</v>
      </c>
      <c r="D2098" s="1" t="str">
        <f ca="1">IFERROR(__xludf.DUMMYFUNCTION("GoogleTranslate(B2098,""ja"",""en"")"),"Download save data from the server, [n] PlayStation 3 or PlayStation 4 and between [n] PlayStation Vita,, will share the progress. Please sign in to [n] ""PSN"" in [n] upload and download the same online ID. [N] [n] &lt;Color: 5&gt; When you save the save data "&amp;"that has been downloaded from the server [n] progress and clear situation of the story, will be overwritten to that of the save data downloaded [n]. [N] [n] even after clearing the game, [n] if save data downloaded from the server of [n] game before clear"&amp;"ing of the state, such as the story progresses and [n] clear the situation is back to the past , please pay attention to the old and new of the [n] save data to become again.")</f>
        <v>Download save data from the server, [n] PlayStation 3 or PlayStation 4 and between [n] PlayStation Vita,, will share the progress. Please sign in to [n] "PSN" in [n] upload and download the same online ID. [N] [n] &lt;Color: 5&gt; When you save the save data that has been downloaded from the server [n] progress and clear situation of the story, will be overwritten to that of the save data downloaded [n]. [N] [n] even after clearing the game, [n] if save data downloaded from the server of [n] game before clearing of the state, such as the story progresses and [n] clear the situation is back to the past , please pay attention to the old and new of the [n] save data to become again.</v>
      </c>
    </row>
    <row r="2099" spans="1:4" ht="15.75" customHeight="1" x14ac:dyDescent="0.25">
      <c r="A2099" s="1" t="s">
        <v>3798</v>
      </c>
      <c r="B2099" s="1" t="s">
        <v>5686</v>
      </c>
      <c r="C2099" s="1" t="s">
        <v>3799</v>
      </c>
      <c r="D2099" s="1" t="str">
        <f ca="1">IFERROR(__xludf.DUMMYFUNCTION("GoogleTranslate(B2099,""ja"",""en"")"),"Upload the save data to the server, [n] PlayStation 3 or PlayStation 4 and between [n] PlayStation Vita,, will share the progress. Please sign in to [n] ""PSN"" in [n] upload and download the same online ID.")</f>
        <v>Upload the save data to the server, [n] PlayStation 3 or PlayStation 4 and between [n] PlayStation Vita,, will share the progress. Please sign in to [n] "PSN" in [n] upload and download the same online ID.</v>
      </c>
    </row>
    <row r="2100" spans="1:4" ht="15.75" customHeight="1" x14ac:dyDescent="0.25">
      <c r="A2100" s="1" t="s">
        <v>3800</v>
      </c>
      <c r="B2100" s="1" t="s">
        <v>5687</v>
      </c>
      <c r="C2100" s="1" t="s">
        <v>3801</v>
      </c>
      <c r="D2100" s="1" t="str">
        <f ca="1">IFERROR(__xludf.DUMMYFUNCTION("GoogleTranslate(B2100,""ja"",""en"")"),"Total play time")</f>
        <v>Total play time</v>
      </c>
    </row>
    <row r="2101" spans="1:4" ht="15.75" customHeight="1" x14ac:dyDescent="0.25">
      <c r="A2101" s="1" t="s">
        <v>3802</v>
      </c>
      <c r="B2101" s="1" t="s">
        <v>5688</v>
      </c>
      <c r="C2101" s="1" t="s">
        <v>3803</v>
      </c>
      <c r="D2101" s="1" t="str">
        <f ca="1">IFERROR(__xludf.DUMMYFUNCTION("GoogleTranslate(B2101,""ja"",""en"")"),"level")</f>
        <v>level</v>
      </c>
    </row>
    <row r="2102" spans="1:4" ht="15.75" customHeight="1" x14ac:dyDescent="0.25">
      <c r="A2102" s="1" t="s">
        <v>3804</v>
      </c>
      <c r="B2102" s="1" t="s">
        <v>5689</v>
      </c>
      <c r="C2102" s="1" t="s">
        <v>3805</v>
      </c>
      <c r="D2102" s="1" t="str">
        <f ca="1">IFERROR(__xludf.DUMMYFUNCTION("GoogleTranslate(B2102,""ja"",""en"")"),"Experience point")</f>
        <v>Experience point</v>
      </c>
    </row>
    <row r="2103" spans="1:4" ht="15.75" customHeight="1" x14ac:dyDescent="0.25">
      <c r="A2103" s="1" t="s">
        <v>3806</v>
      </c>
      <c r="B2103" s="1" t="s">
        <v>5690</v>
      </c>
      <c r="C2103" s="1" t="s">
        <v>3807</v>
      </c>
      <c r="D2103" s="1" t="str">
        <f ca="1">IFERROR(__xludf.DUMMYFUNCTION("GoogleTranslate(B2103,""ja"",""en"")"),"The number of resolved mission")</f>
        <v>The number of resolved mission</v>
      </c>
    </row>
    <row r="2104" spans="1:4" ht="15.75" customHeight="1" x14ac:dyDescent="0.25">
      <c r="A2104" s="1" t="s">
        <v>3808</v>
      </c>
      <c r="B2104" s="1" t="s">
        <v>5691</v>
      </c>
      <c r="C2104" s="1" t="s">
        <v>3809</v>
      </c>
      <c r="D2104" s="1" t="str">
        <f ca="1">IFERROR(__xludf.DUMMYFUNCTION("GoogleTranslate(B2104,""ja"",""en"")"),"Corps mechanic number card")</f>
        <v>Corps mechanic number card</v>
      </c>
    </row>
    <row r="2105" spans="1:4" ht="15.75" customHeight="1" x14ac:dyDescent="0.25">
      <c r="A2105" s="1" t="s">
        <v>3810</v>
      </c>
      <c r="B2105" s="1" t="s">
        <v>5692</v>
      </c>
      <c r="C2105" s="1" t="s">
        <v>3811</v>
      </c>
      <c r="D2105" s="1" t="str">
        <f ca="1">IFERROR(__xludf.DUMMYFUNCTION("GoogleTranslate(B2105,""ja"",""en"")"),"Kind of cultivated crops")</f>
        <v>Kind of cultivated crops</v>
      </c>
    </row>
    <row r="2106" spans="1:4" ht="15.75" customHeight="1" x14ac:dyDescent="0.25">
      <c r="A2106" s="1" t="s">
        <v>3812</v>
      </c>
      <c r="B2106" s="1" t="s">
        <v>5693</v>
      </c>
      <c r="C2106" s="1" t="s">
        <v>3813</v>
      </c>
      <c r="D2106" s="1" t="str">
        <f ca="1">IFERROR(__xludf.DUMMYFUNCTION("GoogleTranslate(B2106,""ja"",""en"")"),"Kind of caught fish")</f>
        <v>Kind of caught fish</v>
      </c>
    </row>
    <row r="2107" spans="1:4" ht="15.75" customHeight="1" x14ac:dyDescent="0.25">
      <c r="A2107" s="1" t="s">
        <v>3814</v>
      </c>
      <c r="B2107" s="1" t="s">
        <v>5694</v>
      </c>
      <c r="C2107" s="1" t="s">
        <v>3815</v>
      </c>
      <c r="D2107" s="1" t="str">
        <f ca="1">IFERROR(__xludf.DUMMYFUNCTION("GoogleTranslate(B2107,""ja"",""en"")"),"The completed dishes number of articles")</f>
        <v>The completed dishes number of articles</v>
      </c>
    </row>
    <row r="2108" spans="1:4" ht="15.75" customHeight="1" x14ac:dyDescent="0.25">
      <c r="A2108" s="1" t="s">
        <v>3816</v>
      </c>
      <c r="B2108" s="1" t="s">
        <v>5695</v>
      </c>
      <c r="C2108" s="1" t="s">
        <v>3817</v>
      </c>
      <c r="D2108" s="1" t="str">
        <f ca="1">IFERROR(__xludf.DUMMYFUNCTION("GoogleTranslate(B2108,""ja"",""en"")"),"Delivered pre-goods number")</f>
        <v>Delivered pre-goods number</v>
      </c>
    </row>
    <row r="2109" spans="1:4" ht="15.75" customHeight="1" x14ac:dyDescent="0.25">
      <c r="A2109" s="1" t="s">
        <v>3818</v>
      </c>
      <c r="B2109" s="1" t="s">
        <v>5696</v>
      </c>
      <c r="C2109" s="1" t="s">
        <v>3819</v>
      </c>
      <c r="D2109" s="1" t="str">
        <f ca="1">IFERROR(__xludf.DUMMYFUNCTION("GoogleTranslate(B2109,""ja"",""en"")"),"You can not use the [n] online service for parental lock has been set.")</f>
        <v>You can not use the [n] online service for parental lock has been set.</v>
      </c>
    </row>
    <row r="2110" spans="1:4" ht="15.75" customHeight="1" x14ac:dyDescent="0.25">
      <c r="A2110" s="1" t="s">
        <v>3820</v>
      </c>
      <c r="B2110" s="1" t="s">
        <v>5697</v>
      </c>
      <c r="C2110" s="1" t="s">
        <v>3821</v>
      </c>
      <c r="D2110" s="1" t="str">
        <f ca="1">IFERROR(__xludf.DUMMYFUNCTION("GoogleTranslate(B2110,""ja"",""en"")"),"No item")</f>
        <v>No item</v>
      </c>
    </row>
    <row r="2111" spans="1:4" ht="15.75" customHeight="1" x14ac:dyDescent="0.25">
      <c r="A2111" s="1" t="s">
        <v>3822</v>
      </c>
      <c r="B2111" s="1" t="s">
        <v>5698</v>
      </c>
      <c r="C2111" s="1" t="s">
        <v>3823</v>
      </c>
      <c r="D2111" s="1" t="str">
        <f ca="1">IFERROR(__xludf.DUMMYFUNCTION("GoogleTranslate(B2111,""ja"",""en"")"),"% 2d position")</f>
        <v>% 2d position</v>
      </c>
    </row>
    <row r="2112" spans="1:4" ht="15.75" customHeight="1" x14ac:dyDescent="0.25">
      <c r="A2112" s="1" t="s">
        <v>3824</v>
      </c>
      <c r="B2112" s="1" t="s">
        <v>5699</v>
      </c>
      <c r="C2112" s="1" t="s">
        <v>3825</v>
      </c>
      <c r="D2112" s="1" t="str">
        <f ca="1">IFERROR(__xludf.DUMMYFUNCTION("GoogleTranslate(B2112,""ja"",""en"")"),"% 4d point")</f>
        <v>% 4d point</v>
      </c>
    </row>
    <row r="2113" spans="1:4" ht="15.75" customHeight="1" x14ac:dyDescent="0.25">
      <c r="A2113" s="1" t="s">
        <v>3826</v>
      </c>
      <c r="B2113" s="1" t="s">
        <v>5700</v>
      </c>
      <c r="C2113" s="1" t="s">
        <v>3827</v>
      </c>
      <c r="D2113" s="1" t="str">
        <f ca="1">IFERROR(__xludf.DUMMYFUNCTION("GoogleTranslate(B2113,""ja"",""en"")"),"% 8d number")</f>
        <v>% 8d number</v>
      </c>
    </row>
    <row r="2114" spans="1:4" ht="15.75" customHeight="1" x14ac:dyDescent="0.25">
      <c r="A2114" s="1" t="s">
        <v>3828</v>
      </c>
      <c r="B2114" s="1" t="s">
        <v>5701</v>
      </c>
      <c r="C2114" s="1" t="s">
        <v>3829</v>
      </c>
      <c r="D2114" s="1" t="str">
        <f ca="1">IFERROR(__xludf.DUMMYFUNCTION("GoogleTranslate(B2114,""ja"",""en"")"),"% D both% 04d sentence")</f>
        <v>% D both% 04d sentence</v>
      </c>
    </row>
    <row r="2115" spans="1:4" ht="15.75" customHeight="1" x14ac:dyDescent="0.25">
      <c r="A2115" s="1" t="s">
        <v>3830</v>
      </c>
      <c r="B2115" s="1" t="s">
        <v>5702</v>
      </c>
      <c r="C2115" s="1" t="s">
        <v>3831</v>
      </c>
      <c r="D2115" s="1" t="str">
        <f ca="1">IFERROR(__xludf.DUMMYFUNCTION("GoogleTranslate(B2115,""ja"",""en"")"),"% 2d wins")</f>
        <v>% 2d wins</v>
      </c>
    </row>
    <row r="2116" spans="1:4" ht="15.75" customHeight="1" x14ac:dyDescent="0.25">
      <c r="A2116" s="1" t="s">
        <v>3832</v>
      </c>
      <c r="B2116" s="1" t="s">
        <v>5703</v>
      </c>
      <c r="C2116" s="1" t="s">
        <v>3833</v>
      </c>
      <c r="D2116" s="1" t="str">
        <f ca="1">IFERROR(__xludf.DUMMYFUNCTION("GoogleTranslate(B2116,""ja"",""en"")"),"% 2d winning streak")</f>
        <v>% 2d winning streak</v>
      </c>
    </row>
    <row r="2117" spans="1:4" ht="15.75" customHeight="1" x14ac:dyDescent="0.25">
      <c r="A2117" s="1" t="s">
        <v>3834</v>
      </c>
      <c r="B2117" s="1" t="s">
        <v>5704</v>
      </c>
      <c r="C2117" s="1" t="s">
        <v>3835</v>
      </c>
      <c r="D2117" s="1" t="str">
        <f ca="1">IFERROR(__xludf.DUMMYFUNCTION("GoogleTranslate(B2117,""ja"",""en"")"),"% 3.2f times")</f>
        <v>% 3.2f times</v>
      </c>
    </row>
    <row r="2118" spans="1:4" ht="15.75" customHeight="1" x14ac:dyDescent="0.25">
      <c r="A2118" s="1" t="s">
        <v>3836</v>
      </c>
      <c r="B2118" s="1" t="s">
        <v>5705</v>
      </c>
      <c r="C2118" s="1" t="s">
        <v>3837</v>
      </c>
      <c r="D2118" s="1" t="str">
        <f ca="1">IFERROR(__xludf.DUMMYFUNCTION("GoogleTranslate(B2118,""ja"",""en"")"),"% D continuous attack")</f>
        <v>% D continuous attack</v>
      </c>
    </row>
    <row r="2119" spans="1:4" ht="15.75" customHeight="1" x14ac:dyDescent="0.25">
      <c r="A2119" s="1" t="s">
        <v>3838</v>
      </c>
      <c r="B2119" s="1" t="s">
        <v>3820</v>
      </c>
      <c r="C2119" s="1" t="s">
        <v>3839</v>
      </c>
      <c r="D2119" s="1" t="str">
        <f ca="1">IFERROR(__xludf.DUMMYFUNCTION("GoogleTranslate(B2119,""ja"",""en"")"),"% D people defeat")</f>
        <v>% D people defeat</v>
      </c>
    </row>
    <row r="2120" spans="1:4" ht="15.75" customHeight="1" x14ac:dyDescent="0.25">
      <c r="A2120" s="1" t="s">
        <v>3840</v>
      </c>
      <c r="B2120" s="1" t="s">
        <v>5706</v>
      </c>
      <c r="C2120" s="1" t="s">
        <v>3841</v>
      </c>
      <c r="D2120" s="1" t="str">
        <f ca="1">IFERROR(__xludf.DUMMYFUNCTION("GoogleTranslate(B2120,""ja"",""en"")"),"% 3d times")</f>
        <v>% 3d times</v>
      </c>
    </row>
    <row r="2121" spans="1:4" ht="15.75" customHeight="1" x14ac:dyDescent="0.25">
      <c r="A2121" s="1" t="s">
        <v>3842</v>
      </c>
      <c r="B2121" s="1" t="s">
        <v>3822</v>
      </c>
      <c r="C2121" s="1" t="s">
        <v>3843</v>
      </c>
      <c r="D2121" s="1" t="str">
        <f ca="1">IFERROR(__xludf.DUMMYFUNCTION("GoogleTranslate(B2121,""ja"",""en"")"),"% 4d people")</f>
        <v>% 4d people</v>
      </c>
    </row>
    <row r="2122" spans="1:4" ht="15.75" customHeight="1" x14ac:dyDescent="0.25">
      <c r="A2122" s="1" t="s">
        <v>3844</v>
      </c>
      <c r="B2122" s="1" t="s">
        <v>3824</v>
      </c>
      <c r="C2122" s="1" t="s">
        <v>3845</v>
      </c>
      <c r="D2122" s="1" t="str">
        <f ca="1">IFERROR(__xludf.DUMMYFUNCTION("GoogleTranslate(B2122,""ja"",""en"")"),"% 3d% 3d game wins% 3d over")</f>
        <v>% 3d% 3d game wins% 3d over</v>
      </c>
    </row>
    <row r="2123" spans="1:4" ht="15.75" customHeight="1" x14ac:dyDescent="0.25">
      <c r="A2123" s="1" t="s">
        <v>3846</v>
      </c>
      <c r="B2123" s="1" t="s">
        <v>3826</v>
      </c>
      <c r="C2123" s="1" t="s">
        <v>3847</v>
      </c>
      <c r="D2123" s="1" t="str">
        <f ca="1">IFERROR(__xludf.DUMMYFUNCTION("GoogleTranslate(B2123,""ja"",""en"")"),"Winning percentage% 3d%")</f>
        <v>Winning percentage% 3d%</v>
      </c>
    </row>
    <row r="2124" spans="1:4" ht="15.75" customHeight="1" x14ac:dyDescent="0.25">
      <c r="A2124" s="1" t="s">
        <v>3848</v>
      </c>
      <c r="B2124" s="1" t="s">
        <v>5707</v>
      </c>
      <c r="C2124" s="1" t="s">
        <v>3849</v>
      </c>
      <c r="D2124" s="1" t="str">
        <f ca="1">IFERROR(__xludf.DUMMYFUNCTION("GoogleTranslate(B2124,""ja"",""en"")"),"% 4d statement")</f>
        <v>% 4d statement</v>
      </c>
    </row>
    <row r="2125" spans="1:4" ht="15.75" customHeight="1" x14ac:dyDescent="0.25">
      <c r="A2125" s="1" t="s">
        <v>3850</v>
      </c>
      <c r="B2125" s="1" t="s">
        <v>3830</v>
      </c>
      <c r="C2125" s="1" t="s">
        <v>3851</v>
      </c>
      <c r="D2125" s="1" t="str">
        <f ca="1">IFERROR(__xludf.DUMMYFUNCTION("GoogleTranslate(B2125,""ja"",""en"")"),"×% d times")</f>
        <v>×% d times</v>
      </c>
    </row>
    <row r="2126" spans="1:4" ht="15.75" customHeight="1" x14ac:dyDescent="0.25">
      <c r="A2126" s="1" t="s">
        <v>3852</v>
      </c>
      <c r="B2126" s="1" t="s">
        <v>3832</v>
      </c>
      <c r="C2126" s="1" t="s">
        <v>3853</v>
      </c>
      <c r="D2126" s="1" t="str">
        <f ca="1">IFERROR(__xludf.DUMMYFUNCTION("GoogleTranslate(B2126,""ja"",""en"")"),"% D Man% 04d pieces")</f>
        <v>% D Man% 04d pieces</v>
      </c>
    </row>
    <row r="2127" spans="1:4" ht="15.75" customHeight="1" x14ac:dyDescent="0.25">
      <c r="A2127" s="1" t="s">
        <v>3854</v>
      </c>
      <c r="B2127" s="1" t="s">
        <v>5708</v>
      </c>
      <c r="C2127" s="1" t="s">
        <v>3855</v>
      </c>
      <c r="D2127" s="1" t="str">
        <f ca="1">IFERROR(__xludf.DUMMYFUNCTION("GoogleTranslate(B2127,""ja"",""en"")"),"% D warfare% 3d% 3d wins over")</f>
        <v>% D warfare% 3d% 3d wins over</v>
      </c>
    </row>
    <row r="2128" spans="1:4" ht="15.75" customHeight="1" x14ac:dyDescent="0.25">
      <c r="A2128" s="1" t="s">
        <v>3856</v>
      </c>
      <c r="B2128" s="1" t="s">
        <v>5709</v>
      </c>
      <c r="C2128" s="1" t="s">
        <v>3857</v>
      </c>
      <c r="D2128" s="1" t="str">
        <f ca="1">IFERROR(__xludf.DUMMYFUNCTION("GoogleTranslate(B2128,""ja"",""en"")"),"Acquisition 闘玉")</f>
        <v>Acquisition 闘玉</v>
      </c>
    </row>
    <row r="2129" spans="1:4" ht="15.75" customHeight="1" x14ac:dyDescent="0.25">
      <c r="A2129" s="1" t="s">
        <v>3858</v>
      </c>
      <c r="B2129" s="1" t="s">
        <v>5710</v>
      </c>
      <c r="C2129" s="1" t="s">
        <v>3859</v>
      </c>
      <c r="D2129" s="1" t="str">
        <f ca="1">IFERROR(__xludf.DUMMYFUNCTION("GoogleTranslate(B2129,""ja"",""en"")"),"Winnings")</f>
        <v>Winnings</v>
      </c>
    </row>
    <row r="2130" spans="1:4" ht="15.75" customHeight="1" x14ac:dyDescent="0.25">
      <c r="A2130" s="1" t="s">
        <v>3860</v>
      </c>
      <c r="B2130" s="1" t="s">
        <v>5711</v>
      </c>
      <c r="C2130" s="1" t="s">
        <v>3861</v>
      </c>
      <c r="D2130" s="1" t="str">
        <f ca="1">IFERROR(__xludf.DUMMYFUNCTION("GoogleTranslate(B2130,""ja"",""en"")"),"% 3d people in% 3d people defeat")</f>
        <v>% 3d people in% 3d people defeat</v>
      </c>
    </row>
    <row r="2131" spans="1:4" ht="15.75" customHeight="1" x14ac:dyDescent="0.25">
      <c r="A2131" s="1" t="s">
        <v>3862</v>
      </c>
      <c r="B2131" s="1" t="s">
        <v>5712</v>
      </c>
      <c r="C2131" s="1" t="s">
        <v>3863</v>
      </c>
      <c r="D2131" s="1" t="str">
        <f ca="1">IFERROR(__xludf.DUMMYFUNCTION("GoogleTranslate(B2131,""ja"",""en"")"),"% 2d warfare% 2d wins% 2d loses")</f>
        <v>% 2d warfare% 2d wins% 2d loses</v>
      </c>
    </row>
    <row r="2132" spans="1:4" ht="15.75" customHeight="1" x14ac:dyDescent="0.25">
      <c r="A2132" s="1" t="s">
        <v>3864</v>
      </c>
      <c r="B2132" s="1" t="s">
        <v>5713</v>
      </c>
      <c r="C2132" s="1" t="s">
        <v>3865</v>
      </c>
      <c r="D2132" s="1" t="str">
        <f ca="1">IFERROR(__xludf.DUMMYFUNCTION("GoogleTranslate(B2132,""ja"",""en"")"),"Special reward")</f>
        <v>Special reward</v>
      </c>
    </row>
    <row r="2133" spans="1:4" ht="15.75" customHeight="1" x14ac:dyDescent="0.25">
      <c r="A2133" s="1" t="s">
        <v>3866</v>
      </c>
      <c r="B2133" s="1" t="s">
        <v>5714</v>
      </c>
      <c r="C2133" s="1" t="s">
        <v>3867</v>
      </c>
      <c r="D2133" s="1" t="str">
        <f ca="1">IFERROR(__xludf.DUMMYFUNCTION("GoogleTranslate(B2133,""ja"",""en"")"),"Ranking score total")</f>
        <v>Ranking score total</v>
      </c>
    </row>
    <row r="2134" spans="1:4" ht="15.75" customHeight="1" x14ac:dyDescent="0.25">
      <c r="A2134" s="1" t="s">
        <v>3868</v>
      </c>
      <c r="B2134" s="1" t="s">
        <v>3856</v>
      </c>
      <c r="C2134" s="1" t="s">
        <v>3869</v>
      </c>
      <c r="D2134" s="1" t="str">
        <f ca="1">IFERROR(__xludf.DUMMYFUNCTION("GoogleTranslate(B2134,""ja"",""en"")"),"Disrupt time")</f>
        <v>Disrupt time</v>
      </c>
    </row>
    <row r="2135" spans="1:4" ht="15.75" customHeight="1" x14ac:dyDescent="0.25">
      <c r="A2135" s="1" t="s">
        <v>3870</v>
      </c>
      <c r="B2135" s="1" t="s">
        <v>3858</v>
      </c>
      <c r="C2135" s="1" t="s">
        <v>3871</v>
      </c>
      <c r="D2135" s="1" t="str">
        <f ca="1">IFERROR(__xludf.DUMMYFUNCTION("GoogleTranslate(B2135,""ja"",""en"")"),"The remaining physical strength")</f>
        <v>The remaining physical strength</v>
      </c>
    </row>
    <row r="2136" spans="1:4" ht="15.75" customHeight="1" x14ac:dyDescent="0.25">
      <c r="A2136" s="1" t="s">
        <v>3872</v>
      </c>
      <c r="B2136" s="1" t="s">
        <v>5715</v>
      </c>
      <c r="C2136" s="1" t="s">
        <v>3873</v>
      </c>
      <c r="D2136" s="1" t="str">
        <f ca="1">IFERROR(__xludf.DUMMYFUNCTION("GoogleTranslate(B2136,""ja"",""en"")"),"Defeat number of people")</f>
        <v>Defeat number of people</v>
      </c>
    </row>
    <row r="2137" spans="1:4" ht="15.75" customHeight="1" x14ac:dyDescent="0.25">
      <c r="A2137" s="1" t="s">
        <v>3874</v>
      </c>
      <c r="B2137" s="1" t="s">
        <v>5716</v>
      </c>
      <c r="C2137" s="1" t="s">
        <v>3875</v>
      </c>
      <c r="D2137" s="1" t="str">
        <f ca="1">IFERROR(__xludf.DUMMYFUNCTION("GoogleTranslate(B2137,""ja"",""en"")"),"Final evaluation")</f>
        <v>Final evaluation</v>
      </c>
    </row>
    <row r="2138" spans="1:4" ht="15.75" customHeight="1" x14ac:dyDescent="0.25">
      <c r="A2138" s="1" t="s">
        <v>3876</v>
      </c>
      <c r="B2138" s="1" t="s">
        <v>5717</v>
      </c>
      <c r="C2138" s="1" t="s">
        <v>3877</v>
      </c>
      <c r="D2138" s="1" t="str">
        <f ca="1">IFERROR(__xludf.DUMMYFUNCTION("GoogleTranslate(B2138,""ja"",""en"")"),"The basic remuneration")</f>
        <v>The basic remuneration</v>
      </c>
    </row>
    <row r="2139" spans="1:4" ht="15.75" customHeight="1" x14ac:dyDescent="0.25">
      <c r="A2139" s="1" t="s">
        <v>3878</v>
      </c>
      <c r="B2139" s="1" t="s">
        <v>5718</v>
      </c>
      <c r="C2139" s="1" t="s">
        <v>3879</v>
      </c>
      <c r="D2139" s="1" t="str">
        <f ca="1">IFERROR(__xludf.DUMMYFUNCTION("GoogleTranslate(B2139,""ja"",""en"")"),"Winning streak bonus")</f>
        <v>Winning streak bonus</v>
      </c>
    </row>
    <row r="2140" spans="1:4" ht="15.75" customHeight="1" x14ac:dyDescent="0.25">
      <c r="A2140" s="1" t="s">
        <v>3880</v>
      </c>
      <c r="B2140" s="1" t="s">
        <v>5719</v>
      </c>
      <c r="C2140" s="1" t="s">
        <v>3881</v>
      </c>
      <c r="D2140" s="1" t="str">
        <f ca="1">IFERROR(__xludf.DUMMYFUNCTION("GoogleTranslate(B2140,""ja"",""en"")"),"Tsujigiri Samurai")</f>
        <v>Tsujigiri Samurai</v>
      </c>
    </row>
    <row r="2141" spans="1:4" ht="15.75" customHeight="1" x14ac:dyDescent="0.25">
      <c r="A2141" s="1" t="s">
        <v>3882</v>
      </c>
      <c r="B2141" s="1" t="s">
        <v>5720</v>
      </c>
      <c r="C2141" s="1" t="s">
        <v>3883</v>
      </c>
      <c r="D2141" s="1" t="str">
        <f ca="1">IFERROR(__xludf.DUMMYFUNCTION("GoogleTranslate(B2141,""ja"",""en"")"),"Master fencer")</f>
        <v>Master fencer</v>
      </c>
    </row>
    <row r="2142" spans="1:4" ht="15.75" customHeight="1" x14ac:dyDescent="0.25">
      <c r="A2142" s="1" t="s">
        <v>3884</v>
      </c>
      <c r="B2142" s="1" t="s">
        <v>5721</v>
      </c>
      <c r="C2142" s="1" t="s">
        <v>3885</v>
      </c>
      <c r="D2142" s="1" t="str">
        <f ca="1">IFERROR(__xludf.DUMMYFUNCTION("GoogleTranslate(B2142,""ja"",""en"")"),"view the details")</f>
        <v>view the details</v>
      </c>
    </row>
    <row r="2143" spans="1:4" ht="15.75" customHeight="1" x14ac:dyDescent="0.25">
      <c r="A2143" s="1" t="s">
        <v>3886</v>
      </c>
      <c r="B2143" s="1" t="s">
        <v>5722</v>
      </c>
      <c r="C2143" s="1" t="s">
        <v>3887</v>
      </c>
      <c r="D2143" s="1" t="str">
        <f ca="1">IFERROR(__xludf.DUMMYFUNCTION("GoogleTranslate(B2143,""ja"",""en"")"),"Join the number of times")</f>
        <v>Join the number of times</v>
      </c>
    </row>
    <row r="2144" spans="1:4" ht="15.75" customHeight="1" x14ac:dyDescent="0.25">
      <c r="A2144" s="1" t="s">
        <v>3888</v>
      </c>
      <c r="B2144" s="1" t="s">
        <v>5723</v>
      </c>
      <c r="C2144" s="1" t="s">
        <v>3889</v>
      </c>
      <c r="D2144" s="1" t="str">
        <f ca="1">IFERROR(__xludf.DUMMYFUNCTION("GoogleTranslate(B2144,""ja"",""en"")"),"Ranking points")</f>
        <v>Ranking points</v>
      </c>
    </row>
    <row r="2145" spans="1:4" ht="15.75" customHeight="1" x14ac:dyDescent="0.25">
      <c r="A2145" s="1" t="s">
        <v>3890</v>
      </c>
      <c r="B2145" s="1" t="s">
        <v>3880</v>
      </c>
      <c r="C2145" s="1" t="s">
        <v>3891</v>
      </c>
      <c r="D2145" s="1" t="str">
        <f ca="1">IFERROR(__xludf.DUMMYFUNCTION("GoogleTranslate(B2145,""ja"",""en"")"),"Slash the number of people")</f>
        <v>Slash the number of people</v>
      </c>
    </row>
    <row r="2146" spans="1:4" ht="15.75" customHeight="1" x14ac:dyDescent="0.25">
      <c r="A2146" s="1" t="s">
        <v>3892</v>
      </c>
      <c r="B2146" s="1" t="s">
        <v>3882</v>
      </c>
      <c r="C2146" s="1" t="s">
        <v>3893</v>
      </c>
      <c r="D2146" s="1" t="str">
        <f ca="1">IFERROR(__xludf.DUMMYFUNCTION("GoogleTranslate(B2146,""ja"",""en"")"),"Achieve the number of times")</f>
        <v>Achieve the number of times</v>
      </c>
    </row>
    <row r="2147" spans="1:4" ht="15.75" customHeight="1" x14ac:dyDescent="0.25">
      <c r="A2147" s="1" t="s">
        <v>3894</v>
      </c>
      <c r="B2147" s="1" t="s">
        <v>5724</v>
      </c>
      <c r="C2147" s="1" t="s">
        <v>3895</v>
      </c>
      <c r="D2147" s="1" t="str">
        <f ca="1">IFERROR(__xludf.DUMMYFUNCTION("GoogleTranslate(B2147,""ja"",""en"")"),"General KOs")</f>
        <v>General KOs</v>
      </c>
    </row>
    <row r="2148" spans="1:4" ht="15.75" customHeight="1" x14ac:dyDescent="0.25">
      <c r="A2148" s="1" t="s">
        <v>3896</v>
      </c>
      <c r="B2148" s="1" t="s">
        <v>5725</v>
      </c>
      <c r="C2148" s="1" t="s">
        <v>3897</v>
      </c>
      <c r="D2148" s="1" t="str">
        <f ca="1">IFERROR(__xludf.DUMMYFUNCTION("GoogleTranslate(B2148,""ja"",""en"")"),"Seat defend the number of vertices")</f>
        <v>Seat defend the number of vertices</v>
      </c>
    </row>
    <row r="2149" spans="1:4" ht="15.75" customHeight="1" x14ac:dyDescent="0.25">
      <c r="A2149" s="1" t="s">
        <v>3898</v>
      </c>
      <c r="B2149" s="1" t="s">
        <v>5726</v>
      </c>
      <c r="C2149" s="1" t="s">
        <v>3899</v>
      </c>
      <c r="D2149" s="1" t="str">
        <f ca="1">IFERROR(__xludf.DUMMYFUNCTION("GoogleTranslate(B2149,""ja"",""en"")"),"Weapon playoff victories")</f>
        <v>Weapon playoff victories</v>
      </c>
    </row>
    <row r="2150" spans="1:4" ht="15.75" customHeight="1" x14ac:dyDescent="0.25">
      <c r="A2150" s="1" t="s">
        <v>3900</v>
      </c>
      <c r="B2150" s="1" t="s">
        <v>3890</v>
      </c>
      <c r="C2150" s="1" t="s">
        <v>3901</v>
      </c>
      <c r="D2150" s="1" t="str">
        <f ca="1">IFERROR(__xludf.DUMMYFUNCTION("GoogleTranslate(B2150,""ja"",""en"")"),"participant")</f>
        <v>participant</v>
      </c>
    </row>
    <row r="2151" spans="1:4" ht="15.75" customHeight="1" x14ac:dyDescent="0.25">
      <c r="A2151" s="1" t="s">
        <v>3902</v>
      </c>
      <c r="B2151" s="1" t="s">
        <v>3892</v>
      </c>
      <c r="C2151" s="1" t="s">
        <v>3903</v>
      </c>
      <c r="D2151" s="1" t="str">
        <f ca="1">IFERROR(__xludf.DUMMYFUNCTION("GoogleTranslate(B2151,""ja"",""en"")"),"First round")</f>
        <v>First round</v>
      </c>
    </row>
    <row r="2152" spans="1:4" ht="15.75" customHeight="1" x14ac:dyDescent="0.25">
      <c r="A2152" s="1" t="s">
        <v>3904</v>
      </c>
      <c r="B2152" s="1" t="s">
        <v>5727</v>
      </c>
      <c r="C2152" s="1" t="s">
        <v>3905</v>
      </c>
      <c r="D2152" s="1" t="str">
        <f ca="1">IFERROR(__xludf.DUMMYFUNCTION("GoogleTranslate(B2152,""ja"",""en"")"),"Two round")</f>
        <v>Two round</v>
      </c>
    </row>
    <row r="2153" spans="1:4" ht="15.75" customHeight="1" x14ac:dyDescent="0.25">
      <c r="A2153" s="1" t="s">
        <v>3906</v>
      </c>
      <c r="B2153" s="1" t="s">
        <v>3894</v>
      </c>
      <c r="C2153" s="1" t="s">
        <v>3907</v>
      </c>
      <c r="D2153" s="1" t="str">
        <f ca="1">IFERROR(__xludf.DUMMYFUNCTION("GoogleTranslate(B2153,""ja"",""en"")"),"Three round")</f>
        <v>Three round</v>
      </c>
    </row>
    <row r="2154" spans="1:4" ht="15.75" customHeight="1" x14ac:dyDescent="0.25">
      <c r="A2154" s="1" t="s">
        <v>3908</v>
      </c>
      <c r="B2154" s="1" t="s">
        <v>5728</v>
      </c>
      <c r="C2154" s="1" t="s">
        <v>3909</v>
      </c>
      <c r="D2154" s="1" t="str">
        <f ca="1">IFERROR(__xludf.DUMMYFUNCTION("GoogleTranslate(B2154,""ja"",""en"")"),"Four round")</f>
        <v>Four round</v>
      </c>
    </row>
    <row r="2155" spans="1:4" ht="15.75" customHeight="1" x14ac:dyDescent="0.25">
      <c r="A2155" s="1" t="s">
        <v>3910</v>
      </c>
      <c r="B2155" s="1" t="s">
        <v>3896</v>
      </c>
      <c r="C2155" s="1" t="s">
        <v>3911</v>
      </c>
      <c r="D2155" s="1" t="str">
        <f ca="1">IFERROR(__xludf.DUMMYFUNCTION("GoogleTranslate(B2155,""ja"",""en"")"),"Five round")</f>
        <v>Five round</v>
      </c>
    </row>
    <row r="2156" spans="1:4" ht="15.75" customHeight="1" x14ac:dyDescent="0.25">
      <c r="A2156" s="1" t="s">
        <v>3912</v>
      </c>
      <c r="B2156" s="1" t="s">
        <v>5729</v>
      </c>
      <c r="C2156" s="1" t="s">
        <v>3913</v>
      </c>
      <c r="D2156" s="1" t="str">
        <f ca="1">IFERROR(__xludf.DUMMYFUNCTION("GoogleTranslate(B2156,""ja"",""en"")"),"Collection is the strong who are in the Kyoto [n] ""the strong man of the feast"" has been released")</f>
        <v>Collection is the strong who are in the Kyoto [n] "the strong man of the feast" has been released</v>
      </c>
    </row>
    <row r="2157" spans="1:4" ht="15.75" customHeight="1" x14ac:dyDescent="0.25">
      <c r="A2157" s="1" t="s">
        <v>3914</v>
      </c>
      <c r="B2157" s="1" t="s">
        <v>3904</v>
      </c>
      <c r="C2157" s="1" t="s">
        <v>3915</v>
      </c>
      <c r="D2157" s="1" t="str">
        <f ca="1">IFERROR(__xludf.DUMMYFUNCTION("GoogleTranslate(B2157,""ja"",""en"")"),"Newcomer distributor")</f>
        <v>Newcomer distributor</v>
      </c>
    </row>
    <row r="2158" spans="1:4" ht="15.75" customHeight="1" x14ac:dyDescent="0.25">
      <c r="A2158" s="1" t="s">
        <v>3916</v>
      </c>
      <c r="B2158" s="1" t="s">
        <v>3908</v>
      </c>
      <c r="C2158" s="1" t="s">
        <v>3917</v>
      </c>
      <c r="D2158" s="1" t="str">
        <f ca="1">IFERROR(__xludf.DUMMYFUNCTION("GoogleTranslate(B2158,""ja"",""en"")"),"Fledgling distributor")</f>
        <v>Fledgling distributor</v>
      </c>
    </row>
    <row r="2159" spans="1:4" ht="15.75" customHeight="1" x14ac:dyDescent="0.25">
      <c r="A2159" s="1" t="s">
        <v>3918</v>
      </c>
      <c r="B2159" s="1" t="s">
        <v>5730</v>
      </c>
      <c r="C2159" s="1" t="s">
        <v>3919</v>
      </c>
      <c r="D2159" s="1" t="str">
        <f ca="1">IFERROR(__xludf.DUMMYFUNCTION("GoogleTranslate(B2159,""ja"",""en"")"),"Medium-sized distributor")</f>
        <v>Medium-sized distributor</v>
      </c>
    </row>
    <row r="2160" spans="1:4" ht="15.75" customHeight="1" x14ac:dyDescent="0.25">
      <c r="A2160" s="1" t="s">
        <v>3920</v>
      </c>
      <c r="B2160" s="1" t="s">
        <v>5731</v>
      </c>
      <c r="C2160" s="1" t="s">
        <v>3921</v>
      </c>
      <c r="D2160" s="1" t="str">
        <f ca="1">IFERROR(__xludf.DUMMYFUNCTION("GoogleTranslate(B2160,""ja"",""en"")"),"Popular distributor")</f>
        <v>Popular distributor</v>
      </c>
    </row>
    <row r="2161" spans="1:4" ht="15.75" customHeight="1" x14ac:dyDescent="0.25">
      <c r="A2161" s="1" t="s">
        <v>3922</v>
      </c>
      <c r="B2161" s="1" t="s">
        <v>5732</v>
      </c>
      <c r="C2161" s="1" t="s">
        <v>3923</v>
      </c>
      <c r="D2161" s="1" t="str">
        <f ca="1">IFERROR(__xludf.DUMMYFUNCTION("GoogleTranslate(B2161,""ja"",""en"")"),"Heroes of the distributor")</f>
        <v>Heroes of the distributor</v>
      </c>
    </row>
    <row r="2162" spans="1:4" ht="15.75" customHeight="1" x14ac:dyDescent="0.25">
      <c r="A2162" s="1" t="s">
        <v>3924</v>
      </c>
      <c r="B2162" s="1" t="s">
        <v>5733</v>
      </c>
      <c r="C2162" s="1" t="s">
        <v>3925</v>
      </c>
      <c r="D2162" s="1" t="str">
        <f ca="1">IFERROR(__xludf.DUMMYFUNCTION("GoogleTranslate(B2162,""ja"",""en"")"),"Veteran of the distributor")</f>
        <v>Veteran of the distributor</v>
      </c>
    </row>
    <row r="2163" spans="1:4" ht="15.75" customHeight="1" x14ac:dyDescent="0.25">
      <c r="A2163" s="1" t="s">
        <v>3926</v>
      </c>
      <c r="B2163" s="1" t="s">
        <v>5734</v>
      </c>
      <c r="C2163" s="1" t="s">
        <v>3927</v>
      </c>
      <c r="D2163" s="1" t="str">
        <f ca="1">IFERROR(__xludf.DUMMYFUNCTION("GoogleTranslate(B2163,""ja"",""en"")"),"Ikki of distributor")</f>
        <v>Ikki of distributor</v>
      </c>
    </row>
    <row r="2164" spans="1:4" ht="15.75" customHeight="1" x14ac:dyDescent="0.25">
      <c r="A2164" s="1" t="s">
        <v>3928</v>
      </c>
      <c r="B2164" s="1" t="s">
        <v>3914</v>
      </c>
      <c r="C2164" s="1" t="s">
        <v>3929</v>
      </c>
      <c r="D2164" s="1" t="str">
        <f ca="1">IFERROR(__xludf.DUMMYFUNCTION("GoogleTranslate(B2164,""ja"",""en"")"),"Distributor of the world")</f>
        <v>Distributor of the world</v>
      </c>
    </row>
    <row r="2165" spans="1:4" ht="15.75" customHeight="1" x14ac:dyDescent="0.25">
      <c r="A2165" s="1" t="s">
        <v>3930</v>
      </c>
      <c r="B2165" s="1" t="s">
        <v>3916</v>
      </c>
      <c r="C2165" s="1" t="s">
        <v>3931</v>
      </c>
      <c r="D2165" s="1" t="str">
        <f ca="1">IFERROR(__xludf.DUMMYFUNCTION("GoogleTranslate(B2165,""ja"",""en"")"),"The ultimate distributor")</f>
        <v>The ultimate distributor</v>
      </c>
    </row>
    <row r="2166" spans="1:4" ht="15.75" customHeight="1" x14ac:dyDescent="0.25">
      <c r="A2166" s="1" t="s">
        <v>3932</v>
      </c>
      <c r="B2166" s="1" t="s">
        <v>3918</v>
      </c>
      <c r="C2166" s="1" t="s">
        <v>3933</v>
      </c>
      <c r="D2166" s="1" t="str">
        <f ca="1">IFERROR(__xludf.DUMMYFUNCTION("GoogleTranslate(B2166,""ja"",""en"")"),"Distributor of legend")</f>
        <v>Distributor of legend</v>
      </c>
    </row>
    <row r="2167" spans="1:4" ht="15.75" customHeight="1" x14ac:dyDescent="0.25">
      <c r="A2167" s="1" t="s">
        <v>3934</v>
      </c>
      <c r="B2167" s="1" t="s">
        <v>5735</v>
      </c>
      <c r="C2167" s="1" t="s">
        <v>3935</v>
      </c>
      <c r="D2167" s="1" t="str">
        <f ca="1">IFERROR(__xludf.DUMMYFUNCTION("GoogleTranslate(B2167,""ja"",""en"")"),"Person who was hungry to play [n] battle of the arena that veteran who bloodthirsty gather is here!")</f>
        <v>Person who was hungry to play [n] battle of the arena that veteran who bloodthirsty gather is here!</v>
      </c>
    </row>
    <row r="2168" spans="1:4" ht="15.75" customHeight="1" x14ac:dyDescent="0.25">
      <c r="A2168" s="1" t="s">
        <v>3936</v>
      </c>
      <c r="B2168" s="1" t="s">
        <v>5736</v>
      </c>
      <c r="C2168" s="1" t="s">
        <v>3937</v>
      </c>
      <c r="D2168" s="1" t="str">
        <f ca="1">IFERROR(__xludf.DUMMYFUNCTION("GoogleTranslate(B2168,""ja"",""en"")"),"You can be exchanged with various goods the 闘玉.")</f>
        <v>You can be exchanged with various goods the 闘玉.</v>
      </c>
    </row>
    <row r="2169" spans="1:4" ht="15.75" customHeight="1" x14ac:dyDescent="0.25">
      <c r="A2169" s="1" t="s">
        <v>3938</v>
      </c>
      <c r="B2169" s="1" t="s">
        <v>5737</v>
      </c>
      <c r="C2169" s="1" t="s">
        <v>3939</v>
      </c>
      <c r="D2169" s="1" t="str">
        <f ca="1">IFERROR(__xludf.DUMMYFUNCTION("GoogleTranslate(B2169,""ja"",""en"")"),"You can see the veteran who of information that competed in the arena.")</f>
        <v>You can see the veteran who of information that competed in the arena.</v>
      </c>
    </row>
    <row r="2170" spans="1:4" ht="15.75" customHeight="1" x14ac:dyDescent="0.25">
      <c r="A2170" s="1" t="s">
        <v>3940</v>
      </c>
      <c r="B2170" s="1" t="s">
        <v>5738</v>
      </c>
      <c r="C2170" s="1" t="s">
        <v>3941</v>
      </c>
      <c r="D2170" s="1" t="str">
        <f ca="1">IFERROR(__xludf.DUMMYFUNCTION("GoogleTranslate(B2170,""ja"",""en"")"),"Arena is a four law.")</f>
        <v>Arena is a four law.</v>
      </c>
    </row>
    <row r="2171" spans="1:4" ht="15.75" customHeight="1" x14ac:dyDescent="0.25">
      <c r="A2171" s="1" t="s">
        <v>3942</v>
      </c>
      <c r="B2171" s="1" t="s">
        <v>5739</v>
      </c>
      <c r="C2171" s="1" t="s">
        <v>3943</v>
      </c>
      <c r="D2171" s="1" t="str">
        <f ca="1">IFERROR(__xludf.DUMMYFUNCTION("GoogleTranslate(B2171,""ja"",""en"")"),"Make the tournament with five people. [N] 闘玉 and the prize money will increase that can be earned every time you winning streak.")</f>
        <v>Make the tournament with five people. [N] 闘玉 and the prize money will increase that can be earned every time you winning streak.</v>
      </c>
    </row>
    <row r="2172" spans="1:4" ht="15.75" customHeight="1" x14ac:dyDescent="0.25">
      <c r="A2172" s="1" t="s">
        <v>3944</v>
      </c>
      <c r="B2172" s="1" t="s">
        <v>5740</v>
      </c>
      <c r="C2172" s="1" t="s">
        <v>3945</v>
      </c>
      <c r="D2172" s="1" t="str">
        <f ca="1">IFERROR(__xludf.DUMMYFUNCTION("GoogleTranslate(B2172,""ja"",""en"")"),"With only one of the weapons and survived trained body, whether repel hundreds of thugs looming! [N] Aim, hundreds sword of the title! !")</f>
        <v>With only one of the weapons and survived trained body, whether repel hundreds of thugs looming! [N] Aim, hundreds sword of the title! !</v>
      </c>
    </row>
    <row r="2173" spans="1:4" ht="15.75" customHeight="1" x14ac:dyDescent="0.25">
      <c r="A2173" s="1" t="s">
        <v>3946</v>
      </c>
      <c r="B2173" s="1" t="s">
        <v>5741</v>
      </c>
      <c r="C2173" s="1" t="s">
        <v>3947</v>
      </c>
      <c r="D2173" s="1" t="str">
        <f ca="1">IFERROR(__xludf.DUMMYFUNCTION("GoogleTranslate(B2173,""ja"",""en"")"),"Fight a person who visited the arena to First challenge. [N] prize three Hyakubun 闘玉 fifty")</f>
        <v>Fight a person who visited the arena to First challenge. [N] prize three Hyakubun 闘玉 fifty</v>
      </c>
    </row>
    <row r="2174" spans="1:4" ht="15.75" customHeight="1" x14ac:dyDescent="0.25">
      <c r="A2174" s="1" t="s">
        <v>3948</v>
      </c>
      <c r="B2174" s="1" t="s">
        <v>5742</v>
      </c>
      <c r="C2174" s="1" t="s">
        <v>3949</v>
      </c>
      <c r="D2174" s="1" t="str">
        <f ca="1">IFERROR(__xludf.DUMMYFUNCTION("GoogleTranslate(B2174,""ja"",""en"")"),"A person who has finished the baptism is try his own skills and weapons, the fight against ordeal. [N] prize three Hyakubun 闘玉 fifty")</f>
        <v>A person who has finished the baptism is try his own skills and weapons, the fight against ordeal. [N] prize three Hyakubun 闘玉 fifty</v>
      </c>
    </row>
    <row r="2175" spans="1:4" ht="15.75" customHeight="1" x14ac:dyDescent="0.25">
      <c r="A2175" s="1" t="s">
        <v>3950</v>
      </c>
      <c r="B2175" s="1" t="s">
        <v>5743</v>
      </c>
      <c r="C2175" s="1" t="s">
        <v>3951</v>
      </c>
      <c r="D2175" s="1" t="str">
        <f ca="1">IFERROR(__xludf.DUMMYFUNCTION("GoogleTranslate(B2175,""ja"",""en"")"),"Own a with those who struggle weapon. Beware the man who suffered the face of the demon. [N] prize Chifumi 闘玉 two hundred pieces")</f>
        <v>Own a with those who struggle weapon. Beware the man who suffered the face of the demon. [N] prize Chifumi 闘玉 two hundred pieces</v>
      </c>
    </row>
    <row r="2176" spans="1:4" ht="15.75" customHeight="1" x14ac:dyDescent="0.25">
      <c r="A2176" s="1" t="s">
        <v>3952</v>
      </c>
      <c r="B2176" s="1" t="s">
        <v>5744</v>
      </c>
      <c r="C2176" s="1" t="s">
        <v>3953</v>
      </c>
      <c r="D2176" s="1" t="str">
        <f ca="1">IFERROR(__xludf.DUMMYFUNCTION("GoogleTranslate(B2176,""ja"",""en"")"),"Fight that does not have a weapon who gathered. Beware the man there is a bruise to the face. [N] hundreds prize two thousand and five Hyakubun 闘玉")</f>
        <v>Fight that does not have a weapon who gathered. Beware the man there is a bruise to the face. [N] hundreds prize two thousand and five Hyakubun 闘玉</v>
      </c>
    </row>
    <row r="2177" spans="1:4" ht="15.75" customHeight="1" x14ac:dyDescent="0.25">
      <c r="A2177" s="1" t="s">
        <v>3954</v>
      </c>
      <c r="B2177" s="1" t="s">
        <v>5745</v>
      </c>
      <c r="C2177" s="1" t="s">
        <v>3955</v>
      </c>
      <c r="D2177" s="1" t="str">
        <f ca="1">IFERROR(__xludf.DUMMYFUNCTION("GoogleTranslate(B2177,""ja"",""en"")"),"Crazy who feasts on the sword. Beware the blow of large sword. [N] prize two Chifumi 闘玉 two hundred pieces")</f>
        <v>Crazy who feasts on the sword. Beware the blow of large sword. [N] prize two Chifumi 闘玉 two hundred pieces</v>
      </c>
    </row>
    <row r="2178" spans="1:4" ht="15.75" customHeight="1" x14ac:dyDescent="0.25">
      <c r="A2178" s="1" t="s">
        <v>3956</v>
      </c>
      <c r="B2178" s="1" t="s">
        <v>5746</v>
      </c>
      <c r="C2178" s="1" t="s">
        <v>3957</v>
      </c>
      <c r="D2178" s="1" t="str">
        <f ca="1">IFERROR(__xludf.DUMMYFUNCTION("GoogleTranslate(B2178,""ja"",""en"")"),"Banquet Unusual gun who gather. Beware the Shah who shoot attribute bullets. [N] prize two Chifumi 闘玉 two hundred pieces")</f>
        <v>Banquet Unusual gun who gather. Beware the Shah who shoot attribute bullets. [N] prize two Chifumi 闘玉 two hundred pieces</v>
      </c>
    </row>
    <row r="2179" spans="1:4" ht="15.75" customHeight="1" x14ac:dyDescent="0.25">
      <c r="A2179" s="1" t="s">
        <v>3958</v>
      </c>
      <c r="B2179" s="1" t="s">
        <v>5747</v>
      </c>
      <c r="C2179" s="1" t="s">
        <v>3959</v>
      </c>
      <c r="D2179" s="1" t="str">
        <f ca="1">IFERROR(__xludf.DUMMYFUNCTION("GoogleTranslate(B2179,""ja"",""en"")"),"Veterans who are in Kyoto is gathered, struggle to determine the strongest. [N] prize five Chifumi 闘玉 three hundred pieces [n] ※ and meet with veterans who are in Kyoto will be released.")</f>
        <v>Veterans who are in Kyoto is gathered, struggle to determine the strongest. [N] prize five Chifumi 闘玉 three hundred pieces [n] ※ and meet with veterans who are in Kyoto will be released.</v>
      </c>
    </row>
    <row r="2180" spans="1:4" ht="15.75" customHeight="1" x14ac:dyDescent="0.25">
      <c r="A2180" s="1" t="s">
        <v>3960</v>
      </c>
      <c r="B2180" s="1" t="s">
        <v>3958</v>
      </c>
      <c r="C2180" s="1" t="s">
        <v>3961</v>
      </c>
      <c r="D2180" s="1" t="str">
        <f ca="1">IFERROR(__xludf.DUMMYFUNCTION("GoogleTranslate(B2180,""ja"",""en"")"),"Veterans who are in Kyoto is gathered, struggle to determine the strongest. [N] prize five Chifumi 闘玉 three hundred pieces")</f>
        <v>Veterans who are in Kyoto is gathered, struggle to determine the strongest. [N] prize five Chifumi 闘玉 three hundred pieces</v>
      </c>
    </row>
    <row r="2181" spans="1:4" ht="15.75" customHeight="1" x14ac:dyDescent="0.25">
      <c r="A2181" s="1" t="s">
        <v>3962</v>
      </c>
      <c r="B2181" s="1" t="s">
        <v>5748</v>
      </c>
      <c r="C2181" s="1" t="s">
        <v>3963</v>
      </c>
      <c r="D2181" s="1" t="str">
        <f ca="1">IFERROR(__xludf.DUMMYFUNCTION("GoogleTranslate(B2181,""ja"",""en"")"),"Please select a weapon to challenge the hundred sword.")</f>
        <v>Please select a weapon to challenge the hundred sword.</v>
      </c>
    </row>
    <row r="2182" spans="1:4" ht="15.75" customHeight="1" x14ac:dyDescent="0.25">
      <c r="A2182" s="1" t="s">
        <v>3964</v>
      </c>
      <c r="B2182" s="1" t="s">
        <v>5749</v>
      </c>
      <c r="C2182" s="1" t="s">
        <v>3965</v>
      </c>
      <c r="D2182" s="1" t="str">
        <f ca="1">IFERROR(__xludf.DUMMYFUNCTION("GoogleTranslate(B2182,""ja"",""en"")"),"Experience% s")</f>
        <v>Experience% s</v>
      </c>
    </row>
    <row r="2183" spans="1:4" ht="15.75" customHeight="1" x14ac:dyDescent="0.25">
      <c r="A2183" s="1" t="s">
        <v>3966</v>
      </c>
      <c r="B2183" s="1" t="s">
        <v>5750</v>
      </c>
      <c r="C2183" s="1" t="s">
        <v>3967</v>
      </c>
      <c r="D2183" s="1" t="str">
        <f ca="1">IFERROR(__xludf.DUMMYFUNCTION("GoogleTranslate(B2183,""ja"",""en"")"),"Arena point% s")</f>
        <v>Arena point% s</v>
      </c>
    </row>
    <row r="2184" spans="1:4" ht="15.75" customHeight="1" x14ac:dyDescent="0.25">
      <c r="A2184" s="1" t="s">
        <v>3968</v>
      </c>
      <c r="B2184" s="1" t="s">
        <v>3962</v>
      </c>
      <c r="C2184" s="1" t="s">
        <v>3969</v>
      </c>
      <c r="D2184" s="1" t="str">
        <f ca="1">IFERROR(__xludf.DUMMYFUNCTION("GoogleTranslate(B2184,""ja"",""en"")"),"Between the baptism")</f>
        <v>Between the baptism</v>
      </c>
    </row>
    <row r="2185" spans="1:4" ht="15.75" customHeight="1" x14ac:dyDescent="0.25">
      <c r="A2185" s="1" t="s">
        <v>3970</v>
      </c>
      <c r="B2185" s="1" t="s">
        <v>5751</v>
      </c>
      <c r="C2185" s="1" t="s">
        <v>3971</v>
      </c>
      <c r="D2185" s="1" t="str">
        <f ca="1">IFERROR(__xludf.DUMMYFUNCTION("GoogleTranslate(B2185,""ja"",""en"")"),"During the ordeal")</f>
        <v>During the ordeal</v>
      </c>
    </row>
    <row r="2186" spans="1:4" ht="15.75" customHeight="1" x14ac:dyDescent="0.25">
      <c r="A2186" s="1" t="s">
        <v>3972</v>
      </c>
      <c r="B2186" s="1" t="s">
        <v>5752</v>
      </c>
      <c r="C2186" s="1" t="s">
        <v>3973</v>
      </c>
      <c r="D2186" s="1" t="str">
        <f ca="1">IFERROR(__xludf.DUMMYFUNCTION("GoogleTranslate(B2186,""ja"",""en"")"),"Self-taught weapon against")</f>
        <v>Self-taught weapon against</v>
      </c>
    </row>
    <row r="2187" spans="1:4" ht="15.75" customHeight="1" x14ac:dyDescent="0.25">
      <c r="A2187" s="1" t="s">
        <v>3974</v>
      </c>
      <c r="B2187" s="1" t="s">
        <v>5753</v>
      </c>
      <c r="C2187" s="1" t="s">
        <v>3975</v>
      </c>
      <c r="D2187" s="1" t="str">
        <f ca="1">IFERROR(__xludf.DUMMYFUNCTION("GoogleTranslate(B2187,""ja"",""en"")"),"No hand set against")</f>
        <v>No hand set against</v>
      </c>
    </row>
    <row r="2188" spans="1:4" ht="15.75" customHeight="1" x14ac:dyDescent="0.25">
      <c r="A2188" s="1" t="s">
        <v>3976</v>
      </c>
      <c r="B2188" s="1" t="s">
        <v>5754</v>
      </c>
      <c r="C2188" s="1" t="s">
        <v>3977</v>
      </c>
      <c r="D2188" s="1" t="str">
        <f ca="1">IFERROR(__xludf.DUMMYFUNCTION("GoogleTranslate(B2188,""ja"",""en"")"),"Feast today sword")</f>
        <v>Feast today sword</v>
      </c>
    </row>
    <row r="2189" spans="1:4" ht="15.75" customHeight="1" x14ac:dyDescent="0.25">
      <c r="A2189" s="1" t="s">
        <v>3978</v>
      </c>
      <c r="B2189" s="1" t="s">
        <v>5755</v>
      </c>
      <c r="C2189" s="1" t="s">
        <v>3979</v>
      </c>
      <c r="D2189" s="1" t="str">
        <f ca="1">IFERROR(__xludf.DUMMYFUNCTION("GoogleTranslate(B2189,""ja"",""en"")"),"Feast of shooting")</f>
        <v>Feast of shooting</v>
      </c>
    </row>
    <row r="2190" spans="1:4" ht="15.75" customHeight="1" x14ac:dyDescent="0.25">
      <c r="A2190" s="1" t="s">
        <v>3980</v>
      </c>
      <c r="B2190" s="1" t="s">
        <v>3966</v>
      </c>
      <c r="C2190" s="1" t="s">
        <v>3981</v>
      </c>
      <c r="D2190" s="1" t="str">
        <f ca="1">IFERROR(__xludf.DUMMYFUNCTION("GoogleTranslate(B2190,""ja"",""en"")"),"Feast of the strong")</f>
        <v>Feast of the strong</v>
      </c>
    </row>
    <row r="2191" spans="1:4" ht="15.75" customHeight="1" x14ac:dyDescent="0.25">
      <c r="A2191" s="1" t="s">
        <v>3982</v>
      </c>
      <c r="B2191" s="1" t="s">
        <v>3970</v>
      </c>
      <c r="C2191" s="1" t="s">
        <v>3983</v>
      </c>
      <c r="D2191" s="1" t="str">
        <f ca="1">IFERROR(__xludf.DUMMYFUNCTION("GoogleTranslate(B2191,""ja"",""en"")"),"given names")</f>
        <v>given names</v>
      </c>
    </row>
    <row r="2192" spans="1:4" ht="15.75" customHeight="1" x14ac:dyDescent="0.25">
      <c r="A2192" s="1" t="s">
        <v>3984</v>
      </c>
      <c r="B2192" s="1" t="s">
        <v>5756</v>
      </c>
      <c r="C2192" s="1" t="s">
        <v>3041</v>
      </c>
      <c r="D2192" s="1" t="str">
        <f ca="1">IFERROR(__xludf.DUMMYFUNCTION("GoogleTranslate(B2192,""ja"",""en"")"),"Mold")</f>
        <v>Mold</v>
      </c>
    </row>
    <row r="2193" spans="1:4" ht="15.75" customHeight="1" x14ac:dyDescent="0.25">
      <c r="A2193" s="1" t="s">
        <v>3985</v>
      </c>
      <c r="B2193" s="1" t="s">
        <v>5757</v>
      </c>
      <c r="C2193" s="1" t="s">
        <v>3986</v>
      </c>
      <c r="D2193" s="1" t="str">
        <f ca="1">IFERROR(__xludf.DUMMYFUNCTION("GoogleTranslate(B2193,""ja"",""en"")"),"Raw materials")</f>
        <v>Raw materials</v>
      </c>
    </row>
    <row r="2194" spans="1:4" ht="15.75" customHeight="1" x14ac:dyDescent="0.25">
      <c r="A2194" s="1" t="s">
        <v>3987</v>
      </c>
      <c r="B2194" s="1" t="s">
        <v>5758</v>
      </c>
      <c r="C2194" s="1" t="s">
        <v>3988</v>
      </c>
      <c r="D2194" s="1" t="str">
        <f ca="1">IFERROR(__xludf.DUMMYFUNCTION("GoogleTranslate(B2194,""ja"",""en"")"),"information")</f>
        <v>information</v>
      </c>
    </row>
    <row r="2195" spans="1:4" ht="15.75" customHeight="1" x14ac:dyDescent="0.25">
      <c r="A2195" s="1" t="s">
        <v>3989</v>
      </c>
      <c r="B2195" s="1" t="s">
        <v>5759</v>
      </c>
      <c r="C2195" s="1" t="s">
        <v>3990</v>
      </c>
      <c r="D2195" s="1" t="str">
        <f ca="1">IFERROR(__xludf.DUMMYFUNCTION("GoogleTranslate(B2195,""ja"",""en"")"),"Are you ready for the game?")</f>
        <v>Are you ready for the game?</v>
      </c>
    </row>
    <row r="2196" spans="1:4" ht="15.75" customHeight="1" x14ac:dyDescent="0.25">
      <c r="A2196" s="1" t="s">
        <v>3991</v>
      </c>
      <c r="B2196" s="1" t="s">
        <v>5760</v>
      </c>
      <c r="C2196" s="1" t="s">
        <v>3992</v>
      </c>
      <c r="D2196" s="1" t="str">
        <f ca="1">IFERROR(__xludf.DUMMYFUNCTION("GoogleTranslate(B2196,""ja"",""en"")"),"To start the game")</f>
        <v>To start the game</v>
      </c>
    </row>
    <row r="2197" spans="1:4" ht="15.75" customHeight="1" x14ac:dyDescent="0.25">
      <c r="A2197" s="1" t="s">
        <v>3993</v>
      </c>
      <c r="B2197" s="1" t="s">
        <v>5761</v>
      </c>
      <c r="C2197" s="1" t="s">
        <v>3994</v>
      </c>
      <c r="D2197" s="1" t="str">
        <f ca="1">IFERROR(__xludf.DUMMYFUNCTION("GoogleTranslate(B2197,""ja"",""en"")"),"Next game")</f>
        <v>Next game</v>
      </c>
    </row>
    <row r="2198" spans="1:4" ht="15.75" customHeight="1" x14ac:dyDescent="0.25">
      <c r="A2198" s="1" t="s">
        <v>3995</v>
      </c>
      <c r="B2198" s="1" t="s">
        <v>5762</v>
      </c>
      <c r="C2198" s="1" t="s">
        <v>3996</v>
      </c>
      <c r="D2198" s="1" t="str">
        <f ca="1">IFERROR(__xludf.DUMMYFUNCTION("GoogleTranslate(B2198,""ja"",""en"")"),"笘")</f>
        <v>笘</v>
      </c>
    </row>
    <row r="2199" spans="1:4" ht="15.75" customHeight="1" x14ac:dyDescent="0.25">
      <c r="A2199" s="1" t="s">
        <v>3997</v>
      </c>
      <c r="B2199" s="1" t="s">
        <v>5763</v>
      </c>
      <c r="C2199" s="1" t="s">
        <v>3998</v>
      </c>
      <c r="D2199" s="1" t="str">
        <f ca="1">IFERROR(__xludf.DUMMYFUNCTION("GoogleTranslate(B2199,""ja"",""en"")"),"Normal")</f>
        <v>Normal</v>
      </c>
    </row>
    <row r="2200" spans="1:4" ht="15.75" customHeight="1" x14ac:dyDescent="0.25">
      <c r="A2200" s="1" t="s">
        <v>3999</v>
      </c>
      <c r="B2200" s="1" t="s">
        <v>5764</v>
      </c>
      <c r="C2200" s="1" t="s">
        <v>4000</v>
      </c>
      <c r="D2200" s="1" t="str">
        <f ca="1">IFERROR(__xludf.DUMMYFUNCTION("GoogleTranslate(B2200,""ja"",""en"")"),"Agricultural")</f>
        <v>Agricultural</v>
      </c>
    </row>
    <row r="2201" spans="1:4" ht="15.75" customHeight="1" x14ac:dyDescent="0.25">
      <c r="A2201" s="1" t="s">
        <v>4001</v>
      </c>
      <c r="B2201" s="1" t="s">
        <v>5765</v>
      </c>
      <c r="C2201" s="1" t="s">
        <v>303</v>
      </c>
      <c r="D2201" s="1" t="str">
        <f ca="1">IFERROR(__xludf.DUMMYFUNCTION("GoogleTranslate(B2201,""ja"",""en"")"),"fish")</f>
        <v>fish</v>
      </c>
    </row>
    <row r="2202" spans="1:4" ht="15.75" customHeight="1" x14ac:dyDescent="0.25">
      <c r="A2202" s="1" t="s">
        <v>4002</v>
      </c>
      <c r="B2202" s="1" t="s">
        <v>5766</v>
      </c>
      <c r="C2202" s="1" t="s">
        <v>4003</v>
      </c>
      <c r="D2202" s="1" t="str">
        <f ca="1">IFERROR(__xludf.DUMMYFUNCTION("GoogleTranslate(B2202,""ja"",""en"")"),"Weapon (sword)")</f>
        <v>Weapon (sword)</v>
      </c>
    </row>
    <row r="2203" spans="1:4" ht="15.75" customHeight="1" x14ac:dyDescent="0.25">
      <c r="A2203" s="1" t="s">
        <v>4004</v>
      </c>
      <c r="B2203" s="1" t="s">
        <v>5767</v>
      </c>
      <c r="C2203" s="1" t="s">
        <v>4005</v>
      </c>
      <c r="D2203" s="1" t="str">
        <f ca="1">IFERROR(__xludf.DUMMYFUNCTION("GoogleTranslate(B2203,""ja"",""en"")"),"Weapons (Japanese)")</f>
        <v>Weapons (Japanese)</v>
      </c>
    </row>
    <row r="2204" spans="1:4" ht="15.75" customHeight="1" x14ac:dyDescent="0.25">
      <c r="A2204" s="1" t="s">
        <v>4006</v>
      </c>
      <c r="B2204" s="1" t="s">
        <v>5768</v>
      </c>
      <c r="C2204" s="1" t="s">
        <v>4007</v>
      </c>
      <c r="D2204" s="1" t="str">
        <f ca="1">IFERROR(__xludf.DUMMYFUNCTION("GoogleTranslate(B2204,""ja"",""en"")"),"Weapon (gun)")</f>
        <v>Weapon (gun)</v>
      </c>
    </row>
    <row r="2205" spans="1:4" ht="15.75" customHeight="1" x14ac:dyDescent="0.25">
      <c r="A2205" s="1" t="s">
        <v>4008</v>
      </c>
      <c r="B2205" s="1" t="s">
        <v>5769</v>
      </c>
      <c r="C2205" s="1" t="s">
        <v>4009</v>
      </c>
      <c r="D2205" s="1" t="str">
        <f ca="1">IFERROR(__xludf.DUMMYFUNCTION("GoogleTranslate(B2205,""ja"",""en"")"),"Weapon (bullet)")</f>
        <v>Weapon (bullet)</v>
      </c>
    </row>
    <row r="2206" spans="1:4" ht="15.75" customHeight="1" x14ac:dyDescent="0.25">
      <c r="A2206" s="1" t="s">
        <v>4010</v>
      </c>
      <c r="B2206" s="1" t="s">
        <v>5770</v>
      </c>
      <c r="C2206" s="1" t="s">
        <v>4011</v>
      </c>
      <c r="D2206" s="1" t="str">
        <f ca="1">IFERROR(__xludf.DUMMYFUNCTION("GoogleTranslate(B2206,""ja"",""en"")"),"Armor (head)")</f>
        <v>Armor (head)</v>
      </c>
    </row>
    <row r="2207" spans="1:4" ht="15.75" customHeight="1" x14ac:dyDescent="0.25">
      <c r="A2207" s="1" t="s">
        <v>4012</v>
      </c>
      <c r="B2207" s="1" t="s">
        <v>5771</v>
      </c>
      <c r="C2207" s="1" t="s">
        <v>4013</v>
      </c>
      <c r="D2207" s="1" t="str">
        <f ca="1">IFERROR(__xludf.DUMMYFUNCTION("GoogleTranslate(B2207,""ja"",""en"")"),"Armor (body)")</f>
        <v>Armor (body)</v>
      </c>
    </row>
    <row r="2208" spans="1:4" ht="15.75" customHeight="1" x14ac:dyDescent="0.25">
      <c r="A2208" s="1" t="s">
        <v>4014</v>
      </c>
      <c r="B2208" s="1" t="s">
        <v>5772</v>
      </c>
      <c r="C2208" s="1" t="s">
        <v>4015</v>
      </c>
      <c r="D2208" s="1" t="str">
        <f ca="1">IFERROR(__xludf.DUMMYFUNCTION("GoogleTranslate(B2208,""ja"",""en"")"),"Armor (arm)")</f>
        <v>Armor (arm)</v>
      </c>
    </row>
    <row r="2209" spans="1:4" ht="15.75" customHeight="1" x14ac:dyDescent="0.25">
      <c r="A2209" s="1" t="s">
        <v>4016</v>
      </c>
      <c r="B2209" s="1" t="s">
        <v>5773</v>
      </c>
      <c r="C2209" s="1" t="s">
        <v>4017</v>
      </c>
      <c r="D2209" s="1" t="str">
        <f ca="1">IFERROR(__xludf.DUMMYFUNCTION("GoogleTranslate(B2209,""ja"",""en"")"),"important")</f>
        <v>important</v>
      </c>
    </row>
    <row r="2210" spans="1:4" ht="15.75" customHeight="1" x14ac:dyDescent="0.25">
      <c r="A2210" s="1" t="s">
        <v>4018</v>
      </c>
      <c r="B2210" s="1" t="s">
        <v>5774</v>
      </c>
      <c r="C2210" s="1" t="s">
        <v>4019</v>
      </c>
      <c r="D2210" s="1" t="str">
        <f ca="1">IFERROR(__xludf.DUMMYFUNCTION("GoogleTranslate(B2210,""ja"",""en"")"),"Bullet")</f>
        <v>Bullet</v>
      </c>
    </row>
    <row r="2211" spans="1:4" ht="15.75" customHeight="1" x14ac:dyDescent="0.25">
      <c r="A2211" s="1" t="s">
        <v>4020</v>
      </c>
      <c r="B2211" s="1" t="s">
        <v>4008</v>
      </c>
      <c r="C2211" s="1" t="s">
        <v>4021</v>
      </c>
      <c r="D2211" s="1" t="str">
        <f ca="1">IFERROR(__xludf.DUMMYFUNCTION("GoogleTranslate(B2211,""ja"",""en"")"),"Features")</f>
        <v>Features</v>
      </c>
    </row>
    <row r="2212" spans="1:4" ht="15.75" customHeight="1" x14ac:dyDescent="0.25">
      <c r="A2212" s="1" t="s">
        <v>4022</v>
      </c>
      <c r="B2212" s="1" t="s">
        <v>5775</v>
      </c>
      <c r="C2212" s="1" t="s">
        <v>2925</v>
      </c>
      <c r="D2212" s="1" t="str">
        <f ca="1">IFERROR(__xludf.DUMMYFUNCTION("GoogleTranslate(B2212,""ja"",""en"")"),"gun")</f>
        <v>gun</v>
      </c>
    </row>
    <row r="2213" spans="1:4" ht="15.75" customHeight="1" x14ac:dyDescent="0.25">
      <c r="A2213" s="1" t="s">
        <v>4023</v>
      </c>
      <c r="B2213" s="1" t="s">
        <v>5776</v>
      </c>
      <c r="C2213" s="1" t="s">
        <v>2921</v>
      </c>
      <c r="D2213" s="1" t="str">
        <f ca="1">IFERROR(__xludf.DUMMYFUNCTION("GoogleTranslate(B2213,""ja"",""en"")"),"sword")</f>
        <v>sword</v>
      </c>
    </row>
    <row r="2214" spans="1:4" ht="15.75" customHeight="1" x14ac:dyDescent="0.25">
      <c r="A2214" s="1" t="s">
        <v>4024</v>
      </c>
      <c r="B2214" s="1" t="s">
        <v>5777</v>
      </c>
      <c r="C2214" s="1" t="s">
        <v>4025</v>
      </c>
      <c r="D2214" s="1" t="str">
        <f ca="1">IFERROR(__xludf.DUMMYFUNCTION("GoogleTranslate(B2214,""ja"",""en"")"),"The N'n'n'n'n'n'n'n")</f>
        <v>The N'n'n'n'n'n'n'n</v>
      </c>
    </row>
    <row r="2215" spans="1:4" ht="15.75" customHeight="1" x14ac:dyDescent="0.25">
      <c r="A2215" s="1" t="s">
        <v>4026</v>
      </c>
      <c r="B2215" s="1" t="s">
        <v>5778</v>
      </c>
      <c r="C2215" s="1" t="s">
        <v>4027</v>
      </c>
      <c r="D2215" s="1" t="str">
        <f ca="1">IFERROR(__xludf.DUMMYFUNCTION("GoogleTranslate(B2215,""ja"",""en"")"),"N'n'n'n'n'n'n'n'n")</f>
        <v>N'n'n'n'n'n'n'n'n</v>
      </c>
    </row>
    <row r="2216" spans="1:4" ht="15.75" customHeight="1" x14ac:dyDescent="0.25">
      <c r="A2216" s="1" t="s">
        <v>4028</v>
      </c>
      <c r="B2216" s="1" t="s">
        <v>5779</v>
      </c>
      <c r="C2216" s="1" t="s">
        <v>2350</v>
      </c>
      <c r="D2216" s="1" t="str">
        <f ca="1">IFERROR(__xludf.DUMMYFUNCTION("GoogleTranslate(B2216,""ja"",""en"")"),"hand")</f>
        <v>hand</v>
      </c>
    </row>
    <row r="2217" spans="1:4" ht="15.75" customHeight="1" x14ac:dyDescent="0.25">
      <c r="A2217" s="1" t="s">
        <v>4029</v>
      </c>
      <c r="B2217" s="1" t="s">
        <v>5780</v>
      </c>
      <c r="C2217" s="1" t="s">
        <v>4030</v>
      </c>
      <c r="D2217" s="1" t="str">
        <f ca="1">IFERROR(__xludf.DUMMYFUNCTION("GoogleTranslate(B2217,""ja"",""en"")"),"Body")</f>
        <v>Body</v>
      </c>
    </row>
    <row r="2218" spans="1:4" ht="15.75" customHeight="1" x14ac:dyDescent="0.25">
      <c r="A2218" s="1" t="s">
        <v>4031</v>
      </c>
      <c r="B2218" s="1" t="s">
        <v>5781</v>
      </c>
      <c r="C2218" s="1" t="s">
        <v>4032</v>
      </c>
      <c r="D2218" s="1" t="str">
        <f ca="1">IFERROR(__xludf.DUMMYFUNCTION("GoogleTranslate(B2218,""ja"",""en"")"),"Decoration")</f>
        <v>Decoration</v>
      </c>
    </row>
    <row r="2219" spans="1:4" ht="15.75" customHeight="1" x14ac:dyDescent="0.25">
      <c r="A2219" s="1" t="s">
        <v>4033</v>
      </c>
      <c r="B2219" s="1" t="s">
        <v>5782</v>
      </c>
      <c r="C2219" s="1" t="s">
        <v>4034</v>
      </c>
      <c r="D2219" s="1" t="str">
        <f ca="1">IFERROR(__xludf.DUMMYFUNCTION("GoogleTranslate(B2219,""ja"",""en"")"),"arm")</f>
        <v>arm</v>
      </c>
    </row>
    <row r="2220" spans="1:4" ht="15.75" customHeight="1" x14ac:dyDescent="0.25">
      <c r="A2220" s="1" t="s">
        <v>4035</v>
      </c>
      <c r="B2220" s="1" t="s">
        <v>5783</v>
      </c>
      <c r="C2220" s="1" t="s">
        <v>1950</v>
      </c>
      <c r="D2220" s="1" t="str">
        <f ca="1">IFERROR(__xludf.DUMMYFUNCTION("GoogleTranslate(B2220,""ja"",""en"")"),"Head")</f>
        <v>Head</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Garnet Sunset</cp:lastModifiedBy>
  <dcterms:modified xsi:type="dcterms:W3CDTF">2021-03-20T15:27:23Z</dcterms:modified>
</cp:coreProperties>
</file>