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5160CB81-0A68-4D39-B9BA-B82217D19067}" xr6:coauthVersionLast="46" xr6:coauthVersionMax="46" xr10:uidLastSave="{00000000-0000-0000-0000-000000000000}"/>
  <bookViews>
    <workbookView xWindow="3075" yWindow="3075" windowWidth="28800" windowHeight="15435" xr2:uid="{00000000-000D-0000-FFFF-FFFF00000000}"/>
  </bookViews>
  <sheets>
    <sheet name="ishin_disc_spluit" sheetId="1" r:id="rId1"/>
  </sheets>
  <calcPr calcId="191029"/>
</workbook>
</file>

<file path=xl/calcChain.xml><?xml version="1.0" encoding="utf-8"?>
<calcChain xmlns="http://schemas.openxmlformats.org/spreadsheetml/2006/main">
  <c r="C3002" i="1" l="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1" i="1"/>
</calcChain>
</file>

<file path=xl/sharedStrings.xml><?xml version="1.0" encoding="utf-8"?>
<sst xmlns="http://schemas.openxmlformats.org/spreadsheetml/2006/main" count="6217" uniqueCount="5668">
  <si>
    <t>0x00e19c58</t>
  </si>
  <si>
    <t>lgt_bin</t>
  </si>
  <si>
    <t>0x00e19c60</t>
  </si>
  <si>
    <t>%s</t>
  </si>
  <si>
    <t>0x00e19c78</t>
  </si>
  <si>
    <t>え</t>
  </si>
  <si>
    <t>0x00e19c94</t>
  </si>
  <si>
    <t>進む</t>
  </si>
  <si>
    <t>0x00e19cb8</t>
  </si>
  <si>
    <t>&lt;Sign:D&gt;進む</t>
  </si>
  <si>
    <t>0x00e19cd0</t>
  </si>
  <si>
    <t>&lt;Sign:C&gt;戻る</t>
  </si>
  <si>
    <t>0x00e19ce8</t>
  </si>
  <si>
    <t>&lt;Sign:D&gt;決定 &lt;Sign:C&gt;戻る</t>
  </si>
  <si>
    <t>0x00e19d10</t>
  </si>
  <si>
    <t>円</t>
  </si>
  <si>
    <t>0x00e19d20</t>
  </si>
  <si>
    <t>文</t>
  </si>
  <si>
    <t>0x00e19d30</t>
  </si>
  <si>
    <t>両</t>
  </si>
  <si>
    <t>0x00e19d40</t>
  </si>
  <si>
    <t>万</t>
  </si>
  <si>
    <t>0x00e19d50</t>
  </si>
  <si>
    <t>億</t>
  </si>
  <si>
    <t>0x00e19d5c</t>
  </si>
  <si>
    <t>点</t>
  </si>
  <si>
    <t>0x00e19d6c</t>
  </si>
  <si>
    <t>枚</t>
  </si>
  <si>
    <t>0x00e19d7c</t>
  </si>
  <si>
    <t>個</t>
  </si>
  <si>
    <t>0x00e19d8c</t>
  </si>
  <si>
    <t>Ｐ</t>
  </si>
  <si>
    <t>0x00e19d9c</t>
  </si>
  <si>
    <t>発</t>
  </si>
  <si>
    <t>0x00e19dac</t>
  </si>
  <si>
    <t>Pt</t>
  </si>
  <si>
    <t>0x00e19dbc</t>
  </si>
  <si>
    <t>所持金</t>
  </si>
  <si>
    <t>0x00e19dcc</t>
  </si>
  <si>
    <t>チップ</t>
  </si>
  <si>
    <t>0x00e19ddc</t>
  </si>
  <si>
    <t>おひねり</t>
  </si>
  <si>
    <t>0x00e19df4</t>
  </si>
  <si>
    <t>持ち点</t>
  </si>
  <si>
    <t>0x00e19e04</t>
  </si>
  <si>
    <t>闘玉</t>
  </si>
  <si>
    <t>0x00e19e14</t>
  </si>
  <si>
    <t>資金</t>
  </si>
  <si>
    <t>0x00e19e24</t>
  </si>
  <si>
    <t>道場資金</t>
  </si>
  <si>
    <t>0x00e19e3c</t>
  </si>
  <si>
    <t>所持Ｐ</t>
  </si>
  <si>
    <t>0x00e19e4c</t>
  </si>
  <si>
    <t>メダル</t>
  </si>
  <si>
    <t>0x00e19e5c</t>
  </si>
  <si>
    <t>持ち玉</t>
  </si>
  <si>
    <t>0x00e19e6c</t>
  </si>
  <si>
    <t>獲得Ｐ</t>
  </si>
  <si>
    <t>0x00e19e7c</t>
  </si>
  <si>
    <t>タクシーPt</t>
  </si>
  <si>
    <t>0x00e19e94</t>
  </si>
  <si>
    <t>%2d 点</t>
  </si>
  <si>
    <t>0x00e19ea4</t>
  </si>
  <si>
    <t>位</t>
  </si>
  <si>
    <t>0x00e19eb0</t>
  </si>
  <si>
    <t>福引き券</t>
  </si>
  <si>
    <t>0x00e19ec8</t>
  </si>
  <si>
    <t>祗園</t>
  </si>
  <si>
    <t>0x00e19ed0</t>
  </si>
  <si>
    <t>洛内</t>
  </si>
  <si>
    <t>0x00e19ed8</t>
  </si>
  <si>
    <t>洛外</t>
  </si>
  <si>
    <t>0x00e19ee0</t>
  </si>
  <si>
    <t>骸街</t>
  </si>
  <si>
    <t>0x00e19ee8</t>
  </si>
  <si>
    <t>伏見</t>
  </si>
  <si>
    <t>0x00e19ef0</t>
  </si>
  <si>
    <t>土佐</t>
  </si>
  <si>
    <t>0x00e19f14</t>
  </si>
  <si>
    <t>ト</t>
  </si>
  <si>
    <t>0x00e19f20</t>
  </si>
  <si>
    <t>徳</t>
  </si>
  <si>
    <t>0x00e19f30</t>
  </si>
  <si>
    <t>種類</t>
  </si>
  <si>
    <t>0x00e19f40</t>
  </si>
  <si>
    <t>回</t>
  </si>
  <si>
    <t>0x00e19f50</t>
  </si>
  <si>
    <t>斎藤</t>
  </si>
  <si>
    <t>0x00e19f60</t>
  </si>
  <si>
    <t>龍馬</t>
  </si>
  <si>
    <t>0x00e19f70</t>
  </si>
  <si>
    <t>遥</t>
  </si>
  <si>
    <t>0x00e19f7c</t>
  </si>
  <si>
    <t>斎藤一</t>
  </si>
  <si>
    <t>0x00e19f8c</t>
  </si>
  <si>
    <t>坂本龍馬</t>
  </si>
  <si>
    <t>0x00e19fa4</t>
  </si>
  <si>
    <t>澤村遥</t>
  </si>
  <si>
    <t>0x00e19fb4</t>
  </si>
  <si>
    <t>さいとう</t>
  </si>
  <si>
    <t>0x00e19fd8</t>
  </si>
  <si>
    <t>か</t>
  </si>
  <si>
    <t>0x00e19fe0</t>
  </si>
  <si>
    <t>サイトウ</t>
  </si>
  <si>
    <t>0x00e1a004</t>
  </si>
  <si>
    <t>カ</t>
  </si>
  <si>
    <t>0x00e1a00c</t>
  </si>
  <si>
    <t>U</t>
  </si>
  <si>
    <t>0x00e1a018</t>
  </si>
  <si>
    <t>RYOMA</t>
  </si>
  <si>
    <t>0x00e1a028</t>
  </si>
  <si>
    <t>KA</t>
  </si>
  <si>
    <t>0x00e1a030</t>
  </si>
  <si>
    <t>りく</t>
  </si>
  <si>
    <t>0x00e1a040</t>
  </si>
  <si>
    <t>かぐや</t>
  </si>
  <si>
    <t>0x00e1a050</t>
  </si>
  <si>
    <t>ほのか</t>
  </si>
  <si>
    <t>0x00e1a060</t>
  </si>
  <si>
    <t>詩音</t>
  </si>
  <si>
    <t>0x00e1a070</t>
  </si>
  <si>
    <t>桜咲ひなた</t>
  </si>
  <si>
    <t>0x00e1a088</t>
  </si>
  <si>
    <t>ひなた</t>
  </si>
  <si>
    <t>0x00e1a098</t>
  </si>
  <si>
    <t>杏南</t>
  </si>
  <si>
    <t>0x00e1a0a8</t>
  </si>
  <si>
    <t>いぬ</t>
  </si>
  <si>
    <t>0x00e1a0b0</t>
  </si>
  <si>
    <t>ねこ</t>
  </si>
  <si>
    <t>0x00e1a0b8</t>
  </si>
  <si>
    <t>マメ</t>
  </si>
  <si>
    <t>0x00e1a0c0</t>
  </si>
  <si>
    <t>ホエ太</t>
  </si>
  <si>
    <t>0x00e1a0c8</t>
  </si>
  <si>
    <t>ナオタロウ</t>
  </si>
  <si>
    <t>0x00e1a0d8</t>
  </si>
  <si>
    <t>だいきち</t>
  </si>
  <si>
    <t>0x00e1a0e8</t>
  </si>
  <si>
    <t>まぐろ</t>
  </si>
  <si>
    <t>0x00e1a0f0</t>
  </si>
  <si>
    <t>おちょこ</t>
  </si>
  <si>
    <t>0x00e1a124</t>
  </si>
  <si>
    <t>使える物は持っていない。</t>
  </si>
  <si>
    <t>0x00e1a14c</t>
  </si>
  <si>
    <t>何を使おうか。</t>
  </si>
  <si>
    <t>0x00e1a164</t>
  </si>
  <si>
    <t>本当に使っていいですか？</t>
  </si>
  <si>
    <t>0x00e1a18c</t>
  </si>
  <si>
    <t>賭け点</t>
  </si>
  <si>
    <t>0x00e1a194</t>
  </si>
  <si>
    <t>配当点</t>
  </si>
  <si>
    <t>0x00e1a1ac</t>
  </si>
  <si>
    <t>入金</t>
  </si>
  <si>
    <t>0x00e1a1c0</t>
  </si>
  <si>
    <t>よろしく</t>
  </si>
  <si>
    <t>0x00e1a1d0</t>
  </si>
  <si>
    <t>お手柔らかに</t>
  </si>
  <si>
    <t>0x00e1a1e0</t>
  </si>
  <si>
    <t>勝ちにいくぜ！</t>
  </si>
  <si>
    <t>0x00e1a1f0</t>
  </si>
  <si>
    <t>いきなりワンペア！</t>
  </si>
  <si>
    <t>0x00e1a208</t>
  </si>
  <si>
    <t>また会ったな</t>
  </si>
  <si>
    <t>0x00e1a218</t>
  </si>
  <si>
    <t>はじめまして</t>
  </si>
  <si>
    <t>0x00e1a228</t>
  </si>
  <si>
    <t>いい札が来ますように…</t>
  </si>
  <si>
    <t>0x00e1a240</t>
  </si>
  <si>
    <t>こ、これは…！？</t>
  </si>
  <si>
    <t>0x00e1a258</t>
  </si>
  <si>
    <t>これで勝ち確定だな</t>
  </si>
  <si>
    <t>0x00e1a270</t>
  </si>
  <si>
    <t>勝てる気がしない…</t>
  </si>
  <si>
    <t>0x00e1a288</t>
  </si>
  <si>
    <t>みんな降りた方がいいぞ</t>
  </si>
  <si>
    <t>0x00e1a2a0</t>
  </si>
  <si>
    <t>運が悪いなぁ…</t>
  </si>
  <si>
    <t>0x00e1a2b0</t>
  </si>
  <si>
    <t>来い来い！</t>
  </si>
  <si>
    <t>0x00e1a2c0</t>
  </si>
  <si>
    <t>慎重にいこう…</t>
  </si>
  <si>
    <t>0x00e1a2d0</t>
  </si>
  <si>
    <t>運がいいぞ！</t>
  </si>
  <si>
    <t>0x00e1a2e0</t>
  </si>
  <si>
    <t>パッとしないぜ</t>
  </si>
  <si>
    <t>0x00e1a2f0</t>
  </si>
  <si>
    <t>取りあえず様子見だな</t>
  </si>
  <si>
    <t>0x00e1a308</t>
  </si>
  <si>
    <t>早く決めてくれないか</t>
  </si>
  <si>
    <t>0x00e1a320</t>
  </si>
  <si>
    <t>ハッタリかますぜ！</t>
  </si>
  <si>
    <t>0x00e1a338</t>
  </si>
  <si>
    <t>早めに退散！</t>
  </si>
  <si>
    <t>0x00e1a348</t>
  </si>
  <si>
    <t>ちょっと悩み中…</t>
  </si>
  <si>
    <t>0x00e1a360</t>
  </si>
  <si>
    <t>逃げるが勝ちだな</t>
  </si>
  <si>
    <t>0x00e1a378</t>
  </si>
  <si>
    <t>キタ〜ッ！</t>
  </si>
  <si>
    <t>0x00e1a388</t>
  </si>
  <si>
    <t>いいね！</t>
  </si>
  <si>
    <t>0x00e1a398</t>
  </si>
  <si>
    <t>クソッ！</t>
  </si>
  <si>
    <t>0x00e1a3a8</t>
  </si>
  <si>
    <t>やった〜！</t>
  </si>
  <si>
    <t>0x00e1a3b8</t>
  </si>
  <si>
    <t>残念無念…</t>
  </si>
  <si>
    <t>0x00e1a3c8</t>
  </si>
  <si>
    <t>うえ〜ん</t>
  </si>
  <si>
    <t>0x00e1a3d8</t>
  </si>
  <si>
    <t>シクシク…（涙）</t>
  </si>
  <si>
    <t>0x00e1a3f0</t>
  </si>
  <si>
    <t>驚き桃の木山椒の木</t>
  </si>
  <si>
    <t>0x00e1a408</t>
  </si>
  <si>
    <t>しんどいわ！</t>
  </si>
  <si>
    <t>0x00e1a418</t>
  </si>
  <si>
    <t>あきまへんがな！</t>
  </si>
  <si>
    <t>0x00e1a430</t>
  </si>
  <si>
    <t>えらいこっちゃで！</t>
  </si>
  <si>
    <t>0x00e1a448</t>
  </si>
  <si>
    <t>もう降りようかな…</t>
  </si>
  <si>
    <t>0x00e1a460</t>
  </si>
  <si>
    <t>役ができた！</t>
  </si>
  <si>
    <t>0x00e1a470</t>
  </si>
  <si>
    <t>役はできたけど弱い…</t>
  </si>
  <si>
    <t>0x00e1a488</t>
  </si>
  <si>
    <t>強い役ができた！</t>
  </si>
  <si>
    <t>0x00e1a4a0</t>
  </si>
  <si>
    <t>全然そろわない…</t>
  </si>
  <si>
    <t>0x00e1a4b8</t>
  </si>
  <si>
    <t>アゲアゲ〜</t>
  </si>
  <si>
    <t>0x00e1a4c8</t>
  </si>
  <si>
    <t>選択を間違えた…</t>
  </si>
  <si>
    <t>0x00e1a588</t>
  </si>
  <si>
    <t>ya</t>
  </si>
  <si>
    <t>0x00e1a594</t>
  </si>
  <si>
    <t>bi</t>
  </si>
  <si>
    <t>0x00e1a59c</t>
  </si>
  <si>
    <t>ka</t>
  </si>
  <si>
    <t>0x00e1a5a8</t>
  </si>
  <si>
    <t>ia</t>
  </si>
  <si>
    <t>0x00e1a5b4</t>
  </si>
  <si>
    <t>1P</t>
  </si>
  <si>
    <t>0x00e1a5bc</t>
  </si>
  <si>
    <t>2P</t>
  </si>
  <si>
    <t>0x00e1a5cc</t>
  </si>
  <si>
    <t>。</t>
  </si>
  <si>
    <t>0x00e1a5e0</t>
  </si>
  <si>
    <t>0x00e1a5f0</t>
  </si>
  <si>
    <t>？</t>
  </si>
  <si>
    <t>0x00e1a5fc</t>
  </si>
  <si>
    <t>ル</t>
  </si>
  <si>
    <t>0x00e1a604</t>
  </si>
  <si>
    <t>0x00e1a610</t>
  </si>
  <si>
    <t>s</t>
  </si>
  <si>
    <t>0x00e1a620</t>
  </si>
  <si>
    <t>い</t>
  </si>
  <si>
    <t>0x00e1a634</t>
  </si>
  <si>
    <t>0x00e1a63c</t>
  </si>
  <si>
    <t>ド</t>
  </si>
  <si>
    <t>0x00e1a66c</t>
  </si>
  <si>
    <t>s[n]</t>
  </si>
  <si>
    <t>0x00e1a690</t>
  </si>
  <si>
    <t>0x00e1a6a0</t>
  </si>
  <si>
    <t>9)</t>
  </si>
  <si>
    <t>0x00e1a6ac</t>
  </si>
  <si>
    <t>0)</t>
  </si>
  <si>
    <t>0x00e1a6b4</t>
  </si>
  <si>
    <t>0x00e1a6b8</t>
  </si>
  <si>
    <t>0x00e1a6c0</t>
  </si>
  <si>
    <t>3)</t>
  </si>
  <si>
    <t>0x00e1a6c8</t>
  </si>
  <si>
    <t>4)</t>
  </si>
  <si>
    <t>0x00e1a6d0</t>
  </si>
  <si>
    <t>5)</t>
  </si>
  <si>
    <t>0x00e1a6d8</t>
  </si>
  <si>
    <t>6)</t>
  </si>
  <si>
    <t>0x00e1a6e8</t>
  </si>
  <si>
    <t>7)</t>
  </si>
  <si>
    <t>0x00e1a6f0</t>
  </si>
  <si>
    <t>8)</t>
  </si>
  <si>
    <t>0x00e1a6fc</t>
  </si>
  <si>
    <t>0x00e1a718</t>
  </si>
  <si>
    <t>)</t>
  </si>
  <si>
    <t>0x00e1a71c</t>
  </si>
  <si>
    <t>0x00e1a720</t>
  </si>
  <si>
    <t>0x00e1a724</t>
  </si>
  <si>
    <t>0x00e1a728</t>
  </si>
  <si>
    <t>…</t>
  </si>
  <si>
    <t>0x00e1a73c</t>
  </si>
  <si>
    <t>0x00e1a740</t>
  </si>
  <si>
    <t>0x00e1a74c</t>
  </si>
  <si>
    <t>）</t>
  </si>
  <si>
    <t>0x00e1a750</t>
  </si>
  <si>
    <t>き</t>
  </si>
  <si>
    <t>0x00e1a75c</t>
  </si>
  <si>
    <t>0x00e1a78c</t>
  </si>
  <si>
    <t>時</t>
  </si>
  <si>
    <t>0x00e1a794</t>
  </si>
  <si>
    <t>0x00e1a798</t>
  </si>
  <si>
    <t>0x00e1a7a8</t>
  </si>
  <si>
    <t>キングカズノコ</t>
  </si>
  <si>
    <t>0x00e1a7b8</t>
  </si>
  <si>
    <t>むっさん</t>
  </si>
  <si>
    <t>0x00e1a7c8</t>
  </si>
  <si>
    <t>あきなこ</t>
  </si>
  <si>
    <t>0x00e1a7d8</t>
  </si>
  <si>
    <t>でやでや</t>
  </si>
  <si>
    <t>0x00e1a7e8</t>
  </si>
  <si>
    <t>サクソン大佐</t>
  </si>
  <si>
    <t>0x00e1a7f8</t>
  </si>
  <si>
    <t>マシンガン下衆</t>
  </si>
  <si>
    <t>0x00e1a808</t>
  </si>
  <si>
    <t>マツコフ＠岐阜</t>
  </si>
  <si>
    <t>0x00e1a818</t>
  </si>
  <si>
    <t>でやママ</t>
  </si>
  <si>
    <t>0x00e1a828</t>
  </si>
  <si>
    <t>バーシー</t>
  </si>
  <si>
    <t>0x00e1a838</t>
  </si>
  <si>
    <t>南</t>
  </si>
  <si>
    <t>0x00e1a844</t>
  </si>
  <si>
    <t>意地桜</t>
  </si>
  <si>
    <t>0x00e1a84c</t>
  </si>
  <si>
    <t>はらぺこ日和</t>
  </si>
  <si>
    <t>0x00e1a85c</t>
  </si>
  <si>
    <t>阿修羅小町</t>
  </si>
  <si>
    <t>0x00e1a86c</t>
  </si>
  <si>
    <t>さむらい音頭</t>
  </si>
  <si>
    <t>0x00e1a87c</t>
  </si>
  <si>
    <t>故郷に錦を飾るべし</t>
  </si>
  <si>
    <t>0x00e1a8b0</t>
  </si>
  <si>
    <t>し</t>
  </si>
  <si>
    <t>0x00e1a8b8</t>
  </si>
  <si>
    <t>盛り上げ神</t>
  </si>
  <si>
    <t>0x00e1a8c8</t>
  </si>
  <si>
    <t>当店の看板男</t>
  </si>
  <si>
    <t>0x00e1a8d8</t>
  </si>
  <si>
    <t>空気を変える男</t>
  </si>
  <si>
    <t>0x00e1a8e8</t>
  </si>
  <si>
    <t>水差し野郎</t>
  </si>
  <si>
    <t>0x00e1a8f8</t>
  </si>
  <si>
    <t>音痴</t>
  </si>
  <si>
    <t>0x00e1a900</t>
  </si>
  <si>
    <t>未挑戦</t>
  </si>
  <si>
    <t>0x00e1a924</t>
  </si>
  <si>
    <t>無難に合いの手</t>
  </si>
  <si>
    <t>0x00e1a934</t>
  </si>
  <si>
    <t>情熱的に合いの手</t>
  </si>
  <si>
    <t>0x00e1a94c</t>
  </si>
  <si>
    <t>歌う</t>
  </si>
  <si>
    <t>0x00e1a96c</t>
  </si>
  <si>
    <t>T!</t>
  </si>
  <si>
    <t>0x00e1a98c</t>
  </si>
  <si>
    <t>る</t>
  </si>
  <si>
    <t>0x00e1a9b4</t>
  </si>
  <si>
    <t>j</t>
  </si>
  <si>
    <t>0x00e1a9bc</t>
  </si>
  <si>
    <t>0x00e1a9c4</t>
  </si>
  <si>
    <t>I</t>
  </si>
  <si>
    <t>0x00e1a9dc</t>
  </si>
  <si>
    <t>？？？？？</t>
  </si>
  <si>
    <t>0x00e1a9f8</t>
  </si>
  <si>
    <t>キ</t>
  </si>
  <si>
    <t>0x00e1a9fc</t>
  </si>
  <si>
    <t>マグロ</t>
  </si>
  <si>
    <t>0x00e1aa04</t>
  </si>
  <si>
    <t>イカ</t>
  </si>
  <si>
    <t>0x00e1aa0c</t>
  </si>
  <si>
    <t>カレイ</t>
  </si>
  <si>
    <t>0x00e1aa18</t>
  </si>
  <si>
    <t>オニカサゴ</t>
  </si>
  <si>
    <t>0x00e1aa30</t>
  </si>
  <si>
    <t>ビ</t>
  </si>
  <si>
    <t>0x00e1aa34</t>
  </si>
  <si>
    <t>アナゴ</t>
  </si>
  <si>
    <t>0x00e1aa4c</t>
  </si>
  <si>
    <t>ホオジロザメ</t>
  </si>
  <si>
    <t>0x00e1aa5c</t>
  </si>
  <si>
    <t>ウ</t>
  </si>
  <si>
    <t>0x00e1aa60</t>
  </si>
  <si>
    <t>イ</t>
  </si>
  <si>
    <t>0x00e1aa68</t>
  </si>
  <si>
    <t>タカアシガニ</t>
  </si>
  <si>
    <t>0x00e1aa78</t>
  </si>
  <si>
    <t>マダコ</t>
  </si>
  <si>
    <t>0x00e1aa80</t>
  </si>
  <si>
    <t>傘</t>
  </si>
  <si>
    <t>0x00e1aa88</t>
  </si>
  <si>
    <t>ハリセンボン</t>
  </si>
  <si>
    <t>0x00e1aa9c</t>
  </si>
  <si>
    <t>フナ</t>
  </si>
  <si>
    <t>0x00e1aaa4</t>
  </si>
  <si>
    <t>コイ</t>
  </si>
  <si>
    <t>0x00e1aaac</t>
  </si>
  <si>
    <t>ニシキゴイ</t>
  </si>
  <si>
    <t>0x00e1aabc</t>
  </si>
  <si>
    <t>魚</t>
  </si>
  <si>
    <t>0x00e1aac0</t>
  </si>
  <si>
    <t>ズ</t>
  </si>
  <si>
    <t>0x00e1aac8</t>
  </si>
  <si>
    <t>ニジマス</t>
  </si>
  <si>
    <t>0x00e1aad8</t>
  </si>
  <si>
    <t>ケ</t>
  </si>
  <si>
    <t>0x00e1aaf8</t>
  </si>
  <si>
    <t>0x00e1ab1c</t>
  </si>
  <si>
    <t>問</t>
  </si>
  <si>
    <t>0x00e1ab24</t>
  </si>
  <si>
    <t>0x00e1ab30</t>
  </si>
  <si>
    <t>l</t>
  </si>
  <si>
    <t>0x00e1ab3c</t>
  </si>
  <si>
    <t>Y</t>
  </si>
  <si>
    <t>0x00e1ab44</t>
  </si>
  <si>
    <t>0x00e1ab54</t>
  </si>
  <si>
    <t>a</t>
  </si>
  <si>
    <t>0x00e1ab5c</t>
  </si>
  <si>
    <t>篠</t>
  </si>
  <si>
    <t>0x00e1ab68</t>
  </si>
  <si>
    <t>コ</t>
  </si>
  <si>
    <t>0x00e1ab70</t>
  </si>
  <si>
    <t>0x00e1ab74</t>
  </si>
  <si>
    <t>0x00e1ab7c</t>
  </si>
  <si>
    <t>0x00e1ab94</t>
  </si>
  <si>
    <t>0x00e1ab98</t>
  </si>
  <si>
    <t>0x00e1aba0</t>
  </si>
  <si>
    <t>0x00e1aba4</t>
  </si>
  <si>
    <t>0x00e1abac</t>
  </si>
  <si>
    <t>0x00e1abb4</t>
  </si>
  <si>
    <t>0x00e1abc0</t>
  </si>
  <si>
    <t>0x00e1abc4</t>
  </si>
  <si>
    <t>0x00e1abc8</t>
  </si>
  <si>
    <t>0x00e1abd0</t>
  </si>
  <si>
    <t>0x00e1abd4</t>
  </si>
  <si>
    <t>0x00e1abd8</t>
  </si>
  <si>
    <t>0x00e1abe4</t>
  </si>
  <si>
    <t>0x00e1abec</t>
  </si>
  <si>
    <t>0x00e1abf4</t>
  </si>
  <si>
    <t>0x00e1abf8</t>
  </si>
  <si>
    <t>0x00e1ac00</t>
  </si>
  <si>
    <t>ス</t>
  </si>
  <si>
    <t>0x00e1ac14</t>
  </si>
  <si>
    <t>ｅ</t>
  </si>
  <si>
    <t>0x00e1ac20</t>
  </si>
  <si>
    <t>0x00e1ac68</t>
  </si>
  <si>
    <t>0x00e1ac6c</t>
  </si>
  <si>
    <t>0x00e1ac74</t>
  </si>
  <si>
    <t>終了</t>
  </si>
  <si>
    <t>0x00e1ac8c</t>
  </si>
  <si>
    <t>0x00e1ac90</t>
  </si>
  <si>
    <t>ツ</t>
  </si>
  <si>
    <t>0x00e1ac98</t>
  </si>
  <si>
    <t>初級</t>
  </si>
  <si>
    <t>0x00e1aca0</t>
  </si>
  <si>
    <t>中級</t>
  </si>
  <si>
    <t>0x00e1aca8</t>
  </si>
  <si>
    <t>上級</t>
  </si>
  <si>
    <t>0x00e1acb0</t>
  </si>
  <si>
    <t>で</t>
  </si>
  <si>
    <t>0x00e1acb8</t>
  </si>
  <si>
    <t>0x00e1ace4</t>
  </si>
  <si>
    <t>OM</t>
  </si>
  <si>
    <t>0x00e1ace8</t>
  </si>
  <si>
    <t>EN</t>
  </si>
  <si>
    <t>0x00e1acf8</t>
  </si>
  <si>
    <t>0x00e1acfc</t>
  </si>
  <si>
    <t>よ</t>
  </si>
  <si>
    <t>0x00e1ad28</t>
  </si>
  <si>
    <t>0x00e1ad38</t>
  </si>
  <si>
    <t>も</t>
  </si>
  <si>
    <t>0x00e1ad3c</t>
  </si>
  <si>
    <t>ー</t>
  </si>
  <si>
    <t>0x00e1ad48</t>
  </si>
  <si>
    <t>ば</t>
  </si>
  <si>
    <t>0x00e1ad54</t>
  </si>
  <si>
    <t>て</t>
  </si>
  <si>
    <t>0x00e1ad58</t>
  </si>
  <si>
    <t>ね</t>
  </si>
  <si>
    <t>0x00e1ad68</t>
  </si>
  <si>
    <t>ん</t>
  </si>
  <si>
    <t>0x00e1ad6c</t>
  </si>
  <si>
    <t>0x00e1ad90</t>
  </si>
  <si>
    <t>0x00e1ad94</t>
  </si>
  <si>
    <t>0x00e1ad98</t>
  </si>
  <si>
    <t>0x00e1ada0</t>
  </si>
  <si>
    <t>0x00e1adac</t>
  </si>
  <si>
    <t>0x00e1adb4</t>
  </si>
  <si>
    <t>0x00e1adbc</t>
  </si>
  <si>
    <t>0x00e1adc0</t>
  </si>
  <si>
    <t>0x00e1adcc</t>
  </si>
  <si>
    <t>0x00e1add4</t>
  </si>
  <si>
    <t>0x00e1adec</t>
  </si>
  <si>
    <t>0x00e1adf8</t>
  </si>
  <si>
    <t>0x00e1adfc</t>
  </si>
  <si>
    <t>0x00e1ae1c</t>
  </si>
  <si>
    <t>0x00e1ae24</t>
  </si>
  <si>
    <t>0x00e1ae2c</t>
  </si>
  <si>
    <t>0x00e1ae44</t>
  </si>
  <si>
    <t>0x00e1ae4c</t>
  </si>
  <si>
    <t>ろ</t>
  </si>
  <si>
    <t>0x00e1ae58</t>
  </si>
  <si>
    <t>0x00e1ae60</t>
  </si>
  <si>
    <t>0x00e1ae70</t>
  </si>
  <si>
    <t>0x00e1ae80</t>
  </si>
  <si>
    <t>店</t>
  </si>
  <si>
    <t>0x00e1ae84</t>
  </si>
  <si>
    <t>0x00e1ae8c</t>
  </si>
  <si>
    <t>0x00e1ae98</t>
  </si>
  <si>
    <t>0x00e1aea4</t>
  </si>
  <si>
    <t>d</t>
  </si>
  <si>
    <t>0x00e1aeb0</t>
  </si>
  <si>
    <t>0x00e1aec0</t>
  </si>
  <si>
    <t>成</t>
  </si>
  <si>
    <t>0x00e1aec8</t>
  </si>
  <si>
    <t>0x00e1aed0</t>
  </si>
  <si>
    <t>0x00e1aef0</t>
  </si>
  <si>
    <t>0x00e1aef8</t>
  </si>
  <si>
    <t>文字詰め</t>
  </si>
  <si>
    <t>0x00e1af10</t>
  </si>
  <si>
    <t>0x00e1af18</t>
  </si>
  <si>
    <t>が</t>
  </si>
  <si>
    <t>0x00e1af20</t>
  </si>
  <si>
    <t>0x00e1af28</t>
  </si>
  <si>
    <t>と</t>
  </si>
  <si>
    <t>0x00e1af30</t>
  </si>
  <si>
    <t>な</t>
  </si>
  <si>
    <t>0x00e1af38</t>
  </si>
  <si>
    <t>に</t>
  </si>
  <si>
    <t>0x00e1af40</t>
  </si>
  <si>
    <t>の</t>
  </si>
  <si>
    <t>0x00e1af48</t>
  </si>
  <si>
    <t>は</t>
  </si>
  <si>
    <t>0x00e1af50</t>
  </si>
  <si>
    <t>へ</t>
  </si>
  <si>
    <t>0x00e1af58</t>
  </si>
  <si>
    <t>0x00e1af60</t>
  </si>
  <si>
    <t>や</t>
  </si>
  <si>
    <t>0x00e1af68</t>
  </si>
  <si>
    <t>を</t>
  </si>
  <si>
    <t>0x00e1af70</t>
  </si>
  <si>
    <t>組</t>
  </si>
  <si>
    <t>0x00e1af78</t>
  </si>
  <si>
    <t>風</t>
  </si>
  <si>
    <t>0x00e1af80</t>
  </si>
  <si>
    <t>流</t>
  </si>
  <si>
    <t>0x00e1afc8</t>
  </si>
  <si>
    <t>ポーカー</t>
  </si>
  <si>
    <t>0x00e1afd8</t>
  </si>
  <si>
    <t>異国</t>
  </si>
  <si>
    <t>0x00e1afe0</t>
  </si>
  <si>
    <t>ブラフ</t>
  </si>
  <si>
    <t>0x00e1afe8</t>
  </si>
  <si>
    <t>クラブ</t>
  </si>
  <si>
    <t>0x00e1aff0</t>
  </si>
  <si>
    <t>ダイヤ</t>
  </si>
  <si>
    <t>0x00e1aff8</t>
  </si>
  <si>
    <t>スペード</t>
  </si>
  <si>
    <t>0x00e1b008</t>
  </si>
  <si>
    <t>ハート</t>
  </si>
  <si>
    <t>0x00e1b010</t>
  </si>
  <si>
    <t>ノーペア</t>
  </si>
  <si>
    <t>0x00e1b020</t>
  </si>
  <si>
    <t>ワンペア</t>
  </si>
  <si>
    <t>0x00e1b030</t>
  </si>
  <si>
    <t>ツーペア</t>
  </si>
  <si>
    <t>0x00e1b040</t>
  </si>
  <si>
    <t>３カード</t>
  </si>
  <si>
    <t>0x00e1b050</t>
  </si>
  <si>
    <t>ストレート</t>
  </si>
  <si>
    <t>0x00e1b060</t>
  </si>
  <si>
    <t>フラッシュ</t>
  </si>
  <si>
    <t>0x00e1b070</t>
  </si>
  <si>
    <t>フルハウス</t>
  </si>
  <si>
    <t>0x00e1b080</t>
  </si>
  <si>
    <t>４カード</t>
  </si>
  <si>
    <t>0x00e1b090</t>
  </si>
  <si>
    <t>ロイヤル</t>
  </si>
  <si>
    <t>0x00e1b0e4</t>
  </si>
  <si>
    <t>ポーン</t>
  </si>
  <si>
    <t>0x00e1b0ec</t>
  </si>
  <si>
    <t>ナイト</t>
  </si>
  <si>
    <t>0x00e1b0f4</t>
  </si>
  <si>
    <t>ビショップ</t>
  </si>
  <si>
    <t>0x00e1b104</t>
  </si>
  <si>
    <t>ルーク</t>
  </si>
  <si>
    <t>0x00e1b10c</t>
  </si>
  <si>
    <t>ジャック</t>
  </si>
  <si>
    <t>0x00e1b11c</t>
  </si>
  <si>
    <t>クイーン</t>
  </si>
  <si>
    <t>0x00e1b12c</t>
  </si>
  <si>
    <t>キング</t>
  </si>
  <si>
    <t>0x00e1b134</t>
  </si>
  <si>
    <t>エース</t>
  </si>
  <si>
    <t>0x00e1b13c</t>
  </si>
  <si>
    <t>ジョーカー</t>
  </si>
  <si>
    <t>0x00e1b14c</t>
  </si>
  <si>
    <t>ポーカー王</t>
  </si>
  <si>
    <t>0x00e1b188</t>
  </si>
  <si>
    <t>麻雀</t>
  </si>
  <si>
    <t>0x00e1b190</t>
  </si>
  <si>
    <t>東</t>
  </si>
  <si>
    <t>0x00e1b198</t>
  </si>
  <si>
    <t>西</t>
  </si>
  <si>
    <t>0x00e1b1a0</t>
  </si>
  <si>
    <t>北</t>
  </si>
  <si>
    <t>0x00e1b1a8</t>
  </si>
  <si>
    <t>チー</t>
  </si>
  <si>
    <t>0x00e1b1b0</t>
  </si>
  <si>
    <t>ポン</t>
  </si>
  <si>
    <t>0x00e1b1b8</t>
  </si>
  <si>
    <t>カン</t>
  </si>
  <si>
    <t>0x00e1b1c0</t>
  </si>
  <si>
    <t>マンズ</t>
  </si>
  <si>
    <t>0x00e1b1c8</t>
  </si>
  <si>
    <t>ピンズ</t>
  </si>
  <si>
    <t>0x00e1b1d0</t>
  </si>
  <si>
    <t>ソウズ</t>
  </si>
  <si>
    <t>0x00e1b1d8</t>
  </si>
  <si>
    <t>三元牌</t>
  </si>
  <si>
    <t>0x00e1b1e0</t>
  </si>
  <si>
    <t>四風牌</t>
  </si>
  <si>
    <t>0x00e1b1e8</t>
  </si>
  <si>
    <t>リーチ</t>
  </si>
  <si>
    <t>0x00e1b1f0</t>
  </si>
  <si>
    <t>ツモ</t>
  </si>
  <si>
    <t>0x00e1b1f8</t>
  </si>
  <si>
    <t>ロン</t>
  </si>
  <si>
    <t>0x00e1b244</t>
  </si>
  <si>
    <t>強者</t>
  </si>
  <si>
    <t>0x00e1b24c</t>
  </si>
  <si>
    <t>王者</t>
  </si>
  <si>
    <t>0x00e1b254</t>
  </si>
  <si>
    <t>覇者</t>
  </si>
  <si>
    <t>0x00e1b25c</t>
  </si>
  <si>
    <t>帝王</t>
  </si>
  <si>
    <t>0x00e1b264</t>
  </si>
  <si>
    <t>覇王</t>
  </si>
  <si>
    <t>0x00e1b26c</t>
  </si>
  <si>
    <t>雀狼</t>
  </si>
  <si>
    <t>0x00e1b274</t>
  </si>
  <si>
    <t>雀将</t>
  </si>
  <si>
    <t>0x00e1b27c</t>
  </si>
  <si>
    <t>雀王</t>
  </si>
  <si>
    <t>0x00e1b284</t>
  </si>
  <si>
    <t>雀龍</t>
  </si>
  <si>
    <t>0x00e1b28c</t>
  </si>
  <si>
    <t>雀神</t>
  </si>
  <si>
    <t>0x00e1b2c0</t>
  </si>
  <si>
    <t>こいこい</t>
  </si>
  <si>
    <t>0x00e1b2d0</t>
  </si>
  <si>
    <t>花札</t>
  </si>
  <si>
    <t>0x00e1b2d8</t>
  </si>
  <si>
    <t>かす</t>
  </si>
  <si>
    <t>0x00e1b2e0</t>
  </si>
  <si>
    <t>たん</t>
  </si>
  <si>
    <t>0x00e1b2e8</t>
  </si>
  <si>
    <t>たね</t>
  </si>
  <si>
    <t>0x00e1b2f0</t>
  </si>
  <si>
    <t>花見酒</t>
  </si>
  <si>
    <t>0x00e1b2f8</t>
  </si>
  <si>
    <t>月見酒</t>
  </si>
  <si>
    <t>0x00e1b300</t>
  </si>
  <si>
    <t>青短</t>
  </si>
  <si>
    <t>0x00e1b308</t>
  </si>
  <si>
    <t>赤短</t>
  </si>
  <si>
    <t>0x00e1b310</t>
  </si>
  <si>
    <t>猪鹿蝶</t>
  </si>
  <si>
    <t>0x00e1b318</t>
  </si>
  <si>
    <t>三光</t>
  </si>
  <si>
    <t>0x00e1b320</t>
  </si>
  <si>
    <t>食付</t>
  </si>
  <si>
    <t>0x00e1b328</t>
  </si>
  <si>
    <t>手四</t>
  </si>
  <si>
    <t>0x00e1b330</t>
  </si>
  <si>
    <t>雨四光</t>
  </si>
  <si>
    <t>0x00e1b338</t>
  </si>
  <si>
    <t>四光</t>
  </si>
  <si>
    <t>0x00e1b340</t>
  </si>
  <si>
    <t>五光</t>
  </si>
  <si>
    <t>0x00e1b38c</t>
  </si>
  <si>
    <t>序の口</t>
  </si>
  <si>
    <t>0x00e1b394</t>
  </si>
  <si>
    <t>序二段</t>
  </si>
  <si>
    <t>0x00e1b39c</t>
  </si>
  <si>
    <t>三段目</t>
  </si>
  <si>
    <t>0x00e1b3a4</t>
  </si>
  <si>
    <t>幕下</t>
  </si>
  <si>
    <t>0x00e1b3ac</t>
  </si>
  <si>
    <t>十両</t>
  </si>
  <si>
    <t>0x00e1b3b4</t>
  </si>
  <si>
    <t>前頭</t>
  </si>
  <si>
    <t>0x00e1b3bc</t>
  </si>
  <si>
    <t>小結</t>
  </si>
  <si>
    <t>0x00e1b3c4</t>
  </si>
  <si>
    <t>関脇</t>
  </si>
  <si>
    <t>0x00e1b3cc</t>
  </si>
  <si>
    <t>大関</t>
  </si>
  <si>
    <t>0x00e1b3d4</t>
  </si>
  <si>
    <t>横綱</t>
  </si>
  <si>
    <t>0x00e1b408</t>
  </si>
  <si>
    <t>株札</t>
  </si>
  <si>
    <t>0x00e1b410</t>
  </si>
  <si>
    <t>ゴケ勝負</t>
  </si>
  <si>
    <t>0x00e1b420</t>
  </si>
  <si>
    <t>思案六ポウ</t>
  </si>
  <si>
    <t>0x00e1b430</t>
  </si>
  <si>
    <t>ブタ</t>
  </si>
  <si>
    <t>0x00e1b438</t>
  </si>
  <si>
    <t>ピン</t>
  </si>
  <si>
    <t>0x00e1b440</t>
  </si>
  <si>
    <t>ニソウ</t>
  </si>
  <si>
    <t>0x00e1b448</t>
  </si>
  <si>
    <t>サンタ</t>
  </si>
  <si>
    <t>0x00e1b450</t>
  </si>
  <si>
    <t>ヨツヤ</t>
  </si>
  <si>
    <t>0x00e1b458</t>
  </si>
  <si>
    <t>ゴケ</t>
  </si>
  <si>
    <t>0x00e1b460</t>
  </si>
  <si>
    <t>ロッポウ</t>
  </si>
  <si>
    <t>0x00e1b470</t>
  </si>
  <si>
    <t>ナキ</t>
  </si>
  <si>
    <t>0x00e1b478</t>
  </si>
  <si>
    <t>オイチョ</t>
  </si>
  <si>
    <t>0x00e1b488</t>
  </si>
  <si>
    <t>カブ</t>
  </si>
  <si>
    <t>0x00e1b490</t>
  </si>
  <si>
    <t>シッピン</t>
  </si>
  <si>
    <t>0x00e1b4a0</t>
  </si>
  <si>
    <t>クッピン</t>
  </si>
  <si>
    <t>0x00e1b4b0</t>
  </si>
  <si>
    <t>アラシ</t>
  </si>
  <si>
    <t>0x00e1b4fc</t>
  </si>
  <si>
    <t>株芸人</t>
  </si>
  <si>
    <t>0x00e1b504</t>
  </si>
  <si>
    <t>株番人</t>
  </si>
  <si>
    <t>0x00e1b50c</t>
  </si>
  <si>
    <t>株達人</t>
  </si>
  <si>
    <t>0x00e1b514</t>
  </si>
  <si>
    <t>株鉄人</t>
  </si>
  <si>
    <t>0x00e1b51c</t>
  </si>
  <si>
    <t>株超人</t>
  </si>
  <si>
    <t>0x00e1b524</t>
  </si>
  <si>
    <t>株主</t>
  </si>
  <si>
    <t>0x00e1b52c</t>
  </si>
  <si>
    <t>株将</t>
  </si>
  <si>
    <t>0x00e1b534</t>
  </si>
  <si>
    <t>株王</t>
  </si>
  <si>
    <t>0x00e1b53c</t>
  </si>
  <si>
    <t>株龍</t>
  </si>
  <si>
    <t>0x00e1b544</t>
  </si>
  <si>
    <t>株神</t>
  </si>
  <si>
    <t>0x00e1b578</t>
  </si>
  <si>
    <t>将棋</t>
  </si>
  <si>
    <t>0x00e1b580</t>
  </si>
  <si>
    <t>先手</t>
  </si>
  <si>
    <t>0x00e1b588</t>
  </si>
  <si>
    <t>後手</t>
  </si>
  <si>
    <t>0x00e1b590</t>
  </si>
  <si>
    <t>居飛車</t>
  </si>
  <si>
    <t>0x00e1b598</t>
  </si>
  <si>
    <t>振り飛車</t>
  </si>
  <si>
    <t>0x00e1b5a8</t>
  </si>
  <si>
    <t>囲い</t>
  </si>
  <si>
    <t>0x00e1b5b0</t>
  </si>
  <si>
    <t>詰み</t>
  </si>
  <si>
    <t>0x00e1b5b8</t>
  </si>
  <si>
    <t>投了</t>
  </si>
  <si>
    <t>0x00e1b5c0</t>
  </si>
  <si>
    <t>王手</t>
  </si>
  <si>
    <t>0x00e1b5c8</t>
  </si>
  <si>
    <t>成り駒</t>
  </si>
  <si>
    <t>0x00e1b5d0</t>
  </si>
  <si>
    <t>と金</t>
  </si>
  <si>
    <t>0x00e1b5d8</t>
  </si>
  <si>
    <t>成香</t>
  </si>
  <si>
    <t>0x00e1b5e0</t>
  </si>
  <si>
    <t>成桂</t>
  </si>
  <si>
    <t>0x00e1b5e8</t>
  </si>
  <si>
    <t>成銀</t>
  </si>
  <si>
    <t>0x00e1b5f0</t>
  </si>
  <si>
    <t>竜馬</t>
  </si>
  <si>
    <t>0x00e1b5f8</t>
  </si>
  <si>
    <t>竜王</t>
  </si>
  <si>
    <t>0x00e1b644</t>
  </si>
  <si>
    <t>歩</t>
  </si>
  <si>
    <t>0x00e1b64c</t>
  </si>
  <si>
    <t>香車</t>
  </si>
  <si>
    <t>0x00e1b654</t>
  </si>
  <si>
    <t>桂馬</t>
  </si>
  <si>
    <t>0x00e1b65c</t>
  </si>
  <si>
    <t>銀将</t>
  </si>
  <si>
    <t>0x00e1b664</t>
  </si>
  <si>
    <t>金将</t>
  </si>
  <si>
    <t>0x00e1b66c</t>
  </si>
  <si>
    <t>角行</t>
  </si>
  <si>
    <t>0x00e1b674</t>
  </si>
  <si>
    <t>飛車</t>
  </si>
  <si>
    <t>0x00e1b67c</t>
  </si>
  <si>
    <t>玉将</t>
  </si>
  <si>
    <t>0x00e1b684</t>
  </si>
  <si>
    <t>王将</t>
  </si>
  <si>
    <t>0x00e1b68c</t>
  </si>
  <si>
    <t>将棋王</t>
  </si>
  <si>
    <t>0x00e1b6c0</t>
  </si>
  <si>
    <t>喜び</t>
  </si>
  <si>
    <t>0x00e1b6c8</t>
  </si>
  <si>
    <t>小さな</t>
  </si>
  <si>
    <t>0x00e1b6d0</t>
  </si>
  <si>
    <t>ねずみ</t>
  </si>
  <si>
    <t>0x00e1b6d8</t>
  </si>
  <si>
    <t>近所</t>
  </si>
  <si>
    <t>0x00e1b6e0</t>
  </si>
  <si>
    <t>貧乏</t>
  </si>
  <si>
    <t>0x00e1b6e8</t>
  </si>
  <si>
    <t>富豪</t>
  </si>
  <si>
    <t>0x00e1b6f0</t>
  </si>
  <si>
    <t>大富豪</t>
  </si>
  <si>
    <t>0x00e1b6f8</t>
  </si>
  <si>
    <t>怒り</t>
  </si>
  <si>
    <t>0x00e1b700</t>
  </si>
  <si>
    <t>大きな</t>
  </si>
  <si>
    <t>0x00e1b708</t>
  </si>
  <si>
    <t>牛</t>
  </si>
  <si>
    <t>0x00e1b710</t>
  </si>
  <si>
    <t>維新</t>
  </si>
  <si>
    <t>0x00e1b718</t>
  </si>
  <si>
    <t>哀れ</t>
  </si>
  <si>
    <t>0x00e1b720</t>
  </si>
  <si>
    <t>太った</t>
  </si>
  <si>
    <t>0x00e1b728</t>
  </si>
  <si>
    <t>虎</t>
  </si>
  <si>
    <t>0x00e1b730</t>
  </si>
  <si>
    <t>帰ってきた</t>
  </si>
  <si>
    <t>0x00e1b740</t>
  </si>
  <si>
    <t>楽しい</t>
  </si>
  <si>
    <t>0x00e1b748</t>
  </si>
  <si>
    <t>やせた</t>
  </si>
  <si>
    <t>0x00e1b750</t>
  </si>
  <si>
    <t>うさぎ</t>
  </si>
  <si>
    <t>0x00e1b758</t>
  </si>
  <si>
    <t>やさしい</t>
  </si>
  <si>
    <t>0x00e1b768</t>
  </si>
  <si>
    <t>派手</t>
  </si>
  <si>
    <t>0x00e1b770</t>
  </si>
  <si>
    <t>龍</t>
  </si>
  <si>
    <t>0x00e1b778</t>
  </si>
  <si>
    <t>悲しみ</t>
  </si>
  <si>
    <t>0x00e1b780</t>
  </si>
  <si>
    <t>地味</t>
  </si>
  <si>
    <t>0x00e1b788</t>
  </si>
  <si>
    <t>蛇</t>
  </si>
  <si>
    <t>0x00e1b790</t>
  </si>
  <si>
    <t>笑い</t>
  </si>
  <si>
    <t>0x00e1b798</t>
  </si>
  <si>
    <t>怪しい</t>
  </si>
  <si>
    <t>0x00e1b7a0</t>
  </si>
  <si>
    <t>馬</t>
  </si>
  <si>
    <t>0x00e1b7a8</t>
  </si>
  <si>
    <t>泣いた</t>
  </si>
  <si>
    <t>0x00e1b7b0</t>
  </si>
  <si>
    <t>おしゃれ</t>
  </si>
  <si>
    <t>0x00e1b7c0</t>
  </si>
  <si>
    <t>羊</t>
  </si>
  <si>
    <t>0x00e1b7c8</t>
  </si>
  <si>
    <t>驚き</t>
  </si>
  <si>
    <t>0x00e1b7d0</t>
  </si>
  <si>
    <t>さわやか</t>
  </si>
  <si>
    <t>0x00e1b7e0</t>
  </si>
  <si>
    <t>猿</t>
  </si>
  <si>
    <t>0x00e1b7e8</t>
  </si>
  <si>
    <t>愉快痛快</t>
  </si>
  <si>
    <t>0x00e1b7f8</t>
  </si>
  <si>
    <t>美しい</t>
  </si>
  <si>
    <t>0x00e1b800</t>
  </si>
  <si>
    <t>びっくり</t>
  </si>
  <si>
    <t>0x00e1b810</t>
  </si>
  <si>
    <t>鳥</t>
  </si>
  <si>
    <t>0x00e1b818</t>
  </si>
  <si>
    <t>幕末</t>
  </si>
  <si>
    <t>0x00e1b820</t>
  </si>
  <si>
    <t>泣き虫</t>
  </si>
  <si>
    <t>0x00e1b828</t>
  </si>
  <si>
    <t>新鮮</t>
  </si>
  <si>
    <t>0x00e1b830</t>
  </si>
  <si>
    <t>犬</t>
  </si>
  <si>
    <t>0x00e1b838</t>
  </si>
  <si>
    <t>血と汗と涙</t>
  </si>
  <si>
    <t>0x00e1b848</t>
  </si>
  <si>
    <t>怒りん坊</t>
  </si>
  <si>
    <t>0x00e1b858</t>
  </si>
  <si>
    <t>一発逆転</t>
  </si>
  <si>
    <t>0x00e1b868</t>
  </si>
  <si>
    <t>猪</t>
  </si>
  <si>
    <t>0x00e1b870</t>
  </si>
  <si>
    <t>百戦錬磨</t>
  </si>
  <si>
    <t>0x00e1b880</t>
  </si>
  <si>
    <t>暴れん坊</t>
  </si>
  <si>
    <t>0x00e1b890</t>
  </si>
  <si>
    <t>完全無欠</t>
  </si>
  <si>
    <t>0x00e1b964</t>
  </si>
  <si>
    <t>新人</t>
  </si>
  <si>
    <t>0x00e1b96c</t>
  </si>
  <si>
    <t>男</t>
  </si>
  <si>
    <t>0x00e1b974</t>
  </si>
  <si>
    <t>女</t>
  </si>
  <si>
    <t>0x00e1b97c</t>
  </si>
  <si>
    <t>猫</t>
  </si>
  <si>
    <t>0x00e1b984</t>
  </si>
  <si>
    <t>小僧</t>
  </si>
  <si>
    <t>0x00e1b98c</t>
  </si>
  <si>
    <t>田舎娘</t>
  </si>
  <si>
    <t>0x00e1b994</t>
  </si>
  <si>
    <t>狸</t>
  </si>
  <si>
    <t>0x00e1b99c</t>
  </si>
  <si>
    <t>たしなみ</t>
  </si>
  <si>
    <t>0x00e1b9ac</t>
  </si>
  <si>
    <t>看板娘</t>
  </si>
  <si>
    <t>0x00e1b9b4</t>
  </si>
  <si>
    <t>狐</t>
  </si>
  <si>
    <t>0x00e1b9bc</t>
  </si>
  <si>
    <t>町人</t>
  </si>
  <si>
    <t>0x00e1b9c4</t>
  </si>
  <si>
    <t>商人</t>
  </si>
  <si>
    <t>0x00e1b9cc</t>
  </si>
  <si>
    <t>鴉</t>
  </si>
  <si>
    <t>0x00e1b9d4</t>
  </si>
  <si>
    <t>職人</t>
  </si>
  <si>
    <t>0x00e1b9dc</t>
  </si>
  <si>
    <t>坊主</t>
  </si>
  <si>
    <t>0x00e1b9e4</t>
  </si>
  <si>
    <t>狼</t>
  </si>
  <si>
    <t>0x00e1b9ec</t>
  </si>
  <si>
    <t>浪人</t>
  </si>
  <si>
    <t>0x00e1b9f4</t>
  </si>
  <si>
    <t>家来</t>
  </si>
  <si>
    <t>0x00e1b9fc</t>
  </si>
  <si>
    <t>鷹</t>
  </si>
  <si>
    <t>0x00e1ba04</t>
  </si>
  <si>
    <t>志士</t>
  </si>
  <si>
    <t>0x00e1ba0c</t>
  </si>
  <si>
    <t>武士</t>
  </si>
  <si>
    <t>0x00e1ba14</t>
  </si>
  <si>
    <t>美人</t>
  </si>
  <si>
    <t>0x00e1ba1c</t>
  </si>
  <si>
    <t>如く</t>
  </si>
  <si>
    <t>0x00e1ba24</t>
  </si>
  <si>
    <t>舞妓</t>
  </si>
  <si>
    <t>0x00e1ba2c</t>
  </si>
  <si>
    <t>河童</t>
  </si>
  <si>
    <t>0x00e1ba34</t>
  </si>
  <si>
    <t>芸者</t>
  </si>
  <si>
    <t>0x00e1ba3c</t>
  </si>
  <si>
    <t>花魁</t>
  </si>
  <si>
    <t>0x00e1ba44</t>
  </si>
  <si>
    <t>大入道</t>
  </si>
  <si>
    <t>0x00e1ba4c</t>
  </si>
  <si>
    <t>姫</t>
  </si>
  <si>
    <t>0x00e1ba54</t>
  </si>
  <si>
    <t>鬼</t>
  </si>
  <si>
    <t>0x00e1ba5c</t>
  </si>
  <si>
    <t>忍者</t>
  </si>
  <si>
    <t>0x00e1ba64</t>
  </si>
  <si>
    <t>侍</t>
  </si>
  <si>
    <t>0x00e1ba6c</t>
  </si>
  <si>
    <t>殿様</t>
  </si>
  <si>
    <t>0x00e1ba74</t>
  </si>
  <si>
    <t>将軍</t>
  </si>
  <si>
    <t>0x00e1bb08</t>
  </si>
  <si>
    <t>十級</t>
  </si>
  <si>
    <t>0x00e1bb10</t>
  </si>
  <si>
    <t>九級</t>
  </si>
  <si>
    <t>0x00e1bb18</t>
  </si>
  <si>
    <t>八級</t>
  </si>
  <si>
    <t>0x00e1bb20</t>
  </si>
  <si>
    <t>七級</t>
  </si>
  <si>
    <t>0x00e1bb28</t>
  </si>
  <si>
    <t>六級</t>
  </si>
  <si>
    <t>0x00e1bb30</t>
  </si>
  <si>
    <t>五級</t>
  </si>
  <si>
    <t>0x00e1bb38</t>
  </si>
  <si>
    <t>四級</t>
  </si>
  <si>
    <t>0x00e1bb40</t>
  </si>
  <si>
    <t>三級</t>
  </si>
  <si>
    <t>0x00e1bb48</t>
  </si>
  <si>
    <t>二級</t>
  </si>
  <si>
    <t>0x00e1bb50</t>
  </si>
  <si>
    <t>一級</t>
  </si>
  <si>
    <t>0x00e1bb58</t>
  </si>
  <si>
    <t>初段</t>
  </si>
  <si>
    <t>0x00e1bb60</t>
  </si>
  <si>
    <t>二段</t>
  </si>
  <si>
    <t>0x00e1bb68</t>
  </si>
  <si>
    <t>三段</t>
  </si>
  <si>
    <t>0x00e1bb70</t>
  </si>
  <si>
    <t>四段</t>
  </si>
  <si>
    <t>0x00e1bb78</t>
  </si>
  <si>
    <t>五段</t>
  </si>
  <si>
    <t>0x00e1bb80</t>
  </si>
  <si>
    <t>六段</t>
  </si>
  <si>
    <t>0x00e1bb88</t>
  </si>
  <si>
    <t>七段</t>
  </si>
  <si>
    <t>0x00e1bb90</t>
  </si>
  <si>
    <t>八段</t>
  </si>
  <si>
    <t>0x00e1bb98</t>
  </si>
  <si>
    <t>九段</t>
  </si>
  <si>
    <t>0x00e1bba0</t>
  </si>
  <si>
    <t>最上段</t>
  </si>
  <si>
    <t>0x00e1bbfc</t>
  </si>
  <si>
    <t>対戦相手を募集中ですので、しばらくお待ちください。</t>
  </si>
  <si>
    <t>0x00e1bc3c</t>
  </si>
  <si>
    <t>対戦相手を見つける</t>
  </si>
  <si>
    <t>0x00e1bc5c</t>
  </si>
  <si>
    <t>このまま待ち続ける</t>
  </si>
  <si>
    <t>0x00e1bc7c</t>
  </si>
  <si>
    <t>ほかのゲームで遊ぶ</t>
  </si>
  <si>
    <t>0x00e1bca8</t>
  </si>
  <si>
    <t>次の対局を選ぶ</t>
  </si>
  <si>
    <t>0x00e1bcc0</t>
  </si>
  <si>
    <t>次の相手を選ぶ</t>
  </si>
  <si>
    <t>0x00e1bcd8</t>
  </si>
  <si>
    <t>B</t>
  </si>
  <si>
    <t>0x00e1bce0</t>
  </si>
  <si>
    <t>通信エラーが発生しました。[n]メインメニュー画面へ戻ります。</t>
  </si>
  <si>
    <t>0x00e1bd28</t>
  </si>
  <si>
    <t>0x00e1bd30</t>
  </si>
  <si>
    <t>ニックネームが入力されていません。[n]メインメニュー画面へ戻ります。</t>
  </si>
  <si>
    <t>0x00e1bd80</t>
  </si>
  <si>
    <t>ニックネームが不適切です。[n]メインメニュー画面へ戻ります。</t>
  </si>
  <si>
    <t>0x00e1bdc8</t>
  </si>
  <si>
    <t>ホストから切断されました。[n]しばらくお待ち下さい。</t>
  </si>
  <si>
    <t>0x00e1be08</t>
  </si>
  <si>
    <t>ランキングの受信待ちです。[n]しばらくお待ち下さい。</t>
  </si>
  <si>
    <t>0x00e1be48</t>
  </si>
  <si>
    <t>ランキングの受信に失敗しました。[n]賭け点選択画面へ戻ります。</t>
  </si>
  <si>
    <t>0x00e1be8c</t>
  </si>
  <si>
    <t>0x00e1be94</t>
  </si>
  <si>
    <t>ニックネーム</t>
  </si>
  <si>
    <t>0x00e1beac</t>
  </si>
  <si>
    <t>サインインされなかったため[n]メインメニュー画面へ戻ります。</t>
  </si>
  <si>
    <t>0x00e1bef4</t>
  </si>
  <si>
    <t>サインアップされなかったため[n]メインメニュー画面へ戻ります。</t>
  </si>
  <si>
    <t>0x00e1bf38</t>
  </si>
  <si>
    <t>「PSN」からサインアウトしました。[n]賭場ミニゲームで遊べません。[n]メインメニュー画面へ戻ります。</t>
  </si>
  <si>
    <t>0x00e1bfa0</t>
  </si>
  <si>
    <t>0x00e1bfa8</t>
  </si>
  <si>
    <t>0x00e1bfb4</t>
  </si>
  <si>
    <t>他のユーザーとの通信待ちです。[n]しばらくおまちください。</t>
  </si>
  <si>
    <t>0x00e1bff0</t>
  </si>
  <si>
    <t>ルームの作成に失敗しました。[n]通信状況を確認して下さい。</t>
  </si>
  <si>
    <t>0x00e1c02c</t>
  </si>
  <si>
    <t>ランキングの受信に失敗しました。[n]ランキング画面を閉じます。</t>
  </si>
  <si>
    <t>0x00e1c070</t>
  </si>
  <si>
    <t>他プレイヤーの手番を待っています。</t>
  </si>
  <si>
    <t>0x00e1c0a4</t>
  </si>
  <si>
    <t>柴犬</t>
  </si>
  <si>
    <t>0x00e1c0ac</t>
  </si>
  <si>
    <t>黒柴</t>
  </si>
  <si>
    <t>0x00e1c0b4</t>
  </si>
  <si>
    <t>白柴</t>
  </si>
  <si>
    <t>0x00e1c0d0</t>
  </si>
  <si>
    <t>三毛</t>
  </si>
  <si>
    <t>0x00e1c0d8</t>
  </si>
  <si>
    <t>黒猫</t>
  </si>
  <si>
    <t>0x00e1c0e0</t>
  </si>
  <si>
    <t>白猫</t>
  </si>
  <si>
    <t>0x00e1c0fc</t>
  </si>
  <si>
    <t>名前を付けて下さい</t>
  </si>
  <si>
    <t>0x00e1c11c</t>
  </si>
  <si>
    <t>交換しますか？</t>
  </si>
  <si>
    <t>0x00e1c134</t>
  </si>
  <si>
    <t>交換済み</t>
  </si>
  <si>
    <t>0x00e1c14c</t>
  </si>
  <si>
    <t>渡せるものを何も持っていません</t>
  </si>
  <si>
    <t>0x00e1c174</t>
  </si>
  <si>
    <t>（徳が足りないようだな……）</t>
  </si>
  <si>
    <t>0x00e1c19c</t>
  </si>
  <si>
    <t>標準</t>
  </si>
  <si>
    <t>0x00e1c1a4</t>
  </si>
  <si>
    <t>金の舞</t>
  </si>
  <si>
    <t>0x00e1c1ac</t>
  </si>
  <si>
    <t>新築風</t>
  </si>
  <si>
    <t>0x00e1c1b4</t>
  </si>
  <si>
    <t>愛し花</t>
  </si>
  <si>
    <t>0x00e1c1bc</t>
  </si>
  <si>
    <t>内装D</t>
  </si>
  <si>
    <t>0x00e1c1c4</t>
  </si>
  <si>
    <t>内装E</t>
  </si>
  <si>
    <t>0x00e1c1e8</t>
  </si>
  <si>
    <t>今の台所だと作れない献立だね。[n]台所が拡張できるといいんだけど……</t>
  </si>
  <si>
    <t>0x00e1c238</t>
  </si>
  <si>
    <t>今はまだ作れない献立だね。台所を[n]「万能な台所」にまで拡張したり、誰かに料理の[n]作り方を教わったりできるといいんだけど……</t>
  </si>
  <si>
    <t>0x00e1c2c0</t>
  </si>
  <si>
    <t>材料が足りません。</t>
  </si>
  <si>
    <t>0x00e1c2e0</t>
  </si>
  <si>
    <t>－</t>
  </si>
  <si>
    <t>0x00e1c2ec</t>
  </si>
  <si>
    <t>行き先を選んでください。左スティックの上下で選択できます。</t>
  </si>
  <si>
    <t>0x00e1c334</t>
  </si>
  <si>
    <t>第一章　土佐、脱藩</t>
  </si>
  <si>
    <t>0x00e1c34c</t>
  </si>
  <si>
    <t>第二章　斎藤一という男</t>
  </si>
  <si>
    <t>0x00e1c364</t>
  </si>
  <si>
    <t>第三章　壬生狼</t>
  </si>
  <si>
    <t>0x00e1c374</t>
  </si>
  <si>
    <t>第四章　共闘</t>
  </si>
  <si>
    <t>0x00e1c384</t>
  </si>
  <si>
    <t>第五章　鉄の掟</t>
  </si>
  <si>
    <t>0x00e1c394</t>
  </si>
  <si>
    <t>第六章　池田屋事件</t>
  </si>
  <si>
    <t>0x00e1c3ac</t>
  </si>
  <si>
    <t>第七章　二人の龍馬</t>
  </si>
  <si>
    <t>0x00e1c3c4</t>
  </si>
  <si>
    <t>第八章　狂犬吼える</t>
  </si>
  <si>
    <t>0x00e1c3dc</t>
  </si>
  <si>
    <t>第九章　喧嘩の花道</t>
  </si>
  <si>
    <t>0x00e1c3f4</t>
  </si>
  <si>
    <t>第十章　正体</t>
  </si>
  <si>
    <t>0x00e1c404</t>
  </si>
  <si>
    <t>第十一章　大博打</t>
  </si>
  <si>
    <t>0x00e1c41c</t>
  </si>
  <si>
    <t>第十二章　京炎上</t>
  </si>
  <si>
    <t>0x00e1c434</t>
  </si>
  <si>
    <t>第十三章　龍馬暗殺</t>
  </si>
  <si>
    <t>0x00e1c44c</t>
  </si>
  <si>
    <t>最終章　夜明け</t>
  </si>
  <si>
    <t>0x00e1c45c</t>
  </si>
  <si>
    <t>完</t>
  </si>
  <si>
    <t>0x00e1c4a0</t>
  </si>
  <si>
    <t>%sを手に入れた</t>
  </si>
  <si>
    <t>0x00e1c4b8</t>
  </si>
  <si>
    <t>%sを失った</t>
  </si>
  <si>
    <t>0x00e1c4d0</t>
  </si>
  <si>
    <t>体力が回復した</t>
  </si>
  <si>
    <t>0x00e1c4e8</t>
  </si>
  <si>
    <t>た</t>
  </si>
  <si>
    <t>0x00e1c4f0</t>
  </si>
  <si>
    <t>経験値 : %s</t>
  </si>
  <si>
    <t>0x00e1c504</t>
  </si>
  <si>
    <t>0x00e1c51c</t>
  </si>
  <si>
    <t>0x00e1c528</t>
  </si>
  <si>
    <t>0x00e1c53c</t>
  </si>
  <si>
    <t>装備</t>
  </si>
  <si>
    <t>0x00e1c548</t>
  </si>
  <si>
    <t>持ち物がいっぱいです</t>
  </si>
  <si>
    <t>0x00e1c568</t>
  </si>
  <si>
    <t>幕末漫遊中</t>
  </si>
  <si>
    <t>0x00e1c580</t>
  </si>
  <si>
    <t>自由気ままに探索するか。[n]行きたい所に行き、やりたいことをしよう。</t>
  </si>
  <si>
    <t>0x00e1c5c8</t>
  </si>
  <si>
    <t>自由気ままに探索しよか。[n]行きたい所に行き、やりたいことをしよう。</t>
  </si>
  <si>
    <t>0x00e1c610</t>
  </si>
  <si>
    <t>自由気ままに探索しよっと。[n]行きたい所に行って、やりたいことをやろう。</t>
  </si>
  <si>
    <t>0x00e1c670</t>
  </si>
  <si>
    <t>●%s[n]　総プレイ時間 %d時間%02d分 /[n]　レベル %02d / 経験値 %d /[n]　所持金 %s / 賭け点 %d点[n]●バトルダンジョン[n]　解決任務 %d件 / 隊士カード %d枚[n]●アナザーライフ[n]　作物 %d種 / 魚 %d種 / 料理 %d品 / 納品 %d品</t>
  </si>
  <si>
    <t>0x00e1c748</t>
  </si>
  <si>
    <t>品</t>
  </si>
  <si>
    <t>0x00e1c754</t>
  </si>
  <si>
    <t>クリアデータ</t>
  </si>
  <si>
    <t>0x00e1c778</t>
  </si>
  <si>
    <t>売る</t>
  </si>
  <si>
    <t>0x00e1c780</t>
  </si>
  <si>
    <t>食べる</t>
  </si>
  <si>
    <t>0x00e1c788</t>
  </si>
  <si>
    <t>換える</t>
  </si>
  <si>
    <t>0x00e1c790</t>
  </si>
  <si>
    <t>拡大</t>
  </si>
  <si>
    <t>0x00e1c798</t>
  </si>
  <si>
    <t>縮小</t>
  </si>
  <si>
    <t>0x00e1c7a0</t>
  </si>
  <si>
    <t>使う</t>
  </si>
  <si>
    <t>0x00e1c7a8</t>
  </si>
  <si>
    <t>捨てる</t>
  </si>
  <si>
    <t>0x00e1c7b0</t>
  </si>
  <si>
    <t>確定</t>
  </si>
  <si>
    <t>0x00e1c7b8</t>
  </si>
  <si>
    <t>見る</t>
  </si>
  <si>
    <t>0x00e1c7c0</t>
  </si>
  <si>
    <t>貴重品</t>
  </si>
  <si>
    <t>0x00e1c7c8</t>
  </si>
  <si>
    <t>持ち物</t>
  </si>
  <si>
    <t>0x00e1c7d0</t>
  </si>
  <si>
    <t>一覧</t>
  </si>
  <si>
    <t>0x00e1c7d8</t>
  </si>
  <si>
    <t>外す</t>
  </si>
  <si>
    <t>0x00e1c7e0</t>
  </si>
  <si>
    <t>買う</t>
  </si>
  <si>
    <t>0x00e1c7e8</t>
  </si>
  <si>
    <t>確認</t>
  </si>
  <si>
    <t>0x00e1c7f0</t>
  </si>
  <si>
    <t>並べる</t>
  </si>
  <si>
    <t>0x00e1c7f8</t>
  </si>
  <si>
    <t>移す</t>
  </si>
  <si>
    <t>0x00e1c800</t>
  </si>
  <si>
    <t>京全図</t>
  </si>
  <si>
    <t>0x00e1c808</t>
  </si>
  <si>
    <t>完全武装</t>
  </si>
  <si>
    <t>0x00e1c818</t>
  </si>
  <si>
    <t>切り替え</t>
  </si>
  <si>
    <t>0x00e1c828</t>
  </si>
  <si>
    <t>並び替え</t>
  </si>
  <si>
    <t>0x00e1c838</t>
  </si>
  <si>
    <t>標準表示</t>
  </si>
  <si>
    <t>0x00e1c848</t>
  </si>
  <si>
    <t>降順表示</t>
  </si>
  <si>
    <t>0x00e1c858</t>
  </si>
  <si>
    <t>昇順表示</t>
  </si>
  <si>
    <t>0x00e1c868</t>
  </si>
  <si>
    <t>道具</t>
  </si>
  <si>
    <t>0x00e1c870</t>
  </si>
  <si>
    <t>逃がす</t>
  </si>
  <si>
    <t>0x00e1c878</t>
  </si>
  <si>
    <t>所持道具</t>
  </si>
  <si>
    <t>0x00e1c888</t>
  </si>
  <si>
    <t>整理</t>
  </si>
  <si>
    <t>0x00e1c890</t>
  </si>
  <si>
    <t>選択</t>
  </si>
  <si>
    <t>0x00e1c898</t>
  </si>
  <si>
    <t>詳細</t>
  </si>
  <si>
    <t>0x00e1c8a0</t>
  </si>
  <si>
    <t>能力確認</t>
  </si>
  <si>
    <t>0x00e1c8b0</t>
  </si>
  <si>
    <t>能力強化</t>
  </si>
  <si>
    <t>0x00e1c8c0</t>
  </si>
  <si>
    <t>アイテム</t>
  </si>
  <si>
    <t>0x00e1c8d0</t>
  </si>
  <si>
    <t>マップ選択</t>
  </si>
  <si>
    <t>0x00e1c8e0</t>
  </si>
  <si>
    <t>必要素材</t>
  </si>
  <si>
    <t>0x00e1c8f0</t>
  </si>
  <si>
    <t>全再生</t>
  </si>
  <si>
    <t>0x00e1c8f8</t>
  </si>
  <si>
    <t>回転</t>
  </si>
  <si>
    <t>0x00e1c900</t>
  </si>
  <si>
    <t>主人公</t>
  </si>
  <si>
    <t>0x00e1c908</t>
  </si>
  <si>
    <t>倉庫</t>
  </si>
  <si>
    <t>0x00e1c914</t>
  </si>
  <si>
    <t>自動整理</t>
  </si>
  <si>
    <t>0x00e1c924</t>
  </si>
  <si>
    <t>全選択</t>
  </si>
  <si>
    <t>0x00e1c92c</t>
  </si>
  <si>
    <t>返信</t>
  </si>
  <si>
    <t>0x00e1c934</t>
  </si>
  <si>
    <t>施設詳細</t>
  </si>
  <si>
    <t>0x00e1c944</t>
  </si>
  <si>
    <t>目的地設定</t>
  </si>
  <si>
    <t>0x00e1c954</t>
  </si>
  <si>
    <t>ポーズメニュー</t>
  </si>
  <si>
    <t>0x00e1c964</t>
  </si>
  <si>
    <t>マップ</t>
  </si>
  <si>
    <t>0x00e1ca48</t>
  </si>
  <si>
    <t>装備なし</t>
  </si>
  <si>
    <t>0x00e1ca68</t>
  </si>
  <si>
    <t>%d％</t>
  </si>
  <si>
    <t>0x00e1ca74</t>
  </si>
  <si>
    <t>階</t>
  </si>
  <si>
    <t>0x00e1ca80</t>
  </si>
  <si>
    <t>アイテムを倉庫に送りました。</t>
  </si>
  <si>
    <t>0x00e1caa0</t>
  </si>
  <si>
    <t>一部のアイテムは個数が限界のため送れませんでした。</t>
  </si>
  <si>
    <t>0x00e1cad8</t>
  </si>
  <si>
    <t>武器の倉庫に空きがありません。整理をして下さい。</t>
  </si>
  <si>
    <t>0x00e1cb20</t>
  </si>
  <si>
    <t>0x00e1cb28</t>
  </si>
  <si>
    <t>&lt;Sign:6&gt;や&lt;Sign:4&gt;で能力タブを切り替えられます</t>
  </si>
  <si>
    <t>0x00e1cb58</t>
  </si>
  <si>
    <t>&lt;Sign:6&gt;と&lt;Sign:4&gt;でアイテムと武器を切り替えられます</t>
  </si>
  <si>
    <t>0x00e1cba4</t>
  </si>
  <si>
    <t>野</t>
  </si>
  <si>
    <t>0x00e1cba8</t>
  </si>
  <si>
    <t>町</t>
  </si>
  <si>
    <t>0x00e1cbac</t>
  </si>
  <si>
    <t>街</t>
  </si>
  <si>
    <t>0x00e1cbb0</t>
  </si>
  <si>
    <t>堀</t>
  </si>
  <si>
    <t>0x00e1cbb4</t>
  </si>
  <si>
    <t>0x00e1cbbc</t>
  </si>
  <si>
    <t>&lt;Sign:0&gt;次へ</t>
  </si>
  <si>
    <t>0x00e1cbd4</t>
  </si>
  <si>
    <t>み</t>
  </si>
  <si>
    <t>0x00e1cbdc</t>
  </si>
  <si>
    <t>[n]</t>
  </si>
  <si>
    <t>0x00e1cbe4</t>
  </si>
  <si>
    <t>必須</t>
  </si>
  <si>
    <t>0x00e1cbec</t>
  </si>
  <si>
    <t>ケア</t>
  </si>
  <si>
    <t>0x00e1cbf4</t>
  </si>
  <si>
    <t>ミッション</t>
  </si>
  <si>
    <t>0x00e1cc14</t>
  </si>
  <si>
    <t>ADV</t>
  </si>
  <si>
    <t>0x00e1cc1c</t>
  </si>
  <si>
    <t>BTL</t>
  </si>
  <si>
    <t>0x00e1cc24</t>
  </si>
  <si>
    <t>E</t>
  </si>
  <si>
    <t>0x00e1cc44</t>
  </si>
  <si>
    <t>野盗</t>
  </si>
  <si>
    <t>0x00e1cc4c</t>
  </si>
  <si>
    <t>無法者</t>
  </si>
  <si>
    <t>0x00e1cc54</t>
  </si>
  <si>
    <t>ならず者</t>
  </si>
  <si>
    <t>0x00e1cc64</t>
  </si>
  <si>
    <t>黄金衆</t>
  </si>
  <si>
    <t>0x00e1cc6c</t>
  </si>
  <si>
    <t>御陵衛士</t>
  </si>
  <si>
    <t>0x00e1cc7c</t>
  </si>
  <si>
    <t>新選組</t>
  </si>
  <si>
    <t>0x00e1cc84</t>
  </si>
  <si>
    <t>京都見廻組</t>
  </si>
  <si>
    <t>0x00e1ccb8</t>
  </si>
  <si>
    <t>再開</t>
  </si>
  <si>
    <t>0x00e1ccc8</t>
  </si>
  <si>
    <t>スキップ</t>
  </si>
  <si>
    <t>0x00e1cce0</t>
  </si>
  <si>
    <t>メニューへ</t>
  </si>
  <si>
    <t>0x00e1ccf8</t>
  </si>
  <si>
    <t>最大連撃数</t>
  </si>
  <si>
    <t>0x00e1cd08</t>
  </si>
  <si>
    <t>数</t>
  </si>
  <si>
    <t>0x00e1cd14</t>
  </si>
  <si>
    <t>0x00e1cd1c</t>
  </si>
  <si>
    <t>ジ</t>
  </si>
  <si>
    <t>0x00e1cd24</t>
  </si>
  <si>
    <t>ン</t>
  </si>
  <si>
    <t>0x00e1cd30</t>
  </si>
  <si>
    <t>ヒートアクション</t>
  </si>
  <si>
    <t>0x00e1cd48</t>
  </si>
  <si>
    <t>破</t>
  </si>
  <si>
    <t>0x00e1cd54</t>
  </si>
  <si>
    <t>何も入っていなかった</t>
  </si>
  <si>
    <t>0x00e1cd74</t>
  </si>
  <si>
    <t>持ち物を使用しますか？</t>
  </si>
  <si>
    <t>0x00e1cd8c</t>
  </si>
  <si>
    <t>持ち物を捨てますか？</t>
  </si>
  <si>
    <t>0x00e1cda4</t>
  </si>
  <si>
    <t>セーブしますか？</t>
  </si>
  <si>
    <t>0x00e1cdbc</t>
  </si>
  <si>
    <t>難易度を一時的に初級にしますか？</t>
  </si>
  <si>
    <t>0x00e1cde4</t>
  </si>
  <si>
    <t>本当に初級にしてもよろしいですか？</t>
  </si>
  <si>
    <t>0x00e1ce0c</t>
  </si>
  <si>
    <t>所持武器リストに空きがありません。[n]アイテムボックスに移動する武器を選択してください。</t>
  </si>
  <si>
    <t>0x00e1ce64</t>
  </si>
  <si>
    <t>アイテムリストに空きがありません。[n]アイテムボックスに移動するアイテムを選択してください。</t>
  </si>
  <si>
    <t>0x00e1cec4</t>
  </si>
  <si>
    <t>アイテムを選択していませんがよろしいですか？</t>
  </si>
  <si>
    <t>0x00e1cef4</t>
  </si>
  <si>
    <t>本当によろしいですか？</t>
  </si>
  <si>
    <t>0x00e1cf0c</t>
  </si>
  <si>
    <t>アイテム整理を完了しますか？</t>
  </si>
  <si>
    <t>0x00e1cf2c</t>
  </si>
  <si>
    <t>目的地を設定しますか？</t>
  </si>
  <si>
    <t>0x00e1cf44</t>
  </si>
  <si>
    <t>目的地を解除しますか？</t>
  </si>
  <si>
    <t>0x00e1cf5c</t>
  </si>
  <si>
    <t>タイトルへ戻りますか？</t>
  </si>
  <si>
    <t>0x00e1cf74</t>
  </si>
  <si>
    <t>中断しますか？</t>
  </si>
  <si>
    <t>0x00e1cf84</t>
  </si>
  <si>
    <t>セーブしていないデータは消えてしまいますが、[n]本当によろしいですか？</t>
  </si>
  <si>
    <t>0x00e1cfcc</t>
  </si>
  <si>
    <t>本当に中断してもよろしいですか？</t>
  </si>
  <si>
    <t>0x00e1cff4</t>
  </si>
  <si>
    <t>この称号でよろしいですか？</t>
  </si>
  <si>
    <t>0x00e1d014</t>
  </si>
  <si>
    <t>注文依頼を中止します。よろしいですか？[n]（渡した品物は取り消されます）</t>
  </si>
  <si>
    <t>0x00e1d05c</t>
  </si>
  <si>
    <t>将棋は一勝負５点です。[n]　支払いますか？</t>
  </si>
  <si>
    <t>0x00e1d084</t>
  </si>
  <si>
    <t>PlayStationVita側のセーブデータを[n]サーバー上にアップロードして、[n]上書き保存してもよろしいですか？</t>
  </si>
  <si>
    <t>0x00e1d0ec</t>
  </si>
  <si>
    <t>PlayStationVita側のセーブデータを[n]サーバー上のセーブデータで[n]上書き保存してもよろしいですか？</t>
  </si>
  <si>
    <t>0x00e1d14c</t>
  </si>
  <si>
    <t>PlayStation3側のセーブデータを[n]サーバー上にアップロードして、[n]上書き保存してもよろしいですか？</t>
  </si>
  <si>
    <t>0x00e1d1ac</t>
  </si>
  <si>
    <t>PlayStation4側のセーブデータを[n]サーバー上にアップロードして、[n]上書き保存してもよろしいですか？</t>
  </si>
  <si>
    <t>0x00e1d20c</t>
  </si>
  <si>
    <t>サーバー側のセーブデータの方が主人公の[n]レベル（経験値）が高いですが、このまま本当に[n]アップロードして上書き保存してもよろしいですか？</t>
  </si>
  <si>
    <t>0x00e1d294</t>
  </si>
  <si>
    <t>サーバー側のセーブデータの方が[n]総プレイ時間が長いですが、このまま本当に[n]アップロードして上書き保存してもよろしいですか？</t>
  </si>
  <si>
    <t>0x00e1d314</t>
  </si>
  <si>
    <t>サーバー側のセーブデータの方が主人公の[n]レベル（経験値）が低いですが、このまま本当に[n]ダウンロードして上書き保存してもよろしいですか？</t>
  </si>
  <si>
    <t>0x00e1d39c</t>
  </si>
  <si>
    <t>サーバー側のセーブデータの方が[n]総プレイ時間が短いですが、このまま本当に[n]ダウンロードして上書き保存してもよろしいですか？</t>
  </si>
  <si>
    <t>0x00e1d41c</t>
  </si>
  <si>
    <t>連戦しますか？</t>
  </si>
  <si>
    <t>0x00e1d42c</t>
  </si>
  <si>
    <t>薪割りを終了しますか？</t>
  </si>
  <si>
    <t>0x00e1d444</t>
  </si>
  <si>
    <t>かかし屋敷をやめますか？</t>
  </si>
  <si>
    <t>0x00e1d464</t>
  </si>
  <si>
    <t>体力は全回復されていますが、使用しますか？</t>
  </si>
  <si>
    <t>0x00e1d494</t>
  </si>
  <si>
    <t>ヒートは全回復されていますが、使用しますか？</t>
  </si>
  <si>
    <t>0x00e1d4c4</t>
  </si>
  <si>
    <t>体力とヒートは全回復されていますが、使用しますか？</t>
  </si>
  <si>
    <t>0x00e1d4fc</t>
  </si>
  <si>
    <t>メインメニューへ戻りますか？</t>
  </si>
  <si>
    <t>0x00e1d51c</t>
  </si>
  <si>
    <t>屯所に戻りますか？</t>
  </si>
  <si>
    <t>0x00e1d534</t>
  </si>
  <si>
    <t>かかし屋敷メニューに戻りますか？</t>
  </si>
  <si>
    <t>0x00e1d55c</t>
  </si>
  <si>
    <t>究極闘技メニューに戻りますか？</t>
  </si>
  <si>
    <t>0x00e1d57c</t>
  </si>
  <si>
    <t>このニックネームでよろしいですか？</t>
  </si>
  <si>
    <t>0x00e1d5a8</t>
  </si>
  <si>
    <t>今は使う必要がありません。</t>
  </si>
  <si>
    <t>0x00e1d5c8</t>
  </si>
  <si>
    <t>ここでは使えません。</t>
  </si>
  <si>
    <t>0x00e1d5e0</t>
  </si>
  <si>
    <t>これは捨てられません。</t>
  </si>
  <si>
    <t>0x00e1d5f8</t>
  </si>
  <si>
    <t>装備中なので捨てられません。</t>
  </si>
  <si>
    <t>0x00e1d618</t>
  </si>
  <si>
    <t>この主人公では装備できません。</t>
  </si>
  <si>
    <t>0x00e1d638</t>
  </si>
  <si>
    <t>アイテムボックスの個数が限界です。</t>
  </si>
  <si>
    <t>0x00e1d660</t>
  </si>
  <si>
    <t>通常武器は空にして下さい。</t>
  </si>
  <si>
    <t>0x00e1d680</t>
  </si>
  <si>
    <t>装備スキルがありません。</t>
  </si>
  <si>
    <t>0x00e1d6a0</t>
  </si>
  <si>
    <t>は使用出来ません。</t>
  </si>
  <si>
    <t>0x00e1d6b8</t>
  </si>
  <si>
    <t>権利が無いため装備することが出来ません。</t>
  </si>
  <si>
    <t>0x00e1d6e8</t>
  </si>
  <si>
    <t>装備を変更できません。</t>
  </si>
  <si>
    <t>0x00e1d700</t>
  </si>
  <si>
    <t>これは移動できません。</t>
  </si>
  <si>
    <t>0x00e1d718</t>
  </si>
  <si>
    <t>アップロードが無事に完了しました。</t>
  </si>
  <si>
    <t>0x00e1d740</t>
  </si>
  <si>
    <t>ダウンロードが無事に完了しました。</t>
  </si>
  <si>
    <t>0x00e1d768</t>
  </si>
  <si>
    <t>ダウンロードできませんでした。[n]サーバーにセーブデータが[n]アップロードされていません。</t>
  </si>
  <si>
    <t>0x00e1d7c0</t>
  </si>
  <si>
    <t>アップロード中です。[n]電源を切らないようにしてください。[n]データが破損する可能性があります。</t>
  </si>
  <si>
    <t>0x00e1d820</t>
  </si>
  <si>
    <t>ダウンロード中です。[n]電源を切らないようにしてください。[n]データが破損する可能性があります。</t>
  </si>
  <si>
    <t>0x00e1d880</t>
  </si>
  <si>
    <t>通信が切断されたため[n]アップロードに失敗しました。</t>
  </si>
  <si>
    <t>0x00e1d8b8</t>
  </si>
  <si>
    <t>通信が切断されたため[n]ダウンロードに失敗しました。</t>
  </si>
  <si>
    <t>0x00e1d8f0</t>
  </si>
  <si>
    <t>ポイントが足りません。</t>
  </si>
  <si>
    <t>0x00e1d908</t>
  </si>
  <si>
    <t>前回、通信対戦の途中で切断されてしまったため[n]%sの番付得点から、%s点減点されました。[n]以下のような点に気をつけて、遊ぶようにして下さい。[n]・できるだけ通信状況のいい環境でプレイして下さい。[n]・充電池切れや誤操作による電源切れに注意して下さい。[n]・意図的に電源や通信を切らないようにして下さい。</t>
  </si>
  <si>
    <t>0x00e1da28</t>
  </si>
  <si>
    <t>「PSN」からサインアウトしました。[n]　アップロードを使用できません。</t>
  </si>
  <si>
    <t>0x00e1da70</t>
  </si>
  <si>
    <t>「PSN」からサインアウトしました。[n]　ダウンロードを使用できません。</t>
  </si>
  <si>
    <t>0x00e1dab8</t>
  </si>
  <si>
    <t>サーバーデータを確認中です。[n]電源を切らないようにしてください。[n]データが破損する可能性があります。</t>
  </si>
  <si>
    <t>0x00e1db20</t>
  </si>
  <si>
    <t>通信をキャンセルしました。</t>
  </si>
  <si>
    <t>0x00e1dba8</t>
  </si>
  <si>
    <t>報酬</t>
  </si>
  <si>
    <t>0x00e1dbb8</t>
  </si>
  <si>
    <t>属性弾を装填</t>
  </si>
  <si>
    <t>0x00e1dbc8</t>
  </si>
  <si>
    <t>解除</t>
  </si>
  <si>
    <t>0x00e1dbdc</t>
  </si>
  <si>
    <t>バトル中は難易度を変更することができません。</t>
  </si>
  <si>
    <t>0x00e1dc14</t>
  </si>
  <si>
    <t>前回、通信対戦の途中で切断されてしまったため[n]%sの番付得点から、%d点減点されました。[n]以下のような点に気をつけて、遊ぶようにして下さい。</t>
  </si>
  <si>
    <t>0x00e1dcb0</t>
  </si>
  <si>
    <t>・できるだけ通信状況のいい環境でプレイして下さい。[n]・誤操作による電源切れや通信切断に注意して下さい。[n]・意図的に電源や通信を切らないようにして下さい。</t>
  </si>
  <si>
    <t>0x00e1dd50</t>
  </si>
  <si>
    <t>おいちょかぶ</t>
  </si>
  <si>
    <t>0x00e1dd78</t>
  </si>
  <si>
    <t>今隠れても見つかってしまう！</t>
  </si>
  <si>
    <t>0x00e1dda0</t>
  </si>
  <si>
    <t>アナザーライフ</t>
  </si>
  <si>
    <t>0x00e1ddb4</t>
  </si>
  <si>
    <t>STARTボタン</t>
  </si>
  <si>
    <t>0x00e1ddc8</t>
  </si>
  <si>
    <t>0x00e1ddd0</t>
  </si>
  <si>
    <t>0x00e1dde4</t>
  </si>
  <si>
    <t>作付計画を立てる</t>
  </si>
  <si>
    <t>0x00e1ddfc</t>
  </si>
  <si>
    <t>一括収穫する</t>
  </si>
  <si>
    <t>0x00e1de0c</t>
  </si>
  <si>
    <t>肥やしを撒く</t>
  </si>
  <si>
    <t>0x00e1de1c</t>
  </si>
  <si>
    <t>作付計画リセット</t>
  </si>
  <si>
    <t>0x00e1de48</t>
  </si>
  <si>
    <t>作付計画をリセットしますか？</t>
  </si>
  <si>
    <t>0x00e1de70</t>
  </si>
  <si>
    <t>作付計画がリセットされますがよろしいですか？</t>
  </si>
  <si>
    <t>0x00e1dea8</t>
  </si>
  <si>
    <t>0x00e1deac</t>
  </si>
  <si>
    <t>岡っ引きかかし</t>
  </si>
  <si>
    <t>0x00e1debc</t>
  </si>
  <si>
    <t>町奉行かかし</t>
  </si>
  <si>
    <t>0x00e1decc</t>
  </si>
  <si>
    <t>老中かかし</t>
  </si>
  <si>
    <t>0x00e1dedc</t>
  </si>
  <si>
    <t>将軍かかし</t>
  </si>
  <si>
    <t>0x00e1df04</t>
  </si>
  <si>
    <t>食害をちょっとだけ防ぐかかし。</t>
  </si>
  <si>
    <t>0x00e1df24</t>
  </si>
  <si>
    <t>少しだけ食害を防ぐかかし。</t>
  </si>
  <si>
    <t>0x00e1df44</t>
  </si>
  <si>
    <t>ある程度食害を防ぐかかし。</t>
  </si>
  <si>
    <t>0x00e1df64</t>
  </si>
  <si>
    <t>かなり食害を防いでくれる[n]かかし。</t>
  </si>
  <si>
    <t>0x00e1df8c</t>
  </si>
  <si>
    <t>完璧に食害を防ぐ最強かかし。</t>
  </si>
  <si>
    <t>0x00e1dfc4</t>
  </si>
  <si>
    <t>作付面積</t>
  </si>
  <si>
    <t>0x00e1dfd4</t>
  </si>
  <si>
    <t>栽培速度</t>
  </si>
  <si>
    <t>0x00e1dfe4</t>
  </si>
  <si>
    <t>豊作確率</t>
  </si>
  <si>
    <t>0x00e1e004</t>
  </si>
  <si>
    <t>作付</t>
  </si>
  <si>
    <t>0x00e1e01c</t>
  </si>
  <si>
    <t>置く</t>
  </si>
  <si>
    <t>0x00e1e02c</t>
  </si>
  <si>
    <t>す</t>
  </si>
  <si>
    <t>0x00e1e034</t>
  </si>
  <si>
    <t>削除</t>
  </si>
  <si>
    <t>0x00e1e044</t>
  </si>
  <si>
    <t>戻す</t>
  </si>
  <si>
    <t>0x00e1e054</t>
  </si>
  <si>
    <t>取止め</t>
  </si>
  <si>
    <t>0x00e1e064</t>
  </si>
  <si>
    <t>必要区画</t>
  </si>
  <si>
    <t>0x00e1e074</t>
  </si>
  <si>
    <t>収穫期待数</t>
  </si>
  <si>
    <t>0x00e1e094</t>
  </si>
  <si>
    <t>普通</t>
  </si>
  <si>
    <t>0x00e1e09c</t>
  </si>
  <si>
    <t>速い</t>
  </si>
  <si>
    <t>0x00e1e0a4</t>
  </si>
  <si>
    <t>遅い</t>
  </si>
  <si>
    <t>0x00e1e0bc</t>
  </si>
  <si>
    <t>害獣の被害にあった…</t>
  </si>
  <si>
    <t>0x00e1e0dc</t>
  </si>
  <si>
    <t>収穫できる作物がありません。</t>
  </si>
  <si>
    <t>0x00e1e104</t>
  </si>
  <si>
    <t>%s %d%s収穫した！</t>
  </si>
  <si>
    <t>0x00e1e124</t>
  </si>
  <si>
    <t>%s %d%sか……[n]%d%s食われてしまったな……</t>
  </si>
  <si>
    <t>0x00e1e154</t>
  </si>
  <si>
    <t>%s %d%sか、まずまずだな……</t>
  </si>
  <si>
    <t>0x00e1e174</t>
  </si>
  <si>
    <t>%s %d%s！豊作だな。</t>
  </si>
  <si>
    <t>0x00e1e18c</t>
  </si>
  <si>
    <t>なんと%s %d%s！大豊作だな。</t>
  </si>
  <si>
    <t>0x00e1e1bc</t>
  </si>
  <si>
    <t>%sを撒きますか？[n]（所持数%d%s）</t>
  </si>
  <si>
    <t>0x00e1e1dc</t>
  </si>
  <si>
    <t>%sがありません。</t>
  </si>
  <si>
    <t>0x00e1e1f4</t>
  </si>
  <si>
    <t>撒いたばかりなので今は使えません。</t>
  </si>
  <si>
    <t>0x00e1e22c</t>
  </si>
  <si>
    <t>気まぐれ作付</t>
  </si>
  <si>
    <t>0x00e1e244</t>
  </si>
  <si>
    <t>100％</t>
  </si>
  <si>
    <t>0x00e1e24c</t>
  </si>
  <si>
    <t>110％</t>
  </si>
  <si>
    <t>0x00e1e254</t>
  </si>
  <si>
    <t>120％</t>
  </si>
  <si>
    <t>0x00e1e25c</t>
  </si>
  <si>
    <t>130％</t>
  </si>
  <si>
    <t>0x00e1e264</t>
  </si>
  <si>
    <t>150％</t>
  </si>
  <si>
    <t>0x00e1e284</t>
  </si>
  <si>
    <t>+5％</t>
  </si>
  <si>
    <t>0x00e1e28c</t>
  </si>
  <si>
    <t>+10％</t>
  </si>
  <si>
    <t>0x00e1e294</t>
  </si>
  <si>
    <t>+15％</t>
  </si>
  <si>
    <t>0x00e1e29c</t>
  </si>
  <si>
    <t>+20％</t>
  </si>
  <si>
    <t>0x00e1e2a4</t>
  </si>
  <si>
    <t>+30％</t>
  </si>
  <si>
    <t>0x00e1e2c4</t>
  </si>
  <si>
    <t>5×2</t>
  </si>
  <si>
    <t>0x00e1e2cc</t>
  </si>
  <si>
    <t>5×4</t>
  </si>
  <si>
    <t>0x00e1e2d4</t>
  </si>
  <si>
    <t>5×6</t>
  </si>
  <si>
    <t>0x00e1e2dc</t>
  </si>
  <si>
    <t>5×8</t>
  </si>
  <si>
    <t>0x00e1e2e4</t>
  </si>
  <si>
    <t>5×10</t>
  </si>
  <si>
    <t>0x00e1e304</t>
  </si>
  <si>
    <t>セーブ</t>
  </si>
  <si>
    <t>0x00e1e30c</t>
  </si>
  <si>
    <t>動</t>
  </si>
  <si>
    <t>0x00e1e31c</t>
  </si>
  <si>
    <t>0x00e1e324</t>
  </si>
  <si>
    <t>0x00e1e328</t>
  </si>
  <si>
    <t>グ</t>
  </si>
  <si>
    <t>0x00e1e34c</t>
  </si>
  <si>
    <t>0x00e1e354</t>
  </si>
  <si>
    <t>0x00e1e358</t>
  </si>
  <si>
    <t>0x00e1e360</t>
  </si>
  <si>
    <t>0x00e1e368</t>
  </si>
  <si>
    <t>0x00e1e370</t>
  </si>
  <si>
    <t>0x00e1e378</t>
  </si>
  <si>
    <t>0x00e1e390</t>
  </si>
  <si>
    <t>＋</t>
  </si>
  <si>
    <t>0x00e1e3a0</t>
  </si>
  <si>
    <t>＝</t>
  </si>
  <si>
    <t>0x00e1e3b0</t>
  </si>
  <si>
    <t>J</t>
  </si>
  <si>
    <t>0x00e1e3b8</t>
  </si>
  <si>
    <t>Q</t>
  </si>
  <si>
    <t>0x00e1e3c0</t>
  </si>
  <si>
    <t>K</t>
  </si>
  <si>
    <t>0x00e1e3d8</t>
  </si>
  <si>
    <t>合計</t>
  </si>
  <si>
    <t>0x00e1e3e4</t>
  </si>
  <si>
    <t>ババ</t>
  </si>
  <si>
    <t>0x00e1e3f4</t>
  </si>
  <si>
    <t>今日も遊んでくれて、どうもありがとうございます。[n]ご褒美の賭け点を手に入れましょう！</t>
  </si>
  <si>
    <t>0x00e1e44c</t>
  </si>
  <si>
    <t>好きな札を選んで、めくっていってください。[n]ババをめくってしまうと、そこでゲーム終了です。</t>
  </si>
  <si>
    <t>0x00e1e4ac</t>
  </si>
  <si>
    <t>「%s」の札だったので、%d点加算です。[n]次の札を選んでください。</t>
  </si>
  <si>
    <t>0x00e1e4ec</t>
  </si>
  <si>
    <t>いきなりババをめくってしまいました！[n]残念ですが、1枚目でゲーム終了です。</t>
  </si>
  <si>
    <t>0x00e1e53c</t>
  </si>
  <si>
    <t>残念でした。[n]ババをめくったので、ここでゲーム終了です。</t>
  </si>
  <si>
    <t>0x00e1e574</t>
  </si>
  <si>
    <t>おめでとうございます！[n]最後までババをめくらずに終わりました！</t>
  </si>
  <si>
    <t>0x00e1e5d0</t>
  </si>
  <si>
    <t>残念無念報酬</t>
  </si>
  <si>
    <t>0x00e1e5e0</t>
  </si>
  <si>
    <t>%d枚成功報酬</t>
  </si>
  <si>
    <t>0x00e1e5f0</t>
  </si>
  <si>
    <t>完璧達成報酬</t>
  </si>
  <si>
    <t>0x00e1e610</t>
  </si>
  <si>
    <t>%d枚目をめくれ！</t>
  </si>
  <si>
    <t>0x00e1e628</t>
  </si>
  <si>
    <t>%d枚目で失敗……</t>
  </si>
  <si>
    <t>0x00e1e640</t>
  </si>
  <si>
    <t>大成功！</t>
  </si>
  <si>
    <t>0x00e1e668</t>
  </si>
  <si>
    <t>書</t>
  </si>
  <si>
    <t>0x00e1e66c</t>
  </si>
  <si>
    <t>金</t>
  </si>
  <si>
    <t>0x00e1e68c</t>
  </si>
  <si>
    <t>~)</t>
  </si>
  <si>
    <t>0x00e1e698</t>
  </si>
  <si>
    <t>0x00e1e6a0</t>
  </si>
  <si>
    <t>0x00e1e6a8</t>
  </si>
  <si>
    <t>む</t>
  </si>
  <si>
    <t>0x00e1e6b8</t>
  </si>
  <si>
    <t>う</t>
  </si>
  <si>
    <t>0x00e1e6c8</t>
  </si>
  <si>
    <t>プ</t>
  </si>
  <si>
    <t>0x00e1e6d4</t>
  </si>
  <si>
    <t>0x00e1e6e4</t>
  </si>
  <si>
    <t>0x00e1e6f0</t>
  </si>
  <si>
    <t>0x00e1e704</t>
  </si>
  <si>
    <t>0x00e1e720</t>
  </si>
  <si>
    <t>法</t>
  </si>
  <si>
    <t>0x00e1e728</t>
  </si>
  <si>
    <t>0x00e1e734</t>
  </si>
  <si>
    <t>BET</t>
  </si>
  <si>
    <t>0x00e1e73c</t>
  </si>
  <si>
    <t>T</t>
  </si>
  <si>
    <t>0x00e1e748</t>
  </si>
  <si>
    <t>D</t>
  </si>
  <si>
    <t>0x00e1e74c</t>
  </si>
  <si>
    <t>WN</t>
  </si>
  <si>
    <t>0x00e1e754</t>
  </si>
  <si>
    <t>0x00e1e758</t>
  </si>
  <si>
    <t>R</t>
  </si>
  <si>
    <t>0x00e1e768</t>
  </si>
  <si>
    <t>ｵ</t>
  </si>
  <si>
    <t>0x00e1e770</t>
  </si>
  <si>
    <t>0x00e1e778</t>
  </si>
  <si>
    <t>0x00e1e78c</t>
  </si>
  <si>
    <t>0x00e1e798</t>
  </si>
  <si>
    <t>0x00e1e7a0</t>
  </si>
  <si>
    <t>やめる</t>
  </si>
  <si>
    <t>0x00e1e7ac</t>
  </si>
  <si>
    <t>0x00e1e7b4</t>
  </si>
  <si>
    <t>配当</t>
  </si>
  <si>
    <t>0x00e1e7bc</t>
  </si>
  <si>
    <t>獲得</t>
  </si>
  <si>
    <t>0x00e1e7d8</t>
  </si>
  <si>
    <t>0x00e1e7dc</t>
  </si>
  <si>
    <t>0x00e1e7e0</t>
  </si>
  <si>
    <t>0x00e1e800</t>
  </si>
  <si>
    <t>0x00e1e80c</t>
  </si>
  <si>
    <t>0x00e1e814</t>
  </si>
  <si>
    <t>覧</t>
  </si>
  <si>
    <t>0x00e1e824</t>
  </si>
  <si>
    <t>ハ</t>
  </si>
  <si>
    <t>0x00e1e82c</t>
  </si>
  <si>
    <t>ム</t>
  </si>
  <si>
    <t>0x00e1e834</t>
  </si>
  <si>
    <t>0x00e1e848</t>
  </si>
  <si>
    <t>テキサスホールデム</t>
  </si>
  <si>
    <t>0x00e1e860</t>
  </si>
  <si>
    <t>パイナップルホールデム</t>
  </si>
  <si>
    <t>0x00e1e878</t>
  </si>
  <si>
    <t>オマハホールデム</t>
  </si>
  <si>
    <t>0x00e1e890</t>
  </si>
  <si>
    <t>試遊練習</t>
  </si>
  <si>
    <t>0x00e1e8b4</t>
  </si>
  <si>
    <t>最初に２枚配られて[n]手札２枚と共有札５枚から[n]任意の５枚を使って、役を作り、勝負します。</t>
  </si>
  <si>
    <t>0x00e1e90c</t>
  </si>
  <si>
    <t>最初に３枚配られて、そこから不要な１枚を捨て[n]手札２枚と共有札５枚から[n]任意の５枚を使って、役を作り、勝負します。</t>
  </si>
  <si>
    <t>0x00e1e984</t>
  </si>
  <si>
    <t>最初に４枚配られて、手札４札と共有札５枚から[n]任意の手札２枚と共有札３枚を使って[n]役を作り、勝負します。</t>
  </si>
  <si>
    <t>0x00e1e9ec</t>
  </si>
  <si>
    <t>各ポーカーゲームの遊び方を[n]実際のプレイも交えて、練習します。</t>
  </si>
  <si>
    <t>0x00e1ea40</t>
  </si>
  <si>
    <t>テキサス試遊練習</t>
  </si>
  <si>
    <t>0x00e1ea58</t>
  </si>
  <si>
    <t>パイナップル試遊練習</t>
  </si>
  <si>
    <t>0x00e1ea70</t>
  </si>
  <si>
    <t>オマハ試遊練習</t>
  </si>
  <si>
    <t>0x00e1ea90</t>
  </si>
  <si>
    <t>テキサスホールデムの遊び方を[n]実際のプレイも交えて、練習します。</t>
  </si>
  <si>
    <t>0x00e1ead0</t>
  </si>
  <si>
    <t>パイナップルホールデムの遊び方を[n]実際のプレイも交えて、練習します。</t>
  </si>
  <si>
    <t>0x00e1eb18</t>
  </si>
  <si>
    <t>オマハホールデムの遊び方を[n]実際のプレイも交えて、練習します。</t>
  </si>
  <si>
    <t>0x00e1eb68</t>
  </si>
  <si>
    <t>真剣勝負だ！</t>
  </si>
  <si>
    <t>0x00e1eb78</t>
  </si>
  <si>
    <t>運がいいね</t>
  </si>
  <si>
    <t>0x00e1eb88</t>
  </si>
  <si>
    <t>早くしてよ</t>
  </si>
  <si>
    <t>0x00e1eb98</t>
  </si>
  <si>
    <t>ガッカリ…</t>
  </si>
  <si>
    <t>0x00e1eba8</t>
  </si>
  <si>
    <t>まさか…!?</t>
  </si>
  <si>
    <t>0x00e1ebb8</t>
  </si>
  <si>
    <t>ダメだ、こりゃ！</t>
  </si>
  <si>
    <t>0x00e1ebd0</t>
  </si>
  <si>
    <t>バラバラだよ…</t>
  </si>
  <si>
    <t>0x00e1ebe0</t>
  </si>
  <si>
    <t>これじゃ勝てないか…</t>
  </si>
  <si>
    <t>0x00e1ebf8</t>
  </si>
  <si>
    <t>これは勝ち確定かも…</t>
  </si>
  <si>
    <t>0x00e1ec10</t>
  </si>
  <si>
    <t>もっと上げるよ！</t>
  </si>
  <si>
    <t>0x00e1ec28</t>
  </si>
  <si>
    <t>付き合ってみるか…</t>
  </si>
  <si>
    <t>0x00e1ec40</t>
  </si>
  <si>
    <t>降りようかな…</t>
  </si>
  <si>
    <t>0x00e1ec50</t>
  </si>
  <si>
    <t>この勝負は降りる…</t>
  </si>
  <si>
    <t>0x00e1ec68</t>
  </si>
  <si>
    <t>あははははは！</t>
  </si>
  <si>
    <t>0x00e1ec78</t>
  </si>
  <si>
    <t>メラメラ！（怒）</t>
  </si>
  <si>
    <t>0x00e1ec90</t>
  </si>
  <si>
    <t>しくしく…（涙）</t>
  </si>
  <si>
    <t>0x00e1eca8</t>
  </si>
  <si>
    <t>ドキドキ…</t>
  </si>
  <si>
    <t>0x00e1ecb8</t>
  </si>
  <si>
    <t>わーい♪</t>
  </si>
  <si>
    <t>0x00e1ecc8</t>
  </si>
  <si>
    <t>やられた！</t>
  </si>
  <si>
    <t>0x00e1ecd8</t>
  </si>
  <si>
    <t>絶好調！</t>
  </si>
  <si>
    <t>0x00e1ece8</t>
  </si>
  <si>
    <t>失敗したなぁ…</t>
  </si>
  <si>
    <t>0x00e1ecf8</t>
  </si>
  <si>
    <t>おつかれさま！</t>
  </si>
  <si>
    <t>0x00e1ed08</t>
  </si>
  <si>
    <t>楽しかった〜！</t>
  </si>
  <si>
    <t>0x00e1ed18</t>
  </si>
  <si>
    <t>くやしいなぁ…</t>
  </si>
  <si>
    <t>0x00e1ed28</t>
  </si>
  <si>
    <t>次こそは勝つ！</t>
  </si>
  <si>
    <t>0x00e1edc0</t>
  </si>
  <si>
    <t>あと</t>
  </si>
  <si>
    <t>0x00e1edcc</t>
  </si>
  <si>
    <t>0x00e1edd4</t>
  </si>
  <si>
    <t>１</t>
  </si>
  <si>
    <t>0x00e1eddc</t>
  </si>
  <si>
    <t>２</t>
  </si>
  <si>
    <t>0x00e1ede4</t>
  </si>
  <si>
    <t>３</t>
  </si>
  <si>
    <t>0x00e1edec</t>
  </si>
  <si>
    <t>４</t>
  </si>
  <si>
    <t>0x00e1edf4</t>
  </si>
  <si>
    <t>５</t>
  </si>
  <si>
    <t>0x00e1edfc</t>
  </si>
  <si>
    <t>６</t>
  </si>
  <si>
    <t>0x00e1ee04</t>
  </si>
  <si>
    <t>７</t>
  </si>
  <si>
    <t>0x00e1ee0c</t>
  </si>
  <si>
    <t>８</t>
  </si>
  <si>
    <t>0x00e1ee14</t>
  </si>
  <si>
    <t>９</t>
  </si>
  <si>
    <t>0x00e1ee48</t>
  </si>
  <si>
    <t>0x00e1ee58</t>
  </si>
  <si>
    <t>未勝利</t>
  </si>
  <si>
    <t>0x00e1ee68</t>
  </si>
  <si>
    <t>勝利</t>
  </si>
  <si>
    <t>0x00e1ee78</t>
  </si>
  <si>
    <t>エレキナマズ</t>
  </si>
  <si>
    <t>0x00e1ee88</t>
  </si>
  <si>
    <t>サケ</t>
  </si>
  <si>
    <t>0x00e1ee90</t>
  </si>
  <si>
    <t>スッポン</t>
  </si>
  <si>
    <t>0x00e1eea0</t>
  </si>
  <si>
    <t>ウナギ</t>
  </si>
  <si>
    <t>0x00e1eea8</t>
  </si>
  <si>
    <t>アユ</t>
  </si>
  <si>
    <t>0x00e1eeec</t>
  </si>
  <si>
    <t>マダイ</t>
  </si>
  <si>
    <t>0x00e1eef4</t>
  </si>
  <si>
    <t>クルマエビ</t>
  </si>
  <si>
    <t>0x00e1ef04</t>
  </si>
  <si>
    <t>0x00e1ef0c</t>
  </si>
  <si>
    <t>トラフグ</t>
  </si>
  <si>
    <t>0x00e1ef1c</t>
  </si>
  <si>
    <t>シラス</t>
  </si>
  <si>
    <t>0x00e1ef6c</t>
  </si>
  <si>
    <t>初釣丸</t>
  </si>
  <si>
    <t>0x00e1ef74</t>
  </si>
  <si>
    <t>淡水丸</t>
  </si>
  <si>
    <t>0x00e1ef7c</t>
  </si>
  <si>
    <t>釣大河</t>
  </si>
  <si>
    <t>0x00e1ef84</t>
  </si>
  <si>
    <t>海丸</t>
  </si>
  <si>
    <t>0x00e1ef8c</t>
  </si>
  <si>
    <t>大海王</t>
  </si>
  <si>
    <t>0x00e1ef94</t>
  </si>
  <si>
    <t>超釣神</t>
  </si>
  <si>
    <t>0x00e1efb8</t>
  </si>
  <si>
    <t>宇治川</t>
  </si>
  <si>
    <t>0x00e1efc0</t>
  </si>
  <si>
    <t>鴨川</t>
  </si>
  <si>
    <t>0x00e1efc8</t>
  </si>
  <si>
    <t>漁礁の磯</t>
  </si>
  <si>
    <t>0x00e1efd8</t>
  </si>
  <si>
    <t>東沖</t>
  </si>
  <si>
    <t>0x00e1eff4</t>
  </si>
  <si>
    <t>撒き餌</t>
  </si>
  <si>
    <t>0x00e1f000</t>
  </si>
  <si>
    <t>投入</t>
  </si>
  <si>
    <t>0x00e1f008</t>
  </si>
  <si>
    <t>釣具</t>
  </si>
  <si>
    <t>0x00e1f024</t>
  </si>
  <si>
    <t>淡水魚食いつき</t>
  </si>
  <si>
    <t>0x00e1f034</t>
  </si>
  <si>
    <t>海水魚食いつき</t>
  </si>
  <si>
    <t>0x00e1f044</t>
  </si>
  <si>
    <t>飛距離</t>
  </si>
  <si>
    <t>0x00e1f04c</t>
  </si>
  <si>
    <t>アタリの感度</t>
  </si>
  <si>
    <t>0x00e1f070</t>
  </si>
  <si>
    <t>海でも川でも使える、初心者用の釣具。[n]性能はあまりよくない。</t>
  </si>
  <si>
    <t>0x00e1f0b0</t>
  </si>
  <si>
    <t>川釣りに適した釣り道具。[n]川魚のアタリがとりやすく、反応も良い。</t>
  </si>
  <si>
    <t>0x00e1f0f0</t>
  </si>
  <si>
    <t>川釣りに最も適した釣り道具。[n]川魚の反応も優れ、アワセるのが簡単。[n]また遠くまで投げられる。</t>
  </si>
  <si>
    <t>0x00e1f150</t>
  </si>
  <si>
    <t>海釣りに適した釣り道具。[n]海魚のアタリがとりやすく、反応も良い。</t>
  </si>
  <si>
    <t>0x00e1f190</t>
  </si>
  <si>
    <t>海釣りに最も適した釣り道具。[n]海魚の反応も優れ、アワセるのが簡単。[n]また遠くまで投げられる。</t>
  </si>
  <si>
    <t>0x00e1f1f0</t>
  </si>
  <si>
    <t>海でも川でも使える最高性能の釣具。[n]魚のアタリの感度も最高。[n]飛距離も最も遠くまで投げられる。</t>
  </si>
  <si>
    <t>0x00e1f274</t>
  </si>
  <si>
    <t>竿を上げる</t>
  </si>
  <si>
    <t>0x00e1f28c</t>
  </si>
  <si>
    <t>アワセる</t>
  </si>
  <si>
    <t>0x00e1f2a4</t>
  </si>
  <si>
    <t>%d尺%d寸</t>
  </si>
  <si>
    <t>0x00e1f2bc</t>
  </si>
  <si>
    <t>高級撒き餌</t>
  </si>
  <si>
    <t>0x00e1f2cc</t>
  </si>
  <si>
    <t>特選撒き餌</t>
  </si>
  <si>
    <t>0x00e1f2dc</t>
  </si>
  <si>
    <t>究極撒き餌</t>
  </si>
  <si>
    <t>0x00e1f308</t>
  </si>
  <si>
    <t>混戦の予感がします。</t>
  </si>
  <si>
    <t>0x00e1f320</t>
  </si>
  <si>
    <t>２強の戦いになりそうです。</t>
  </si>
  <si>
    <t>0x00e1f340</t>
  </si>
  <si>
    <t>さてどんな結末になるでしょうか？</t>
  </si>
  <si>
    <t>0x00e1f378</t>
  </si>
  <si>
    <t>短距離王者がいよいよ決まります。</t>
  </si>
  <si>
    <t>0x00e1f3a8</t>
  </si>
  <si>
    <t>さあ、ここに中距離最強が決まります。</t>
  </si>
  <si>
    <t>0x00e1f3d8</t>
  </si>
  <si>
    <t>長距離で最も強い鳥はどの鳥か？</t>
  </si>
  <si>
    <t>0x00e1f400</t>
  </si>
  <si>
    <t>この競争に勝った鳥は栄光の鶏冠を与えられます。</t>
  </si>
  <si>
    <t>0x00e1f438</t>
  </si>
  <si>
    <t>この競争に勝った鳥は鳳凰と呼ばれます。</t>
  </si>
  <si>
    <t>0x00e1f468</t>
  </si>
  <si>
    <t>日本一の栄冠はどの鳥に輝くのか？[n]鳥の中の鳥がいよいよ決定。</t>
  </si>
  <si>
    <t>0x00e1f4ac</t>
  </si>
  <si>
    <t>急遽特別競走が開催されます。[n]選ばれた２羽による一騎打ち戦です。</t>
  </si>
  <si>
    <t>0x00e1f4f0</t>
  </si>
  <si>
    <t>短距離一般競争</t>
  </si>
  <si>
    <t>0x00e1f500</t>
  </si>
  <si>
    <t>中距離一般競争</t>
  </si>
  <si>
    <t>0x00e1f510</t>
  </si>
  <si>
    <t>長距離一般競争</t>
  </si>
  <si>
    <t>0x00e1f530</t>
  </si>
  <si>
    <t>短距離[n]一般競争</t>
  </si>
  <si>
    <t>0x00e1f540</t>
  </si>
  <si>
    <t>中距離[n]一般競争</t>
  </si>
  <si>
    <t>0x00e1f550</t>
  </si>
  <si>
    <t>長距離[n]一般競争</t>
  </si>
  <si>
    <t>0x00e1f56c</t>
  </si>
  <si>
    <t>%s対%s</t>
  </si>
  <si>
    <t>0x00e1f57c</t>
  </si>
  <si>
    <t>骸短距離王冠前哨戦</t>
  </si>
  <si>
    <t>0x00e1f594</t>
  </si>
  <si>
    <t>骸中距離王冠前哨戦</t>
  </si>
  <si>
    <t>0x00e1f5ac</t>
  </si>
  <si>
    <t>骸長距離王冠前哨戦</t>
  </si>
  <si>
    <t>0x00e1f5c4</t>
  </si>
  <si>
    <t>銀鶏杯</t>
  </si>
  <si>
    <t>0x00e1f5cc</t>
  </si>
  <si>
    <t>金鶏杯</t>
  </si>
  <si>
    <t>0x00e1f5d4</t>
  </si>
  <si>
    <t>鴨川記念</t>
  </si>
  <si>
    <t>0x00e1f5e4</t>
  </si>
  <si>
    <t>骸記念</t>
  </si>
  <si>
    <t>0x00e1f5ec</t>
  </si>
  <si>
    <t>骸短距離王冠</t>
  </si>
  <si>
    <t>0x00e1f5fc</t>
  </si>
  <si>
    <t>骸中距離王冠</t>
  </si>
  <si>
    <t>0x00e1f60c</t>
  </si>
  <si>
    <t>骸長距離王冠</t>
  </si>
  <si>
    <t>0x00e1f61c</t>
  </si>
  <si>
    <t>骸大鶏冠</t>
  </si>
  <si>
    <t>0x00e1f62c</t>
  </si>
  <si>
    <t>鳳凰賞</t>
  </si>
  <si>
    <t>0x00e1f634</t>
  </si>
  <si>
    <t>日本優鶏</t>
  </si>
  <si>
    <t>0x00e1f644</t>
  </si>
  <si>
    <t>一騎打ち戦</t>
  </si>
  <si>
    <t>0x00e1f690</t>
  </si>
  <si>
    <t>骸短距離[n]王冠前哨戦</t>
  </si>
  <si>
    <t>0x00e1f6a8</t>
  </si>
  <si>
    <t>骸中距離[n]王冠前哨戦</t>
  </si>
  <si>
    <t>0x00e1f6c0</t>
  </si>
  <si>
    <t>骸長距離王[n]冠前哨戦</t>
  </si>
  <si>
    <t>0x00e1f6d8</t>
  </si>
  <si>
    <t>骸短距離[n]王冠</t>
  </si>
  <si>
    <t>0x00e1f6e8</t>
  </si>
  <si>
    <t>骸中距離[n]王冠</t>
  </si>
  <si>
    <t>0x00e1f6f8</t>
  </si>
  <si>
    <t>骸長距離[n]王冠</t>
  </si>
  <si>
    <t>0x00e1f744</t>
  </si>
  <si>
    <t>各羽、態勢整いました。</t>
  </si>
  <si>
    <t>0x00e1f75c</t>
  </si>
  <si>
    <t>準備が整いました。</t>
  </si>
  <si>
    <t>0x00e1f780</t>
  </si>
  <si>
    <t>各羽きれいな出足！</t>
  </si>
  <si>
    <t>0x00e1f798</t>
  </si>
  <si>
    <t>出遅れた！%s</t>
  </si>
  <si>
    <t>0x00e1f7a8</t>
  </si>
  <si>
    <t>良い出足！%s</t>
  </si>
  <si>
    <t>0x00e1f7b8</t>
  </si>
  <si>
    <t>現在先頭は%s</t>
  </si>
  <si>
    <t>0x00e1f7c8</t>
  </si>
  <si>
    <t>先頭は横一線！</t>
  </si>
  <si>
    <t>0x00e1f7d8</t>
  </si>
  <si>
    <t>一気に出た！%s</t>
  </si>
  <si>
    <t>0x00e1f804</t>
  </si>
  <si>
    <t>%s一歩先行</t>
  </si>
  <si>
    <t>0x00e1f814</t>
  </si>
  <si>
    <t>%s後方から一気に来たー！</t>
  </si>
  <si>
    <t>0x00e1f834</t>
  </si>
  <si>
    <t>%s逃げてる！</t>
  </si>
  <si>
    <t>0x00e1f844</t>
  </si>
  <si>
    <t>各羽一斉に終点になだれ込んだー</t>
  </si>
  <si>
    <t>0x00e1f864</t>
  </si>
  <si>
    <t>これはかなり混戦だ！</t>
  </si>
  <si>
    <t>0x00e1f894</t>
  </si>
  <si>
    <t>大健闘！%s</t>
  </si>
  <si>
    <t>0x00e1f8a4</t>
  </si>
  <si>
    <t>期待通りです！%s</t>
  </si>
  <si>
    <t>0x00e1f8bc</t>
  </si>
  <si>
    <t>これは予想外！%s</t>
  </si>
  <si>
    <t>0x00e1f8d4</t>
  </si>
  <si>
    <t>やはり強い！%s</t>
  </si>
  <si>
    <t>0x00e1f8e4</t>
  </si>
  <si>
    <t>１着%s[n]２着%s</t>
  </si>
  <si>
    <t>0x00e1f90c</t>
  </si>
  <si>
    <t>鳥券購入</t>
  </si>
  <si>
    <t>0x00e1f91c</t>
  </si>
  <si>
    <t>競争開始</t>
  </si>
  <si>
    <t>0x00e1f92c</t>
  </si>
  <si>
    <t>競争予定を見る</t>
  </si>
  <si>
    <t>0x00e1f93c</t>
  </si>
  <si>
    <t>競鶏をやめる</t>
  </si>
  <si>
    <t>0x00e1f960</t>
  </si>
  <si>
    <t>単勝購入</t>
  </si>
  <si>
    <t>0x00e1f970</t>
  </si>
  <si>
    <t>鳥連購入</t>
  </si>
  <si>
    <t>0x00e1f980</t>
  </si>
  <si>
    <t>鳥単購入</t>
  </si>
  <si>
    <t>0x00e1f990</t>
  </si>
  <si>
    <t>配当一覧から購入</t>
  </si>
  <si>
    <t>0x00e1f9a8</t>
  </si>
  <si>
    <t>購入鳥券確認</t>
  </si>
  <si>
    <t>0x00e1f9b8</t>
  </si>
  <si>
    <t>購入終了</t>
  </si>
  <si>
    <t>0x00e1f9e4</t>
  </si>
  <si>
    <t>競争開始まで</t>
  </si>
  <si>
    <t>0x00e1f9f4</t>
  </si>
  <si>
    <t>秒</t>
  </si>
  <si>
    <t>0x00e1fa0c</t>
  </si>
  <si>
    <t>一</t>
  </si>
  <si>
    <t>0x00e1fa14</t>
  </si>
  <si>
    <t>二</t>
  </si>
  <si>
    <t>0x00e1fa1c</t>
  </si>
  <si>
    <t>三</t>
  </si>
  <si>
    <t>0x00e1fa24</t>
  </si>
  <si>
    <t>四</t>
  </si>
  <si>
    <t>0x00e1fa2c</t>
  </si>
  <si>
    <t>五</t>
  </si>
  <si>
    <t>0x00e1fa4c</t>
  </si>
  <si>
    <t>0x00e1fa54</t>
  </si>
  <si>
    <t>◎</t>
  </si>
  <si>
    <t>0x00e1fa5c</t>
  </si>
  <si>
    <t>○</t>
  </si>
  <si>
    <t>0x00e1fa64</t>
  </si>
  <si>
    <t>△</t>
  </si>
  <si>
    <t>0x00e1fa6c</t>
  </si>
  <si>
    <t>×</t>
  </si>
  <si>
    <t>0x00e1fa8c</t>
  </si>
  <si>
    <t>----</t>
  </si>
  <si>
    <t>0x00e1fa9c</t>
  </si>
  <si>
    <t>木札で鳥券を購入します。</t>
  </si>
  <si>
    <t>0x00e1fabc</t>
  </si>
  <si>
    <t>競争を開始します。</t>
  </si>
  <si>
    <t>0x00e1fad4</t>
  </si>
  <si>
    <t>今後開催される競争の予定を確認できます。</t>
  </si>
  <si>
    <t>0x00e1fb04</t>
  </si>
  <si>
    <t>競鶏を終了します。</t>
  </si>
  <si>
    <t>0x00e1fb1c</t>
  </si>
  <si>
    <t>１着の鶏を予想する鳥券を購入します。</t>
  </si>
  <si>
    <t>0x00e1fb44</t>
  </si>
  <si>
    <t>着順に関係なく１着２着を予想する鳥券を購入します。</t>
  </si>
  <si>
    <t>0x00e1fb7c</t>
  </si>
  <si>
    <t>着順を予想する鳥券を購入します。[n]最大５着まで予想することができます。</t>
  </si>
  <si>
    <t>0x00e1fbc4</t>
  </si>
  <si>
    <t>配当一覧から鳥券を購入します。</t>
  </si>
  <si>
    <t>0x00e1fbe4</t>
  </si>
  <si>
    <t>購入済みの鳥券を確認できます。</t>
  </si>
  <si>
    <t>0x00e1fc04</t>
  </si>
  <si>
    <t>鳥券の購入を終了します。</t>
  </si>
  <si>
    <t>0x00e1fc24</t>
  </si>
  <si>
    <t>１着の鶏のみ予想します。[n]購入する鶏を選んで左右で賭け点を増減します。[n]「確定」で購入、&lt;Sign:C&gt;ボタンで取り消します。</t>
  </si>
  <si>
    <t>0x00e1fc9c</t>
  </si>
  <si>
    <t>着順に関係なく１着２着を予想します。[n]１羽目の鶏を&lt;Sign:D&gt;ボタンで選んでください。</t>
  </si>
  <si>
    <t>0x00e1fcf4</t>
  </si>
  <si>
    <t>２羽目の鶏を選んで左右で賭け点を増減します。[n]「確定」で購入、&lt;Sign:C&gt;ボタンで取り消します。</t>
  </si>
  <si>
    <t>0x00e1fd54</t>
  </si>
  <si>
    <t>着順を予想する鳥券を購入します。[n]１着予想の鶏を&lt;Sign:D&gt;ボタンで選んでください。</t>
  </si>
  <si>
    <t>0x00e1fda4</t>
  </si>
  <si>
    <t>２着予想の鶏を選んで左右で賭け点を増減します。[n]&lt;Sign:D&gt;ボタンで更に多くの順着を予想できます。[n]「確定」で購入、&lt;Sign:C&gt;ボタンで取り消します。</t>
  </si>
  <si>
    <t>0x00e1fe34</t>
  </si>
  <si>
    <t>３着予想の鶏を選んで左右で賭け点を増減します。[n]&lt;Sign:D&gt;ボタンで更に多くの順着を予想できます。[n]「確定」で購入、&lt;Sign:C&gt;ボタンで取り消します。</t>
  </si>
  <si>
    <t>0x00e1fec4</t>
  </si>
  <si>
    <t>４着予想の鶏を選んで左右で賭け点を増減します。[n]&lt;Sign:D&gt;ボタンで更に多くの順着を予想できます。[n]「確定」で購入、&lt;Sign:C&gt;ボタンで取り消します。</t>
  </si>
  <si>
    <t>0x00e1ff54</t>
  </si>
  <si>
    <t>左右で賭け点を増減します。「確定」で購入、&lt;Sign:C&gt;ボタンで取り消します。</t>
  </si>
  <si>
    <t>0x00e1ffa4</t>
  </si>
  <si>
    <t>購入したい配当を選んで&lt;Sign:D&gt;ボタンを押してください。[n]◎は購入済みです。&lt;Sign:6&gt;、&lt;Sign:4&gt;ボタンで表示を切り替えます。</t>
  </si>
  <si>
    <t>0x00e20024</t>
  </si>
  <si>
    <t>左右で賭け点を増減します。[n]&lt;Sign:D&gt;ボタンで購入、&lt;Sign:C&gt;ボタンで取り消します。</t>
  </si>
  <si>
    <t>0x00e20074</t>
  </si>
  <si>
    <t>購入済みの鳥券です。</t>
  </si>
  <si>
    <t>0x00e2008c</t>
  </si>
  <si>
    <t>現在開催中、出走鳥決定の競争は、[n]&lt;Sign:1&gt;ボタンで詳細を見ることができます。</t>
  </si>
  <si>
    <t>0x00e200dc</t>
  </si>
  <si>
    <t>現在開催中の出走鳥です。</t>
  </si>
  <si>
    <t>0x00e200fc</t>
  </si>
  <si>
    <t>次回競走の出走鳥です</t>
  </si>
  <si>
    <t>0x00e20114</t>
  </si>
  <si>
    <t>次々回競走の出走鳥です。</t>
  </si>
  <si>
    <t>0x00e20134</t>
  </si>
  <si>
    <t>急遽特別競走が開催されます。[n]選ばれた２羽による一騎討ち戦です。</t>
  </si>
  <si>
    <t>0x00e201dc</t>
  </si>
  <si>
    <t>詳細表示</t>
  </si>
  <si>
    <t>0x00e201f4</t>
  </si>
  <si>
    <t>表示切替</t>
  </si>
  <si>
    <t>0x00e2020c</t>
  </si>
  <si>
    <t>視点切り替え</t>
  </si>
  <si>
    <t>0x00e20224</t>
  </si>
  <si>
    <t>飜</t>
  </si>
  <si>
    <t>0x00e2022c</t>
  </si>
  <si>
    <t>符</t>
  </si>
  <si>
    <t>0x00e20238</t>
  </si>
  <si>
    <t>ラ</t>
  </si>
  <si>
    <t>0x00e2023c</t>
  </si>
  <si>
    <t>棒</t>
  </si>
  <si>
    <t>0x00e20254</t>
  </si>
  <si>
    <t>0x00e2026c</t>
  </si>
  <si>
    <t>0x00e20270</t>
  </si>
  <si>
    <t>0x00e2027c</t>
  </si>
  <si>
    <t>識</t>
  </si>
  <si>
    <t>0x00e2028c</t>
  </si>
  <si>
    <t>0x00e20298</t>
  </si>
  <si>
    <t>弱卓で勝負</t>
  </si>
  <si>
    <t>0x00e202a8</t>
  </si>
  <si>
    <t>中卓で勝負</t>
  </si>
  <si>
    <t>0x00e202b8</t>
  </si>
  <si>
    <t>強卓で勝負</t>
  </si>
  <si>
    <t>0x00e202c8</t>
  </si>
  <si>
    <t>慶応麻雀杯 昇龍戦に挑戦</t>
  </si>
  <si>
    <t>0x00e202f0</t>
  </si>
  <si>
    <t>対戦相手を選んでください。[n]弱い対戦相手たちと勝負します。</t>
  </si>
  <si>
    <t>0x00e20330</t>
  </si>
  <si>
    <t>対戦相手を選んでください。[n]普通の強さの対戦相手たちと勝負します。</t>
  </si>
  <si>
    <t>0x00e20378</t>
  </si>
  <si>
    <t>対戦相手を選んでください。[n]強い対戦相手たちと勝負します。</t>
  </si>
  <si>
    <t>0x00e203b8</t>
  </si>
  <si>
    <t>いろいろな対戦相手と勝負して[n]昇龍戦の頂点を目指してください。[n]参加料は５００点で１回払えば、次回からは無料です。</t>
  </si>
  <si>
    <t>0x00e20430</t>
  </si>
  <si>
    <t>いろいろな対戦相手と勝負して[n]昇龍戦の頂点を目指してください。[n]５００点以上貯めてください。</t>
  </si>
  <si>
    <t>0x00e20490</t>
  </si>
  <si>
    <t>いろいろな対戦相手と勝負して[n]昇龍戦の頂点を目指してください。</t>
  </si>
  <si>
    <t>0x00e20504</t>
  </si>
  <si>
    <t>0x00e20520</t>
  </si>
  <si>
    <t>槓</t>
  </si>
  <si>
    <t>0x00e2052c</t>
  </si>
  <si>
    <t>和</t>
  </si>
  <si>
    <t>0x00e20530</t>
  </si>
  <si>
    <t>打</t>
  </si>
  <si>
    <t>0x00e20544</t>
  </si>
  <si>
    <t>局</t>
  </si>
  <si>
    <t>0x00e20548</t>
  </si>
  <si>
    <t>0x00e2054c</t>
  </si>
  <si>
    <t>0x00e20550</t>
  </si>
  <si>
    <t>0x00e20554</t>
  </si>
  <si>
    <t>0x00e20558</t>
  </si>
  <si>
    <t>0x00e2055c</t>
  </si>
  <si>
    <t>0x00e20560</t>
  </si>
  <si>
    <t>0x00e20564</t>
  </si>
  <si>
    <t>0x00e20568</t>
  </si>
  <si>
    <t>0x00e2056c</t>
  </si>
  <si>
    <t>0x00e20570</t>
  </si>
  <si>
    <t>0x00e20574</t>
  </si>
  <si>
    <t>0x00e20578</t>
  </si>
  <si>
    <t>0x00e2057c</t>
  </si>
  <si>
    <t>0x00e20580</t>
  </si>
  <si>
    <t>0x00e2058c</t>
  </si>
  <si>
    <t>満</t>
  </si>
  <si>
    <t>0x00e20594</t>
  </si>
  <si>
    <t>0x00e205a4</t>
  </si>
  <si>
    <t>0x00e205d8</t>
  </si>
  <si>
    <t>0x00e205dc</t>
  </si>
  <si>
    <t>0x00e205e0</t>
  </si>
  <si>
    <t>0x00e205e4</t>
  </si>
  <si>
    <t>0x00e205e8</t>
  </si>
  <si>
    <t>白</t>
  </si>
  <si>
    <t>0x00e205f0</t>
  </si>
  <si>
    <t>發</t>
  </si>
  <si>
    <t>0x00e205f8</t>
  </si>
  <si>
    <t>中</t>
  </si>
  <si>
    <t>0x00e20608</t>
  </si>
  <si>
    <t>口</t>
  </si>
  <si>
    <t>0x00e20634</t>
  </si>
  <si>
    <t>頭</t>
  </si>
  <si>
    <t>0x00e20640</t>
  </si>
  <si>
    <t>0x00e20644</t>
  </si>
  <si>
    <t>刻</t>
  </si>
  <si>
    <t>0x00e20648</t>
  </si>
  <si>
    <t>0x00e2064c</t>
  </si>
  <si>
    <t>子</t>
  </si>
  <si>
    <t>0x00e20650</t>
  </si>
  <si>
    <t>0x00e20664</t>
  </si>
  <si>
    <t>元</t>
  </si>
  <si>
    <t>0x00e20668</t>
  </si>
  <si>
    <t>直</t>
  </si>
  <si>
    <t>0x00e20674</t>
  </si>
  <si>
    <t>色</t>
  </si>
  <si>
    <t>0x00e20678</t>
  </si>
  <si>
    <t>0x00e2067c</t>
  </si>
  <si>
    <t>0x00e20680</t>
  </si>
  <si>
    <t>0x00e20684</t>
  </si>
  <si>
    <t>0x00e20694</t>
  </si>
  <si>
    <t>0x00e20698</t>
  </si>
  <si>
    <t>騎</t>
  </si>
  <si>
    <t>0x00e206a0</t>
  </si>
  <si>
    <t>0x00e206a4</t>
  </si>
  <si>
    <t>0x00e206a8</t>
  </si>
  <si>
    <t>喜</t>
  </si>
  <si>
    <t>0x00e206ac</t>
  </si>
  <si>
    <t>0x00e206b0</t>
  </si>
  <si>
    <t>0x00e206d8</t>
  </si>
  <si>
    <t>輪</t>
  </si>
  <si>
    <t>0x00e206f0</t>
  </si>
  <si>
    <t>0x00e206f8</t>
  </si>
  <si>
    <t>0x00e20718</t>
  </si>
  <si>
    <t>ぁ</t>
  </si>
  <si>
    <t>0x00e20734</t>
  </si>
  <si>
    <t>0x00e20740</t>
  </si>
  <si>
    <t>0x00e20760</t>
  </si>
  <si>
    <t>！</t>
  </si>
  <si>
    <t>0x00e20770</t>
  </si>
  <si>
    <t>0x00e20780</t>
  </si>
  <si>
    <t>0x00e2078c</t>
  </si>
  <si>
    <t>0x00e20798</t>
  </si>
  <si>
    <t>0x00e207a0</t>
  </si>
  <si>
    <t>!!</t>
  </si>
  <si>
    <t>0x00e207a4</t>
  </si>
  <si>
    <t>0x00e207ac</t>
  </si>
  <si>
    <t>0x00e207bc</t>
  </si>
  <si>
    <t>0x00e207c0</t>
  </si>
  <si>
    <t>0x00e207e4</t>
  </si>
  <si>
    <t>0x00e207f8</t>
  </si>
  <si>
    <t>ぇ</t>
  </si>
  <si>
    <t>0x00e2080c</t>
  </si>
  <si>
    <t>0x00e20814</t>
  </si>
  <si>
    <t>0x00e20820</t>
  </si>
  <si>
    <t>!?</t>
  </si>
  <si>
    <t>0x00e20828</t>
  </si>
  <si>
    <t>0x00e20840</t>
  </si>
  <si>
    <t>0x00e2084c</t>
  </si>
  <si>
    <t>わ</t>
  </si>
  <si>
    <t>0x00e20854</t>
  </si>
  <si>
    <t>0x00e2085c</t>
  </si>
  <si>
    <t>0x00e20874</t>
  </si>
  <si>
    <t>0x00e20880</t>
  </si>
  <si>
    <t>0x00e20888</t>
  </si>
  <si>
    <t>0x00e20898</t>
  </si>
  <si>
    <t>0x00e208a4</t>
  </si>
  <si>
    <t>〜</t>
  </si>
  <si>
    <t>0x00e208b8</t>
  </si>
  <si>
    <t>0x00e208dc</t>
  </si>
  <si>
    <t>0x00e2091c</t>
  </si>
  <si>
    <t>0x00e20930</t>
  </si>
  <si>
    <t>0x00e20934</t>
  </si>
  <si>
    <t>0x00e20940</t>
  </si>
  <si>
    <t>0x00e20944</t>
  </si>
  <si>
    <t>裕</t>
  </si>
  <si>
    <t>0x00e20954</t>
  </si>
  <si>
    <t>0x00e2095c</t>
  </si>
  <si>
    <t>0x00e20964</t>
  </si>
  <si>
    <t>0x00e20988</t>
  </si>
  <si>
    <t>0x00e20990</t>
  </si>
  <si>
    <t>0x00e20998</t>
  </si>
  <si>
    <t>0x00e209a4</t>
  </si>
  <si>
    <t>0x00e209ac</t>
  </si>
  <si>
    <t>0x00e209b8</t>
  </si>
  <si>
    <t>0x00e209c4</t>
  </si>
  <si>
    <t>0x00e209d0</t>
  </si>
  <si>
    <t>0x00e209d4</t>
  </si>
  <si>
    <t>0x00e209f4</t>
  </si>
  <si>
    <t>0x00e209fc</t>
  </si>
  <si>
    <t>0x00e20a0c</t>
  </si>
  <si>
    <t>0x00e20a10</t>
  </si>
  <si>
    <t>0x00e20a20</t>
  </si>
  <si>
    <t>0x00e20a24</t>
  </si>
  <si>
    <t>0x00e20a28</t>
  </si>
  <si>
    <t>0x00e20a3c</t>
  </si>
  <si>
    <t>0x00e20a48</t>
  </si>
  <si>
    <t>0x00e20a60</t>
  </si>
  <si>
    <t>0x00e20a6c</t>
  </si>
  <si>
    <t>0x00e20a78</t>
  </si>
  <si>
    <t>0x00e20a88</t>
  </si>
  <si>
    <t>0x00e20a90</t>
  </si>
  <si>
    <t>0x00e20a98</t>
  </si>
  <si>
    <t>0x00e20a9c</t>
  </si>
  <si>
    <t>0x00e20aa8</t>
  </si>
  <si>
    <t>0x00e20ab0</t>
  </si>
  <si>
    <t>0x00e20ac8</t>
  </si>
  <si>
    <t>0x00e20ad8</t>
  </si>
  <si>
    <t>0x00e20adc</t>
  </si>
  <si>
    <t>0x00e20ae0</t>
  </si>
  <si>
    <t>0x00e20af8</t>
  </si>
  <si>
    <t>0x00e20b00</t>
  </si>
  <si>
    <t>0x00e20b24</t>
  </si>
  <si>
    <t>0x00e20b28</t>
  </si>
  <si>
    <t>0x00e20b34</t>
  </si>
  <si>
    <t>0x00e20b40</t>
  </si>
  <si>
    <t>0x00e20b44</t>
  </si>
  <si>
    <t>0x00e20b4c</t>
  </si>
  <si>
    <t>0x00e20b54</t>
  </si>
  <si>
    <t>0x00e20b6c</t>
  </si>
  <si>
    <t>0x00e20b70</t>
  </si>
  <si>
    <t>0x00e20b90</t>
  </si>
  <si>
    <t>0x00e20b94</t>
  </si>
  <si>
    <t>0x00e20b98</t>
  </si>
  <si>
    <t>ょ</t>
  </si>
  <si>
    <t>0x00e20b9c</t>
  </si>
  <si>
    <t>0x00e20ba0</t>
  </si>
  <si>
    <t>0x00e20bb0</t>
  </si>
  <si>
    <t>0x00e20bb4</t>
  </si>
  <si>
    <t>0x00e20bbc</t>
  </si>
  <si>
    <t>0x00e20bd8</t>
  </si>
  <si>
    <t>0x00e20bec</t>
  </si>
  <si>
    <t>0x00e20c04</t>
  </si>
  <si>
    <t>0x00e20c0c</t>
  </si>
  <si>
    <t>0x00e20c14</t>
  </si>
  <si>
    <t>負</t>
  </si>
  <si>
    <t>0x00e20c18</t>
  </si>
  <si>
    <t>0x00e20c1c</t>
  </si>
  <si>
    <t>0x00e20c38</t>
  </si>
  <si>
    <t>0x00e20c3c</t>
  </si>
  <si>
    <t>0x00e20c40</t>
  </si>
  <si>
    <t>0x00e20c4c</t>
  </si>
  <si>
    <t>だ</t>
  </si>
  <si>
    <t>0x00e20c50</t>
  </si>
  <si>
    <t>0x00e20c5c</t>
  </si>
  <si>
    <t>0x00e20c6c</t>
  </si>
  <si>
    <t>0x00e20c78</t>
  </si>
  <si>
    <t>0x00e20c84</t>
  </si>
  <si>
    <t>0x00e20c88</t>
  </si>
  <si>
    <t>0x00e20c9c</t>
  </si>
  <si>
    <t>0x00e20ca0</t>
  </si>
  <si>
    <t>0x00e20ca4</t>
  </si>
  <si>
    <t>0x00e20cac</t>
  </si>
  <si>
    <t>0x00e20cb0</t>
  </si>
  <si>
    <t>0x00e20cb4</t>
  </si>
  <si>
    <t>0x00e20cbc</t>
  </si>
  <si>
    <t>0x00e20cc0</t>
  </si>
  <si>
    <t>0x00e20cc8</t>
  </si>
  <si>
    <t>0x00e20ccc</t>
  </si>
  <si>
    <t>0x00e20cd8</t>
  </si>
  <si>
    <t>0x00e20cfc</t>
  </si>
  <si>
    <t>0x00e20d0c</t>
  </si>
  <si>
    <t>0x00e20d20</t>
  </si>
  <si>
    <t>0x00e20d28</t>
  </si>
  <si>
    <t>0x00e20d2c</t>
  </si>
  <si>
    <t>ぜ</t>
  </si>
  <si>
    <t>0x00e20d38</t>
  </si>
  <si>
    <t>0x00e20d48</t>
  </si>
  <si>
    <t>0x00e20d4c</t>
  </si>
  <si>
    <t>0x00e20d5c</t>
  </si>
  <si>
    <t>0x00e20d68</t>
  </si>
  <si>
    <t>0x00e20d78</t>
  </si>
  <si>
    <t>0x00e20d88</t>
  </si>
  <si>
    <t>ヘ</t>
  </si>
  <si>
    <t>0x00e20dc0</t>
  </si>
  <si>
    <t>0x00e20dc8</t>
  </si>
  <si>
    <t>0x00e20dd8</t>
  </si>
  <si>
    <t>ぞ</t>
  </si>
  <si>
    <t>0x00e20ddc</t>
  </si>
  <si>
    <t>0x00e20de4</t>
  </si>
  <si>
    <t>0x00e20df0</t>
  </si>
  <si>
    <t>0x00e20df8</t>
  </si>
  <si>
    <t>0x00e20dfc</t>
  </si>
  <si>
    <t>0x00e20e04</t>
  </si>
  <si>
    <t>0x00e20e14</t>
  </si>
  <si>
    <t>0x00e20e18</t>
  </si>
  <si>
    <t>0x00e20e24</t>
  </si>
  <si>
    <t>0x00e20e30</t>
  </si>
  <si>
    <t>0x00e20e40</t>
  </si>
  <si>
    <t>0x00e20e48</t>
  </si>
  <si>
    <t>0x00e20e50</t>
  </si>
  <si>
    <t>0x00e20e54</t>
  </si>
  <si>
    <t>0x00e20e58</t>
  </si>
  <si>
    <t>0x00e20e68</t>
  </si>
  <si>
    <t>0x00e20e78</t>
  </si>
  <si>
    <t>ら</t>
  </si>
  <si>
    <t>0x00e20e80</t>
  </si>
  <si>
    <t>0x00e20e84</t>
  </si>
  <si>
    <t>0x00e20e8c</t>
  </si>
  <si>
    <t>0x00e20e94</t>
  </si>
  <si>
    <t>0x00e20eb0</t>
  </si>
  <si>
    <t>0x00e20ec0</t>
  </si>
  <si>
    <t>0x00e20ec8</t>
  </si>
  <si>
    <t>0x00e20ed0</t>
  </si>
  <si>
    <t>0x00e20ed8</t>
  </si>
  <si>
    <t>0x00e20ee0</t>
  </si>
  <si>
    <t>0x00e20eec</t>
  </si>
  <si>
    <t>0x00e20ef4</t>
  </si>
  <si>
    <t>0x00e20efc</t>
  </si>
  <si>
    <t>0x00e20f04</t>
  </si>
  <si>
    <t>0x00e20f08</t>
  </si>
  <si>
    <t>0x00e20f18</t>
  </si>
  <si>
    <t>0x00e20f20</t>
  </si>
  <si>
    <t>0x00e20f28</t>
  </si>
  <si>
    <t>0x00e20f38</t>
  </si>
  <si>
    <t>0x00e20f44</t>
  </si>
  <si>
    <t>0x00e20f50</t>
  </si>
  <si>
    <t>0x00e20f58</t>
  </si>
  <si>
    <t>0x00e20f68</t>
  </si>
  <si>
    <t>0x00e20f7c</t>
  </si>
  <si>
    <t>0x00e20f84</t>
  </si>
  <si>
    <t>0x00e20f88</t>
  </si>
  <si>
    <t>0x00e20f94</t>
  </si>
  <si>
    <t>0x00e20fa0</t>
  </si>
  <si>
    <t>0x00e20fa4</t>
  </si>
  <si>
    <t>0x00e20fb0</t>
  </si>
  <si>
    <t>0x00e20fb4</t>
  </si>
  <si>
    <t>0x00e20fbc</t>
  </si>
  <si>
    <t>0x00e20fc0</t>
  </si>
  <si>
    <t>0x00e20fc4</t>
  </si>
  <si>
    <t>0x00e20fd4</t>
  </si>
  <si>
    <t>0x00e20fe0</t>
  </si>
  <si>
    <t>0x00e20ff4</t>
  </si>
  <si>
    <t>0x00e21018</t>
  </si>
  <si>
    <t>0x00e21020</t>
  </si>
  <si>
    <t>0x00e21024</t>
  </si>
  <si>
    <t>0x00e21044</t>
  </si>
  <si>
    <t>0x00e21050</t>
  </si>
  <si>
    <t>0x00e2105c</t>
  </si>
  <si>
    <t>0x00e21074</t>
  </si>
  <si>
    <t>ぉ</t>
  </si>
  <si>
    <t>0x00e21078</t>
  </si>
  <si>
    <t>0x00e21080</t>
  </si>
  <si>
    <t>0x00e21084</t>
  </si>
  <si>
    <t>0x00e21088</t>
  </si>
  <si>
    <t>0x00e21090</t>
  </si>
  <si>
    <t>0x00e210a0</t>
  </si>
  <si>
    <t>0x00e210ac</t>
  </si>
  <si>
    <t>0x00e210b4</t>
  </si>
  <si>
    <t>0x00e210bc</t>
  </si>
  <si>
    <t>0x00e210c4</t>
  </si>
  <si>
    <t>0x00e210d4</t>
  </si>
  <si>
    <t>0x00e210dc</t>
  </si>
  <si>
    <t>0x00e210e0</t>
  </si>
  <si>
    <t>0x00e21108</t>
  </si>
  <si>
    <t>0x00e2110c</t>
  </si>
  <si>
    <t>0x00e21144</t>
  </si>
  <si>
    <t>0x00e2114c</t>
  </si>
  <si>
    <t>0x00e21158</t>
  </si>
  <si>
    <t>0x00e21164</t>
  </si>
  <si>
    <t>0x00e2116c</t>
  </si>
  <si>
    <t>0x00e21190</t>
  </si>
  <si>
    <t>0x00e2119c</t>
  </si>
  <si>
    <t>0x00e211ac</t>
  </si>
  <si>
    <t>0x00e211b0</t>
  </si>
  <si>
    <t>0x00e211c0</t>
  </si>
  <si>
    <t>0x00e211cc</t>
  </si>
  <si>
    <t>0x00e211dc</t>
  </si>
  <si>
    <t>0x00e211e4</t>
  </si>
  <si>
    <t>0x00e21204</t>
  </si>
  <si>
    <t>0x00e21220</t>
  </si>
  <si>
    <t>c)</t>
  </si>
  <si>
    <t>0x00e21228</t>
  </si>
  <si>
    <t>�</t>
  </si>
  <si>
    <t>0x00e21234</t>
  </si>
  <si>
    <t>0x00e2123c</t>
  </si>
  <si>
    <t>!)</t>
  </si>
  <si>
    <t>0x00e21240</t>
  </si>
  <si>
    <t>I)</t>
  </si>
  <si>
    <t>0x00e2125c</t>
  </si>
  <si>
    <t>0x00e21268</t>
  </si>
  <si>
    <t>0x00e2129c</t>
  </si>
  <si>
    <t>郎</t>
  </si>
  <si>
    <t>0x00e212b8</t>
  </si>
  <si>
    <t>0x00e212c0</t>
  </si>
  <si>
    <t>重</t>
  </si>
  <si>
    <t>0x00e212c8</t>
  </si>
  <si>
    <t>0x00e212dc</t>
  </si>
  <si>
    <t>雪</t>
  </si>
  <si>
    <t>0x00e212f0</t>
  </si>
  <si>
    <t>春</t>
  </si>
  <si>
    <t>0x00e21304</t>
  </si>
  <si>
    <t>駿</t>
  </si>
  <si>
    <t>0x00e21320</t>
  </si>
  <si>
    <t>八</t>
  </si>
  <si>
    <t>0x00e21328</t>
  </si>
  <si>
    <t>徹</t>
  </si>
  <si>
    <t>0x00e21330</t>
  </si>
  <si>
    <t>忠</t>
  </si>
  <si>
    <t>0x00e21340</t>
  </si>
  <si>
    <t>慶</t>
  </si>
  <si>
    <t>0x00e2134c</t>
  </si>
  <si>
    <t>治</t>
  </si>
  <si>
    <t>0x00e21354</t>
  </si>
  <si>
    <t>彦</t>
  </si>
  <si>
    <t>0x00e21360</t>
  </si>
  <si>
    <t>蔵</t>
  </si>
  <si>
    <t>0x00e2136c</t>
  </si>
  <si>
    <t>吉</t>
  </si>
  <si>
    <t>0x00e21374</t>
  </si>
  <si>
    <t>沖田総司</t>
  </si>
  <si>
    <t>0x00e21384</t>
  </si>
  <si>
    <t>永倉新八</t>
  </si>
  <si>
    <t>0x00e21394</t>
  </si>
  <si>
    <t>桂小五郎</t>
  </si>
  <si>
    <t>0x00e213a4</t>
  </si>
  <si>
    <t>西郷吉之助</t>
  </si>
  <si>
    <t>0x00e213b8</t>
  </si>
  <si>
    <t>これは来たかも！</t>
  </si>
  <si>
    <t>0x00e213d0</t>
  </si>
  <si>
    <t>これはないよな…</t>
  </si>
  <si>
    <t>0x00e213e8</t>
  </si>
  <si>
    <t>鳴くか…</t>
  </si>
  <si>
    <t>0x00e213f8</t>
  </si>
  <si>
    <t>まだ揃わないなぁ</t>
  </si>
  <si>
    <t>0x00e21410</t>
  </si>
  <si>
    <t>リーチするかな…</t>
  </si>
  <si>
    <t>0x00e21428</t>
  </si>
  <si>
    <t>ツモしたい…</t>
  </si>
  <si>
    <t>0x00e21438</t>
  </si>
  <si>
    <t>ロンしちゃうよ！</t>
  </si>
  <si>
    <t>0x00e214d4</t>
  </si>
  <si>
    <t>楽曲</t>
  </si>
  <si>
    <t>0x00e214e4</t>
  </si>
  <si>
    <t>難易度</t>
  </si>
  <si>
    <t>0x00e214f4</t>
  </si>
  <si>
    <t>最高点</t>
  </si>
  <si>
    <t>0x00e21504</t>
  </si>
  <si>
    <t>最多連続成功数</t>
  </si>
  <si>
    <t>0x00e2151c</t>
  </si>
  <si>
    <t>総合評価</t>
  </si>
  <si>
    <t>0x00e2153c</t>
  </si>
  <si>
    <t>入力</t>
  </si>
  <si>
    <t>0x00e2154c</t>
  </si>
  <si>
    <t>吹雪小唄</t>
  </si>
  <si>
    <t>0x00e2155c</t>
  </si>
  <si>
    <t>さむらい演舞</t>
  </si>
  <si>
    <t>0x00e2156c</t>
  </si>
  <si>
    <t>鼓動</t>
  </si>
  <si>
    <t>0x00e21584</t>
  </si>
  <si>
    <t>宴会などで庶民の間で古くから歌い踊られている小唄。[n]大人から子供まで気軽に楽しめる、舞踊の入口的存在の楽曲。</t>
  </si>
  <si>
    <t>0x00e215f4</t>
  </si>
  <si>
    <t>京で流行中の「さむらい音頭」を演舞用に仕立て直した楽曲。[n]音頭の楽しさと舞踊の優雅さが同時に堪能できる。</t>
  </si>
  <si>
    <t>0x00e2165c</t>
  </si>
  <si>
    <t>戦う男の情熱や生命の輝きを表現した楽曲。[n]上品さの中にも、他の楽曲にはない「熱さ」が感じ取れる。</t>
  </si>
  <si>
    <t>0x00e216c8</t>
  </si>
  <si>
    <t>初心者</t>
  </si>
  <si>
    <t>0x00e216d0</t>
  </si>
  <si>
    <t>一般</t>
  </si>
  <si>
    <t>0x00e216d8</t>
  </si>
  <si>
    <t>上級者</t>
  </si>
  <si>
    <t>0x00e216f4</t>
  </si>
  <si>
    <t>入門</t>
  </si>
  <si>
    <t>0x00e216fc</t>
  </si>
  <si>
    <t>本格</t>
  </si>
  <si>
    <t>0x00e21710</t>
  </si>
  <si>
    <t>なし</t>
  </si>
  <si>
    <t>0x00e21724</t>
  </si>
  <si>
    <t>論外</t>
  </si>
  <si>
    <t>0x00e2172c</t>
  </si>
  <si>
    <t>三流</t>
  </si>
  <si>
    <t>0x00e21734</t>
  </si>
  <si>
    <t>二流</t>
  </si>
  <si>
    <t>0x00e2173c</t>
  </si>
  <si>
    <t>一流</t>
  </si>
  <si>
    <t>0x00e21744</t>
  </si>
  <si>
    <t>舞踊神</t>
  </si>
  <si>
    <t>0x00e217e0</t>
  </si>
  <si>
    <t>試練踏破１</t>
  </si>
  <si>
    <t>0x00e217f0</t>
  </si>
  <si>
    <t>試練踏破２</t>
  </si>
  <si>
    <t>0x00e21800</t>
  </si>
  <si>
    <t>試練踏破３</t>
  </si>
  <si>
    <t>0x00e21810</t>
  </si>
  <si>
    <t>試練踏破４</t>
  </si>
  <si>
    <t>0x00e21820</t>
  </si>
  <si>
    <t>試練踏破５</t>
  </si>
  <si>
    <t>0x00e21830</t>
  </si>
  <si>
    <t>試練踏破６</t>
  </si>
  <si>
    <t>0x00e21840</t>
  </si>
  <si>
    <t>試練踏破７</t>
  </si>
  <si>
    <t>0x00e21850</t>
  </si>
  <si>
    <t>試練踏破８</t>
  </si>
  <si>
    <t>0x00e21860</t>
  </si>
  <si>
    <t>試練踏破９</t>
  </si>
  <si>
    <t>0x00e21870</t>
  </si>
  <si>
    <t>試練踏破１０</t>
  </si>
  <si>
    <t>0x00e21880</t>
  </si>
  <si>
    <t>試練踏破最終</t>
  </si>
  <si>
    <t>0x00e218c0</t>
  </si>
  <si>
    <t>どの試練に挑戦するか選んでください。</t>
  </si>
  <si>
    <t>0x00e21904</t>
  </si>
  <si>
    <t>0x00e21910</t>
  </si>
  <si>
    <t>0x00e21918</t>
  </si>
  <si>
    <t>ｷ</t>
  </si>
  <si>
    <t>0x00e2191c</t>
  </si>
  <si>
    <t>0x00e2192c</t>
  </si>
  <si>
    <t>0x00e21930</t>
  </si>
  <si>
    <t>0x00e21934</t>
  </si>
  <si>
    <t>0x00e21944</t>
  </si>
  <si>
    <t>0x00e21950</t>
  </si>
  <si>
    <t>0x00e21954</t>
  </si>
  <si>
    <t>・</t>
  </si>
  <si>
    <t>0x00e2195c</t>
  </si>
  <si>
    <t>0x00e21964</t>
  </si>
  <si>
    <t>0x00e21970</t>
  </si>
  <si>
    <t>0x00e21980</t>
  </si>
  <si>
    <t>0x00e21984</t>
  </si>
  <si>
    <t>0x00e21988</t>
  </si>
  <si>
    <t>0x00e21994</t>
  </si>
  <si>
    <t>0x00e21998</t>
  </si>
  <si>
    <t>0x00e2199c</t>
  </si>
  <si>
    <t>0x00e219b4</t>
  </si>
  <si>
    <t>ルール説明</t>
  </si>
  <si>
    <t>0x00e219d8</t>
  </si>
  <si>
    <t>待った</t>
  </si>
  <si>
    <t>0x00e219f4</t>
  </si>
  <si>
    <t>0x00e21a08</t>
  </si>
  <si>
    <t>手</t>
  </si>
  <si>
    <t>0x00e21a10</t>
  </si>
  <si>
    <t>棋風</t>
  </si>
  <si>
    <t>0x00e21a18</t>
  </si>
  <si>
    <t>手加減</t>
  </si>
  <si>
    <t>0x00e21a20</t>
  </si>
  <si>
    <t>[n]誰と対局しますか？</t>
  </si>
  <si>
    <t>0x00e21a38</t>
  </si>
  <si>
    <t>[n]どの踏破を選びますか？</t>
  </si>
  <si>
    <t>0x00e21a50</t>
  </si>
  <si>
    <t>[n]この相手でよろしいですか？</t>
  </si>
  <si>
    <t>0x00e21a88</t>
  </si>
  <si>
    <t>十兵衛</t>
  </si>
  <si>
    <t>0x00e21a90</t>
  </si>
  <si>
    <t>耕作</t>
  </si>
  <si>
    <t>0x00e21a98</t>
  </si>
  <si>
    <t>九太郎</t>
  </si>
  <si>
    <t>0x00e21aa0</t>
  </si>
  <si>
    <t>与市</t>
  </si>
  <si>
    <t>0x00e21aa8</t>
  </si>
  <si>
    <t>喜多八</t>
  </si>
  <si>
    <t>0x00e21ab0</t>
  </si>
  <si>
    <t>正吉</t>
  </si>
  <si>
    <t>0x00e21ab8</t>
  </si>
  <si>
    <t>伝七</t>
  </si>
  <si>
    <t>0x00e21ac0</t>
  </si>
  <si>
    <t>才蔵</t>
  </si>
  <si>
    <t>0x00e21ac8</t>
  </si>
  <si>
    <t>熊六</t>
  </si>
  <si>
    <t>0x00e21ad0</t>
  </si>
  <si>
    <t>小源太</t>
  </si>
  <si>
    <t>0x00e21ad8</t>
  </si>
  <si>
    <t>五衛門</t>
  </si>
  <si>
    <t>0x00e21ae0</t>
  </si>
  <si>
    <t>佐助</t>
  </si>
  <si>
    <t>0x00e21ae8</t>
  </si>
  <si>
    <t>光四郎</t>
  </si>
  <si>
    <t>0x00e21af0</t>
  </si>
  <si>
    <t>健心</t>
  </si>
  <si>
    <t>0x00e21af8</t>
  </si>
  <si>
    <t>三郎太</t>
  </si>
  <si>
    <t>0x00e21b00</t>
  </si>
  <si>
    <t>国松</t>
  </si>
  <si>
    <t>0x00e21b08</t>
  </si>
  <si>
    <t>弥二郎</t>
  </si>
  <si>
    <t>0x00e21b10</t>
  </si>
  <si>
    <t>鶴平</t>
  </si>
  <si>
    <t>0x00e21b18</t>
  </si>
  <si>
    <t>一之助</t>
  </si>
  <si>
    <t>0x00e21b20</t>
  </si>
  <si>
    <t>亀吉</t>
  </si>
  <si>
    <t>0x00e21b28</t>
  </si>
  <si>
    <t>格之進</t>
  </si>
  <si>
    <t>0x00e21b30</t>
  </si>
  <si>
    <t>右門</t>
  </si>
  <si>
    <t>0x00e21b38</t>
  </si>
  <si>
    <t>村正</t>
  </si>
  <si>
    <t>0x00e21b40</t>
  </si>
  <si>
    <t>助三郎</t>
  </si>
  <si>
    <t>0x00e21b48</t>
  </si>
  <si>
    <t>金剛</t>
  </si>
  <si>
    <t>0x00e21b50</t>
  </si>
  <si>
    <t>左京</t>
  </si>
  <si>
    <t>0x00e21b58</t>
  </si>
  <si>
    <t>虎鉄</t>
  </si>
  <si>
    <t>0x00e21b60</t>
  </si>
  <si>
    <t>鬼丸</t>
  </si>
  <si>
    <t>0x00e21b68</t>
  </si>
  <si>
    <t>黒雲斎</t>
  </si>
  <si>
    <t>0x00e21b70</t>
  </si>
  <si>
    <t>鴉天狗</t>
  </si>
  <si>
    <t>0x00e21b78</t>
  </si>
  <si>
    <t>御子神</t>
  </si>
  <si>
    <t>0x00e21c00</t>
  </si>
  <si>
    <t>気まぐれな初心者</t>
  </si>
  <si>
    <t>0x00e21c18</t>
  </si>
  <si>
    <t>積極的に攻めるが弱い</t>
  </si>
  <si>
    <t>0x00e21c30</t>
  </si>
  <si>
    <t>守りを固めるが遅い</t>
  </si>
  <si>
    <t>0x00e21c48</t>
  </si>
  <si>
    <t>強引な攻めをしてくる</t>
  </si>
  <si>
    <t>0x00e21c60</t>
  </si>
  <si>
    <t>攻守の調和は良い</t>
  </si>
  <si>
    <t>0x00e21c78</t>
  </si>
  <si>
    <t>囲いを作ることを優先する</t>
  </si>
  <si>
    <t>0x00e21c98</t>
  </si>
  <si>
    <t>中央突破を狙う</t>
  </si>
  <si>
    <t>0x00e21ca8</t>
  </si>
  <si>
    <t>堅実な守りを見せる</t>
  </si>
  <si>
    <t>0x00e21cc0</t>
  </si>
  <si>
    <t>臨機応変な指し筋</t>
  </si>
  <si>
    <t>0x00e21cd8</t>
  </si>
  <si>
    <t>長期戦に持ち込もうとする</t>
  </si>
  <si>
    <t>0x00e21cf8</t>
  </si>
  <si>
    <t>強さにムラが多い</t>
  </si>
  <si>
    <t>0x00e21d10</t>
  </si>
  <si>
    <t>冷静な攻撃を見せる</t>
  </si>
  <si>
    <t>0x00e21d28</t>
  </si>
  <si>
    <t>大駒で積極的に攻める</t>
  </si>
  <si>
    <t>0x00e21d40</t>
  </si>
  <si>
    <t>飛車の使い方が特徴的</t>
  </si>
  <si>
    <t>0x00e21d58</t>
  </si>
  <si>
    <t>攻守の調和の取れた指し手</t>
  </si>
  <si>
    <t>0x00e21d78</t>
  </si>
  <si>
    <t>反撃に長ける</t>
  </si>
  <si>
    <t>0x00e21d88</t>
  </si>
  <si>
    <t>鋭い飛車を操る</t>
  </si>
  <si>
    <t>0x00e21d98</t>
  </si>
  <si>
    <t>実力はあるが気まぐれ</t>
  </si>
  <si>
    <t>0x00e21db0</t>
  </si>
  <si>
    <t>慎重に守りを固める</t>
  </si>
  <si>
    <t>0x00e21dc8</t>
  </si>
  <si>
    <t>からめ手に長ける</t>
  </si>
  <si>
    <t>0x00e21de0</t>
  </si>
  <si>
    <t>堅実に攻守をこなす</t>
  </si>
  <si>
    <t>0x00e21df8</t>
  </si>
  <si>
    <t>苛烈に攻め立ててくる</t>
  </si>
  <si>
    <t>0x00e21e10</t>
  </si>
  <si>
    <t>受けに定評がある</t>
  </si>
  <si>
    <t>0x00e21e28</t>
  </si>
  <si>
    <t>戦略の幅が広い</t>
  </si>
  <si>
    <t>0x00e21e38</t>
  </si>
  <si>
    <t>失策をしない攻めの名手</t>
  </si>
  <si>
    <t>0x00e21e50</t>
  </si>
  <si>
    <t>鋭い速攻を仕掛ける</t>
  </si>
  <si>
    <t>0x00e21e68</t>
  </si>
  <si>
    <t>多様な守りの型の使い手</t>
  </si>
  <si>
    <t>0x00e21e80</t>
  </si>
  <si>
    <t>中飛車好きの古豪</t>
  </si>
  <si>
    <t>0x00e21e98</t>
  </si>
  <si>
    <t>緻密な攻めを見せる</t>
  </si>
  <si>
    <t>0x00e21eb0</t>
  </si>
  <si>
    <t>万能型の指し手</t>
  </si>
  <si>
    <t>0x00e21ec0</t>
  </si>
  <si>
    <t>将棋に人生を捧げし者</t>
  </si>
  <si>
    <t>0x00e21f58</t>
  </si>
  <si>
    <t>対戦ポイント</t>
  </si>
  <si>
    <t>0x00e21f68</t>
  </si>
  <si>
    <t>待った残回数 ５０×%d</t>
  </si>
  <si>
    <t>0x00e21f80</t>
  </si>
  <si>
    <t>超待った未使用</t>
  </si>
  <si>
    <t>0x00e21fa0</t>
  </si>
  <si>
    <t>順位戦</t>
  </si>
  <si>
    <t>0x00e21fa8</t>
  </si>
  <si>
    <t>試練踏破</t>
  </si>
  <si>
    <t>0x00e21fc4</t>
  </si>
  <si>
    <t>いろいろな対戦相手と勝負して[n]順位戦の頂点を目指してください。[n]一勝負５点で遊べます。</t>
  </si>
  <si>
    <t>0x00e2201c</t>
  </si>
  <si>
    <t>特殊な局面から開始される試練に挑戦し[n]相手の王将を取ってください。[n]一勝負５点で遊べます。</t>
  </si>
  <si>
    <t>0x00e2207c</t>
  </si>
  <si>
    <t>いろいろな対戦相手と勝負して[n]順位戦の頂点を目指してください。[n]あなたが新しい将棋王なので、賭け点不要で遊べます。</t>
  </si>
  <si>
    <t>0x00e220f4</t>
  </si>
  <si>
    <t>特殊な局面から開始される試練に挑戦し[n]相手の王将を取ってください。[n]あなたが新しい将棋王なので、賭け点不要で遊べます。</t>
  </si>
  <si>
    <t>0x00e2216c</t>
  </si>
  <si>
    <t>賭け点が足りないので遊べません。[n]５点以上貯めてください。</t>
  </si>
  <si>
    <t>0x00e221c8</t>
  </si>
  <si>
    <t>0x00e221d0</t>
  </si>
  <si>
    <t>0x00e221e0</t>
  </si>
  <si>
    <t>そう来たか！</t>
  </si>
  <si>
    <t>0x00e221f0</t>
  </si>
  <si>
    <t>その手は予想通り！</t>
  </si>
  <si>
    <t>0x00e22208</t>
  </si>
  <si>
    <t>厳しいなぁ…</t>
  </si>
  <si>
    <t>0x00e22218</t>
  </si>
  <si>
    <t>手駒がほしい</t>
  </si>
  <si>
    <t>0x00e22228</t>
  </si>
  <si>
    <t>そう指すのか!?</t>
  </si>
  <si>
    <t>0x00e22238</t>
  </si>
  <si>
    <t>そこに打つのか!?</t>
  </si>
  <si>
    <t>0x00e22250</t>
  </si>
  <si>
    <t>成ろうか成るまいか…</t>
  </si>
  <si>
    <t>0x00e22268</t>
  </si>
  <si>
    <t>攻めるか守るか…</t>
  </si>
  <si>
    <t>0x00e22304</t>
  </si>
  <si>
    <t>十兵衛　　十級</t>
  </si>
  <si>
    <t>0x00e22314</t>
  </si>
  <si>
    <t>耕作　　　十級</t>
  </si>
  <si>
    <t>0x00e22324</t>
  </si>
  <si>
    <t>九太郎　　九級</t>
  </si>
  <si>
    <t>0x00e22334</t>
  </si>
  <si>
    <t>与市　　　九級</t>
  </si>
  <si>
    <t>0x00e22344</t>
  </si>
  <si>
    <t>喜多八　　八級</t>
  </si>
  <si>
    <t>0x00e22354</t>
  </si>
  <si>
    <t>正吉　　　八級</t>
  </si>
  <si>
    <t>0x00e22364</t>
  </si>
  <si>
    <t>伝七　　　七級</t>
  </si>
  <si>
    <t>0x00e22374</t>
  </si>
  <si>
    <t>才蔵　　　七級</t>
  </si>
  <si>
    <t>0x00e22384</t>
  </si>
  <si>
    <t>熊六　　　六級</t>
  </si>
  <si>
    <t>0x00e22394</t>
  </si>
  <si>
    <t>小源太　　六級</t>
  </si>
  <si>
    <t>0x00e223a4</t>
  </si>
  <si>
    <t>五衛門　　五級</t>
  </si>
  <si>
    <t>0x00e223b4</t>
  </si>
  <si>
    <t>佐助　　　五級</t>
  </si>
  <si>
    <t>0x00e223c4</t>
  </si>
  <si>
    <t>光四郎　　四級</t>
  </si>
  <si>
    <t>0x00e223d4</t>
  </si>
  <si>
    <t>健心　　　四級</t>
  </si>
  <si>
    <t>0x00e223e4</t>
  </si>
  <si>
    <t>三郎太　　三級</t>
  </si>
  <si>
    <t>0x00e223f4</t>
  </si>
  <si>
    <t>国松　　　三級</t>
  </si>
  <si>
    <t>0x00e22404</t>
  </si>
  <si>
    <t>弥二郎　　二級</t>
  </si>
  <si>
    <t>0x00e22414</t>
  </si>
  <si>
    <t>鶴平　　　二級</t>
  </si>
  <si>
    <t>0x00e22424</t>
  </si>
  <si>
    <t>一之助　　一級</t>
  </si>
  <si>
    <t>0x00e22434</t>
  </si>
  <si>
    <t>亀吉　　　一級</t>
  </si>
  <si>
    <t>0x00e22444</t>
  </si>
  <si>
    <t>格之進　　初段</t>
  </si>
  <si>
    <t>0x00e22454</t>
  </si>
  <si>
    <t>右門　　　二段</t>
  </si>
  <si>
    <t>0x00e22464</t>
  </si>
  <si>
    <t>村正　　　三段</t>
  </si>
  <si>
    <t>0x00e22474</t>
  </si>
  <si>
    <t>助三郎　　四段</t>
  </si>
  <si>
    <t>0x00e22484</t>
  </si>
  <si>
    <t>金剛　　　五段</t>
  </si>
  <si>
    <t>0x00e22494</t>
  </si>
  <si>
    <t>左京　　　六段</t>
  </si>
  <si>
    <t>0x00e224a4</t>
  </si>
  <si>
    <t>虎鉄　　　七段</t>
  </si>
  <si>
    <t>0x00e224b4</t>
  </si>
  <si>
    <t>鬼丸　　　八段</t>
  </si>
  <si>
    <t>0x00e224c4</t>
  </si>
  <si>
    <t>黒雲斎　　九段</t>
  </si>
  <si>
    <t>0x00e224d4</t>
  </si>
  <si>
    <t>鴉天狗　最上段</t>
  </si>
  <si>
    <t>0x00e224e4</t>
  </si>
  <si>
    <t>御子神　将棋王</t>
  </si>
  <si>
    <t>0x00e2257c</t>
  </si>
  <si>
    <t>長治</t>
  </si>
  <si>
    <t>0x00e22584</t>
  </si>
  <si>
    <t>風来坊の政</t>
  </si>
  <si>
    <t>0x00e22594</t>
  </si>
  <si>
    <t>嵐山の金時</t>
  </si>
  <si>
    <t>0x00e225a4</t>
  </si>
  <si>
    <t>胸熱な勘蔵</t>
  </si>
  <si>
    <t>0x00e225b4</t>
  </si>
  <si>
    <t>富豪の銭八</t>
  </si>
  <si>
    <t>0x00e225c4</t>
  </si>
  <si>
    <t>死に神の市</t>
  </si>
  <si>
    <t>0x00e225d4</t>
  </si>
  <si>
    <t>根暗な尚助</t>
  </si>
  <si>
    <t>0x00e225e4</t>
  </si>
  <si>
    <t>欲張り五郎</t>
  </si>
  <si>
    <t>0x00e225f4</t>
  </si>
  <si>
    <t>強運の大吉</t>
  </si>
  <si>
    <t>0x00e22604</t>
  </si>
  <si>
    <t>金なし忠太</t>
  </si>
  <si>
    <t>0x00e22614</t>
  </si>
  <si>
    <t>謎の博徒　壱</t>
  </si>
  <si>
    <t>0x00e22624</t>
  </si>
  <si>
    <t>謎の博徒　弐</t>
  </si>
  <si>
    <t>0x00e22634</t>
  </si>
  <si>
    <t>謎の博徒　参</t>
  </si>
  <si>
    <t>0x00e22648</t>
  </si>
  <si>
    <t>目</t>
  </si>
  <si>
    <t>0x00e2264c</t>
  </si>
  <si>
    <t>0x00e22650</t>
  </si>
  <si>
    <t>0x00e2265c</t>
  </si>
  <si>
    <t>0x00e22670</t>
  </si>
  <si>
    <t>丁</t>
  </si>
  <si>
    <t>0x00e22678</t>
  </si>
  <si>
    <t>半</t>
  </si>
  <si>
    <t>0x00e22680</t>
  </si>
  <si>
    <t>想</t>
  </si>
  <si>
    <t>0x00e22684</t>
  </si>
  <si>
    <t>0x00e22688</t>
  </si>
  <si>
    <t>け</t>
  </si>
  <si>
    <t>0x00e226d0</t>
  </si>
  <si>
    <t>_</t>
  </si>
  <si>
    <t>0x00e226d8</t>
  </si>
  <si>
    <t>0x00e226e8</t>
  </si>
  <si>
    <t>表</t>
  </si>
  <si>
    <t>0x00e226f0</t>
  </si>
  <si>
    <t>程々の佐吉</t>
  </si>
  <si>
    <t>0x00e22700</t>
  </si>
  <si>
    <t>ぶっ込み徹</t>
  </si>
  <si>
    <t>0x00e22710</t>
  </si>
  <si>
    <t>黙りの達三</t>
  </si>
  <si>
    <t>0x00e22720</t>
  </si>
  <si>
    <t>暇潰し花道</t>
  </si>
  <si>
    <t>0x00e22730</t>
  </si>
  <si>
    <t>稲光の八郎</t>
  </si>
  <si>
    <t>0x00e22740</t>
  </si>
  <si>
    <t>悪運の大政</t>
  </si>
  <si>
    <t>0x00e22750</t>
  </si>
  <si>
    <t>腑抜けの雄</t>
  </si>
  <si>
    <t>0x00e22760</t>
  </si>
  <si>
    <t>直感牛之助</t>
  </si>
  <si>
    <t>0x00e22770</t>
  </si>
  <si>
    <t>天才剣志郎</t>
  </si>
  <si>
    <t>0x00e22780</t>
  </si>
  <si>
    <t>遊び人の銀</t>
  </si>
  <si>
    <t>0x00e22790</t>
  </si>
  <si>
    <t>強欲な清次</t>
  </si>
  <si>
    <t>0x00e227e4</t>
  </si>
  <si>
    <t>0x00e227fc</t>
  </si>
  <si>
    <t>酒</t>
  </si>
  <si>
    <t>0x00e22814</t>
  </si>
  <si>
    <t>0x00e22828</t>
  </si>
  <si>
    <t>0x00e2284c</t>
  </si>
  <si>
    <t>旬</t>
  </si>
  <si>
    <t>0x00e22864</t>
  </si>
  <si>
    <t>0x00e22870</t>
  </si>
  <si>
    <t>0x00e2287c</t>
  </si>
  <si>
    <t>0x00e2289c</t>
  </si>
  <si>
    <t>0x00e228b4</t>
  </si>
  <si>
    <t>0x00e228c8</t>
  </si>
  <si>
    <t>始</t>
  </si>
  <si>
    <t>0x00e228d4</t>
  </si>
  <si>
    <t>設定の変更</t>
  </si>
  <si>
    <t>0x00e228f8</t>
  </si>
  <si>
    <t>認</t>
  </si>
  <si>
    <t>0x00e22904</t>
  </si>
  <si>
    <t>示</t>
  </si>
  <si>
    <t>0x00e2291c</t>
  </si>
  <si>
    <t>0x00e2293c</t>
  </si>
  <si>
    <t>0x00e22948</t>
  </si>
  <si>
    <t>六</t>
  </si>
  <si>
    <t>0x00e22950</t>
  </si>
  <si>
    <t>七</t>
  </si>
  <si>
    <t>0x00e22958</t>
  </si>
  <si>
    <t>0x00e22960</t>
  </si>
  <si>
    <t>九</t>
  </si>
  <si>
    <t>0x00e22968</t>
  </si>
  <si>
    <t>十</t>
  </si>
  <si>
    <t>0x00e2297c</t>
  </si>
  <si>
    <t>0x00e22998</t>
  </si>
  <si>
    <t>0x00e229b0</t>
  </si>
  <si>
    <t>0x00e229b8</t>
  </si>
  <si>
    <t>0x00e229c4</t>
  </si>
  <si>
    <t>他</t>
  </si>
  <si>
    <t>0x00e229cc</t>
  </si>
  <si>
    <t>可</t>
  </si>
  <si>
    <t>0x00e229d4</t>
  </si>
  <si>
    <t>済</t>
  </si>
  <si>
    <t>0x00e229e8</t>
  </si>
  <si>
    <t>0x00e229f4</t>
  </si>
  <si>
    <t>0x00e229fc</t>
  </si>
  <si>
    <t>する</t>
  </si>
  <si>
    <t>0x00e22a08</t>
  </si>
  <si>
    <t>しない</t>
  </si>
  <si>
    <t>0x00e22a14</t>
  </si>
  <si>
    <t>0x00e22a1c</t>
  </si>
  <si>
    <t>最上級</t>
  </si>
  <si>
    <t>0x00e22a38</t>
  </si>
  <si>
    <t>初級で遊ぶには、最低２００点必要です。[n]対戦相手との得点差×１０点がやり取りされます。</t>
  </si>
  <si>
    <t>0x00e22a90</t>
  </si>
  <si>
    <t>中級で遊ぶには、最低８００点必要です。[n]対戦相手との得点差×１０点がやり取りされます。</t>
  </si>
  <si>
    <t>0x00e22ae8</t>
  </si>
  <si>
    <t>上級で遊ぶには、最低１４００点必要です。[n]対戦相手との得点差×１０点がやり取りされます。</t>
  </si>
  <si>
    <t>0x00e22b40</t>
  </si>
  <si>
    <t>最上級で遊ぶには、最低２０００点必要です。[n]対戦相手との得点差×１００点がやり取りされます。</t>
  </si>
  <si>
    <t>0x00e22ba0</t>
  </si>
  <si>
    <t>賭け点が足りないので遊べません。[n]２００点以上貯めてください。</t>
  </si>
  <si>
    <t>0x00e22be0</t>
  </si>
  <si>
    <t>賭け点が足りないので遊べません。[n]８００点以上貯めてください。</t>
  </si>
  <si>
    <t>0x00e22c20</t>
  </si>
  <si>
    <t>賭け点が足りないので遊べません。[n]１４００点以上貯めてください。</t>
  </si>
  <si>
    <t>0x00e22c60</t>
  </si>
  <si>
    <t>賭け点が足りないので遊べません。[n]２０００点以上貯めてください。</t>
  </si>
  <si>
    <t>0x00e22cc0</t>
  </si>
  <si>
    <t>0x00e22cc8</t>
  </si>
  <si>
    <t>いい札が来ますように</t>
  </si>
  <si>
    <t>0x00e22ce0</t>
  </si>
  <si>
    <t>いい札がないな…</t>
  </si>
  <si>
    <t>0x00e22cf8</t>
  </si>
  <si>
    <t>いい役できたよ！</t>
  </si>
  <si>
    <t>0x00e22d10</t>
  </si>
  <si>
    <t>いい役ができない…</t>
  </si>
  <si>
    <t>0x00e22d28</t>
  </si>
  <si>
    <t>コイ！</t>
  </si>
  <si>
    <t>0x00e22d30</t>
  </si>
  <si>
    <t>ここから逆転だ！</t>
  </si>
  <si>
    <t>0x00e22d48</t>
  </si>
  <si>
    <t>こいするか…</t>
  </si>
  <si>
    <t>0x00e22d58</t>
  </si>
  <si>
    <t>やめるか…</t>
  </si>
  <si>
    <t>0x00e22df4</t>
  </si>
  <si>
    <t>もう１枚</t>
  </si>
  <si>
    <t>0x00e22e30</t>
  </si>
  <si>
    <t>もう１枚！</t>
  </si>
  <si>
    <t>0x00e22e40</t>
  </si>
  <si>
    <t>３枚で勝負！</t>
  </si>
  <si>
    <t>0x00e22e50</t>
  </si>
  <si>
    <t>勝負だ！</t>
  </si>
  <si>
    <t>0x00e22e70</t>
  </si>
  <si>
    <t>ゲームをはじめる</t>
  </si>
  <si>
    <t>0x00e22e98</t>
  </si>
  <si>
    <t>勝負する</t>
  </si>
  <si>
    <t>0x00e22eb4</t>
  </si>
  <si>
    <t>もう一度勝負</t>
  </si>
  <si>
    <t>0x00e22ed0</t>
  </si>
  <si>
    <t>初心太助</t>
  </si>
  <si>
    <t>0x00e22ee0</t>
  </si>
  <si>
    <t>煩悩の凡太</t>
  </si>
  <si>
    <t>0x00e22ef0</t>
  </si>
  <si>
    <t>新入り新伍</t>
  </si>
  <si>
    <t>0x00e22f10</t>
  </si>
  <si>
    <t>お気楽桂治</t>
  </si>
  <si>
    <t>0x00e22f20</t>
  </si>
  <si>
    <t>強引な権三</t>
  </si>
  <si>
    <t>0x00e22f30</t>
  </si>
  <si>
    <t>肩こり甚平</t>
  </si>
  <si>
    <t>0x00e22f50</t>
  </si>
  <si>
    <t>嵐の又三郎</t>
  </si>
  <si>
    <t>0x00e22f60</t>
  </si>
  <si>
    <t>霊感与作</t>
  </si>
  <si>
    <t>0x00e22f70</t>
  </si>
  <si>
    <t>謎の株主</t>
  </si>
  <si>
    <t>0x00e22f90</t>
  </si>
  <si>
    <t>プレイヤーが親です。</t>
  </si>
  <si>
    <t>0x00e22fa8</t>
  </si>
  <si>
    <t>賭ける場所を選択してください。</t>
  </si>
  <si>
    <t>0x00e22fc8</t>
  </si>
  <si>
    <t>賭け点を決定してください。</t>
  </si>
  <si>
    <t>0x00e22fe8</t>
  </si>
  <si>
    <t>他のプレイヤーが賭ける場所を選択しています。</t>
  </si>
  <si>
    <t>0x00e23018</t>
  </si>
  <si>
    <t>勝負する相手を選択してください。</t>
  </si>
  <si>
    <t>0x00e23040</t>
  </si>
  <si>
    <t>この手で勝負します。</t>
  </si>
  <si>
    <t>0x00e23058</t>
  </si>
  <si>
    <t>親が勝負しています。</t>
  </si>
  <si>
    <t>0x00e23070</t>
  </si>
  <si>
    <t>持ち点がないので、終了します。</t>
  </si>
  <si>
    <t>0x00e23090</t>
  </si>
  <si>
    <t>所持賭け点がなくなった参加者が出ましたので今回の勝負はここで終了となります。</t>
  </si>
  <si>
    <t>0x00e23108</t>
  </si>
  <si>
    <t>賭け点	%d点</t>
  </si>
  <si>
    <t>0x00e23118</t>
  </si>
  <si>
    <t>結果	%d点</t>
  </si>
  <si>
    <t>0x00e23138</t>
  </si>
  <si>
    <t>ドシッピン</t>
  </si>
  <si>
    <t>0x00e23148</t>
  </si>
  <si>
    <t>シロクの逃げ</t>
  </si>
  <si>
    <t>0x00e23158</t>
  </si>
  <si>
    <t>札の種類</t>
  </si>
  <si>
    <t>0x00e2317c</t>
  </si>
  <si>
    <t>用</t>
  </si>
  <si>
    <t>0x00e23184</t>
  </si>
  <si>
    <t>シロクの逃げで勝負を降ります。</t>
  </si>
  <si>
    <t>0x00e231ac</t>
  </si>
  <si>
    <t>賭け点の同額を獲得しました。</t>
  </si>
  <si>
    <t>0x00e231cc</t>
  </si>
  <si>
    <t>シッピンで勝ったので賭け点の２倍を獲得しました。</t>
  </si>
  <si>
    <t>0x00e23204</t>
  </si>
  <si>
    <t>クッピンで勝ったので賭け点の２倍を獲得しました。</t>
  </si>
  <si>
    <t>0x00e2323c</t>
  </si>
  <si>
    <t>アラシで勝ったので賭け点の３倍を獲得しました。</t>
  </si>
  <si>
    <t>0x00e2326c</t>
  </si>
  <si>
    <t>ドシッピンで勝ったので賭け点の２０倍を獲得しました。</t>
  </si>
  <si>
    <t>0x00e232bc</t>
  </si>
  <si>
    <t>賭け点を失いました。</t>
  </si>
  <si>
    <t>0x00e232d4</t>
  </si>
  <si>
    <t>シッピンに負けたので賭け点の２倍を失いました。</t>
  </si>
  <si>
    <t>0x00e23304</t>
  </si>
  <si>
    <t>クッピンに負けたので賭け点の２倍を失いました。</t>
  </si>
  <si>
    <t>0x00e23334</t>
  </si>
  <si>
    <t>アラシに負けたので賭け点の３倍を失いました。</t>
  </si>
  <si>
    <t>0x00e23364</t>
  </si>
  <si>
    <t>ドシッピンに負けたので賭け点の２０倍を失いました。</t>
  </si>
  <si>
    <t>0x00e233b4</t>
  </si>
  <si>
    <t>0x00e233c4</t>
  </si>
  <si>
    <t>0x00e233c8</t>
  </si>
  <si>
    <t>0x00e233cc</t>
  </si>
  <si>
    <t>0x00e233d8</t>
  </si>
  <si>
    <t>0x00e233e4</t>
  </si>
  <si>
    <t>収支がプラスなので持ち点が増えました。</t>
  </si>
  <si>
    <t>0x00e2340c</t>
  </si>
  <si>
    <t>収支がマイナスなので持ち点が減りました。</t>
  </si>
  <si>
    <t>0x00e2343c</t>
  </si>
  <si>
    <t>収支が０なので増減はありません。</t>
  </si>
  <si>
    <t>0x00e23474</t>
  </si>
  <si>
    <t>0x00e23488</t>
  </si>
  <si>
    <t>初級で遊ぶには、最低１００点必要です。[n]一度に賭けられる賭け点の上限は１００点までです。</t>
  </si>
  <si>
    <t>0x00e234e0</t>
  </si>
  <si>
    <t>中級で遊ぶには、最低５００点必要です。[n]一度に賭けられる賭け点の上限は５００点までです。</t>
  </si>
  <si>
    <t>0x00e23538</t>
  </si>
  <si>
    <t>上級で遊ぶには、最低１０００点必要です。[n]一度に賭けられる賭け点の上限は１０００点までです。</t>
  </si>
  <si>
    <t>0x00e23598</t>
  </si>
  <si>
    <t>賭け点が足りないので遊べません。[n]１００点以上貯めてください。</t>
  </si>
  <si>
    <t>0x00e235d8</t>
  </si>
  <si>
    <t>賭け点が足りないので遊べません。[n]５００点以上貯めてください。</t>
  </si>
  <si>
    <t>0x00e23618</t>
  </si>
  <si>
    <t>賭け点が足りないので遊べません。[n]１０００点以上貯めてください。</t>
  </si>
  <si>
    <t>0x00e23670</t>
  </si>
  <si>
    <t>もう一枚引くかな…</t>
  </si>
  <si>
    <t>0x00e23688</t>
  </si>
  <si>
    <t>これで勝負か…</t>
  </si>
  <si>
    <t>0x00e23698</t>
  </si>
  <si>
    <t>ブタになりませんように</t>
  </si>
  <si>
    <t>0x00e236b0</t>
  </si>
  <si>
    <t>オイチョか、カブで！</t>
  </si>
  <si>
    <t>0x00e236c8</t>
  </si>
  <si>
    <t>シッピン狙うしかないな</t>
  </si>
  <si>
    <t>0x00e236e0</t>
  </si>
  <si>
    <t>クッピン狙うしかないな</t>
  </si>
  <si>
    <t>0x00e236f8</t>
  </si>
  <si>
    <t>アラシが来るのか!?</t>
  </si>
  <si>
    <t>0x00e23794</t>
  </si>
  <si>
    <t>応対客数</t>
  </si>
  <si>
    <t>0x00e237a4</t>
  </si>
  <si>
    <t>最大連続数</t>
  </si>
  <si>
    <t>0x00e237b4</t>
  </si>
  <si>
    <t>総売り上げ</t>
  </si>
  <si>
    <t>0x00e237c4</t>
  </si>
  <si>
    <t>総評</t>
  </si>
  <si>
    <t>0x00e237e0</t>
  </si>
  <si>
    <t>神</t>
  </si>
  <si>
    <t>0x00e237e8</t>
  </si>
  <si>
    <t>優</t>
  </si>
  <si>
    <t>0x00e237f0</t>
  </si>
  <si>
    <t>良</t>
  </si>
  <si>
    <t>0x00e237f8</t>
  </si>
  <si>
    <t>0x00e23800</t>
  </si>
  <si>
    <t>不可</t>
  </si>
  <si>
    <t>0x00e23824</t>
  </si>
  <si>
    <t>0x00e23830</t>
  </si>
  <si>
    <t>0x00e23840</t>
  </si>
  <si>
    <t>手紙</t>
  </si>
  <si>
    <t>0x00e23848</t>
  </si>
  <si>
    <t>精進目録</t>
  </si>
  <si>
    <t>0x00e23858</t>
  </si>
  <si>
    <t>サブストーリー</t>
  </si>
  <si>
    <t>0x00e2386c</t>
  </si>
  <si>
    <t>図</t>
  </si>
  <si>
    <t>0x00e23874</t>
  </si>
  <si>
    <t>用語説明</t>
  </si>
  <si>
    <t>0x00e23884</t>
  </si>
  <si>
    <t>備忘録</t>
  </si>
  <si>
    <t>0x00e2388c</t>
  </si>
  <si>
    <t>セーブ／設定</t>
  </si>
  <si>
    <t>0x00e2389c</t>
  </si>
  <si>
    <t>随伴隊士</t>
  </si>
  <si>
    <t>0x00e238ac</t>
  </si>
  <si>
    <t>農業詳細</t>
  </si>
  <si>
    <t>0x00e238bc</t>
  </si>
  <si>
    <t>料理詳細</t>
  </si>
  <si>
    <t>0x00e23914</t>
  </si>
  <si>
    <t>能力強化できます</t>
  </si>
  <si>
    <t>0x00e23934</t>
  </si>
  <si>
    <t>所持数順</t>
  </si>
  <si>
    <t>0x00e23950</t>
  </si>
  <si>
    <t>経験値が上がった</t>
  </si>
  <si>
    <t>0x00e23968</t>
  </si>
  <si>
    <t>%sの経験値が上がった</t>
  </si>
  <si>
    <t>0x00e239b0</t>
  </si>
  <si>
    <t>徳を獲得した</t>
  </si>
  <si>
    <t>0x00e239c8</t>
  </si>
  <si>
    <t>所持品</t>
  </si>
  <si>
    <t>0x00e239d0</t>
  </si>
  <si>
    <t>農作物</t>
  </si>
  <si>
    <t>0x00e239d8</t>
  </si>
  <si>
    <t>魚類</t>
  </si>
  <si>
    <t>0x00e239e0</t>
  </si>
  <si>
    <t>装備素材</t>
  </si>
  <si>
    <t>0x00e23a08</t>
  </si>
  <si>
    <t>装備武器</t>
  </si>
  <si>
    <t>0x00e23a20</t>
  </si>
  <si>
    <t>装備防具</t>
  </si>
  <si>
    <t>0x00e23a38</t>
  </si>
  <si>
    <t>所持武器</t>
  </si>
  <si>
    <t>0x00e23a48</t>
  </si>
  <si>
    <t>所持防具</t>
  </si>
  <si>
    <t>0x00e23a64</t>
  </si>
  <si>
    <t>刀</t>
  </si>
  <si>
    <t>0x00e23a6c</t>
  </si>
  <si>
    <t>特殊武器</t>
  </si>
  <si>
    <t>0x00e23a7c</t>
  </si>
  <si>
    <t>銃</t>
  </si>
  <si>
    <t>0x00e23a84</t>
  </si>
  <si>
    <t>弾丸</t>
  </si>
  <si>
    <t>0x00e23a8c</t>
  </si>
  <si>
    <t>鉢巻</t>
  </si>
  <si>
    <t>0x00e23a94</t>
  </si>
  <si>
    <t>胸当て</t>
  </si>
  <si>
    <t>0x00e23a9c</t>
  </si>
  <si>
    <t>籠手</t>
  </si>
  <si>
    <t>0x00e23ac4</t>
  </si>
  <si>
    <t>攻撃力</t>
  </si>
  <si>
    <t>0x00e23ad4</t>
  </si>
  <si>
    <t>防御力</t>
  </si>
  <si>
    <t>0x00e23ae4</t>
  </si>
  <si>
    <t>希少度</t>
  </si>
  <si>
    <t>0x00e23aec</t>
  </si>
  <si>
    <t>格</t>
  </si>
  <si>
    <t>0x00e23b00</t>
  </si>
  <si>
    <t>で選択中の武具の強化素材を確認することができます。</t>
  </si>
  <si>
    <t>0x00e23b40</t>
  </si>
  <si>
    <t>0x00e23b4c</t>
  </si>
  <si>
    <t>基本操作</t>
  </si>
  <si>
    <t>0x00e23b5c</t>
  </si>
  <si>
    <t>特殊技</t>
  </si>
  <si>
    <t>0x00e23b64</t>
  </si>
  <si>
    <t>格闘の型</t>
  </si>
  <si>
    <t>0x00e23b74</t>
  </si>
  <si>
    <t>一刀の型</t>
  </si>
  <si>
    <t>0x00e23b84</t>
  </si>
  <si>
    <t>乱舞の型</t>
  </si>
  <si>
    <t>0x00e23b94</t>
  </si>
  <si>
    <t>短銃の型</t>
  </si>
  <si>
    <t>0x00e23bdc</t>
  </si>
  <si>
    <t>現在は習得できません。</t>
  </si>
  <si>
    <t>0x00e23bfc</t>
  </si>
  <si>
    <t>持ち物を使用出来ませんでした。</t>
  </si>
  <si>
    <t>0x00e23c1c</t>
  </si>
  <si>
    <t>装填出来ませんでした。</t>
  </si>
  <si>
    <t>0x00e23c34</t>
  </si>
  <si>
    <t>持ち物を捨てる事が出来ませんでした。</t>
  </si>
  <si>
    <t>0x00e23c60</t>
  </si>
  <si>
    <t>受信メール</t>
  </si>
  <si>
    <t>0x00e23c78</t>
  </si>
  <si>
    <t>メール</t>
  </si>
  <si>
    <t>0x00e23c88</t>
  </si>
  <si>
    <t>飲食店</t>
  </si>
  <si>
    <t>0x00e23c90</t>
  </si>
  <si>
    <t>販売店</t>
  </si>
  <si>
    <t>0x00e23c98</t>
  </si>
  <si>
    <t>プレイスポット</t>
  </si>
  <si>
    <t>0x00e23ca8</t>
  </si>
  <si>
    <t>シナリオ</t>
  </si>
  <si>
    <t>0x00e23cb8</t>
  </si>
  <si>
    <t>修行</t>
  </si>
  <si>
    <t>0x00e23cc0</t>
  </si>
  <si>
    <t>設定した目的地</t>
  </si>
  <si>
    <t>0x00e23cd4</t>
  </si>
  <si>
    <t>うどん屋</t>
  </si>
  <si>
    <t>0x00e23ce4</t>
  </si>
  <si>
    <t>蕎麦屋</t>
  </si>
  <si>
    <t>0x00e23cec</t>
  </si>
  <si>
    <t>たこ焼き屋</t>
  </si>
  <si>
    <t>0x00e23cfc</t>
  </si>
  <si>
    <t>はなこ</t>
  </si>
  <si>
    <t>0x00e23d04</t>
  </si>
  <si>
    <t>居酒屋</t>
  </si>
  <si>
    <t>0x00e23d0c</t>
  </si>
  <si>
    <t>茶屋</t>
  </si>
  <si>
    <t>0x00e23d14</t>
  </si>
  <si>
    <t>魚屋</t>
  </si>
  <si>
    <t>0x00e23d1c</t>
  </si>
  <si>
    <t>釜飯屋</t>
  </si>
  <si>
    <t>0x00e23d24</t>
  </si>
  <si>
    <t>飯屋1</t>
  </si>
  <si>
    <t>0x00e23d2c</t>
  </si>
  <si>
    <t>飯屋2</t>
  </si>
  <si>
    <t>0x00e23d34</t>
  </si>
  <si>
    <t>八百屋</t>
  </si>
  <si>
    <t>0x00e23d3c</t>
  </si>
  <si>
    <t>神社1</t>
  </si>
  <si>
    <t>0x00e23d44</t>
  </si>
  <si>
    <t>神社2</t>
  </si>
  <si>
    <t>0x00e23d4c</t>
  </si>
  <si>
    <t>師匠2</t>
  </si>
  <si>
    <t>0x00e23d54</t>
  </si>
  <si>
    <t>師匠1</t>
  </si>
  <si>
    <t>0x00e23d5c</t>
  </si>
  <si>
    <t>砲丸</t>
  </si>
  <si>
    <t>0x00e23da8</t>
  </si>
  <si>
    <t>0x00e23dac</t>
  </si>
  <si>
    <t>屋</t>
  </si>
  <si>
    <t>0x00e23db0</t>
  </si>
  <si>
    <t>0x00e23db4</t>
  </si>
  <si>
    <t>師匠</t>
  </si>
  <si>
    <t>0x00e23dc4</t>
  </si>
  <si>
    <t>0x00e23dd4</t>
  </si>
  <si>
    <t>0x00e23ddc</t>
  </si>
  <si>
    <t>0x00e23df4</t>
  </si>
  <si>
    <t>マップがありません</t>
  </si>
  <si>
    <t>0x00e23e14</t>
  </si>
  <si>
    <t>0x00e23e1c</t>
  </si>
  <si>
    <t>釣り竿</t>
  </si>
  <si>
    <t>0x00e23e24</t>
  </si>
  <si>
    <t>養鶏所</t>
  </si>
  <si>
    <t>0x00e23e2c</t>
  </si>
  <si>
    <t>猫の布団</t>
  </si>
  <si>
    <t>0x00e23e3c</t>
  </si>
  <si>
    <t>犬小屋レベル</t>
  </si>
  <si>
    <t>0x00e23e4c</t>
  </si>
  <si>
    <t>調理器具</t>
  </si>
  <si>
    <t>0x00e23e5c</t>
  </si>
  <si>
    <t>内装</t>
  </si>
  <si>
    <t>0x00e23e80</t>
  </si>
  <si>
    <t>0x00e23e90</t>
  </si>
  <si>
    <t>&lt;Color:20&gt;%03d/%03d&lt;Color:Default&gt;</t>
  </si>
  <si>
    <t>0x00e23ec0</t>
  </si>
  <si>
    <t>0x00e23ec8</t>
  </si>
  <si>
    <t>日</t>
  </si>
  <si>
    <t>0x00e23ed0</t>
  </si>
  <si>
    <t>型</t>
  </si>
  <si>
    <t>0x00e23ed8</t>
  </si>
  <si>
    <t>0x00e23ee0</t>
  </si>
  <si>
    <t>0x00e23ef0</t>
  </si>
  <si>
    <t>額</t>
  </si>
  <si>
    <t>0x00e23f00</t>
  </si>
  <si>
    <t>勝</t>
  </si>
  <si>
    <t>0x00e23f24</t>
  </si>
  <si>
    <t>0x00e23f28</t>
  </si>
  <si>
    <t>0x00e23f2c</t>
  </si>
  <si>
    <t>0x00e23f30</t>
  </si>
  <si>
    <t>得</t>
  </si>
  <si>
    <t>0x00e23f54</t>
  </si>
  <si>
    <t>ミニゲーム</t>
  </si>
  <si>
    <t>0x00e23f64</t>
  </si>
  <si>
    <t>食事</t>
  </si>
  <si>
    <t>0x00e23f6c</t>
  </si>
  <si>
    <t>武器・防具</t>
  </si>
  <si>
    <t>0x00e23f7c</t>
  </si>
  <si>
    <t>お尋ね者</t>
  </si>
  <si>
    <t>0x00e23f8c</t>
  </si>
  <si>
    <t>バトルダンジョン</t>
  </si>
  <si>
    <t>0x00e23fa4</t>
  </si>
  <si>
    <t>場</t>
  </si>
  <si>
    <t>0x00e23fd4</t>
  </si>
  <si>
    <t>サブストーリーのコンプリートです。[n]</t>
  </si>
  <si>
    <t>0x00e23ffc</t>
  </si>
  <si>
    <t>ミニゲームのコンプリートです。[n]各ミニゲームの達成状況を確認できます。</t>
  </si>
  <si>
    <t>0x00e24044</t>
  </si>
  <si>
    <t>アナザーライフのコンプリートです。</t>
  </si>
  <si>
    <t>0x00e2406c</t>
  </si>
  <si>
    <t>食事のコンプリートです。[n]全ての飲食系店舗メニューを制覇すると達成です。</t>
  </si>
  <si>
    <t>0x00e240b4</t>
  </si>
  <si>
    <t>ヒートアクションのコンプリートです。[n]全てのヒートアクションを発動させると達成です。</t>
  </si>
  <si>
    <t>0x00e2410c</t>
  </si>
  <si>
    <t>武器・防具のコンプリートです。</t>
  </si>
  <si>
    <t>0x00e2412c</t>
  </si>
  <si>
    <t>師匠のコンプリートです。[n]各師匠のミッション・修行を全て完了すると達成です。</t>
  </si>
  <si>
    <t>0x00e2417c</t>
  </si>
  <si>
    <t>お尋ね者のコンプリートです。[n]</t>
  </si>
  <si>
    <t>0x00e2419c</t>
  </si>
  <si>
    <t>バトルダンジョンのコンプリートです。</t>
  </si>
  <si>
    <t>0x00e241c4</t>
  </si>
  <si>
    <t>闘技場のコンプリートです。</t>
  </si>
  <si>
    <t>0x00e24210</t>
  </si>
  <si>
    <t>0x00e24218</t>
  </si>
  <si>
    <t>0x00e24220</t>
  </si>
  <si>
    <t>0x00e24228</t>
  </si>
  <si>
    <t>印</t>
  </si>
  <si>
    <t>0x00e24238</t>
  </si>
  <si>
    <t>Ｔｉｐｓ表示</t>
  </si>
  <si>
    <t>0x00e24248</t>
  </si>
  <si>
    <t>おまかせ成長設定</t>
  </si>
  <si>
    <t>0x00e24260</t>
  </si>
  <si>
    <t>視点操作（縦）</t>
  </si>
  <si>
    <t>0x00e24270</t>
  </si>
  <si>
    <t>視点操作（横）</t>
  </si>
  <si>
    <t>0x00e24280</t>
  </si>
  <si>
    <t>主観モード視点操作（縦）</t>
  </si>
  <si>
    <t>0x00e242a0</t>
  </si>
  <si>
    <t>主観モード視点操作（横）</t>
  </si>
  <si>
    <t>0x00e242c0</t>
  </si>
  <si>
    <t>ミニマップ表示</t>
  </si>
  <si>
    <t>0x00e242d0</t>
  </si>
  <si>
    <t>ミニマップ表示（上方向）</t>
  </si>
  <si>
    <t>0x00e242f0</t>
  </si>
  <si>
    <t>字幕設定</t>
  </si>
  <si>
    <t>0x00e24300</t>
  </si>
  <si>
    <t>用語強調表示設定</t>
  </si>
  <si>
    <t>0x00e24318</t>
  </si>
  <si>
    <t>あらすじ設定</t>
  </si>
  <si>
    <t>0x00e24328</t>
  </si>
  <si>
    <t>装備武器イベント内変更表示</t>
  </si>
  <si>
    <t>0x00e24348</t>
  </si>
  <si>
    <t>あらすじのナレーションボイス</t>
  </si>
  <si>
    <t>0x00e24368</t>
  </si>
  <si>
    <t>画面の明度調整</t>
  </si>
  <si>
    <t>0x00e24378</t>
  </si>
  <si>
    <t>画面の階調調整</t>
  </si>
  <si>
    <t>0x00e24388</t>
  </si>
  <si>
    <t>２Ｄ表示位置調整</t>
  </si>
  <si>
    <t>0x00e243a0</t>
  </si>
  <si>
    <t>フォント設定</t>
  </si>
  <si>
    <t>0x00e243b0</t>
  </si>
  <si>
    <t>ライブ配信</t>
  </si>
  <si>
    <t>0x00e243c0</t>
  </si>
  <si>
    <t>難易度設定</t>
  </si>
  <si>
    <t>0x00e24420</t>
  </si>
  <si>
    <t>Ｔｉｐｓの表示量を選択できます。[n]「少なめ」だと必要最低限の情報以外は表示されなくなります。[n]龍が如くシリーズ初プレイの方には「多め」をお勧めします。</t>
  </si>
  <si>
    <t>0x00e244b8</t>
  </si>
  <si>
    <t>フリーカメラの縦方向の操作設定です。[n]「順」で右スティックを倒した方向に動きます。[n]</t>
  </si>
  <si>
    <t>0x00e24510</t>
  </si>
  <si>
    <t>フリーカメラの横方向の操作設定です。[n]「順」で右スティックを倒した方向に動きます。[n]</t>
  </si>
  <si>
    <t>0x00e24568</t>
  </si>
  <si>
    <t>主観モードの縦方向の操作設定です。[n]「順」で右スティックを倒した方向に動きます。[n]</t>
  </si>
  <si>
    <t>0x00e245c0</t>
  </si>
  <si>
    <t>主観モードの横方向の操作設定です。[n]「順」で右スティックを倒した方向に動きます。[n]</t>
  </si>
  <si>
    <t>0x00e24618</t>
  </si>
  <si>
    <t>画面左下に表示されるミニマップのあり／なし設定です。</t>
  </si>
  <si>
    <t>0x00e24650</t>
  </si>
  <si>
    <t>画面左下に表示されるミニマップの設定です。[n]「固定」で地図の上方向が固定、「正面」でカメラの向きに追従します。</t>
  </si>
  <si>
    <t>0x00e246c0</t>
  </si>
  <si>
    <t>イベントシーンの字幕のあり／なし設定です。</t>
  </si>
  <si>
    <t>0x00e246f0</t>
  </si>
  <si>
    <t>字引き対象の用語を強調表示するかどうかの設定です。</t>
  </si>
  <si>
    <t>0x00e24728</t>
  </si>
  <si>
    <t>次の章へ行く前に前章のあらすじを[n]再生する／しない設定です。</t>
  </si>
  <si>
    <t>0x00e24768</t>
  </si>
  <si>
    <t>主人公の装備武器が特殊な形状をしていた場合でも[n]イベントシーン内でそのまま表示するかの[n]する／しない設定です。</t>
  </si>
  <si>
    <t>0x00e247d8</t>
  </si>
  <si>
    <t>あらすじのナレーションボイスを変更することができます。</t>
  </si>
  <si>
    <t>0x00e24810</t>
  </si>
  <si>
    <t>カーソルをスライドさせることで、[n]画面の明度を調整できます。</t>
  </si>
  <si>
    <t>0x00e24850</t>
  </si>
  <si>
    <t>カーソルをスライドさせることで、[n]画面の階調を調整できます。</t>
  </si>
  <si>
    <t>0x00e24890</t>
  </si>
  <si>
    <t>ゲーム中に使用される書体を変更できます。[n]「自動」で映像出力方式に適したフォントが表示されます。[n]</t>
  </si>
  <si>
    <t>0x00e248f8</t>
  </si>
  <si>
    <t>難易度を選択できます。</t>
  </si>
  <si>
    <t>0x00e24914</t>
  </si>
  <si>
    <t>インターフェース表示位置を決定してください</t>
  </si>
  <si>
    <t>0x00e2494c</t>
  </si>
  <si>
    <t>順</t>
  </si>
  <si>
    <t>0x00e24954</t>
  </si>
  <si>
    <t>逆</t>
  </si>
  <si>
    <t>0x00e24968</t>
  </si>
  <si>
    <t>固定</t>
  </si>
  <si>
    <t>0x00e24970</t>
  </si>
  <si>
    <t>正面</t>
  </si>
  <si>
    <t>0x00e24984</t>
  </si>
  <si>
    <t>あり</t>
  </si>
  <si>
    <t>0x00e24998</t>
  </si>
  <si>
    <t>自動</t>
  </si>
  <si>
    <t>0x00e249a0</t>
  </si>
  <si>
    <t>明朝体</t>
  </si>
  <si>
    <t>0x00e249a8</t>
  </si>
  <si>
    <t>ゴシック体</t>
  </si>
  <si>
    <t>0x00e249d0</t>
  </si>
  <si>
    <t>少なめ</t>
  </si>
  <si>
    <t>0x00e249d8</t>
  </si>
  <si>
    <t>多め</t>
  </si>
  <si>
    <t>0x00e249f0</t>
  </si>
  <si>
    <t>本編の設定</t>
  </si>
  <si>
    <t>0x00e24a00</t>
  </si>
  <si>
    <t>松原忠治</t>
  </si>
  <si>
    <t>0x00e24a10</t>
  </si>
  <si>
    <t>井上源三郎</t>
  </si>
  <si>
    <t>0x00e24a20</t>
  </si>
  <si>
    <t>原田左之助</t>
  </si>
  <si>
    <t>0x00e24a30</t>
  </si>
  <si>
    <t>岡田以蔵</t>
  </si>
  <si>
    <t>0x00e24a40</t>
  </si>
  <si>
    <t>中岡慎太郎</t>
  </si>
  <si>
    <t>0x00e24a50</t>
  </si>
  <si>
    <t>お登勢</t>
  </si>
  <si>
    <t>0x00e24a58</t>
  </si>
  <si>
    <t>佐々木只三郎</t>
  </si>
  <si>
    <t>0x00e24a68</t>
  </si>
  <si>
    <t>幾松</t>
  </si>
  <si>
    <t>0x00e24aac</t>
  </si>
  <si>
    <t>&lt;Sign:D&gt;入力を行うと、詳細説明が表示されます。</t>
  </si>
  <si>
    <t>0x00e24ae4</t>
  </si>
  <si>
    <t>&lt;Sign:C&gt;入力を行うと、詳細説明表示を閉じます。[n]方向キーや左スティックの左右を入力することで、[n]説明表示内容の変更ができます。</t>
  </si>
  <si>
    <t>0x00e24b6c</t>
  </si>
  <si>
    <t>再挑戦</t>
  </si>
  <si>
    <t>0x00e24b74</t>
  </si>
  <si>
    <t>ロードして再挑戦</t>
  </si>
  <si>
    <t>0x00e24b8c</t>
  </si>
  <si>
    <t>直前のチェックポイントから再挑戦</t>
  </si>
  <si>
    <t>0x00e24bb4</t>
  </si>
  <si>
    <t>ゲームを終了する</t>
  </si>
  <si>
    <t>0x00e24bcc</t>
  </si>
  <si>
    <t>メインメニューに戻る</t>
  </si>
  <si>
    <t>0x00e24be4</t>
  </si>
  <si>
    <t>究極闘技メニューに戻る</t>
  </si>
  <si>
    <t>0x00e24c18</t>
  </si>
  <si>
    <t>0x00e24c24</t>
  </si>
  <si>
    <t>0x00e24c34</t>
  </si>
  <si>
    <t>術</t>
  </si>
  <si>
    <t>0x00e24c38</t>
  </si>
  <si>
    <t>0x00e24c44</t>
  </si>
  <si>
    <t>0x00e24c4c</t>
  </si>
  <si>
    <t>登録ネットショップ</t>
  </si>
  <si>
    <t>0x00e24c64</t>
  </si>
  <si>
    <t>未開封の手紙</t>
  </si>
  <si>
    <t>0x00e24c74</t>
  </si>
  <si>
    <t>%d/%d店</t>
  </si>
  <si>
    <t>0x00e24c7c</t>
  </si>
  <si>
    <t>%d通</t>
  </si>
  <si>
    <t>0x00e24c98</t>
  </si>
  <si>
    <t>部</t>
  </si>
  <si>
    <t>0x00e24c9c</t>
  </si>
  <si>
    <t>0x00e24ca0</t>
  </si>
  <si>
    <t>0x00e24ca8</t>
  </si>
  <si>
    <t>0x00e24cac</t>
  </si>
  <si>
    <t>0x00e24cb0</t>
  </si>
  <si>
    <t>0x00e24cb4</t>
  </si>
  <si>
    <t>0x00e24cbc</t>
  </si>
  <si>
    <t>コンプリート達成率</t>
  </si>
  <si>
    <t>0x00e24ce0</t>
  </si>
  <si>
    <t>街の噂</t>
  </si>
  <si>
    <t>0x00e24ce8</t>
  </si>
  <si>
    <t>%d項目</t>
  </si>
  <si>
    <t>0x00e24d04</t>
  </si>
  <si>
    <t>体力</t>
  </si>
  <si>
    <t>0x00e24d0c</t>
  </si>
  <si>
    <t>闘気</t>
  </si>
  <si>
    <t>0x00e24d14</t>
  </si>
  <si>
    <t>格闘攻撃力</t>
  </si>
  <si>
    <t>0x00e24d24</t>
  </si>
  <si>
    <t>一刀攻撃力</t>
  </si>
  <si>
    <t>0x00e24d34</t>
  </si>
  <si>
    <t>短銃攻撃力</t>
  </si>
  <si>
    <t>0x00e24d44</t>
  </si>
  <si>
    <t>乱舞攻撃力</t>
  </si>
  <si>
    <t>0x00e24d58</t>
  </si>
  <si>
    <t>格闘の魂球</t>
  </si>
  <si>
    <t>0x00e24d68</t>
  </si>
  <si>
    <t>一刀の魂球</t>
  </si>
  <si>
    <t>0x00e24d78</t>
  </si>
  <si>
    <t>短銃の魂球</t>
  </si>
  <si>
    <t>0x00e24d88</t>
  </si>
  <si>
    <t>乱舞の魂球</t>
  </si>
  <si>
    <t>0x00e24d98</t>
  </si>
  <si>
    <t>修練の魂球</t>
  </si>
  <si>
    <t>0x00e24dc0</t>
  </si>
  <si>
    <t>%sと入れ替えを行いますか？</t>
  </si>
  <si>
    <t>0x00e24de8</t>
  </si>
  <si>
    <t>あ</t>
  </si>
  <si>
    <t>0x00e24df0</t>
  </si>
  <si>
    <t>さ</t>
  </si>
  <si>
    <t>0x00e24df8</t>
  </si>
  <si>
    <t>0x00e24e00</t>
  </si>
  <si>
    <t>ま</t>
  </si>
  <si>
    <t>0x00e24e08</t>
  </si>
  <si>
    <t>0x00e24e10</t>
  </si>
  <si>
    <t>0x00e24e44</t>
  </si>
  <si>
    <t>達成項目数</t>
  </si>
  <si>
    <t>0x00e24e54</t>
  </si>
  <si>
    <t>達成済み</t>
  </si>
  <si>
    <t>0x00e24e7c</t>
  </si>
  <si>
    <t>人物解説</t>
  </si>
  <si>
    <t>0x00e24e8c</t>
  </si>
  <si>
    <t>用語解説</t>
  </si>
  <si>
    <t>0x00e24eac</t>
  </si>
  <si>
    <t>野盗の洞窟</t>
  </si>
  <si>
    <t>0x00e24ebc</t>
  </si>
  <si>
    <t>義賊の廃鉱</t>
  </si>
  <si>
    <t>0x00e24ecc</t>
  </si>
  <si>
    <t>豊臣家残党</t>
  </si>
  <si>
    <t>0x00e24eec</t>
  </si>
  <si>
    <t>農業</t>
  </si>
  <si>
    <t>0x00e24ef8</t>
  </si>
  <si>
    <t>料理</t>
  </si>
  <si>
    <t>0x00e24f00</t>
  </si>
  <si>
    <t>行商</t>
  </si>
  <si>
    <t>0x00e24f08</t>
  </si>
  <si>
    <t>ペット</t>
  </si>
  <si>
    <t>0x00e24f10</t>
  </si>
  <si>
    <t>遥との交流</t>
  </si>
  <si>
    <t>0x00e24f3c</t>
  </si>
  <si>
    <t>累計取引金額</t>
  </si>
  <si>
    <t>0x00e24f54</t>
  </si>
  <si>
    <t>プレイ時間</t>
  </si>
  <si>
    <t>0x00e24f6c</t>
  </si>
  <si>
    <t>育成可能野菜数</t>
  </si>
  <si>
    <t>0x00e24f7c</t>
  </si>
  <si>
    <t>釣った魚の種類</t>
  </si>
  <si>
    <t>0x00e24f8c</t>
  </si>
  <si>
    <t>料理できたレシピ数</t>
  </si>
  <si>
    <t>0x00e24fa4</t>
  </si>
  <si>
    <t>成約取引数</t>
  </si>
  <si>
    <t>0x00e24fc8</t>
  </si>
  <si>
    <t>ロード</t>
  </si>
  <si>
    <t>0x00e24fd0</t>
  </si>
  <si>
    <t>設定</t>
  </si>
  <si>
    <t>0x00e24fd8</t>
  </si>
  <si>
    <t>タイトルに戻る</t>
  </si>
  <si>
    <t>0x00e24ffc</t>
  </si>
  <si>
    <t>初期設備</t>
  </si>
  <si>
    <t>0x00e2500c</t>
  </si>
  <si>
    <t>豪華</t>
  </si>
  <si>
    <t>0x00e25014</t>
  </si>
  <si>
    <t>超豪華</t>
  </si>
  <si>
    <t>0x00e25030</t>
  </si>
  <si>
    <t>不便</t>
  </si>
  <si>
    <t>0x00e25038</t>
  </si>
  <si>
    <t>料理好き</t>
  </si>
  <si>
    <t>0x00e25048</t>
  </si>
  <si>
    <t>万能</t>
  </si>
  <si>
    <t>0x00e25064</t>
  </si>
  <si>
    <t>伍長能力</t>
  </si>
  <si>
    <t>0x00e25074</t>
  </si>
  <si>
    <t>隊士能力</t>
  </si>
  <si>
    <t>0x00e25090</t>
  </si>
  <si>
    <t>屯所に戻る</t>
  </si>
  <si>
    <t>0x00e250a8</t>
  </si>
  <si>
    <t>必要素材情報</t>
  </si>
  <si>
    <t>0x00e250b8</t>
  </si>
  <si>
    <t>必要数</t>
  </si>
  <si>
    <t>0x00e250c0</t>
  </si>
  <si>
    <t>所持数</t>
  </si>
  <si>
    <t>0x00e250c8</t>
  </si>
  <si>
    <t>鍛錬素材</t>
  </si>
  <si>
    <t>0x00e250d8</t>
  </si>
  <si>
    <t>格上げ素材</t>
  </si>
  <si>
    <t>0x00e250e8</t>
  </si>
  <si>
    <t>作成可能武具と素材</t>
  </si>
  <si>
    <t>0x00e2511c</t>
  </si>
  <si>
    <t>累計取引金額が１００両以上で達成です。</t>
  </si>
  <si>
    <t>0x00e2514c</t>
  </si>
  <si>
    <t>「%s」の封印が解かれました。</t>
  </si>
  <si>
    <t>0x00e25174</t>
  </si>
  <si>
    <t>全てのペットを飼って、世話をしてやると達成です。</t>
  </si>
  <si>
    <t>0x00e251b4</t>
  </si>
  <si>
    <t>全ての種類の魚を釣れば達成です。</t>
  </si>
  <si>
    <t>0x00e251e4</t>
  </si>
  <si>
    <t>特殊</t>
  </si>
  <si>
    <t>0x00e251ec</t>
  </si>
  <si>
    <t>防具</t>
  </si>
  <si>
    <t>0x00e2520c</t>
  </si>
  <si>
    <t>&lt;Sign:1&gt;表示切替 &lt;Sign:D&gt;決定 &lt;Sign:C&gt;戻る</t>
  </si>
  <si>
    <t>0x00e25244</t>
  </si>
  <si>
    <t>攻撃力 %d</t>
  </si>
  <si>
    <t>0x00e2525c</t>
  </si>
  <si>
    <t>防御力 %d</t>
  </si>
  <si>
    <t>0x00e25274</t>
  </si>
  <si>
    <t>無料</t>
  </si>
  <si>
    <t>0x00e25284</t>
  </si>
  <si>
    <t>&lt;Sign:D&gt;%s</t>
  </si>
  <si>
    <t>0x00e25294</t>
  </si>
  <si>
    <t>&lt;Sign:C&gt;視線リセット</t>
  </si>
  <si>
    <t>0x00e252ac</t>
  </si>
  <si>
    <t>&lt;Sign:29&gt;視線移動</t>
  </si>
  <si>
    <t>0x00e252d8</t>
  </si>
  <si>
    <t>送り先も一杯です。捨ててもよろしいですか？</t>
  </si>
  <si>
    <t>0x00e25310</t>
  </si>
  <si>
    <t>%s を捨てました</t>
  </si>
  <si>
    <t>0x00e25334</t>
  </si>
  <si>
    <t>（与えられそうなものを持っていないな……）</t>
  </si>
  <si>
    <t>0x00e2536c</t>
  </si>
  <si>
    <t>（何か精がつくものでもやろうか……）</t>
  </si>
  <si>
    <t>0x00e2539c</t>
  </si>
  <si>
    <t>本当に与えても良いですか？</t>
  </si>
  <si>
    <t>0x00e253c4</t>
  </si>
  <si>
    <t>（食えそうなものを持っていないな……）</t>
  </si>
  <si>
    <t>0x00e253f4</t>
  </si>
  <si>
    <t>（何を食おうか……）</t>
  </si>
  <si>
    <t>0x00e25414</t>
  </si>
  <si>
    <t>本当に食べても良いですか？</t>
  </si>
  <si>
    <t>0x00e2543c</t>
  </si>
  <si>
    <t>能力使用</t>
  </si>
  <si>
    <t>0x00e25454</t>
  </si>
  <si>
    <t>部隊の編成を行います。</t>
  </si>
  <si>
    <t>0x00e2546c</t>
  </si>
  <si>
    <t>部隊を率いて出兵します。</t>
  </si>
  <si>
    <t>0x00e2548c</t>
  </si>
  <si>
    <t>お金で募兵します。</t>
  </si>
  <si>
    <t>0x00e254a4</t>
  </si>
  <si>
    <t>所持品の変更をします。</t>
  </si>
  <si>
    <t>0x00e254bc</t>
  </si>
  <si>
    <t>遊び方の説明を見ることができます。</t>
  </si>
  <si>
    <t>0x00e254e4</t>
  </si>
  <si>
    <t>バトルダンジョンを終了します。</t>
  </si>
  <si>
    <t>0x00e25520</t>
  </si>
  <si>
    <t>入れ替え</t>
  </si>
  <si>
    <t>0x00e25530</t>
  </si>
  <si>
    <t>強化合成</t>
  </si>
  <si>
    <t>0x00e25540</t>
  </si>
  <si>
    <t>転生</t>
  </si>
  <si>
    <t>0x00e25548</t>
  </si>
  <si>
    <t>部隊から外す</t>
  </si>
  <si>
    <t>0x00e25558</t>
  </si>
  <si>
    <t>除籍</t>
  </si>
  <si>
    <t>0x00e2557c</t>
  </si>
  <si>
    <t>１０両</t>
  </si>
  <si>
    <t>0x00e25584</t>
  </si>
  <si>
    <t>５両</t>
  </si>
  <si>
    <t>0x00e2558c</t>
  </si>
  <si>
    <t>１両</t>
  </si>
  <si>
    <t>0x00e25594</t>
  </si>
  <si>
    <t>５０００文</t>
  </si>
  <si>
    <t>0x00e255c4</t>
  </si>
  <si>
    <t>%s使って募兵します。</t>
  </si>
  <si>
    <t>0x00e255e4</t>
  </si>
  <si>
    <t>これ以上隊士を保有できません。</t>
  </si>
  <si>
    <t>0x00e2560c</t>
  </si>
  <si>
    <t>部隊を選択してください。</t>
  </si>
  <si>
    <t>0x00e25634</t>
  </si>
  <si>
    <t>隊士を選択してください。</t>
  </si>
  <si>
    <t>0x00e2565c</t>
  </si>
  <si>
    <t>入れ替えたい隊士を選択してください。</t>
  </si>
  <si>
    <t>0x00e2568c</t>
  </si>
  <si>
    <t>隊士を入れ替えます。</t>
  </si>
  <si>
    <t>0x00e256a4</t>
  </si>
  <si>
    <t>隊士の強化を行います。</t>
  </si>
  <si>
    <t>0x00e256bc</t>
  </si>
  <si>
    <t>隊士の要望を聞いて、更なる進化をさせます。</t>
  </si>
  <si>
    <t>0x00e256ec</t>
  </si>
  <si>
    <t>部隊から外します。</t>
  </si>
  <si>
    <t>0x00e25704</t>
  </si>
  <si>
    <t>メニューを閉じます。</t>
  </si>
  <si>
    <t>0x00e2571c</t>
  </si>
  <si>
    <t>隊士を除籍します。</t>
  </si>
  <si>
    <t>0x00e25750</t>
  </si>
  <si>
    <t>この隊士を三番隊に加えますか？</t>
  </si>
  <si>
    <t>0x00e25778</t>
  </si>
  <si>
    <t>たび重なる任務失敗で、隊長への不満を募らせているようです。</t>
  </si>
  <si>
    <t>0x00e257b8</t>
  </si>
  <si>
    <t>やや忠誠心に欠ける所があり、隊長の能力に不満を持っているようです。</t>
  </si>
  <si>
    <t>0x00e25800</t>
  </si>
  <si>
    <t>前向きに任務に取り組む忠誠心を持ち、頑張っているようです。</t>
  </si>
  <si>
    <t>0x00e25840</t>
  </si>
  <si>
    <t>忠誠心に満ち、次の任務を楽しみにしているようです。</t>
  </si>
  <si>
    <t>0x00e25878</t>
  </si>
  <si>
    <t>隊長への忠誠心に満ち溢れ、次の任務を心待ちにしているようです。</t>
  </si>
  <si>
    <t>0x00e258e4</t>
  </si>
  <si>
    <t>出兵先を選択してください。</t>
  </si>
  <si>
    <t>0x00e2590c</t>
  </si>
  <si>
    <t>任務を選択してください。</t>
  </si>
  <si>
    <t>0x00e25934</t>
  </si>
  <si>
    <t>一覧を見る</t>
  </si>
  <si>
    <t>0x00e2594c</t>
  </si>
  <si>
    <t>出兵先情報を見る</t>
  </si>
  <si>
    <t>0x00e2596c</t>
  </si>
  <si>
    <t>強化合成開始</t>
  </si>
  <si>
    <t>0x00e25984</t>
  </si>
  <si>
    <t>強化合成を開始しますか？</t>
  </si>
  <si>
    <t>0x00e259ac</t>
  </si>
  <si>
    <t>あと&lt;Color:5&gt;%d人&lt;Color:Default&gt;選択することができます。</t>
  </si>
  <si>
    <t>0x00e259f4</t>
  </si>
  <si>
    <t>隊士一覧</t>
  </si>
  <si>
    <t>0x00e25a0c</t>
  </si>
  <si>
    <t>詳細を見たい隊士を選択してください。</t>
  </si>
  <si>
    <t>0x00e25a3c</t>
  </si>
  <si>
    <t>0x00e25a48</t>
  </si>
  <si>
    <t>これ以上隊士を保有できないため、[n]入隊希望者を受け付けませんでした</t>
  </si>
  <si>
    <t>0x00e25a98</t>
  </si>
  <si>
    <t>？？？</t>
  </si>
  <si>
    <t>0x00e25aa8</t>
  </si>
  <si>
    <t>戦果報告を終了する</t>
  </si>
  <si>
    <t>0x00e25ac8</t>
  </si>
  <si>
    <t>体力追加</t>
  </si>
  <si>
    <t>0x00e25ae0</t>
  </si>
  <si>
    <t>忠誠心が%s増えました。</t>
  </si>
  <si>
    <t>0x00e25b00</t>
  </si>
  <si>
    <t>忠誠心が%s減りました。</t>
  </si>
  <si>
    <t>0x00e25b2c</t>
  </si>
  <si>
    <t>経験値を%s取得しました。</t>
  </si>
  <si>
    <t>0x00e25b54</t>
  </si>
  <si>
    <t>体力が%sから%sに増加しました。</t>
  </si>
  <si>
    <t>0x00e25b84</t>
  </si>
  <si>
    <t>充填速度が%sから%sに増加しました。</t>
  </si>
  <si>
    <t>0x00e25bb4</t>
  </si>
  <si>
    <t>能力練度が%s上がりました。</t>
  </si>
  <si>
    <t>0x00e25bdc</t>
  </si>
  <si>
    <t>さらなる成長をするために、希少度が%s以上の%sを欲しがっています。</t>
  </si>
  <si>
    <t>0x00e25c2c</t>
  </si>
  <si>
    <t>さらなる成長をするために、%sを欲しがっています。</t>
  </si>
  <si>
    <t>0x00e25c6c</t>
  </si>
  <si>
    <t>この隊士は脱走中です。行方不明ですが、京のどこかに身を潜めているようです。</t>
  </si>
  <si>
    <t>0x00e25cc4</t>
  </si>
  <si>
    <t>伍長がいないため出兵できません</t>
  </si>
  <si>
    <t>0x00e25ce4</t>
  </si>
  <si>
    <t>この任務は攻撃隊士以外は出兵できません</t>
  </si>
  <si>
    <t>0x00e25d0c</t>
  </si>
  <si>
    <t>この任務は守備隊士以外は出兵できません</t>
  </si>
  <si>
    <t>0x00e25d34</t>
  </si>
  <si>
    <t>この任務は衛生隊士以外は出兵できません</t>
  </si>
  <si>
    <t>0x00e25d5c</t>
  </si>
  <si>
    <t>この任務は刀隊士以外は出兵できません</t>
  </si>
  <si>
    <t>0x00e25d84</t>
  </si>
  <si>
    <t>この任務は槍隊士以外は出兵できません</t>
  </si>
  <si>
    <t>0x00e25dac</t>
  </si>
  <si>
    <t>この任務は銃隊士以外は出兵できません</t>
  </si>
  <si>
    <t>0x00e25df4</t>
  </si>
  <si>
    <t>？？？？？？</t>
  </si>
  <si>
    <t>0x00e25e0c</t>
  </si>
  <si>
    <t>隊士獲得状況</t>
  </si>
  <si>
    <t>0x00e25e28</t>
  </si>
  <si>
    <t>隊士を同行させて任務を開始した場合、[n]画面右側に同行した隊士が表示されます。</t>
  </si>
  <si>
    <t>0x00e25e78</t>
  </si>
  <si>
    <t>任務開始時に隊士たちの体力の合計値に応じて[n]斎藤隊長に体力が加算されます。</t>
  </si>
  <si>
    <t>0x00e25ec8</t>
  </si>
  <si>
    <t>野盗は強者ぞろいです。[n]返り討ちにならないように、がんばりましょう。</t>
  </si>
  <si>
    <t>0x00e25f10</t>
  </si>
  <si>
    <t>隊士の能力は上図の充填ゲージが満タンになると[n]&lt;Sign:7&gt;+方向キーで使用できます。</t>
  </si>
  <si>
    <t>0x00e25f60</t>
  </si>
  <si>
    <t>充填速度は、隊士の充填速度と[n]斎藤隊長の戦い方の結果で決まります。[n]隊士を成長させることはもちろん、[n]上手な戦い方をすることで隊士の士気が高まり[n]能力を使用するまでの時間を短縮できます。</t>
  </si>
  <si>
    <t>0x00e26018</t>
  </si>
  <si>
    <t>それでは早速[n]&lt;Sign:7&gt;+&lt;Sign:43&gt;で成田五郎の[n]隊士能力を使用してみましょう。</t>
  </si>
  <si>
    <t>0x00e26068</t>
  </si>
  <si>
    <t>いま、成田五郎の能力が発動しました。[n]この能力は「体力を回復する」効果が[n]あるので、一定時間その恩恵を受けられます。</t>
  </si>
  <si>
    <t>0x00e260e0</t>
  </si>
  <si>
    <t>この能力効果の残り時間は、画面右にある[n]隊士の充填ゲージで確認することができます。[n]充填されたゲージが無くなったら、効果終了です。</t>
  </si>
  <si>
    <t>0x00e26168</t>
  </si>
  <si>
    <t>能力の発動を自動的に行うように隊士に指示する[n]事もできますが、どうしますか？[n][n] &lt;Sign:D&gt;隊士にまかせる    &lt;Sign:C&gt;自分で発動する</t>
  </si>
  <si>
    <t>0x00e261e8</t>
  </si>
  <si>
    <t>この設定は、受付から変更できるので、[n]変えたくなったら受付に話しかけて下さい。</t>
  </si>
  <si>
    <t>0x00e26238</t>
  </si>
  <si>
    <t>それでは、引き続き敵を倒しながら[n]先へ進みましょう。</t>
  </si>
  <si>
    <t>0x00e26270</t>
  </si>
  <si>
    <t>扉の中には、開くための仕掛けがある扉があります。[n]先へ進むためには、その仕掛けを見つけて[n]扉を開けましょう。</t>
  </si>
  <si>
    <t>0x00e262e0</t>
  </si>
  <si>
    <t>扉の先には、進むべき道や、[n]武器を鍛えるために必要な素材や高価な品物が[n]入った箱が置いてあることもあります。</t>
  </si>
  <si>
    <t>0x00e26350</t>
  </si>
  <si>
    <t>手に入れた素材や品物は隊長の物になるので、[n]扉は積極的に開けていきましょう。</t>
  </si>
  <si>
    <t>0x00e263a0</t>
  </si>
  <si>
    <t>これで基本的な教習は終了となります。[n]この洞窟の親玉を見つけ出して、殲滅して下さい。</t>
  </si>
  <si>
    <t>0x00e26434</t>
  </si>
  <si>
    <t>教習�　随伴隊士</t>
  </si>
  <si>
    <t>0x00e2644c</t>
  </si>
  <si>
    <t>教習�　隊士の恩恵</t>
  </si>
  <si>
    <t>0x00e26464</t>
  </si>
  <si>
    <t>教習�　敵は強者ぞろい</t>
  </si>
  <si>
    <t>0x00e2647c</t>
  </si>
  <si>
    <t>教習�　能力の使用</t>
  </si>
  <si>
    <t>0x00e26494</t>
  </si>
  <si>
    <t>教習�　能力の発動</t>
  </si>
  <si>
    <t>0x00e264ac</t>
  </si>
  <si>
    <t>教習�　能力の効果時間</t>
  </si>
  <si>
    <t>0x00e264c4</t>
  </si>
  <si>
    <t>教習�　おまかせ能力発動</t>
  </si>
  <si>
    <t>0x00e264e4</t>
  </si>
  <si>
    <t>教習�　討伐</t>
  </si>
  <si>
    <t>0x00e264f4</t>
  </si>
  <si>
    <t>教習�　仕掛け</t>
  </si>
  <si>
    <t>0x00e26504</t>
  </si>
  <si>
    <t>教習　終了</t>
  </si>
  <si>
    <t>0x00e26554</t>
  </si>
  <si>
    <t>C</t>
  </si>
  <si>
    <t>0x00e2655c</t>
  </si>
  <si>
    <t>UC</t>
  </si>
  <si>
    <t>0x00e26564</t>
  </si>
  <si>
    <t>0x00e2656c</t>
  </si>
  <si>
    <t>SR</t>
  </si>
  <si>
    <t>0x00e2658c</t>
  </si>
  <si>
    <t>防御</t>
  </si>
  <si>
    <t>0x00e26594</t>
  </si>
  <si>
    <t>衛生</t>
  </si>
  <si>
    <t>0x00e2659c</t>
  </si>
  <si>
    <t>応援</t>
  </si>
  <si>
    <t>0x00e265a4</t>
  </si>
  <si>
    <t>支援</t>
  </si>
  <si>
    <t>0x00e265c4</t>
  </si>
  <si>
    <t>度重なる任務失敗によって忠誠心がなくなり[n]脱走した隊士がいるようです</t>
  </si>
  <si>
    <t>0x00e26610</t>
  </si>
  <si>
    <t>武器を与えて転生させますが[n]よろしいですか？</t>
  </si>
  <si>
    <t>0x00e26644</t>
  </si>
  <si>
    <t>おまかせ能力を有効にしますか？</t>
  </si>
  <si>
    <t>0x00e2666c</t>
  </si>
  <si>
    <t>部隊から外します。よろしいですか？</t>
  </si>
  <si>
    <t>0x00e26694</t>
  </si>
  <si>
    <t>除籍します。よろしいですか？</t>
  </si>
  <si>
    <t>0x00e266c0</t>
  </si>
  <si>
    <t>頭巾の男</t>
  </si>
  <si>
    <t>0x00e266e0</t>
  </si>
  <si>
    <t>@</t>
  </si>
  <si>
    <t>0x00e266ec</t>
  </si>
  <si>
    <t>部隊一覧</t>
  </si>
  <si>
    <t>0x00e26704</t>
  </si>
  <si>
    <t>能力詳細</t>
  </si>
  <si>
    <t>0x00e2671c</t>
  </si>
  <si>
    <t>転生に必要な武器がありません</t>
  </si>
  <si>
    <t>0x00e26744</t>
  </si>
  <si>
    <t>隊士名簿</t>
  </si>
  <si>
    <t>0x00e2675c</t>
  </si>
  <si>
    <t>隊士概要</t>
  </si>
  <si>
    <t>0x00e26774</t>
  </si>
  <si>
    <t>槍</t>
  </si>
  <si>
    <t>0x00e2678c</t>
  </si>
  <si>
    <t>最初からゲームを始めます。&lt;Color:5&gt;『龍が如く 維新！ 無料アプリ for PlayStationVita』の[n]データを引き継ぐには「ダウンロード」したデータを「続きから」で選択してください。&lt;Color:Default&gt;</t>
  </si>
  <si>
    <t>0x00e2684c</t>
  </si>
  <si>
    <t>セーブした続きからゲームを始めます。</t>
  </si>
  <si>
    <t>0x00e26874</t>
  </si>
  <si>
    <t>『龍が如く 維新！ 無料アプリ for PlayStationVita』[n]または PlayStation4版と進行状況を共有します。</t>
  </si>
  <si>
    <t>0x00e268dc</t>
  </si>
  <si>
    <t>麻雀、将棋、こいこい、おいちょかぶ、ポーカーの[n]５種類のミニゲームをネットワーク対戦で遊べます。</t>
  </si>
  <si>
    <t>0x00e2693c</t>
  </si>
  <si>
    <t>メインストーリーのシナリオに関係なく[n]自由に幕末の世界を探索できます。</t>
  </si>
  <si>
    <t>0x00e26984</t>
  </si>
  <si>
    <t>闘いを極めし者だけが挑戦できるモードです。[n]全ての闘いを制覇すると、珍しい道具が手に入ります。</t>
  </si>
  <si>
    <t>0x00e269e4</t>
  </si>
  <si>
    <t>ネットワークに関する情報を確認できます。</t>
  </si>
  <si>
    <t>0x00e26a1c</t>
  </si>
  <si>
    <t>一度観たイベントシーンを鑑賞できます。</t>
  </si>
  <si>
    <t>0x00e26a44</t>
  </si>
  <si>
    <t>各種設定項目を変更できます。[n]</t>
  </si>
  <si>
    <t>0x00e26a90</t>
  </si>
  <si>
    <t>PlayStation3側のセーブデータを[n]ネットワーク上に保存します。</t>
  </si>
  <si>
    <t>0x00e26ad0</t>
  </si>
  <si>
    <t>PlayStation4側のセーブデータを[n]ネットワーク上に保存します。</t>
  </si>
  <si>
    <t>0x00e26b10</t>
  </si>
  <si>
    <t>PlayStationVita側のセーブデータを[n]ネットワーク上に保存します。</t>
  </si>
  <si>
    <t>0x00e26b50</t>
  </si>
  <si>
    <t>ネットワーク上に保存されたセーブデータを[n]ダウンロードして、進行状況を共有します。</t>
  </si>
  <si>
    <t>0x00e26bbc</t>
  </si>
  <si>
    <t>0x00e26bcc</t>
  </si>
  <si>
    <t>0x00e26bd8</t>
  </si>
  <si>
    <t>PlayStationPlusに加入していません。[n]メインメニュー画面へ戻ります。</t>
  </si>
  <si>
    <t>0x00e26c24</t>
  </si>
  <si>
    <t>PlayStationPlusの認証中に[n]通信エラーが発生しました。[n]メインメニュー画面へ戻ります。</t>
  </si>
  <si>
    <t>0x00e26c8c</t>
  </si>
  <si>
    <t>クリアデータ使用で最初から</t>
  </si>
  <si>
    <t>0x00e26cac</t>
  </si>
  <si>
    <t>クリアデータを使わず最初から</t>
  </si>
  <si>
    <t>0x00e26cd8</t>
  </si>
  <si>
    <t>クリアデータの能力、アイテム、所持金を引き継いで                     [n]新たに最初からゲームを始めます。</t>
  </si>
  <si>
    <t>0x00e26d58</t>
  </si>
  <si>
    <t>クリアデータは使わずに、完全な初期状態で[n]新たに最初からゲームを始めます。</t>
  </si>
  <si>
    <t>0x00e26db8</t>
  </si>
  <si>
    <t>達人級</t>
  </si>
  <si>
    <t>0x00e26dd4</t>
  </si>
  <si>
    <t>アクションゲームが苦手な方や、[n]「龍が如く」シリーズ初心者の方におすすめです。</t>
  </si>
  <si>
    <t>0x00e26e24</t>
  </si>
  <si>
    <t>標準的な難易度です。</t>
  </si>
  <si>
    <t>0x00e26e3c</t>
  </si>
  <si>
    <t>アクションに自信のある方におすすめです。</t>
  </si>
  <si>
    <t>0x00e26e6c</t>
  </si>
  <si>
    <t>ゲームオーバー時に再挑戦できません。[n]このゲームを極めたい方のみ挑戦してください。[n]</t>
  </si>
  <si>
    <t>0x00e26ed8</t>
  </si>
  <si>
    <t>アップロード</t>
  </si>
  <si>
    <t>0x00e26ee8</t>
  </si>
  <si>
    <t>ダウンロード</t>
  </si>
  <si>
    <t>0x00e26f10</t>
  </si>
  <si>
    <t>クリアデータ使用で始める</t>
  </si>
  <si>
    <t>0x00e26f30</t>
  </si>
  <si>
    <t>クリアデータを使わず始める</t>
  </si>
  <si>
    <t>0x00e26f5c</t>
  </si>
  <si>
    <t>クリアデータの全要素を引き継いだ状態で                     [n]シナリオに関係なく、自由に世界を探索できます。</t>
  </si>
  <si>
    <t>0x00e26fdc</t>
  </si>
  <si>
    <t>完全な初期状態からゲームを始めます。                     [n]シナリオに関係なく、自由に世界を探索できます。</t>
  </si>
  <si>
    <t>0x00e2706c</t>
  </si>
  <si>
    <t>歴</t>
  </si>
  <si>
    <t>0x00e27070</t>
  </si>
  <si>
    <t>ダウンロード履歴</t>
  </si>
  <si>
    <t>0x00e27094</t>
  </si>
  <si>
    <t>ｼ)</t>
  </si>
  <si>
    <t>0x00e270a0</t>
  </si>
  <si>
    <t>成果一覧</t>
  </si>
  <si>
    <t>0x00e270b8</t>
  </si>
  <si>
    <t>％</t>
  </si>
  <si>
    <t>0x00e270c0</t>
  </si>
  <si>
    <t>完全達成</t>
  </si>
  <si>
    <t>0x00e270d0</t>
  </si>
  <si>
    <t>Km</t>
  </si>
  <si>
    <t>0x00e270d8</t>
  </si>
  <si>
    <t>体</t>
  </si>
  <si>
    <t>0x00e270e4</t>
  </si>
  <si>
    <t>プレイ中の難易度</t>
  </si>
  <si>
    <t>0x00e270fc</t>
  </si>
  <si>
    <t>コンティニュー回数</t>
  </si>
  <si>
    <t>0x00e27114</t>
  </si>
  <si>
    <t>クリア時のレベル</t>
  </si>
  <si>
    <t>0x00e2712c</t>
  </si>
  <si>
    <t>精進目録達成数</t>
  </si>
  <si>
    <t>0x00e2713c</t>
  </si>
  <si>
    <t>獲得隊士カード数</t>
  </si>
  <si>
    <t>0x00e27154</t>
  </si>
  <si>
    <t>コンプリートトータル</t>
  </si>
  <si>
    <t>0x00e2718c</t>
  </si>
  <si>
    <t>%sを手に入れた。</t>
  </si>
  <si>
    <t>0x00e271a4</t>
  </si>
  <si>
    <t>%sを入手できるようになりました。</t>
  </si>
  <si>
    <t>0x00e271e0</t>
  </si>
  <si>
    <t>クリア後モードとして、[n][n]幕末漫遊[n]究極闘技[n][n]がメニューに追加されました。</t>
  </si>
  <si>
    <t>0x00e27230</t>
  </si>
  <si>
    <t>難易度設定に達人級が追加されました。</t>
  </si>
  <si>
    <t>0x00e27264</t>
  </si>
  <si>
    <t>「クリアデータ使用で最初から」または、[n]「幕末漫遊」でゲームを開始すると[n]「占いの店　ナオミの館」で受け取ることができます。</t>
  </si>
  <si>
    <t>0x00e272e4</t>
  </si>
  <si>
    <t>「クリアデータ使用で最初から」または、「幕末漫遊」でゲームを開始すると[n]寺田屋にいる宇都宮から「%s」を入手することができます。</t>
  </si>
  <si>
    <t>0x00e27370</t>
  </si>
  <si>
    <t>%s　%sが選べるようになりました。</t>
  </si>
  <si>
    <t>0x00e273a0</t>
  </si>
  <si>
    <t>最強</t>
  </si>
  <si>
    <t>0x00e273a8</t>
  </si>
  <si>
    <t>最弱</t>
  </si>
  <si>
    <t>0x00e273bc</t>
  </si>
  <si>
    <t>ＮＥＴＷＯＲＫサービスについて</t>
  </si>
  <si>
    <t>0x00e273dc</t>
  </si>
  <si>
    <t>手動アップデート</t>
  </si>
  <si>
    <t>0x00e27404</t>
  </si>
  <si>
    <t>0x00e2740c</t>
  </si>
  <si>
    <t>ワイヤレスコントローラを２個接続してください</t>
  </si>
  <si>
    <t>0x00e27444</t>
  </si>
  <si>
    <t>ネットワークを使用することで利用できるコンテンツについて確認できます。</t>
  </si>
  <si>
    <t>0x00e2748c</t>
  </si>
  <si>
    <t>追加されたコンテンツの情報を確認できます。</t>
  </si>
  <si>
    <t>0x00e274bc</t>
  </si>
  <si>
    <t>ネットワークに接続されている本体は自動アップデー[n]ト致しますが、途中切断された等、失敗した場合に、[n]こちらから手動でアップデートを行うことができます。</t>
  </si>
  <si>
    <t>0x00e27564</t>
  </si>
  <si>
    <t>S3</t>
  </si>
  <si>
    <t>0x00e27568</t>
  </si>
  <si>
    <t>0x00e27574</t>
  </si>
  <si>
    <t>&lt;Sign:D&gt;同意する</t>
  </si>
  <si>
    <t>0x00e2758c</t>
  </si>
  <si>
    <t>&lt;Sign:C&gt;同意しない</t>
  </si>
  <si>
    <t>0x00e275b0</t>
  </si>
  <si>
    <t>択</t>
  </si>
  <si>
    <t>0x00e275bc</t>
  </si>
  <si>
    <t>0x00e275cc</t>
  </si>
  <si>
    <t>0x00e275d8</t>
  </si>
  <si>
    <t>0x00e275e0</t>
  </si>
  <si>
    <t>0x00e2760c</t>
  </si>
  <si>
    <t>0x00e2761c</t>
  </si>
  <si>
    <t>0x00e2762c</t>
  </si>
  <si>
    <t>0x00e27648</t>
  </si>
  <si>
    <t>0x00e2764c</t>
  </si>
  <si>
    <t>0x00e27654</t>
  </si>
  <si>
    <t>0x00e2765c</t>
  </si>
  <si>
    <t>0x00e27668</t>
  </si>
  <si>
    <t>0x00e27670</t>
  </si>
  <si>
    <t>0x00e27678</t>
  </si>
  <si>
    <t>0x00e27680</t>
  </si>
  <si>
    <t>0x00e27690</t>
  </si>
  <si>
    <t>オンラインで遊ぶ</t>
  </si>
  <si>
    <t>0x00e276a8</t>
  </si>
  <si>
    <t>１人で遊ぶ</t>
  </si>
  <si>
    <t>0x00e276c4</t>
  </si>
  <si>
    <t>麻雀、こいこい、おいちょかぶ、ポーカー、将棋[n]５種類のミニゲームをオンライン対戦で遊びます。</t>
  </si>
  <si>
    <t>0x00e27724</t>
  </si>
  <si>
    <t>麻雀、こいこい、おいちょかぶ、ポーカー、将棋[n]５種類のミニゲームを１人だけで遊びます。</t>
  </si>
  <si>
    <t>0x00e2779c</t>
  </si>
  <si>
    <t>麻雀牌を使い、順番に牌を引いていき[n]役作りの早さと役の強さで勝負します。</t>
  </si>
  <si>
    <t>0x00e277e4</t>
  </si>
  <si>
    <t>将棋駒を使い、交互に手駒を動かして[n]どちらが先に相手の王将を取るかで勝負します。</t>
  </si>
  <si>
    <t>0x00e27834</t>
  </si>
  <si>
    <t>花札を使い、絵合わせを行って役を作っていき[n]勝負します。</t>
  </si>
  <si>
    <t>0x00e2786c</t>
  </si>
  <si>
    <t>株札または花札を使い、手札が２〜３枚配られて[n]その合計数値の下一桁で勝負します。</t>
  </si>
  <si>
    <t>0x00e278bc</t>
  </si>
  <si>
    <t>異国の遊び札を使い、５枚の札の組み合わせを考えて[n]役の強さで勝負します。</t>
  </si>
  <si>
    <t>0x00e27918</t>
  </si>
  <si>
    <t>高賭け点</t>
  </si>
  <si>
    <t>0x00e27928</t>
  </si>
  <si>
    <t>低賭け点</t>
  </si>
  <si>
    <t>0x00e27944</t>
  </si>
  <si>
    <t>一勝負</t>
  </si>
  <si>
    <t>0x00e27954</t>
  </si>
  <si>
    <t>賭け点２５０点を点棒２５０００点と交換して遊びます。</t>
  </si>
  <si>
    <t>0x00e2798c</t>
  </si>
  <si>
    <t>賭け点２５点を点棒２５０００点と交換して遊びます。</t>
  </si>
  <si>
    <t>0x00e279c4</t>
  </si>
  <si>
    <t>賭け点が足りないので遊べません。[n]２５０点以上貯めてください。</t>
  </si>
  <si>
    <t>0x00e27a04</t>
  </si>
  <si>
    <t>賭け点が足りないので遊べません。[n]２５点以上貯めてください。</t>
  </si>
  <si>
    <t>0x00e27a54</t>
  </si>
  <si>
    <t>一勝負５点で遊べます。</t>
  </si>
  <si>
    <t>0x00e27a78</t>
  </si>
  <si>
    <t>オンライン対戦のこいこいは３回勝負になります。[n]対戦相手との得点差×１００点がやり取りされます。[n]高賭け点で遊ぶには、最低２０００点必要です。</t>
  </si>
  <si>
    <t>0x00e27b08</t>
  </si>
  <si>
    <t>オンライン対戦のこいこいは３回勝負になります。[n]対戦相手との得点差×１０点がやり取りされます。[n]低賭け点で遊ぶには、最低２００点必要です。</t>
  </si>
  <si>
    <t>0x00e27bac</t>
  </si>
  <si>
    <t>オンライン対戦のおいちょかぶは４回勝負になります。[n]一度に賭けられる賭け点の上限は１０００点までです。[n]高賭け点で遊ぶには、最低４０００点必要です。</t>
  </si>
  <si>
    <t>0x00e27c44</t>
  </si>
  <si>
    <t>オンライン対戦のおいちょかぶは４回勝負になります。[n]一度に賭けられる賭け点の上限は１００点までです。[n]低賭け点で遊ぶには、最低４００点必要です。</t>
  </si>
  <si>
    <t>0x00e27cd4</t>
  </si>
  <si>
    <t>賭け点が足りないので遊べません。[n]４０００点以上貯めてください。</t>
  </si>
  <si>
    <t>0x00e27d14</t>
  </si>
  <si>
    <t>賭け点が足りないので遊べません。[n]４００点以上貯めてください。</t>
  </si>
  <si>
    <t>0x00e27d68</t>
  </si>
  <si>
    <t>高賭け点で遊ぶには、最低４０００点必要です。[n]テキサスホールデムで遊び、最低ＢＥＴ数は[n]１〜２ラウンドが５０点、３〜４ラウンドが１００点です。</t>
  </si>
  <si>
    <t>0x00e27df8</t>
  </si>
  <si>
    <t>低賭け点で遊ぶには、最低４００点必要です。[n]テキサスホールデムで遊び、最低ＢＥＴ数は[n]１〜２ラウンドが５点、３〜４ラウンドが１０点です。</t>
  </si>
  <si>
    <t>0x00e27e94</t>
  </si>
  <si>
    <t>一度に賭けられる賭け点の上限は１０００点までです。[n]高賭け点で遊ぶには、最低１０００点必要です。</t>
  </si>
  <si>
    <t>0x00e27ef4</t>
  </si>
  <si>
    <t>一度に賭けられる賭け点の上限は１００点までです。[n]低賭け点で遊ぶには、最低１００点必要です。</t>
  </si>
  <si>
    <t>0x00e27f64</t>
  </si>
  <si>
    <t>高賭け点で遊ぶには、最低１０００点必要です。</t>
  </si>
  <si>
    <t>0x00e27f94</t>
  </si>
  <si>
    <t>低賭け点で遊ぶには、最低１００点必要です。</t>
  </si>
  <si>
    <t>0x00e27fd8</t>
  </si>
  <si>
    <t>0x00e27fe0</t>
  </si>
  <si>
    <t>0x00e27ff4</t>
  </si>
  <si>
    <t>0x00e28008</t>
  </si>
  <si>
    <t>0x00e28010</t>
  </si>
  <si>
    <t>0x00e28024</t>
  </si>
  <si>
    <t>0x00e28038</t>
  </si>
  <si>
    <t>100/50</t>
  </si>
  <si>
    <t>0x00e28040</t>
  </si>
  <si>
    <t>0x00e2805c</t>
  </si>
  <si>
    <t>所</t>
  </si>
  <si>
    <t>0x00e28064</t>
  </si>
  <si>
    <t>0x00e28070</t>
  </si>
  <si>
    <t>賭け点交換</t>
  </si>
  <si>
    <t>0x00e28080</t>
  </si>
  <si>
    <t>お金で購入</t>
  </si>
  <si>
    <t>0x00e2809c</t>
  </si>
  <si>
    <t>賭け点をお持ちでしたら、[n]いろいろな景品、またはお金と交換しまっせ。</t>
  </si>
  <si>
    <t>0x00e280e4</t>
  </si>
  <si>
    <t>お金をお持ちでしたら、[n]いろいろな景品、または賭け点と交換しまっせ。</t>
  </si>
  <si>
    <t>0x00e28134</t>
  </si>
  <si>
    <t>サーバーからセーブデータをダウンロードして、[n]PlayStation3、またはPlayStation4と[n]PlayStationVita間で、進行状況を共有します。[n]アップロードとダウンロードは同じオンラインIDで[n]「PSN」にサインインしてください。[n][n]&lt;Color:5&gt;サーバーからダウンロードしたセーブデータを保存すると[n]ストーリーの進行状況やクリア状況は、[n]ダウンロードしたセーブデータのものに上書きされます。[n][n]ゲームをクリアした後であっても、[n]サーバーからダウンロードしたセーブデータが[n]ゲームクリア前の状態の場合、ストーリー進行や[n]クリア状況などが過去に戻り、やり直しになるため[n]セーブデータの新旧には十分ご注意ください。</t>
  </si>
  <si>
    <t>0x00e2837c</t>
  </si>
  <si>
    <t>セーブデータをサーバーへアップロードして、[n]PlayStation3、またはPlayStation4と[n]PlayStationVita間で、進行状況を共有します。[n]アップロードとダウンロードは同じオンラインIDで[n]「PSN」にサインインしてください。</t>
  </si>
  <si>
    <t>0x00e28454</t>
  </si>
  <si>
    <t>総プレイ時間</t>
  </si>
  <si>
    <t>0x00e28464</t>
  </si>
  <si>
    <t>レベル</t>
  </si>
  <si>
    <t>0x00e2846c</t>
  </si>
  <si>
    <t>経験値</t>
  </si>
  <si>
    <t>0x00e28474</t>
  </si>
  <si>
    <t>解決した任務数</t>
  </si>
  <si>
    <t>0x00e28484</t>
  </si>
  <si>
    <t>隊士カード数</t>
  </si>
  <si>
    <t>0x00e28494</t>
  </si>
  <si>
    <t>栽培した作物の種類</t>
  </si>
  <si>
    <t>0x00e284ac</t>
  </si>
  <si>
    <t>釣り上げた魚の種類</t>
  </si>
  <si>
    <t>0x00e284c4</t>
  </si>
  <si>
    <t>完成済みの料理品数</t>
  </si>
  <si>
    <t>0x00e284dc</t>
  </si>
  <si>
    <t>納品済みの品物数</t>
  </si>
  <si>
    <t>0x00e284f8</t>
  </si>
  <si>
    <t>PlayStation3</t>
  </si>
  <si>
    <t>0x00e28508</t>
  </si>
  <si>
    <t>PlayStation4</t>
  </si>
  <si>
    <t>0x00e28518</t>
  </si>
  <si>
    <t>PlayStationVita</t>
  </si>
  <si>
    <t>0x00e28540</t>
  </si>
  <si>
    <t>Server</t>
  </si>
  <si>
    <t>0x00e28550</t>
  </si>
  <si>
    <t>ペアレンタルロックが設定されているため[n]オンラインサービスを利用できません。</t>
  </si>
  <si>
    <t>0x00e285a4</t>
  </si>
  <si>
    <t>アイテムなし</t>
  </si>
  <si>
    <t>0x00e285bc</t>
  </si>
  <si>
    <t>%2d位</t>
  </si>
  <si>
    <t>0x00e285c4</t>
  </si>
  <si>
    <t>%4d点</t>
  </si>
  <si>
    <t>0x00e285cc</t>
  </si>
  <si>
    <t>Lv.%2d</t>
  </si>
  <si>
    <t>0x00e285d4</t>
  </si>
  <si>
    <t>%8d個</t>
  </si>
  <si>
    <t>0x00e285dc</t>
  </si>
  <si>
    <t>%d両%04d文</t>
  </si>
  <si>
    <t>0x00e285ec</t>
  </si>
  <si>
    <t>%2d勝</t>
  </si>
  <si>
    <t>0x00e285f4</t>
  </si>
  <si>
    <t>%2d連勝</t>
  </si>
  <si>
    <t>0x00e285fc</t>
  </si>
  <si>
    <t>%3.2f倍</t>
  </si>
  <si>
    <t>0x00e28604</t>
  </si>
  <si>
    <t>%2d:%02d:%02d</t>
  </si>
  <si>
    <t>0x00e28614</t>
  </si>
  <si>
    <t>%3d％</t>
  </si>
  <si>
    <t>0x00e2861c</t>
  </si>
  <si>
    <t>%d連撃</t>
  </si>
  <si>
    <t>0x00e28624</t>
  </si>
  <si>
    <t>%d人撃破</t>
  </si>
  <si>
    <t>0x00e28634</t>
  </si>
  <si>
    <t>%3d回</t>
  </si>
  <si>
    <t>0x00e2863c</t>
  </si>
  <si>
    <t>%4d人</t>
  </si>
  <si>
    <t>0x00e28644</t>
  </si>
  <si>
    <t>%3d戦%3d勝%3d敗</t>
  </si>
  <si>
    <t>0x00e28654</t>
  </si>
  <si>
    <t>勝率%3d％</t>
  </si>
  <si>
    <t>0x00e28664</t>
  </si>
  <si>
    <t>%4d文</t>
  </si>
  <si>
    <t>0x00e2866c</t>
  </si>
  <si>
    <t>×%d倍</t>
  </si>
  <si>
    <t>0x00e28674</t>
  </si>
  <si>
    <t>%d万%04d個</t>
  </si>
  <si>
    <t>0x00e28684</t>
  </si>
  <si>
    <t>%d戦%3d勝%3d敗</t>
  </si>
  <si>
    <t>0x00e286e8</t>
  </si>
  <si>
    <t>獲得闘玉</t>
  </si>
  <si>
    <t>0x00e286f8</t>
  </si>
  <si>
    <t>獲得賞金</t>
  </si>
  <si>
    <t>0x00e28714</t>
  </si>
  <si>
    <t>%3d人中%3d人撃破</t>
  </si>
  <si>
    <t>0x00e28734</t>
  </si>
  <si>
    <t>%2d戦%2d勝%2d敗</t>
  </si>
  <si>
    <t>0x00e28748</t>
  </si>
  <si>
    <t>特別報酬</t>
  </si>
  <si>
    <t>0x00e28758</t>
  </si>
  <si>
    <t>番付得点合計</t>
  </si>
  <si>
    <t>0x00e28768</t>
  </si>
  <si>
    <t>踏破時間</t>
  </si>
  <si>
    <t>0x00e28778</t>
  </si>
  <si>
    <t>残り体力</t>
  </si>
  <si>
    <t>0x00e28788</t>
  </si>
  <si>
    <t>撃破人数</t>
  </si>
  <si>
    <t>0x00e28798</t>
  </si>
  <si>
    <t>最終評価</t>
  </si>
  <si>
    <t>0x00e287a8</t>
  </si>
  <si>
    <t>基本報酬</t>
  </si>
  <si>
    <t>0x00e287b8</t>
  </si>
  <si>
    <t>連勝ボーナス</t>
  </si>
  <si>
    <t>0x00e287f0</t>
  </si>
  <si>
    <t>辻斬り侍</t>
  </si>
  <si>
    <t>0x00e28800</t>
  </si>
  <si>
    <t>剣豪</t>
  </si>
  <si>
    <t>0x00e28828</t>
  </si>
  <si>
    <t>%s %4d×%2.1f</t>
  </si>
  <si>
    <t>0x00e28840</t>
  </si>
  <si>
    <t>詳細を見る</t>
  </si>
  <si>
    <t>0x00e28858</t>
  </si>
  <si>
    <t>参加回数</t>
  </si>
  <si>
    <t>0x00e28868</t>
  </si>
  <si>
    <t>順位点</t>
  </si>
  <si>
    <t>0x00e28870</t>
  </si>
  <si>
    <t>斬った人数</t>
  </si>
  <si>
    <t>0x00e28880</t>
  </si>
  <si>
    <t>達成回数</t>
  </si>
  <si>
    <t>0x00e28890</t>
  </si>
  <si>
    <t>総合戦績</t>
  </si>
  <si>
    <t>0x00e288a0</t>
  </si>
  <si>
    <t>頂点の座　死守回数</t>
  </si>
  <si>
    <t>0x00e288b8</t>
  </si>
  <si>
    <t>武器王座決定戦優勝回数</t>
  </si>
  <si>
    <t>0x00e288f0</t>
  </si>
  <si>
    <t>参加者</t>
  </si>
  <si>
    <t>0x00e28900</t>
  </si>
  <si>
    <t>一回戦</t>
  </si>
  <si>
    <t>0x00e28908</t>
  </si>
  <si>
    <t>二回戦</t>
  </si>
  <si>
    <t>0x00e28910</t>
  </si>
  <si>
    <t>三回戦</t>
  </si>
  <si>
    <t>0x00e28918</t>
  </si>
  <si>
    <t>四回戦</t>
  </si>
  <si>
    <t>0x00e28920</t>
  </si>
  <si>
    <t>五回戦</t>
  </si>
  <si>
    <t>0x00e28940</t>
  </si>
  <si>
    <t>京にいる強者達が集まり[n]「強者の宴」が解放されました</t>
  </si>
  <si>
    <t>0x00e28988</t>
  </si>
  <si>
    <t>新入り配信者</t>
  </si>
  <si>
    <t>0x00e28998</t>
  </si>
  <si>
    <t>駆け出し配信者</t>
  </si>
  <si>
    <t>0x00e289a8</t>
  </si>
  <si>
    <t>中堅配信者</t>
  </si>
  <si>
    <t>0x00e289b8</t>
  </si>
  <si>
    <t>人気配信者</t>
  </si>
  <si>
    <t>0x00e289c8</t>
  </si>
  <si>
    <t>豪傑の配信者</t>
  </si>
  <si>
    <t>0x00e289d8</t>
  </si>
  <si>
    <t>百戦錬磨の配信者</t>
  </si>
  <si>
    <t>0x00e289f0</t>
  </si>
  <si>
    <t>一騎当千の配信者</t>
  </si>
  <si>
    <t>0x00e28a08</t>
  </si>
  <si>
    <t>天下の配信者</t>
  </si>
  <si>
    <t>0x00e28a18</t>
  </si>
  <si>
    <t>究極の配信者</t>
  </si>
  <si>
    <t>0x00e28a28</t>
  </si>
  <si>
    <t>伝説の配信者</t>
  </si>
  <si>
    <t>0x00e28a64</t>
  </si>
  <si>
    <t>血に飢えた猛者たちが集まる闘技の場[n]戦いに飢えた者達はこちらへ！</t>
  </si>
  <si>
    <t>0x00e28aa4</t>
  </si>
  <si>
    <t>闘玉を各種商品と交換することができます。</t>
  </si>
  <si>
    <t>0x00e28ad4</t>
  </si>
  <si>
    <t>闘技場に出場している猛者たちの情報を見ることができます。</t>
  </si>
  <si>
    <t>0x00e28b14</t>
  </si>
  <si>
    <t>闘技場４つの掟です。</t>
  </si>
  <si>
    <t>0x00e28b40</t>
  </si>
  <si>
    <t>五人との勝ち抜き戦を行います。[n]連勝するたびに獲得できる闘玉と賞金が増えます。</t>
  </si>
  <si>
    <t>0x00e28b90</t>
  </si>
  <si>
    <t>鍛えぬいた体とたった一つの武器を持って、迫りくる百人の刺客を撃退せよ！　[n]目指せ、百人斬りの称号！！</t>
  </si>
  <si>
    <t>0x00e28c00</t>
  </si>
  <si>
    <t>闘技場に訪れた者がまず初めに挑戦する闘い。[n]賞金　三百文　　闘玉　五十個</t>
  </si>
  <si>
    <t>0x00e28c48</t>
  </si>
  <si>
    <t>洗礼を終えた者が己の技や武器を試す、試練の闘い。[n]賞金　三百文　　闘玉　五十個</t>
  </si>
  <si>
    <t>0x00e28c98</t>
  </si>
  <si>
    <t>独自の武器を持った者たちの闘い。　鬼の面を被った男に注意せよ。[n]賞金　千文　　闘玉　二百個</t>
  </si>
  <si>
    <t>0x00e28cf8</t>
  </si>
  <si>
    <t>武器を持たない者たちが集まった闘い。　顔に痣がある男に注意せよ。[n]賞金　二千五百文　　闘玉　百個</t>
  </si>
  <si>
    <t>0x00e28d58</t>
  </si>
  <si>
    <t>刀に狂った者たちの宴。　大太刀の一撃に注意せよ。[n]賞金　二千文　　闘玉　二百個</t>
  </si>
  <si>
    <t>0x00e28da8</t>
  </si>
  <si>
    <t>銃を極めた者たちが集う宴。　属性弾を撃つ者たちに注意せよ。[n]賞金　二千文　　闘玉　二百個</t>
  </si>
  <si>
    <t>0x00e28e00</t>
  </si>
  <si>
    <t>京にいる猛者たちが集まった、最強を決める闘い。[n]賞金　五千文　　闘玉　三百個　[n]※京にいる猛者たちと出会うと解放されます。</t>
  </si>
  <si>
    <t>0x00e28e80</t>
  </si>
  <si>
    <t>京にいる猛者たちが集まった、最強を決める闘い。[n]賞金　五千文　　闘玉　三百個</t>
  </si>
  <si>
    <t>0x00e28ef0</t>
  </si>
  <si>
    <t>百人斬りに挑戦する武器を選択してください。</t>
  </si>
  <si>
    <t>0x00e28f28</t>
  </si>
  <si>
    <t>0x00e28f30</t>
  </si>
  <si>
    <t>H</t>
  </si>
  <si>
    <t>0x00e28f38</t>
  </si>
  <si>
    <t>経験値%s</t>
  </si>
  <si>
    <t>0x00e28f50</t>
  </si>
  <si>
    <t>闘技場ポイント%s</t>
  </si>
  <si>
    <t>0x00e28f70</t>
  </si>
  <si>
    <t>洗礼の間</t>
  </si>
  <si>
    <t>0x00e28f80</t>
  </si>
  <si>
    <t>試練の間</t>
  </si>
  <si>
    <t>0x00e28f90</t>
  </si>
  <si>
    <t>我流武器戦</t>
  </si>
  <si>
    <t>0x00e28fa0</t>
  </si>
  <si>
    <t>無手組戦</t>
  </si>
  <si>
    <t>0x00e28fb0</t>
  </si>
  <si>
    <t>狂剣の宴</t>
  </si>
  <si>
    <t>0x00e28fc0</t>
  </si>
  <si>
    <t>銃撃の宴</t>
  </si>
  <si>
    <t>0x00e28fd0</t>
  </si>
  <si>
    <t>強者の宴</t>
  </si>
  <si>
    <t>0x00e29000</t>
  </si>
  <si>
    <t>名前</t>
  </si>
  <si>
    <t>0x00e29008</t>
  </si>
  <si>
    <t>0x00e29014</t>
  </si>
  <si>
    <t>素材</t>
  </si>
  <si>
    <t>0x00e2901c</t>
  </si>
  <si>
    <t>情報</t>
  </si>
  <si>
    <t>0x00e2903c</t>
  </si>
  <si>
    <t>試合を始めますか？</t>
  </si>
  <si>
    <t>0x00e29054</t>
  </si>
  <si>
    <t>試合を開始する</t>
  </si>
  <si>
    <t>0x00e29064</t>
  </si>
  <si>
    <t>次の試合へ</t>
  </si>
  <si>
    <t>0x00e2907c</t>
  </si>
  <si>
    <t>鮴阪′螯ゅ￥ 邯ｭ譁ｰ�</t>
  </si>
  <si>
    <t>0x00e2909c</t>
  </si>
  <si>
    <t>繧ｷ繧ｹ繝�Β繝��繧ｿ繧剃ｿ晏ｭ倥○縺壹↓繧ｲ繝ｼ繝�繧堤ｶ壹¢縺ｾ縺吶°�歇n](繧ｷ繧ｹ繝�Β繝��繧ｿ繧剃ｿ晏ｭ倥＠縺ｪ縺��ｴ蜷医�∝推遞ｮ險ｭ螳壹ｄ繧ｲ繝ｼ繝�繧ｯ繝ｪ繧｢諠��ｱ縺御ｿ晏ｭ倥＆繧後∪縺帙ｓ縺ｮ縺ｧ縺疲ｳｨ諢丈ｸ九＆縺���</t>
  </si>
  <si>
    <t>0x00e2917c</t>
  </si>
  <si>
    <t>繧ｻ繝ｼ繝悶ョ繝ｼ繧ｿ繧剃ｿ晏ｭ倥○縺壹↓繧ｲ繝ｼ繝�繧堤ｶ壹¢縺ｾ縺吶°�</t>
  </si>
  <si>
    <t>0x00e291cc</t>
  </si>
  <si>
    <t>繧ｯ繝ｪ繧｢繝��繧ｿ繧剃ｿ晏ｭ倥＠縺ｪ縺��ｴ蜷医�ーn]繧ｯ繝ｪ繧｢蠕後↓蜃ｺ迴ｾ縺吶ｋ蜷�ｨｮ繝｡繝九Η繝ｼ縺ｮ霑ｽ蜉�繧ゆｿ晏ｭ倥＆繧後∪縺帙ｓ縲�n]繧ｯ繝ｪ繧｢繝��繧ｿ繧剃ｿ晏ｭ倥○縺壹↓繧ｿ繧､繝医Ν縺ｸ謌ｻ繧翫∪縺吶°�</t>
  </si>
  <si>
    <t>0x00e2929c</t>
  </si>
  <si>
    <t>0x00e292a8</t>
  </si>
  <si>
    <t>繧ｲ繝ｼ繝�繝��繧ｿ繧偵う繝ｳ繧ｹ繝医�繝ｫ縺励∪縺吶��n](繝��繧ｿ縺ｮ譖ｸ縺崎ｾｼ縺ｿ荳ｭ縺ｫ縺ｯHDD繧｢繧ｯ繧ｻ繧ｹ繝ｩ繝ｳ繝励′轤ｹ貊�＠縺ｾ縺吶�縺ｧ縲ーn]縺昴�髢薙�繝�ぅ繧ｹ繧ｯ繧呈栢縺�◆繧頑悽菴薙�髮ｻ貅舌ｒ蛻�ｉ縺ｪ縺�〒荳九＆縺���</t>
  </si>
  <si>
    <t>0x00e2938c</t>
  </si>
  <si>
    <t>繧ｲ繝ｼ繝�繝��繧ｿ縺悟｣翫ｌ縺ｦ縺�∪縺吶��n]繧ｲ繝ｼ繝�繧堤ｵゆｺ�＠縺ｦ縲√ご繝ｼ繝�繝��繧ｿ繧貞炎髯､縺励※縺上□縺輔＞縲</t>
  </si>
  <si>
    <t>0x00e2940c</t>
  </si>
  <si>
    <t>繧ｲ繝ｼ繝�繝��繧ｿ繧偵う繝ｳ繧ｹ繝医�繝ｫ縺励※縺�∪縺吶��n]繧､繝ｳ繧ｹ繝医�繝ｫ縺悟ｮ御ｺ�☆繧九∪縺ｧ繝�ぅ繧ｹ繧ｯ繧呈栢縺�◆繧骸n]譛ｬ菴薙�髮ｻ貅舌ｒ蛻�ｉ縺ｪ縺�〒荳九＆縺��</t>
  </si>
  <si>
    <t>0x00e294c4</t>
  </si>
  <si>
    <t>繧ｲ繝ｼ繝�繝��繧ｿ縺ｮ繧､繝ｳ繧ｹ繝医�繝ｫ縺悟ｮ御ｺ�＠縺ｾ縺励◆縲</t>
  </si>
  <si>
    <t>0x00e29508</t>
  </si>
  <si>
    <t>繧ｲ繝ｼ繝�繝��繧ｿ縺ｮ繧､繝ｳ繧ｹ繝医�繝ｫ縺ｫ螟ｱ謨励＠縺ｾ縺励◆縲�n]繧ｲ繝ｼ繝�繧貞�襍ｷ蜍輔＠縺ｦ蜀榊ｺｦ繧､繝ｳ繧ｹ繝医�繝ｫ繧定｡後▲縺ｦ縺上□縺輔＞縲</t>
  </si>
  <si>
    <t>0x00e295a0</t>
  </si>
  <si>
    <t>繝輔ぃ繧､繝ｫ縺ｮ繧ｳ繝斐�縺ｫ螟ｱ謨励＠縺ｾ縺励◆縲�n]繧ｲ繝ｼ繝�繧貞�襍ｷ蜍輔＠縺ｦ蜀榊ｺｦ繧､繝ｳ繧ｹ繝医�繝ｫ繧定｡後▲縺ｦ縺上□縺輔＞縲</t>
  </si>
  <si>
    <t>0x00e29624</t>
  </si>
  <si>
    <t>莉悶�繝��繧ｿ繧貞炎髯､縺励∪縺吶°�</t>
  </si>
  <si>
    <t>0x00e29650</t>
  </si>
  <si>
    <t>繧ｻ繝ｼ繝悶ョ繝ｼ繧ｿ繧剃ｿ晏ｭ倥＠縺ｾ縺吶°�</t>
  </si>
  <si>
    <t>0x00e29688</t>
  </si>
  <si>
    <t>縺薙％繧医ｊ莉･髯阪�∝ｼ輔″霑斐☆縺薙→縺後〒縺阪↑縺上↑繧翫∪縺吶��n]繧ｻ繝ｼ繝悶ョ繝ｼ繧ｿ繧剃ｸ頑嶌縺阪○縺壹�ーn]譁ｰ隕上↓菴懈�縺吶ｋ縺薙→繧偵♀蜍ｧ繧√＠縺ｾ縺吶��n][n]繧ｻ繝ｼ繝悶ョ繝ｼ繧ｿ繧剃ｿ晏ｭ倥＠縺ｾ縺吶°�</t>
  </si>
  <si>
    <t>0x00e29760</t>
  </si>
  <si>
    <t>譁ｰ縺溘↓霑ｽ蜉�縺輔ｌ縺溘け繝ｪ繧｢蠕後Δ繝ｼ繝峨〒菴ｿ逕ｨ縺ｧ縺阪ｋ繝��繧ｿ縺ｮ菴懈�縺ｧ縺吶��n]蜈ｨ縺ｦ縺ｮ隕∫ｴ�繧剃ｿ晏ｭ倥＠縺ｾ縺吶′縲√�後け繝ｪ繧｢繝��繧ｿ菴ｿ逕ｨ縺ｧ譛�蛻昴°繧峨�阪〒蟋九ａ繧句�ｴ蜷医�縺ｿ[n]繧ｵ繝悶せ繝医�繝ｪ繝ｼ繧偵�縺倥ａ縺ｨ縺励◆縺�￥縺､縺九�驕疲�隕∫ｴ�縺ｯ蠑輔″邯吶′繧後∪縺帙ｓ縲�n]譁ｰ隕上〒繧ｻ繝ｼ繝悶ョ繝ｼ繧ｿ繧剃ｽ懊ｋ縺薙→繧偵♀蜍ｧ繧√＠縺ｾ縺吶��n]譌｢蟄倥�繧ｻ繝ｼ繝悶ョ繝ｼ繧ｿ縺ｫ荳頑嶌縺阪☆繧矩圀縺ｯ縺疲ｳｨ諢上￥縺�縺輔＞縲�n][n]繧ｯ繝ｪ繧｢繝��繧ｿ繧剃ｿ晏ｭ倥＠縺ｾ縺吶°�</t>
  </si>
  <si>
    <t>0x00e29950</t>
  </si>
  <si>
    <t>0x00e2995c</t>
  </si>
  <si>
    <t>HDD縺ｮ遨ｺ縺榊ｮｹ驥上′雜ｳ繧翫∪縺帙ｓ縲�n]繧ｲ繝ｼ繝�繧帝�ｲ陦後☆繧九↓縺ｯ 50MB 莉･荳翫�遨ｺ縺榊ｮｹ驥上′蠢�ｦ√〒縺吶��n]繧ｲ繝ｼ繝�繧堤ｵゆｺ�＠縺ｦ縲∝ｿ�ｦ√↑遨ｺ縺榊ｮｹ驥上ｒ遒ｺ菫昴＠縺ｦ縺上□縺輔＞縲</t>
  </si>
  <si>
    <t>0x00e29a2c</t>
  </si>
  <si>
    <t>縺薙�繧ｷ繧ｹ繝�Β繝��繧ｿ縺ｯ莉悶�繝ｦ繝ｼ繧ｶ繝ｼ縺ｮ繧ｷ繧ｹ繝�Β繝��繧ｿ縺ｧ縺吶��n]縺薙ｌ莉･髯阪�繝医Ο繝輔ぅ繝ｼ縺ｮ譖ｴ譁ｰ縺ｯ縺輔ｌ縺ｾ縺帙ｓ縲�n]縺ｾ縺溘す繧ｹ繝�Β繝��繧ｿ縲√そ繝ｼ繝悶ョ繝ｼ繧ｿ繧偵そ繝ｼ繝悶ｄ繧｢繝��繝ｭ繝ｼ繝峨☆繧九％縺ｨ縲ーn]雉ｭ蝣ｴ繝溘ル繧ｲ繝ｼ繝�繧偵�繝ｬ繧､縺吶ｋ縺薙→縺ｯ蜃ｺ譚･縺ｾ縺帙ｓ縲</t>
  </si>
  <si>
    <t>0x00e29b6c</t>
  </si>
  <si>
    <t>莉悶�繝ｦ繝ｼ繧ｶ繝ｼ縺ｮ繧ｷ繧ｹ繝�Β繝��繧ｿ縲√そ繝ｼ繝悶ョ繝ｼ繧ｿ繧偵Ο繝ｼ繝峨＠縺溘％縺ｨ縺後≠繧九◆繧ーn]繧ｷ繧ｹ繝�Β繝��繧ｿ繧偵そ繝ｼ繝悶☆繧九％縺ｨ縺悟�譚･縺ｾ縺帙ｓ縲</t>
  </si>
  <si>
    <t>0x00e29c24</t>
  </si>
  <si>
    <t>縺薙�繧ｻ繝ｼ繝悶ョ繝ｼ繧ｿ縺ｯ莉悶�繝ｦ繝ｼ繧ｶ繝ｼ縺ｮ繧ｻ繝ｼ繝悶ョ繝ｼ繧ｿ縺ｧ縺吶��n]縺薙ｌ莉･髯阪�繝医Ο繝輔ぅ繝ｼ縺ｮ譖ｴ譁ｰ縺ｯ縺輔ｌ縺ｾ縺帙ｓ縲�n]縺ｾ縺溘す繧ｹ繝�Β繝��繧ｿ縲√そ繝ｼ繝悶ョ繝ｼ繧ｿ繧偵そ繝ｼ繝悶ｄ繧｢繝��繝ｭ繝ｼ繝峨☆繧九％縺ｨ縲ーn]雉ｭ蝣ｴ繝溘ル繧ｲ繝ｼ繝�繧偵�繝ｬ繧､縺吶ｋ縺薙→縺ｯ蜃ｺ譚･縺ｾ縺帙ｓ縲</t>
  </si>
  <si>
    <t>0x00e29d5c</t>
  </si>
  <si>
    <t>莉悶�繝ｦ繝ｼ繧ｶ繝ｼ縺ｮ繧ｷ繧ｹ繝�Β繝��繧ｿ縲√そ繝ｼ繝悶ョ繝ｼ繧ｿ繧偵Ο繝ｼ繝峨＠縺溘％縺ｨ縺後≠繧九◆繧ーn]繧ｻ繝ｼ繝悶ョ繝ｼ繧ｿ繧偵そ繝ｼ繝悶☆繧九％縺ｨ縺悟�譚･縺ｾ縺帙ｓ縲</t>
  </si>
  <si>
    <t>0x00e29e0c</t>
  </si>
  <si>
    <t>莉悶�繝ｦ繝ｼ繧ｶ繝ｼ縺ｮ繧ｷ繧ｹ繝�Β繝��繧ｿ縲√そ繝ｼ繝悶ョ繝ｼ繧ｿ繧偵Ο繝ｼ繝峨＠縺溘％縺ｨ縺後≠繧九◆繧ーn]繧ｻ繝ｼ繝悶ョ繝ｼ繧ｿ繧偵い繝��繝ｭ繝ｼ繝峨☆繧九％縺ｨ縺悟�譚･縺ｾ縺帙ｓ縲</t>
  </si>
  <si>
    <t>0x00e29ec0</t>
  </si>
  <si>
    <t>莉悶�繝ｦ繝ｼ繧ｶ繝ｼ縺ｮ繧ｷ繧ｹ繝�Β繝��繧ｿ縲√そ繝ｼ繝悶ョ繝ｼ繧ｿ繧偵Ο繝ｼ繝峨＠縺溘％縺ｨ縺後≠繧九◆繧ーn]雉ｭ蝣ｴ繝溘ル繧ｲ繝ｼ繝�繧偵�繝ｬ繧､縺吶ｋ縺薙→縺ｯ蜃ｺ譚･縺ｾ縺帙ｓ縲</t>
  </si>
  <si>
    <t>0x00e29f78</t>
  </si>
  <si>
    <t>鮴阪′螯ゅ￥繧ｷ繝ｪ繝ｼ繧ｺ縺ｮ繧ｷ繧ｹ繝�Β繝��繧ｿ縺瑚ｦ九▽縺九ｊ縺ｾ縺励◆縲�n]繝励Ξ繧ｼ繝ｳ繝医�碁▼縺ｮ繧ｫ繧ｹ繝��繝ｩ縲阪ｒ謇九↓蜈･繧後∪縺励◆縲</t>
  </si>
  <si>
    <t>0x00e2a018</t>
  </si>
  <si>
    <t>譁ｰ縺励＞繧｢繝��繝��繝医�隕九▽縺九ｊ縺ｾ縺帙ｓ縺ｧ縺励◆縲</t>
  </si>
  <si>
    <t>0x00e2a05c</t>
  </si>
  <si>
    <t>繧｢繝��繝��繝医�繧ｭ繝｣繝ｳ繧ｻ繝ｫ縺輔ｌ縺ｾ縺励◆縲</t>
  </si>
  <si>
    <t>0x00e2a09c</t>
  </si>
  <si>
    <t>繝医Ο繝輔ぅ繝ｼ縺ｫ蝠城｡後′逋ｺ逕溘＠縺ｾ縺励◆縲�n]繧ｲ繝ｼ繝�繧貞�襍ｷ蜍輔＠縺ｦ縺上□縺輔＞縲</t>
  </si>
  <si>
    <t>0x00e2a100</t>
  </si>
  <si>
    <t>繝医Ο繝輔ぅ繝ｼ縺ｫ蝠城｡後′逋ｺ逕溘＠縺ｾ縺励◆縲�n](%08x)</t>
  </si>
  <si>
    <t>0x00e2a13c</t>
  </si>
  <si>
    <t>繝医Ο繝輔ぅ繝ｼ縺ｮ迯ｲ蠕励↓螟ｱ謨励＠縺ｾ縺励◆縲�n](%08x)</t>
  </si>
  <si>
    <t>0x00e2a178</t>
  </si>
  <si>
    <t>繧ｨ繝ｩ繝ｼ縺檎匱逕溘＠縺ｾ縺励◆縲</t>
  </si>
  <si>
    <t>0x00e2a1a8</t>
  </si>
  <si>
    <t>縺ゅ↑縺溘�Sony Entertainment Network 繧｢繧ｫ繧ｦ繝ｳ繝医�[n]繝√Ε繝�ヨ蛻ｶ髯舌′險ｭ螳壹＆繧後※縺�ｋ縺溘ａ縲ーn]繝√Ε繝�ヨ讖溯�繧貞茜逕ｨ縺ｧ縺阪∪縺帙ｓ縲</t>
  </si>
  <si>
    <t>0x00e2a24c</t>
  </si>
  <si>
    <t>ｸｭ</t>
  </si>
  <si>
    <t>0x00e2a258</t>
  </si>
  <si>
    <t>0x00e2a264</t>
  </si>
  <si>
    <t>譁ｰ隕上そ繝ｼ繝悶ョ繝ｼ繧ｿ繧剃ｽ懈�縺励∪縺吶�</t>
  </si>
  <si>
    <t>0x00e2a29c</t>
  </si>
  <si>
    <t>繧ｻ繝ｼ繝悶ョ繝ｼ繧ｿ%02d</t>
  </si>
  <si>
    <t>0x00e2a2bc</t>
  </si>
  <si>
    <t>笘</t>
  </si>
  <si>
    <t>0x00e2a2c8</t>
  </si>
  <si>
    <t>繧ｷ繧ｹ繝�Β繝��繧ｿ</t>
  </si>
  <si>
    <t>0x00e2a2e8</t>
  </si>
  <si>
    <t>鮴阪′螯ゅ￥ 邯ｭ譁ｰ�√�繧ｷ繧ｹ繝�Β繝��繧ｿ縺ｧ縺吶�</t>
  </si>
  <si>
    <t>0x00e2a324</t>
  </si>
  <si>
    <t>繧ｷ繧ｹ繝�Β繝��繧ｿ繧剃ｽ懈�縺励∪縺吶�</t>
  </si>
  <si>
    <t>0x00e2a35c</t>
  </si>
  <si>
    <t>EM</t>
  </si>
  <si>
    <t>0x00e2a368</t>
  </si>
  <si>
    <t>AL</t>
  </si>
  <si>
    <t>0x00e2a374</t>
  </si>
  <si>
    <t>CLEAR</t>
  </si>
  <si>
    <t>0x00e2a384</t>
  </si>
  <si>
    <t>繧ｻ繝ｼ繝悶ョ繝ｼ繧ｿ縺後≠繧翫∪縺帙ｓ縲</t>
  </si>
  <si>
    <t>0x00e2a3b0</t>
  </si>
  <si>
    <t>繧ｷ繧ｹ繝�Β繝��繧ｿ縺後≠繧翫∪縺帙ｓ縲</t>
  </si>
  <si>
    <t>0x00e2a3e8</t>
  </si>
  <si>
    <t>繧ｯ繝ｪ繧｢繝��繧ｿ縺後≠繧翫∪縺帙ｓ縲</t>
  </si>
  <si>
    <t>0x00e2a414</t>
  </si>
  <si>
    <t>繧ｻ繝ｼ繝悶ョ繝ｼ繧ｿ繧偵Ο繝ｼ繝峨〒縺阪∪縺帙ｓ縺ｧ縺励◆縲�n]縲梧怙蛻昴°繧峨�阪�迥ｶ諷九〒雉ｭ蝣ｴ繝溘ル繧ｲ繝ｼ繝�繧堤ｶ壹¢縺ｾ縺吶°�</t>
  </si>
  <si>
    <t>0x00e2a4b0</t>
  </si>
  <si>
    <t>通常</t>
  </si>
  <si>
    <t>0x00e2a4b8</t>
  </si>
  <si>
    <t>農作</t>
  </si>
  <si>
    <t>0x00e2a4c0</t>
  </si>
  <si>
    <t>0x00e2a4cc</t>
  </si>
  <si>
    <t>武器(剣)</t>
  </si>
  <si>
    <t>0x00e2a4dc</t>
  </si>
  <si>
    <t>武器(特)</t>
  </si>
  <si>
    <t>0x00e2a4ec</t>
  </si>
  <si>
    <t>武器(銃)</t>
  </si>
  <si>
    <t>0x00e2a4fc</t>
  </si>
  <si>
    <t>武器(弾)</t>
  </si>
  <si>
    <t>0x00e2a50c</t>
  </si>
  <si>
    <t>防具(頭)</t>
  </si>
  <si>
    <t>0x00e2a51c</t>
  </si>
  <si>
    <t>防具(胴)</t>
  </si>
  <si>
    <t>0x00e2a52c</t>
  </si>
  <si>
    <t>防具(腕)</t>
  </si>
  <si>
    <t>0x00e2a53c</t>
  </si>
  <si>
    <t>重要</t>
  </si>
  <si>
    <t>0x00e2a578</t>
  </si>
  <si>
    <t>弾</t>
  </si>
  <si>
    <t>0x00e2a57c</t>
  </si>
  <si>
    <t>特</t>
  </si>
  <si>
    <t>0x00e2a580</t>
  </si>
  <si>
    <t>0x00e2a584</t>
  </si>
  <si>
    <t>0x00e2a588</t>
  </si>
  <si>
    <t>んんんんんんんんを</t>
  </si>
  <si>
    <t>0x00e2a5a0</t>
  </si>
  <si>
    <t>んんんんんんんんん</t>
  </si>
  <si>
    <t>0x00e2a5b8</t>
  </si>
  <si>
    <t>0x00e2a5c0</t>
  </si>
  <si>
    <t>胴</t>
  </si>
  <si>
    <t>0x00e2a5c8</t>
  </si>
  <si>
    <t>飾</t>
  </si>
  <si>
    <t>0x00e2a5d0</t>
  </si>
  <si>
    <t>%</t>
  </si>
  <si>
    <t>0x00e2a664</t>
  </si>
  <si>
    <t>腕</t>
  </si>
  <si>
    <t>0x00e2a668</t>
  </si>
  <si>
    <t>0x00e2a66c</t>
  </si>
  <si>
    <t>0x00e2a670</t>
  </si>
  <si>
    <t>wepct2700</t>
  </si>
  <si>
    <t>0x00e2a680</t>
  </si>
  <si>
    <t>wepct2710</t>
  </si>
  <si>
    <t>0x00e2a7e0</t>
  </si>
  <si>
    <t>other</t>
  </si>
  <si>
    <t>0x00e2a7f4</t>
  </si>
  <si>
    <t>_x0001_ﾉ_x0005__x0001__x0005__x0002_</t>
  </si>
  <si>
    <t>0x00e2a804</t>
  </si>
  <si>
    <t>0x00e2a814</t>
  </si>
  <si>
    <t>0x00e2a824</t>
  </si>
  <si>
    <t>_x0001_ﾟ_x0005__x0012__x0005__x0013_</t>
  </si>
  <si>
    <t>0x00e2a82b</t>
  </si>
  <si>
    <t>_x0001_����</t>
  </si>
  <si>
    <t>0x00e2a834</t>
  </si>
  <si>
    <t>0x00e2a83b</t>
  </si>
  <si>
    <t>0x00e2a844</t>
  </si>
  <si>
    <t>0x00e2a84b</t>
  </si>
  <si>
    <t>0x00e2a854</t>
  </si>
  <si>
    <t>_x0001_ﾎ_x0005__x0003__x0005__x0004_</t>
  </si>
  <si>
    <t>0x00e2a864</t>
  </si>
  <si>
    <t>0x00e2a874</t>
  </si>
  <si>
    <t>0x00e2a884</t>
  </si>
  <si>
    <t>_x0001_�_x0014__x0005__x0015_</t>
  </si>
  <si>
    <t>0x00e2a88b</t>
  </si>
  <si>
    <t>0x00e2a894</t>
  </si>
  <si>
    <t>0x00e2a89b</t>
  </si>
  <si>
    <t>0x00e2a8a4</t>
  </si>
  <si>
    <t>0x00e2a8ab</t>
  </si>
  <si>
    <t>0x00e2a914</t>
  </si>
  <si>
    <t>_x0002__x000F__x0002__x0011__x0005_0_x0005_2_x0002__x0010__x0002__x0012__x0005_1_x0005_3_x0002__x000F__x0002__x0013__x0005_0_x0005_4_x0002__x0010__x0002__x0014__x0005_1_x0005_6_x0002__x000F__x0002__x0013__x0005_0_x0005_5_x0002__x0010__x0002__x0014__x0005_1_x0005_7_x0002__x000F__x0002__x0015__x0005_0_x0005_8_x0002__x0010__x0002__x0015__x0005_1_x0005_8_x0002__x0018__x0002__x0018__x0005_9_x0005_?_x0002__x0019__x0002__x0019__x0005_:_x0005_@</t>
  </si>
  <si>
    <t>0x00e2a9d8</t>
  </si>
  <si>
    <t>fx_grass_test</t>
  </si>
  <si>
    <t>0x00e2a9e8</t>
  </si>
  <si>
    <t>fx_blood_floor</t>
  </si>
  <si>
    <t>0x00e2a9f8</t>
  </si>
  <si>
    <t>fx_blood_wall</t>
  </si>
  <si>
    <t>0x00e2aa08</t>
  </si>
  <si>
    <t>fx_multiple_exposure_mask</t>
  </si>
  <si>
    <t>0x00e2aa28</t>
  </si>
  <si>
    <t>fx_pan_blur</t>
  </si>
  <si>
    <t>0x00e2aa38</t>
  </si>
  <si>
    <t>fx_pan_blur_mask</t>
  </si>
  <si>
    <t>0x00e2aa50</t>
  </si>
  <si>
    <t>fx_pan_blur_z_mask</t>
  </si>
  <si>
    <t>0x00e2aa68</t>
  </si>
  <si>
    <t>fx_dolly_blur</t>
  </si>
  <si>
    <t>0x00e2aa78</t>
  </si>
  <si>
    <t>fx_dolly_blur_mask</t>
  </si>
  <si>
    <t>0x00e2aa90</t>
  </si>
  <si>
    <t>fx_dolly_blur_z_mask</t>
  </si>
  <si>
    <t>0x00e2aaa8</t>
  </si>
  <si>
    <t>fx_pan_dolly_blur</t>
  </si>
  <si>
    <t>0x00e2aac0</t>
  </si>
  <si>
    <t>fx_ripple</t>
  </si>
  <si>
    <t>0x00e2aad0</t>
  </si>
  <si>
    <t>fx_ripple2</t>
  </si>
  <si>
    <t>0x00e2aae0</t>
  </si>
  <si>
    <t>fx_sea_rend_hbase</t>
  </si>
  <si>
    <t>0x00e2aaf8</t>
  </si>
  <si>
    <t>fx_sea_rend_hbase_ac</t>
  </si>
  <si>
    <t>0x00e2ab10</t>
  </si>
  <si>
    <t>fx_sea_rend_vtxh</t>
  </si>
  <si>
    <t>0x00e2ab28</t>
  </si>
  <si>
    <t>fx_sea_rend_nrm</t>
  </si>
  <si>
    <t>0x00e2ab38</t>
  </si>
  <si>
    <t>fx_sea_surface</t>
  </si>
  <si>
    <t>0x00e2ab48</t>
  </si>
  <si>
    <t>fx_sea_surface_ex</t>
  </si>
  <si>
    <t>0x00e2ab60</t>
  </si>
  <si>
    <t>fx_sea_surface_transoff</t>
  </si>
  <si>
    <t>0x00e2ab78</t>
  </si>
  <si>
    <t>fx_sea_rend_translation</t>
  </si>
  <si>
    <t>0x00e2ab90</t>
  </si>
  <si>
    <t>fx_sea_rend_translation_mesh</t>
  </si>
  <si>
    <t>0x00e2abb0</t>
  </si>
  <si>
    <t>fx_sea_rend_fbase</t>
  </si>
  <si>
    <t>0x00e2abc8</t>
  </si>
  <si>
    <t>fx_sea_rend_ftime</t>
  </si>
  <si>
    <t>0x00e2abe0</t>
  </si>
  <si>
    <t>fx_sea_rend_fptcl</t>
  </si>
  <si>
    <t>0x00e2abf8</t>
  </si>
  <si>
    <t>fx_sea_rend_wptcl</t>
  </si>
  <si>
    <t>0x00e2ac10</t>
  </si>
  <si>
    <t>fx_shockwave_depth_ofs</t>
  </si>
  <si>
    <t>0x00e2ac28</t>
  </si>
  <si>
    <t>fx_shockwave_depth</t>
  </si>
  <si>
    <t>0x00e2ac40</t>
  </si>
  <si>
    <t>fx_shockwave_blur</t>
  </si>
  <si>
    <t>0x00e2ac58</t>
  </si>
  <si>
    <t>fx_shockwave_sphere</t>
  </si>
  <si>
    <t>0x00e2ac70</t>
  </si>
  <si>
    <t>fx_shockwave_plane</t>
  </si>
  <si>
    <t>0x00e2ac88</t>
  </si>
  <si>
    <t>fx_cloud_seed</t>
  </si>
  <si>
    <t>0x00e2ac98</t>
  </si>
  <si>
    <t>fx_watermap</t>
  </si>
  <si>
    <t>0x00e2aca8</t>
  </si>
  <si>
    <t>fx_watermap_ripple</t>
  </si>
  <si>
    <t>0x00e2acc0</t>
  </si>
  <si>
    <t>fx_highlight_edge</t>
  </si>
  <si>
    <t>0x00e2acd8</t>
  </si>
  <si>
    <t>fx_highlight_flash</t>
  </si>
  <si>
    <t>0x00e2acf0</t>
  </si>
  <si>
    <t>fx_highlight_bmedge</t>
  </si>
  <si>
    <t>0x00e2ad08</t>
  </si>
  <si>
    <t>fx_wblur5</t>
  </si>
  <si>
    <t>0x00e2ad18</t>
  </si>
  <si>
    <t>fx_aura_band</t>
  </si>
  <si>
    <t>0x00e2ad28</t>
  </si>
  <si>
    <t>fx_aura_edge</t>
  </si>
  <si>
    <t>0x00e2ad38</t>
  </si>
  <si>
    <t>fx_aura_db</t>
  </si>
  <si>
    <t>0x00e2ad48</t>
  </si>
  <si>
    <t>fx_restore_nrm</t>
  </si>
  <si>
    <t>0x00e2ad58</t>
  </si>
  <si>
    <t>fx_camera_blur</t>
  </si>
  <si>
    <t>0x00e2ad68</t>
  </si>
  <si>
    <t>fx_ccr_hls_sc_gm_gi_of_mask</t>
  </si>
  <si>
    <t>0x00e2ad88</t>
  </si>
  <si>
    <t>fx_ccr_____sc_gm_gi_of_mask</t>
  </si>
  <si>
    <t>0x00e2ada8</t>
  </si>
  <si>
    <t>fx_ccr_____sc_gm_gi_of_mask_n</t>
  </si>
  <si>
    <t>0x00e2adc8</t>
  </si>
  <si>
    <t>fx_mgstg_bullet</t>
  </si>
  <si>
    <t>0x00e2add8</t>
  </si>
  <si>
    <t>fx_rain2_add_glare</t>
  </si>
  <si>
    <t>0x00e2adf0</t>
  </si>
  <si>
    <t>fx_front_rain</t>
  </si>
  <si>
    <t>0x00e2ae00</t>
  </si>
  <si>
    <t>fx_snow</t>
  </si>
  <si>
    <t>0x00e2ae08</t>
  </si>
  <si>
    <t>fx_snow_smb_light</t>
  </si>
  <si>
    <t>0x00e2ae20</t>
  </si>
  <si>
    <t>fx_rain_filter_op</t>
  </si>
  <si>
    <t>0x00e2ae38</t>
  </si>
  <si>
    <t>fx_rain_filter_up</t>
  </si>
  <si>
    <t>0x00e2ae50</t>
  </si>
  <si>
    <t>fx_reflection</t>
  </si>
  <si>
    <t>0x00e2ae60</t>
  </si>
  <si>
    <t>fx_reflection_pool</t>
  </si>
  <si>
    <t>0x00e2ae78</t>
  </si>
  <si>
    <t>fx_reflection_waterpool</t>
  </si>
  <si>
    <t>0x00e2ae90</t>
  </si>
  <si>
    <t>fx_reflection_sky</t>
  </si>
  <si>
    <t>0x00e2aea8</t>
  </si>
  <si>
    <t>fx_window_rain_height</t>
  </si>
  <si>
    <t>0x00e2aec0</t>
  </si>
  <si>
    <t>fx_window_rain_nrm</t>
  </si>
  <si>
    <t>0x00e2aed8</t>
  </si>
  <si>
    <t>fx_window_rain</t>
  </si>
  <si>
    <t>0x00e2aee8</t>
  </si>
  <si>
    <t>fx_afterimage01</t>
  </si>
  <si>
    <t>0x00e2aef8</t>
  </si>
  <si>
    <t>fx_glass</t>
  </si>
  <si>
    <t>0x00e2af08</t>
  </si>
  <si>
    <t>fx_glass2</t>
  </si>
  <si>
    <t>0x00e2af18</t>
  </si>
  <si>
    <t>fx_flash_scat</t>
  </si>
  <si>
    <t>0x00e2af28</t>
  </si>
  <si>
    <t>fx_fishing_line</t>
  </si>
  <si>
    <t>0x00e2af38</t>
  </si>
  <si>
    <t>fx_fishing_line2</t>
  </si>
  <si>
    <t>0x00e2af50</t>
  </si>
  <si>
    <t>fx_sl_lens_flare</t>
  </si>
  <si>
    <t>0x00e2af68</t>
  </si>
  <si>
    <t>fx_sl_lens_ghost</t>
  </si>
  <si>
    <t>0x00e2af80</t>
  </si>
  <si>
    <t>fx_sl_light_mask</t>
  </si>
  <si>
    <t>0x00e2af98</t>
  </si>
  <si>
    <t>fx_stealth_skin</t>
  </si>
  <si>
    <t>0x00e2afa8</t>
  </si>
  <si>
    <t>fx_noise</t>
  </si>
  <si>
    <t>0x00e2afb8</t>
  </si>
  <si>
    <t>fx_perlin_noise</t>
  </si>
  <si>
    <t>0x00e2afc8</t>
  </si>
  <si>
    <t>fx_perlin_noise_with_normal</t>
  </si>
  <si>
    <t>0x00e2afe8</t>
  </si>
  <si>
    <t>fx_perlin_noise_3d</t>
  </si>
  <si>
    <t>0x00e2b000</t>
  </si>
  <si>
    <t>fx_cloud_shadow</t>
  </si>
  <si>
    <t>0x00e2b010</t>
  </si>
  <si>
    <t>fx_shadowmap_skin_punch</t>
  </si>
  <si>
    <t>0x00e2b028</t>
  </si>
  <si>
    <t>fx_whoop_blur</t>
  </si>
  <si>
    <t>0x00e2b038</t>
  </si>
  <si>
    <t>fx_analog_noise</t>
  </si>
  <si>
    <t>0x00e2b048</t>
  </si>
  <si>
    <t>fx_star_glare</t>
  </si>
  <si>
    <t>0x00e2b058</t>
  </si>
  <si>
    <t>fx_depth_to_shadow</t>
  </si>
  <si>
    <t>0x00e2b070</t>
  </si>
  <si>
    <t>fx_depth_to_shadow3</t>
  </si>
  <si>
    <t>0x00e2b088</t>
  </si>
  <si>
    <t>fx_depth_to_shadow6</t>
  </si>
  <si>
    <t>0x00e2b0a0</t>
  </si>
  <si>
    <t>fx_depth_to_shadow_unuse_map</t>
  </si>
  <si>
    <t>0x00e2b0c0</t>
  </si>
  <si>
    <t>fx_ssao</t>
  </si>
  <si>
    <t>0x00e2b0c8</t>
  </si>
  <si>
    <t>fx_ssao_temporal_filter</t>
  </si>
  <si>
    <t>0x00e2b0e0</t>
  </si>
  <si>
    <t>fx_btlcaption_blur</t>
  </si>
  <si>
    <t>0x00e2b0f8</t>
  </si>
  <si>
    <t>fx_rigid_snow</t>
  </si>
  <si>
    <t>0x00e2b108</t>
  </si>
  <si>
    <t>fx_texture3d</t>
  </si>
  <si>
    <t>0x00e2b118</t>
  </si>
  <si>
    <t>fx_blur_sample9</t>
  </si>
  <si>
    <t>0x00e2b128</t>
  </si>
  <si>
    <t>fx_haze_mask</t>
  </si>
  <si>
    <t>0x00e2b138</t>
  </si>
  <si>
    <t>fx_fog_wall</t>
  </si>
  <si>
    <t>0x00e2b148</t>
  </si>
  <si>
    <t>fx_glass_water_overflow</t>
  </si>
  <si>
    <t>0x00e2b160</t>
  </si>
  <si>
    <t>fx_dof0</t>
  </si>
  <si>
    <t>0x00e2b168</t>
  </si>
  <si>
    <t>fx_dof0_light</t>
  </si>
  <si>
    <t>0x00e2b178</t>
  </si>
  <si>
    <t>fx_dof1</t>
  </si>
  <si>
    <t>0x00e2b180</t>
  </si>
  <si>
    <t>fx_dof2</t>
  </si>
  <si>
    <t>0x00e2b188</t>
  </si>
  <si>
    <t>fx_dof3</t>
  </si>
  <si>
    <t>0x00e2b190</t>
  </si>
  <si>
    <t>fx_dof3_mask</t>
  </si>
  <si>
    <t>0x00e2b1a0</t>
  </si>
  <si>
    <t>fx_dof3_1</t>
  </si>
  <si>
    <t>0x00e2b1b0</t>
  </si>
  <si>
    <t>fx_dof3_2</t>
  </si>
  <si>
    <t>0x00e2b1c0</t>
  </si>
  <si>
    <t>fx_dof3_2_mask</t>
  </si>
  <si>
    <t>0x00e2b1d0</t>
  </si>
  <si>
    <t>fx_simple_shadow</t>
  </si>
  <si>
    <t>0x00e2b1e8</t>
  </si>
  <si>
    <t>fx_projection_light</t>
  </si>
  <si>
    <t>0x00e2b200</t>
  </si>
  <si>
    <t>fx_projection_light_sdw</t>
  </si>
  <si>
    <t>0x00e2b218</t>
  </si>
  <si>
    <t>fx_projection_plight</t>
  </si>
  <si>
    <t>0x00e2b230</t>
  </si>
  <si>
    <t>fx_projection_plight_sdw</t>
  </si>
  <si>
    <t>0x00e2b250</t>
  </si>
  <si>
    <t>fx_slash_warp</t>
  </si>
  <si>
    <t>0x00e2b260</t>
  </si>
  <si>
    <t>fx_projection_blood</t>
  </si>
  <si>
    <t>0x00e2b278</t>
  </si>
  <si>
    <t>fx_subtract_light</t>
  </si>
  <si>
    <t>0x00e2b290</t>
  </si>
  <si>
    <t>fx_subtract_light2</t>
  </si>
  <si>
    <t>0x00e2b2a8</t>
  </si>
  <si>
    <t>fx_ink_tone</t>
  </si>
  <si>
    <t>0x00e2b2b8</t>
  </si>
  <si>
    <t>fx_ink_tone_ds</t>
  </si>
  <si>
    <t>0x00e2b2c8</t>
  </si>
  <si>
    <t>fx_ink_flow</t>
  </si>
  <si>
    <t>0x00e2b2d8</t>
  </si>
  <si>
    <t>fx_ink_edge</t>
  </si>
  <si>
    <t>0x00e2b2e8</t>
  </si>
  <si>
    <t>fx_ink_paint</t>
  </si>
  <si>
    <t>0x00e2b2f8</t>
  </si>
  <si>
    <t>fx_ink_paper</t>
  </si>
  <si>
    <t>0x00e2b308</t>
  </si>
  <si>
    <t>fx_ink_paper_mask</t>
  </si>
  <si>
    <t>0x00e2b320</t>
  </si>
  <si>
    <t>fx_ink_drop</t>
  </si>
  <si>
    <t>0x00e2b330</t>
  </si>
  <si>
    <t>fx_blind_light</t>
  </si>
  <si>
    <t>0x00e2b340</t>
  </si>
  <si>
    <t>fx_blind_light_mask_p1</t>
  </si>
  <si>
    <t>0x00e2b358</t>
  </si>
  <si>
    <t>fx_blind_light_mask_p2</t>
  </si>
  <si>
    <t>0x00e2b370</t>
  </si>
  <si>
    <t>fx_flow_water_e</t>
  </si>
  <si>
    <t>0x00e2b380</t>
  </si>
  <si>
    <t>fx_flow_water_en0</t>
  </si>
  <si>
    <t>0x00e2b398</t>
  </si>
  <si>
    <t>fx_flow_water_en01</t>
  </si>
  <si>
    <t>0x00e2b3b0</t>
  </si>
  <si>
    <t>fx_flow_water_r</t>
  </si>
  <si>
    <t>0x00e2b3c0</t>
  </si>
  <si>
    <t>fx_flow_water_rn0</t>
  </si>
  <si>
    <t>0x00e2b3d8</t>
  </si>
  <si>
    <t>fx_flow_water_rn01</t>
  </si>
  <si>
    <t>0x00e2b3f0</t>
  </si>
  <si>
    <t>fx_mgsp_dsmpl</t>
  </si>
  <si>
    <t>0x00e2b400</t>
  </si>
  <si>
    <t>fx_mgsp_dsmpl_last</t>
  </si>
  <si>
    <t>0x00e2b418</t>
  </si>
  <si>
    <t>fx_mgsp_bg</t>
  </si>
  <si>
    <t>0x00e2b428</t>
  </si>
  <si>
    <t>fx_mgsp_bg_mask</t>
  </si>
  <si>
    <t>0x00e2b438</t>
  </si>
  <si>
    <t>fx_mgsp_emy_core</t>
  </si>
  <si>
    <t>0x00e2b450</t>
  </si>
  <si>
    <t>fx_mgsp_emy_block</t>
  </si>
  <si>
    <t>0x00e2b468</t>
  </si>
  <si>
    <t>fx_mgsp_emy_block_edge</t>
  </si>
  <si>
    <t>0x00e2b480</t>
  </si>
  <si>
    <t>fx_mgsp_spark</t>
  </si>
  <si>
    <t>0x00e2b490</t>
  </si>
  <si>
    <t>fx_mgsp_bullet</t>
  </si>
  <si>
    <t>0x00e2b4a0</t>
  </si>
  <si>
    <t>vs_ptc_bill_xx_xx_x_x_x_x</t>
  </si>
  <si>
    <t>0x00e2b4c0</t>
  </si>
  <si>
    <t>vs_ptc_bill_xx_xx_f_x_x_x</t>
  </si>
  <si>
    <t>0x00e2b4e0</t>
  </si>
  <si>
    <t>vs_ptc_bill_xx_xx_x_a_x_x</t>
  </si>
  <si>
    <t>0x00e2b500</t>
  </si>
  <si>
    <t>vs_ptc_bill_xx_xx_f_a_x_x</t>
  </si>
  <si>
    <t>0x00e2b520</t>
  </si>
  <si>
    <t>vs_ptc_bill_xx_xx_x_x_k_x</t>
  </si>
  <si>
    <t>0x00e2b540</t>
  </si>
  <si>
    <t>vs_ptc_bill_xx_xx_f_x_k_x</t>
  </si>
  <si>
    <t>0x00e2b560</t>
  </si>
  <si>
    <t>vs_ptc_bill_xx_xx_x_a_k_x</t>
  </si>
  <si>
    <t>0x00e2b580</t>
  </si>
  <si>
    <t>n</t>
  </si>
  <si>
    <t>0x00e2b588</t>
  </si>
  <si>
    <t>vs_ptc_bill_xx_xx_x_x_x_n</t>
  </si>
  <si>
    <t>0x00e2b5a8</t>
  </si>
  <si>
    <t>vs_ptc_bill_xx_xx_f_x_x_n</t>
  </si>
  <si>
    <t>0x00e2b5c8</t>
  </si>
  <si>
    <t>vs_ptc_bill_xx_xx_x_a_x_n</t>
  </si>
  <si>
    <t>0x00e2b5e8</t>
  </si>
  <si>
    <t>vs_ptc_bill_xx_xx_f_a_x_n</t>
  </si>
  <si>
    <t>0x00e2b608</t>
  </si>
  <si>
    <t>vs_ptc_bill_xx_xx_x_x_k_n</t>
  </si>
  <si>
    <t>0x00e2b628</t>
  </si>
  <si>
    <t>vs_ptc_bill_xx_xx_f_x_k_n</t>
  </si>
  <si>
    <t>0x00e2b648</t>
  </si>
  <si>
    <t>vs_ptc_bill_xx_ln_x_x_x_x</t>
  </si>
  <si>
    <t>0x00e2b668</t>
  </si>
  <si>
    <t>vs_ptc_bill_xx_ln_f_x_x_x</t>
  </si>
  <si>
    <t>0x00e2b688</t>
  </si>
  <si>
    <t>vs_ptc_bill_xx_ln_x_x_k_x</t>
  </si>
  <si>
    <t>0x00e2b6a8</t>
  </si>
  <si>
    <t>vs_ptc_bill_xx_ln_f_x_k_x</t>
  </si>
  <si>
    <t>0x00e2b6c8</t>
  </si>
  <si>
    <t>vs_ptc_bill_xx_ln_x_x_x_n</t>
  </si>
  <si>
    <t>0x00e2b6e8</t>
  </si>
  <si>
    <t>vs_ptc_bill_xx_ln_f_x_x_n</t>
  </si>
  <si>
    <t>0x00e2b708</t>
  </si>
  <si>
    <t>vs_ptc_bill_xx_ln_x_x_k_n</t>
  </si>
  <si>
    <t>0x00e2b728</t>
  </si>
  <si>
    <t>vs_ptc_bill_xx_ln_f_x_k_n</t>
  </si>
  <si>
    <t>0x00e2b748</t>
  </si>
  <si>
    <t>vs_ptc_bill_xx_lc_x_x_x_x</t>
  </si>
  <si>
    <t>0x00e2b768</t>
  </si>
  <si>
    <t>vs_ptc_bill_xx_lc_f_x_x_x</t>
  </si>
  <si>
    <t>0x00e2b788</t>
  </si>
  <si>
    <t>vs_ptc_bill_xx_lc_x_x_k_x</t>
  </si>
  <si>
    <t>0x00e2b7a8</t>
  </si>
  <si>
    <t>vs_ptc_bill_xx_lc_f_x_k_x</t>
  </si>
  <si>
    <t>0x00e2b7c8</t>
  </si>
  <si>
    <t>vs_ptc_bill_xx_lc_x_x_x_n</t>
  </si>
  <si>
    <t>0x00e2b7e8</t>
  </si>
  <si>
    <t>vs_ptc_bill_xx_lc_f_x_x_n</t>
  </si>
  <si>
    <t>0x00e2b808</t>
  </si>
  <si>
    <t>vs_ptc_bill_xx_lc_x_x_k_n</t>
  </si>
  <si>
    <t>0x00e2b828</t>
  </si>
  <si>
    <t>vs_ptc_bill_xx_lc_f_x_k_n</t>
  </si>
  <si>
    <t>0x00e2b848</t>
  </si>
  <si>
    <t>vs_ptc_bill_xx_lv_x_x_x_x</t>
  </si>
  <si>
    <t>0x00e2b868</t>
  </si>
  <si>
    <t>vs_ptc_bill_xx_lv_x_x_k_x</t>
  </si>
  <si>
    <t>0x00e2b888</t>
  </si>
  <si>
    <t>vs_ptc_bill_xx_lv_x_x_x_n</t>
  </si>
  <si>
    <t>0x00e2b8a8</t>
  </si>
  <si>
    <t>vs_ptc_bill_xx_lv_f_x_x_n</t>
  </si>
  <si>
    <t>0x00e2b8c8</t>
  </si>
  <si>
    <t>vs_ptc_bill_xx_lv_x_x_k_n</t>
  </si>
  <si>
    <t>0x00e2b8e8</t>
  </si>
  <si>
    <t>vs_ptc_bill_xx_lv_f_x_k_n</t>
  </si>
  <si>
    <t>0x00e2b908</t>
  </si>
  <si>
    <t>vs_ptc_bill_mn_xx_x_x_x_x</t>
  </si>
  <si>
    <t>0x00e2b928</t>
  </si>
  <si>
    <t>vs_ptc_bill_mn_xx_f_x_x_x</t>
  </si>
  <si>
    <t>0x00e2b948</t>
  </si>
  <si>
    <t>vs_ptc_bill_mn_xx_x_a_x_x</t>
  </si>
  <si>
    <t>0x00e2b968</t>
  </si>
  <si>
    <t>vs_ptc_bill_mn_xx_f_a_x_x</t>
  </si>
  <si>
    <t>0x00e2b988</t>
  </si>
  <si>
    <t>vs_ptc_bill_mn_xx_x_x_k_x</t>
  </si>
  <si>
    <t>0x00e2b9a8</t>
  </si>
  <si>
    <t>vs_ptc_bill_mn_xx_f_x_k_x</t>
  </si>
  <si>
    <t>0x00e2b9c8</t>
  </si>
  <si>
    <t>vs_ptc_bill_mn_xx_x_a_k_x</t>
  </si>
  <si>
    <t>0x00e2b9e8</t>
  </si>
  <si>
    <t>vs_ptc_bill_mn_xx_f_a_k_x</t>
  </si>
  <si>
    <t>0x00e2ba08</t>
  </si>
  <si>
    <t>vs_ptc_bill_mn_xx_x_x_x_n</t>
  </si>
  <si>
    <t>0x00e2ba28</t>
  </si>
  <si>
    <t>vs_ptc_bill_mn_xx_f_x_x_n</t>
  </si>
  <si>
    <t>0x00e2ba48</t>
  </si>
  <si>
    <t>vs_ptc_bill_mn_xx_x_a_x_n</t>
  </si>
  <si>
    <t>0x00e2ba68</t>
  </si>
  <si>
    <t>vs_ptc_bill_mn_xx_f_a_x_n</t>
  </si>
  <si>
    <t>0x00e2ba88</t>
  </si>
  <si>
    <t>vs_ptc_bill_mn_xx_x_x_k_n</t>
  </si>
  <si>
    <t>0x00e2baa8</t>
  </si>
  <si>
    <t>vs_ptc_bill_mn_xx_f_x_k_n</t>
  </si>
  <si>
    <t>0x00e2bac8</t>
  </si>
  <si>
    <t>vs_ptc_bill_mn_xx_x_a_k_n</t>
  </si>
  <si>
    <t>0x00e2bae8</t>
  </si>
  <si>
    <t>vs_ptc_bill_mn_xx_f_a_k_n</t>
  </si>
  <si>
    <t>0x00e2bb08</t>
  </si>
  <si>
    <t>vs_ptc_bill_mn_ln_x_x_x_x</t>
  </si>
  <si>
    <t>0x00e2bb28</t>
  </si>
  <si>
    <t>vs_ptc_bill_mn_ln_f_x_x_x</t>
  </si>
  <si>
    <t>0x00e2bb48</t>
  </si>
  <si>
    <t>vs_ptc_bill_mn_ln_x_x_k_x</t>
  </si>
  <si>
    <t>0x00e2bb68</t>
  </si>
  <si>
    <t>vs_ptc_bill_mn_ln_f_x_k_x</t>
  </si>
  <si>
    <t>0x00e2bb88</t>
  </si>
  <si>
    <t>vs_ptc_bill_mn_ln_x_x_x_n</t>
  </si>
  <si>
    <t>0x00e2bba8</t>
  </si>
  <si>
    <t>vs_ptc_bill_mn_ln_f_x_x_n</t>
  </si>
  <si>
    <t>0x00e2bbc8</t>
  </si>
  <si>
    <t>vs_ptc_bill_mn_ln_x_a_x_n</t>
  </si>
  <si>
    <t>0x00e2bbe8</t>
  </si>
  <si>
    <t>vs_ptc_bill_mn_ln_x_x_k_n</t>
  </si>
  <si>
    <t>0x00e2bc08</t>
  </si>
  <si>
    <t>vs_ptc_bill_mn_ln_f_x_k_n</t>
  </si>
  <si>
    <t>0x00e2bc28</t>
  </si>
  <si>
    <t>vs_ptc_bill_mn_lc_x_x_x_x</t>
  </si>
  <si>
    <t>0x00e2bc48</t>
  </si>
  <si>
    <t>vs_ptc_bill_mn_lc_f_x_x_x</t>
  </si>
  <si>
    <t>0x00e2bc68</t>
  </si>
  <si>
    <t>vs_ptc_bill_mn_lc_x_x_k_x</t>
  </si>
  <si>
    <t>0x00e2bc88</t>
  </si>
  <si>
    <t>vs_ptc_bill_mn_lc_f_x_k_x</t>
  </si>
  <si>
    <t>0x00e2bca8</t>
  </si>
  <si>
    <t>vs_ptc_bill_mn_lc_x_x_x_n</t>
  </si>
  <si>
    <t>0x00e2bcc8</t>
  </si>
  <si>
    <t>vs_ptc_bill_mn_lc_x_a_x_n</t>
  </si>
  <si>
    <t>0x00e2bce8</t>
  </si>
  <si>
    <t>vs_ptc_bill_mn_lc_x_x_k_n</t>
  </si>
  <si>
    <t>0x00e2bd08</t>
  </si>
  <si>
    <t>vs_ptc_bill_mn_lc_f_x_k_n</t>
  </si>
  <si>
    <t>0x00e2bd28</t>
  </si>
  <si>
    <t>vs_ptc_bill_mn_lv_x_x_x_x</t>
  </si>
  <si>
    <t>0x00e2bd48</t>
  </si>
  <si>
    <t>vs_ptc_bill_mn_lv_f_x_x_x</t>
  </si>
  <si>
    <t>0x00e2bd68</t>
  </si>
  <si>
    <t>vs_ptc_bill_mn_lv_x_x_k_x</t>
  </si>
  <si>
    <t>0x00e2bd88</t>
  </si>
  <si>
    <t>vs_ptc_bill_mn_lv_f_x_k_x</t>
  </si>
  <si>
    <t>0x00e2bda8</t>
  </si>
  <si>
    <t>vs_ptc_bill_mn_lv_x_x_x_n</t>
  </si>
  <si>
    <t>0x00e2bdc8</t>
  </si>
  <si>
    <t>vs_ptc_bill_mn_lv_f_x_x_n</t>
  </si>
  <si>
    <t>0x00e2bde8</t>
  </si>
  <si>
    <t>vs_ptc_bill_mn_lv_x_x_k_n</t>
  </si>
  <si>
    <t>0x00e2be08</t>
  </si>
  <si>
    <t>vs_ptc_bill_mb_xx_x_x_x_x</t>
  </si>
  <si>
    <t>0x00e2be28</t>
  </si>
  <si>
    <t>vs_ptc_bill_mb_xx_f_x_x_x</t>
  </si>
  <si>
    <t>0x00e2be48</t>
  </si>
  <si>
    <t>vs_ptc_bill_mb_xx_x_x_k_x</t>
  </si>
  <si>
    <t>0x00e2be68</t>
  </si>
  <si>
    <t>vs_ptc_bill_mb_xx_f_x_k_x</t>
  </si>
  <si>
    <t>0x00e2be88</t>
  </si>
  <si>
    <t>vs_ptc_bill_mb_xx_x_x_x_n</t>
  </si>
  <si>
    <t>0x00e2bea8</t>
  </si>
  <si>
    <t>vs_ptc_bill_mb_xx_f_x_x_n</t>
  </si>
  <si>
    <t>0x00e2bec8</t>
  </si>
  <si>
    <t>vs_ptc_bill_mb_xx_x_x_k_n</t>
  </si>
  <si>
    <t>0x00e2bee8</t>
  </si>
  <si>
    <t>vs_ptc_bill_mb_ln_x_x_x_x</t>
  </si>
  <si>
    <t>0x00e2bf08</t>
  </si>
  <si>
    <t>vs_ptc_bill_mb_ln_f_x_x_x</t>
  </si>
  <si>
    <t>0x00e2bf28</t>
  </si>
  <si>
    <t>vs_ptc_bill_mb_ln_x_x_k_x</t>
  </si>
  <si>
    <t>0x00e2bf48</t>
  </si>
  <si>
    <t>vs_ptc_bill_mb_ln_f_x_k_x</t>
  </si>
  <si>
    <t>0x00e2bf68</t>
  </si>
  <si>
    <t>vs_ptc_bill_mb_ln_x_x_x_n</t>
  </si>
  <si>
    <t>0x00e2bf88</t>
  </si>
  <si>
    <t>vs_ptc_bill_mb_ln_x_x_k_n</t>
  </si>
  <si>
    <t>0x00e2bfa8</t>
  </si>
  <si>
    <t>vs_ptc_bill_mb_ln_f_x_k_n</t>
  </si>
  <si>
    <t>0x00e2bfc8</t>
  </si>
  <si>
    <t>vs_ptc_bill_mb_lc_x_x_x_x</t>
  </si>
  <si>
    <t>0x00e2bfe8</t>
  </si>
  <si>
    <t>vs_ptc_bill_mb_lc_f_x_x_x</t>
  </si>
  <si>
    <t>0x00e2c008</t>
  </si>
  <si>
    <t>vs_ptc_bill_mb_lc_x_x_k_x</t>
  </si>
  <si>
    <t>0x00e2c028</t>
  </si>
  <si>
    <t>vs_ptc_bill_mb_lc_f_x_k_x</t>
  </si>
  <si>
    <t>0x00e2c048</t>
  </si>
  <si>
    <t>vs_ptc_bill_mb_lc_x_x_x_n</t>
  </si>
  <si>
    <t>0x00e2c068</t>
  </si>
  <si>
    <t>vs_ptc_bill_mb_lc_f_x_x_n</t>
  </si>
  <si>
    <t>0x00e2c088</t>
  </si>
  <si>
    <t>vs_ptc_bill_mb_lc_x_x_k_n</t>
  </si>
  <si>
    <t>0x00e2c0a8</t>
  </si>
  <si>
    <t>vs_ptc_bill_mb_lv_x_x_x_x</t>
  </si>
  <si>
    <t>0x00e2c0c8</t>
  </si>
  <si>
    <t>vs_ptc_bill_mb_lv_f_x_x_x</t>
  </si>
  <si>
    <t>0x00e2c0e8</t>
  </si>
  <si>
    <t>vs_ptc_bill_mb_lv_f_x_k_x</t>
  </si>
  <si>
    <t>0x00e2c108</t>
  </si>
  <si>
    <t>vs_ptc_bill_mb_lv_x_x_x_n</t>
  </si>
  <si>
    <t>0x00e2c128</t>
  </si>
  <si>
    <t>vs_ptc_bill_mr_xx_x_x_x_x</t>
  </si>
  <si>
    <t>0x00e2c148</t>
  </si>
  <si>
    <t>vs_ptc_bill_mr_xx_f_x_x_x</t>
  </si>
  <si>
    <t>0x00e2c168</t>
  </si>
  <si>
    <t>vs_ptc_bill_mr_xx_x_x_k_x</t>
  </si>
  <si>
    <t>0x00e2c188</t>
  </si>
  <si>
    <t>vs_ptc_bill_mr_xx_f_x_k_x</t>
  </si>
  <si>
    <t>0x00e2c1a8</t>
  </si>
  <si>
    <t>vs_ptc_bill_mr_xx_x_x_x_n</t>
  </si>
  <si>
    <t>0x00e2c1c8</t>
  </si>
  <si>
    <t>vs_ptc_bill_mr_xx_f_x_x_n</t>
  </si>
  <si>
    <t>0x00e2c1e8</t>
  </si>
  <si>
    <t>vs_ptc_bill_mr_xx_x_x_k_n</t>
  </si>
  <si>
    <t>0x00e2c208</t>
  </si>
  <si>
    <t>vs_ptc_bill_mr_ln_x_x_x_x</t>
  </si>
  <si>
    <t>0x00e2c228</t>
  </si>
  <si>
    <t>vs_ptc_bill_mr_ln_f_x_x_x</t>
  </si>
  <si>
    <t>0x00e2c248</t>
  </si>
  <si>
    <t>vs_ptc_bill_mr_lc_x_x_x_x</t>
  </si>
  <si>
    <t>0x00e2c268</t>
  </si>
  <si>
    <t>vs_ptc_bill_mr_lc_f_x_x_x</t>
  </si>
  <si>
    <t>0x00e2c288</t>
  </si>
  <si>
    <t>vs_ptc_bill_mr_lc_x_x_k_x</t>
  </si>
  <si>
    <t>0x00e2c2a8</t>
  </si>
  <si>
    <t>vs_ptc_bill_mr_lv_x_x_x_x</t>
  </si>
  <si>
    <t>0x00e2c2c8</t>
  </si>
  <si>
    <t>vs_ptc_bill_mr_lv_f_x_x_n</t>
  </si>
  <si>
    <t>0x00e2c2e8</t>
  </si>
  <si>
    <t>vs_ptc_bill_me_xx_x_x_x_x</t>
  </si>
  <si>
    <t>0x00e2c308</t>
  </si>
  <si>
    <t>vs_ptc_bill_me_xx_f_x_x_x</t>
  </si>
  <si>
    <t>0x00e2c328</t>
  </si>
  <si>
    <t>vs_ptc_mesh_xx_xx_x_x_x_x</t>
  </si>
  <si>
    <t>0x00e2c348</t>
  </si>
  <si>
    <t>vs_ptc_mesh_xx_xx_f_x_x_x</t>
  </si>
  <si>
    <t>0x00e2c368</t>
  </si>
  <si>
    <t>vs_ptc_mesh_xx_xx_f_a_x_x</t>
  </si>
  <si>
    <t>0x00e2c388</t>
  </si>
  <si>
    <t>vs_ptc_mesh_xx_xx_x_x_x_n</t>
  </si>
  <si>
    <t>0x00e2c3a8</t>
  </si>
  <si>
    <t>vs_ptc_mesh_xx_xx_f_x_x_n</t>
  </si>
  <si>
    <t>0x00e2c3c8</t>
  </si>
  <si>
    <t>vs_ptc_mesh_xx_ln_x_x_x_x</t>
  </si>
  <si>
    <t>0x00e2c3e8</t>
  </si>
  <si>
    <t>vs_ptc_mesh_xx_ln_x_x_k_x</t>
  </si>
  <si>
    <t>0x00e2c408</t>
  </si>
  <si>
    <t>vs_ptc_mesh_xx_ln_f_x_k_x</t>
  </si>
  <si>
    <t>0x00e2c428</t>
  </si>
  <si>
    <t>vs_ptc_mesh_xx_ln_x_x_x_n</t>
  </si>
  <si>
    <t>0x00e2c448</t>
  </si>
  <si>
    <t>vs_ptc_mesh_xx_lc_x_x_k_x</t>
  </si>
  <si>
    <t>0x00e2c468</t>
  </si>
  <si>
    <t>vs_ptc_mesh_xx_lc_x_x_x_n</t>
  </si>
  <si>
    <t>0x00e2c488</t>
  </si>
  <si>
    <t>vs_ptc_mesh_xx_lc_x_x_k_n</t>
  </si>
  <si>
    <t>0x00e2c4a8</t>
  </si>
  <si>
    <t>vs_ptc_mesh_mn_xx_x_x_x_x</t>
  </si>
  <si>
    <t>0x00e2c4c8</t>
  </si>
  <si>
    <t>vs_ptc_mesh_mn_xx_f_x_x_x</t>
  </si>
  <si>
    <t>0x00e2c4e8</t>
  </si>
  <si>
    <t>vs_ptc_mesh_mn_xx_x_x_k_x</t>
  </si>
  <si>
    <t>0x00e2c508</t>
  </si>
  <si>
    <t>vs_ptc_mesh_mn_xx_x_x_x_n</t>
  </si>
  <si>
    <t>0x00e2c528</t>
  </si>
  <si>
    <t>vs_ptc_mesh_mn_xx_f_x_x_n</t>
  </si>
  <si>
    <t>0x00e2c548</t>
  </si>
  <si>
    <t>vs_ptc_mesh_mn_lc_x_x_x_x</t>
  </si>
  <si>
    <t>0x00e2c568</t>
  </si>
  <si>
    <t>vs_ptc_mesh_mn_lc_x_x_k_x</t>
  </si>
  <si>
    <t>0x00e2c588</t>
  </si>
  <si>
    <t>vs_ptc_mesh_mn_lc_x_x_x_n</t>
  </si>
  <si>
    <t>0x00e2c5a8</t>
  </si>
  <si>
    <t>vs_ptc_mesh_mn_lv_x_x_x_x</t>
  </si>
  <si>
    <t>0x00e2c5c8</t>
  </si>
  <si>
    <t>vs_ptc_mesh_mb_xx_x_x_x_x</t>
  </si>
  <si>
    <t>0x00e2c5e8</t>
  </si>
  <si>
    <t>vs_ptc_mesh_mb_xx_x_x_k_x</t>
  </si>
  <si>
    <t>0x00e2c608</t>
  </si>
  <si>
    <t>vs_ptc_mesh_mb_ln_x_x_x_x</t>
  </si>
  <si>
    <t>0x00e2c628</t>
  </si>
  <si>
    <t>vs_ptc_mesh_mb_ln_x_x_k_x</t>
  </si>
  <si>
    <t>0x00e2c648</t>
  </si>
  <si>
    <t>vs_ptc_mesh_mb_ln_x_x_x_n</t>
  </si>
  <si>
    <t>0x00e2c668</t>
  </si>
  <si>
    <t>vs_ptc_mesh_mb_ln_x_x_k_n</t>
  </si>
  <si>
    <t>0x00e2c688</t>
  </si>
  <si>
    <t>vs_ptc_mesh_mb_lc_x_x_x_x</t>
  </si>
  <si>
    <t>0x00e2c6a8</t>
  </si>
  <si>
    <t>vs_ptc_mesh_mb_lc_x_x_x_n</t>
  </si>
  <si>
    <t>0x00e2c6c8</t>
  </si>
  <si>
    <t>vs_ptc_mesh_mr_xx_x_x_x_x</t>
  </si>
  <si>
    <t>0x00e2c6e8</t>
  </si>
  <si>
    <t>vs_ptc_mesh_mr_xx_f_x_x_x</t>
  </si>
  <si>
    <t>0x00e2c708</t>
  </si>
  <si>
    <t>vs_ptc_mesh_mr_xx_x_x_x_n</t>
  </si>
  <si>
    <t>0x00e2c728</t>
  </si>
  <si>
    <t>vs_ptc_mesh_mr_ln_x_x_x_x</t>
  </si>
  <si>
    <t>0x00e2c748</t>
  </si>
  <si>
    <t>vs_ptc_mesh_mr_ln_x_x_k_x</t>
  </si>
  <si>
    <t>0x00e2c768</t>
  </si>
  <si>
    <t>vs_ptc_mesh_me_ln_x_x_k_x</t>
  </si>
  <si>
    <t>0x00e2c788</t>
  </si>
  <si>
    <t>vs_ptc_xnbb_xx_xx_x_x_x_x</t>
  </si>
  <si>
    <t>0x00e2c7a8</t>
  </si>
  <si>
    <t>vs_ptc_xnbb_mn_xx_f_x_x_n</t>
  </si>
  <si>
    <t>0x00e2c7c8</t>
  </si>
  <si>
    <t>vs_ptc_xnbb_mb_xx_x_x_x_x</t>
  </si>
  <si>
    <t>0x00e2c7e8</t>
  </si>
  <si>
    <t>vs_ptc_msnb_xx_xx_x_x_x_x</t>
  </si>
  <si>
    <t>0x00e2c808</t>
  </si>
  <si>
    <t>vs_ptc_msnb_xx_xx_f_x_x_x</t>
  </si>
  <si>
    <t>0x00e2c828</t>
  </si>
  <si>
    <t>vs_ptc_msnb_xx_xx_x_a_x_x</t>
  </si>
  <si>
    <t>0x00e2c848</t>
  </si>
  <si>
    <t>vs_ptc_msnb_xx_xx_f_a_x_x</t>
  </si>
  <si>
    <t>0x00e2c868</t>
  </si>
  <si>
    <t>vs_ptc_msnb_xx_xx_x_x_k_x</t>
  </si>
  <si>
    <t>0x00e2c888</t>
  </si>
  <si>
    <t>vs_ptc_msnb_xx_xx_f_x_k_x</t>
  </si>
  <si>
    <t>0x00e2c8a8</t>
  </si>
  <si>
    <t>vs_ptc_msnb_xx_xx_x_x_x_n</t>
  </si>
  <si>
    <t>0x00e2c8c8</t>
  </si>
  <si>
    <t>vs_ptc_msnb_xx_xx_f_x_x_n</t>
  </si>
  <si>
    <t>0x00e2c8e8</t>
  </si>
  <si>
    <t>vs_ptc_msnb_xx_xx_x_x_k_n</t>
  </si>
  <si>
    <t>0x00e2c908</t>
  </si>
  <si>
    <t>vs_ptc_msnb_xx_xx_f_x_k_n</t>
  </si>
  <si>
    <t>0x00e2c928</t>
  </si>
  <si>
    <t>vs_ptc_msnb_xx_ln_x_x_x_x</t>
  </si>
  <si>
    <t>0x00e2c948</t>
  </si>
  <si>
    <t>vs_ptc_msnb_xx_ln_x_x_k_x</t>
  </si>
  <si>
    <t>0x00e2c968</t>
  </si>
  <si>
    <t>vs_ptc_msnb_xx_ln_f_x_k_x</t>
  </si>
  <si>
    <t>0x00e2c988</t>
  </si>
  <si>
    <t>vs_ptc_msnb_xx_ln_x_x_x_n</t>
  </si>
  <si>
    <t>0x00e2c9a8</t>
  </si>
  <si>
    <t>vs_ptc_msnb_xx_lc_x_x_x_x</t>
  </si>
  <si>
    <t>0x00e2c9c8</t>
  </si>
  <si>
    <t>vs_ptc_msnb_xx_lc_f_x_x_x</t>
  </si>
  <si>
    <t>0x00e2c9e8</t>
  </si>
  <si>
    <t>vs_ptc_msnb_xx_lc_x_x_k_x</t>
  </si>
  <si>
    <t>0x00e2ca08</t>
  </si>
  <si>
    <t>vs_ptc_msnb_xx_lc_f_x_k_x</t>
  </si>
  <si>
    <t>0x00e2ca28</t>
  </si>
  <si>
    <t>vs_ptc_msnb_xx_lc_x_x_x_n</t>
  </si>
  <si>
    <t>0x00e2ca48</t>
  </si>
  <si>
    <t>vs_ptc_msnb_xx_lc_x_x_k_n</t>
  </si>
  <si>
    <t>0x00e2ca68</t>
  </si>
  <si>
    <t>vs_ptc_msnb_xx_lv_x_x_x_x</t>
  </si>
  <si>
    <t>0x00e2ca88</t>
  </si>
  <si>
    <t>vs_ptc_msnb_xx_lv_x_x_x_n</t>
  </si>
  <si>
    <t>0x00e2caa8</t>
  </si>
  <si>
    <t>vs_ptc_msnb_mn_xx_x_x_x_x</t>
  </si>
  <si>
    <t>0x00e2cac8</t>
  </si>
  <si>
    <t>vs_ptc_msnb_mn_xx_f_x_x_x</t>
  </si>
  <si>
    <t>0x00e2cae8</t>
  </si>
  <si>
    <t>vs_ptc_msnb_mn_xx_x_a_x_x</t>
  </si>
  <si>
    <t>0x00e2cb08</t>
  </si>
  <si>
    <t>vs_ptc_msnb_mn_xx_f_a_x_x</t>
  </si>
  <si>
    <t>0x00e2cb28</t>
  </si>
  <si>
    <t>vs_ptc_msnb_mn_xx_x_x_k_x</t>
  </si>
  <si>
    <t>0x00e2cb48</t>
  </si>
  <si>
    <t>vs_ptc_msnb_mn_xx_f_x_k_x</t>
  </si>
  <si>
    <t>0x00e2cb68</t>
  </si>
  <si>
    <t>vs_ptc_msnb_mn_xx_x_a_k_x</t>
  </si>
  <si>
    <t>0x00e2cb88</t>
  </si>
  <si>
    <t>vs_ptc_msnb_mn_xx_f_a_k_x</t>
  </si>
  <si>
    <t>0x00e2cba8</t>
  </si>
  <si>
    <t>vs_ptc_msnb_mn_xx_x_x_x_n</t>
  </si>
  <si>
    <t>0x00e2cbc8</t>
  </si>
  <si>
    <t>vs_ptc_msnb_mn_xx_f_x_x_n</t>
  </si>
  <si>
    <t>0x00e2cbe8</t>
  </si>
  <si>
    <t>vs_ptc_msnb_mn_xx_x_x_k_n</t>
  </si>
  <si>
    <t>0x00e2cc08</t>
  </si>
  <si>
    <t>vs_ptc_msnb_mn_xx_f_x_k_n</t>
  </si>
  <si>
    <t>0x00e2cc28</t>
  </si>
  <si>
    <t>vs_ptc_msnb_mn_ln_x_x_k_x</t>
  </si>
  <si>
    <t>0x00e2cc48</t>
  </si>
  <si>
    <t>vs_ptc_msnb_mn_ln_x_x_x_n</t>
  </si>
  <si>
    <t>0x00e2cc68</t>
  </si>
  <si>
    <t>vs_ptc_msnb_mn_ln_x_x_k_n</t>
  </si>
  <si>
    <t>0x00e2cc88</t>
  </si>
  <si>
    <t>vs_ptc_msnb_mn_ln_f_x_k_n</t>
  </si>
  <si>
    <t>0x00e2cca8</t>
  </si>
  <si>
    <t>vs_ptc_msnb_mn_lc_x_x_x_x</t>
  </si>
  <si>
    <t>0x00e2ccc8</t>
  </si>
  <si>
    <t>vs_ptc_msnb_mn_lc_f_x_x_x</t>
  </si>
  <si>
    <t>0x00e2cce8</t>
  </si>
  <si>
    <t>vs_ptc_msnb_mn_lc_x_x_k_x</t>
  </si>
  <si>
    <t>0x00e2cd08</t>
  </si>
  <si>
    <t>vs_ptc_msnb_mn_lc_f_x_k_x</t>
  </si>
  <si>
    <t>0x00e2cd28</t>
  </si>
  <si>
    <t>vs_ptc_msnb_mn_lc_f_a_k_x</t>
  </si>
  <si>
    <t>0x00e2cd48</t>
  </si>
  <si>
    <t>vs_ptc_msnb_mn_lc_x_x_x_n</t>
  </si>
  <si>
    <t>0x00e2cd68</t>
  </si>
  <si>
    <t>vs_ptc_msnb_mn_lc_x_x_k_n</t>
  </si>
  <si>
    <t>0x00e2cd88</t>
  </si>
  <si>
    <t>vs_ptc_msnb_mn_lc_f_x_k_n</t>
  </si>
  <si>
    <t>0x00e2cda8</t>
  </si>
  <si>
    <t>vs_ptc_msnb_mb_xx_x_x_x_x</t>
  </si>
  <si>
    <t>0x00e2cdc8</t>
  </si>
  <si>
    <t>vs_ptc_msnb_mb_xx_f_x_x_x</t>
  </si>
  <si>
    <t>0x00e2cde8</t>
  </si>
  <si>
    <t>vs_ptc_msnb_mb_xx_x_a_x_x</t>
  </si>
  <si>
    <t>0x00e2ce08</t>
  </si>
  <si>
    <t>vs_ptc_msnb_mb_xx_x_x_k_x</t>
  </si>
  <si>
    <t>0x00e2ce28</t>
  </si>
  <si>
    <t>vs_ptc_msnb_mb_xx_f_x_k_x</t>
  </si>
  <si>
    <t>0x00e2ce48</t>
  </si>
  <si>
    <t>vs_ptc_msnb_mb_xx_x_x_x_n</t>
  </si>
  <si>
    <t>0x00e2ce68</t>
  </si>
  <si>
    <t>vs_ptc_msnb_mb_ln_x_x_x_x</t>
  </si>
  <si>
    <t>0x00e2ce88</t>
  </si>
  <si>
    <t>vs_ptc_msnb_mb_ln_x_x_k_x</t>
  </si>
  <si>
    <t>0x00e2cea8</t>
  </si>
  <si>
    <t>vs_ptc_msnb_mb_ln_x_x_x_n</t>
  </si>
  <si>
    <t>0x00e2cec8</t>
  </si>
  <si>
    <t>vs_ptc_msnb_mb_ln_x_x_k_n</t>
  </si>
  <si>
    <t>0x00e2cee8</t>
  </si>
  <si>
    <t>vs_ptc_msnb_mb_lc_x_x_x_x</t>
  </si>
  <si>
    <t>0x00e2cf08</t>
  </si>
  <si>
    <t>vs_ptc_msnb_mb_lc_f_x_x_x</t>
  </si>
  <si>
    <t>0x00e2cf28</t>
  </si>
  <si>
    <t>vs_ptc_msnb_mb_lc_x_x_k_x</t>
  </si>
  <si>
    <t>0x00e2cf48</t>
  </si>
  <si>
    <t>vs_ptc_msnb_mb_lc_x_x_x_n</t>
  </si>
  <si>
    <t>0x00e2cf68</t>
  </si>
  <si>
    <t>vs_ptc_msnb_mb_lc_x_x_k_n</t>
  </si>
  <si>
    <t>0x00e2cf88</t>
  </si>
  <si>
    <t>vs_ptc_msnb_mb_lv_x_x_x_x</t>
  </si>
  <si>
    <t>0x00e2cfa8</t>
  </si>
  <si>
    <t>vs_ptc_msnb_mr_xx_x_x_x_x</t>
  </si>
  <si>
    <t>0x00e2cfc8</t>
  </si>
  <si>
    <t>vs_ptc_msnb_mr_xx_f_x_x_x</t>
  </si>
  <si>
    <t>0x00e2cfe8</t>
  </si>
  <si>
    <t>vs_ptc_msnb_mr_xx_x_x_k_x</t>
  </si>
  <si>
    <t>0x00e2d008</t>
  </si>
  <si>
    <t>vs_ptc_msnb_mr_xx_x_x_x_n</t>
  </si>
  <si>
    <t>0x00e2d028</t>
  </si>
  <si>
    <t>vs_ptc_msnb_mr_lc_x_x_x_x</t>
  </si>
  <si>
    <t>0x00e2d048</t>
  </si>
  <si>
    <t>vs_ptc_msnb_mr_lc_f_x_x_x</t>
  </si>
  <si>
    <t>0x00e2d068</t>
  </si>
  <si>
    <t>vs_ptc_msnb_mr_lc_x_x_k_x</t>
  </si>
  <si>
    <t>0x00e2d088</t>
  </si>
  <si>
    <t>vs_ptc_msnb_me_xx_x_x_x_x</t>
  </si>
  <si>
    <t>0x00e2d0a8</t>
  </si>
  <si>
    <t>vs_ptc_msnb_me_lc_x_x_x_x</t>
  </si>
  <si>
    <t>0x00e2d0c8</t>
  </si>
  <si>
    <t>vs_grass_instancing</t>
  </si>
  <si>
    <t>0x00e2d0e0</t>
  </si>
  <si>
    <t>vs_shadow1_normal</t>
  </si>
  <si>
    <t>0x00e2d0f8</t>
  </si>
  <si>
    <t>vs_shadow1_skin</t>
  </si>
  <si>
    <t>0x00e2d108</t>
  </si>
  <si>
    <t>vs_shadow2_normal</t>
  </si>
  <si>
    <t>0x00e2d120</t>
  </si>
  <si>
    <t>vs_shadow2_skin</t>
  </si>
  <si>
    <t>0x00e2d130</t>
  </si>
  <si>
    <t>vs_shadowmap_normal</t>
  </si>
  <si>
    <t>0x00e2d148</t>
  </si>
  <si>
    <t>vs_shadowmap_normal_pt</t>
  </si>
  <si>
    <t>0x00e2d160</t>
  </si>
  <si>
    <t>vs_shadowmap_skin</t>
  </si>
  <si>
    <t>0x00e2d178</t>
  </si>
  <si>
    <t>vs_shadowmap_blur</t>
  </si>
  <si>
    <t>0x00e2d190</t>
  </si>
  <si>
    <t>vs_shadowmap_blur_light</t>
  </si>
  <si>
    <t>0x00e2d1a8</t>
  </si>
  <si>
    <t>vs_glow_pass1</t>
  </si>
  <si>
    <t>0x00e2d1b8</t>
  </si>
  <si>
    <t>vs_glow_pass2</t>
  </si>
  <si>
    <t>0x00e2d1c8</t>
  </si>
  <si>
    <t>vs_glow_pass2_5</t>
  </si>
  <si>
    <t>0x00e2d1d8</t>
  </si>
  <si>
    <t>vs_shadow_volume</t>
  </si>
  <si>
    <t>0x00e2d1f0</t>
  </si>
  <si>
    <t>vs_focus_blur_pass1_2_blur</t>
  </si>
  <si>
    <t>0x00e2d210</t>
  </si>
  <si>
    <t>vs_focus_blur_pass2</t>
  </si>
  <si>
    <t>0x00e2d228</t>
  </si>
  <si>
    <t>vs_focus_blur_pass2_mask</t>
  </si>
  <si>
    <t>0x00e2d248</t>
  </si>
  <si>
    <t>vs_track_ref</t>
  </si>
  <si>
    <t>0x00e2d258</t>
  </si>
  <si>
    <t>vs_shadow1_normal_pt</t>
  </si>
  <si>
    <t>0x00e2d270</t>
  </si>
  <si>
    <t>vs_shadow1_skin_pt</t>
  </si>
  <si>
    <t>0x00e2d288</t>
  </si>
  <si>
    <t>vs_shadow2_normal_pt</t>
  </si>
  <si>
    <t>0x00e2d2a0</t>
  </si>
  <si>
    <t>vs_shadow2_skin_pt</t>
  </si>
  <si>
    <t>0x00e2d2b8</t>
  </si>
  <si>
    <t>vs_afterimage_mblur01</t>
  </si>
  <si>
    <t>0x00e2d2d0</t>
  </si>
  <si>
    <t>vs_glass_water_bf</t>
  </si>
  <si>
    <t>0x00e2d2e8</t>
  </si>
  <si>
    <t>vs_glass_water_bf2</t>
  </si>
  <si>
    <t>0x00e2d300</t>
  </si>
  <si>
    <t>vs_glass_water</t>
  </si>
  <si>
    <t>0x00e2d310</t>
  </si>
  <si>
    <t>vs_glass_water2</t>
  </si>
  <si>
    <t>0x00e2d320</t>
  </si>
  <si>
    <t>vs_body_damage_skin0</t>
  </si>
  <si>
    <t>0x00e2d338</t>
  </si>
  <si>
    <t>vs_body_damage_skin0_sp</t>
  </si>
  <si>
    <t>0x00e2d350</t>
  </si>
  <si>
    <t>vs_body_shockwave_p1_skin0</t>
  </si>
  <si>
    <t>0x00e2d370</t>
  </si>
  <si>
    <t>vs_body_shockwave_skin0</t>
  </si>
  <si>
    <t>0x00e2d388</t>
  </si>
  <si>
    <t>vs_highlight_mask_skin0</t>
  </si>
  <si>
    <t>0x00e2d3a0</t>
  </si>
  <si>
    <t>vs_highlight_mask_skin0_pt</t>
  </si>
  <si>
    <t>0x00e2d3c0</t>
  </si>
  <si>
    <t>vs_highlight_mask_normal0</t>
  </si>
  <si>
    <t>0x00e2d3e0</t>
  </si>
  <si>
    <t>vs_discoball_scat</t>
  </si>
  <si>
    <t>0x00e2d3f8</t>
  </si>
  <si>
    <t>vs_down_sample_2x4</t>
  </si>
  <si>
    <t>0x00e2d410</t>
  </si>
  <si>
    <t>vs_down_sample_4x4</t>
  </si>
  <si>
    <t>0x00e2d428</t>
  </si>
  <si>
    <t>vs_down_sample_8x8</t>
  </si>
  <si>
    <t>0x00e2d440</t>
  </si>
  <si>
    <t>vs_pack_alpha</t>
  </si>
  <si>
    <t>0x00e2d450</t>
  </si>
  <si>
    <t>vs_lerp</t>
  </si>
  <si>
    <t>0x00e2d458</t>
  </si>
  <si>
    <t>vs_z_depth</t>
  </si>
  <si>
    <t>0x00e2d468</t>
  </si>
  <si>
    <t>vs_hflash_edge</t>
  </si>
  <si>
    <t>0x00e2d478</t>
  </si>
  <si>
    <t>vs_hflash_edge_cloth</t>
  </si>
  <si>
    <t>0x00e2d490</t>
  </si>
  <si>
    <t>vs_hflash_edge_ex</t>
  </si>
  <si>
    <t>0x00e2d4a8</t>
  </si>
  <si>
    <t>vs_hflash_edge_ex_cloth</t>
  </si>
  <si>
    <t>0x00e2d4c0</t>
  </si>
  <si>
    <t>vs_perlinnoise4</t>
  </si>
  <si>
    <t>0x00e2d4d0</t>
  </si>
  <si>
    <t>vs_transform_p</t>
  </si>
  <si>
    <t>0x00e2d4e0</t>
  </si>
  <si>
    <t>vs_w2d</t>
  </si>
  <si>
    <t>0x00e2d4e8</t>
  </si>
  <si>
    <t>vs_normal_rigid</t>
  </si>
  <si>
    <t>0x00e2d4f8</t>
  </si>
  <si>
    <t>vs_normal_rigid_pt</t>
  </si>
  <si>
    <t>0x00e2d510</t>
  </si>
  <si>
    <t>vs_normal_skin</t>
  </si>
  <si>
    <t>0x00e2d520</t>
  </si>
  <si>
    <t>vs_normal_skin_pt</t>
  </si>
  <si>
    <t>0x00e2d538</t>
  </si>
  <si>
    <t>vs_normal_skin_n</t>
  </si>
  <si>
    <t>0x00e2d550</t>
  </si>
  <si>
    <t>vs_normal_skin_n[vd]</t>
  </si>
  <si>
    <t>0x00e2d568</t>
  </si>
  <si>
    <t>vs_normal_skin_n_pt</t>
  </si>
  <si>
    <t>0x00e2d580</t>
  </si>
  <si>
    <t>vs_normal_skin_n_pt[vd]</t>
  </si>
  <si>
    <t>0x00e2d598</t>
  </si>
  <si>
    <t>vs_normal_skin_n_wk</t>
  </si>
  <si>
    <t>0x00e2d5b0</t>
  </si>
  <si>
    <t>vs_depth_rigid</t>
  </si>
  <si>
    <t>0x00e2d5c0</t>
  </si>
  <si>
    <t>vs_depth_rigid_pt</t>
  </si>
  <si>
    <t>0x00e2d5d8</t>
  </si>
  <si>
    <t>vs_depth_rigid_tree</t>
  </si>
  <si>
    <t>0x00e2d5f0</t>
  </si>
  <si>
    <t>vs_depth_rigid_tree_pt</t>
  </si>
  <si>
    <t>0x00e2d608</t>
  </si>
  <si>
    <t>vs_depth_rigid_tree_2d</t>
  </si>
  <si>
    <t>0x00e2d620</t>
  </si>
  <si>
    <t>vs_depth_rigid_tree_2d_pt</t>
  </si>
  <si>
    <t>0x00e2d640</t>
  </si>
  <si>
    <t>vs_depth_skin</t>
  </si>
  <si>
    <t>0x00e2d650</t>
  </si>
  <si>
    <t>vs_depth_skin_pt</t>
  </si>
  <si>
    <t>0x00e2d668</t>
  </si>
  <si>
    <t>vs_velocity_rigid</t>
  </si>
  <si>
    <t>0x00e2d680</t>
  </si>
  <si>
    <t>vs_velocity_skin</t>
  </si>
  <si>
    <t>0x00e2d698</t>
  </si>
  <si>
    <t>vs_depth_to_z</t>
  </si>
  <si>
    <t>0x00e2d6a8</t>
  </si>
  <si>
    <t>vs_simple_skin</t>
  </si>
  <si>
    <t>0x00e2d6b8</t>
  </si>
  <si>
    <t>vs_simple_skin_one_color</t>
  </si>
  <si>
    <t>0x00e2d6d8</t>
  </si>
  <si>
    <t>vs_simple_rigid_one_color</t>
  </si>
  <si>
    <t>0x00e2d6f8</t>
  </si>
  <si>
    <t>ps_ptc_xxx_x_x_x_x_x</t>
  </si>
  <si>
    <t>0x00e2d710</t>
  </si>
  <si>
    <t>ps_ptc_xxx_k_x_x_x_x</t>
  </si>
  <si>
    <t>0x00e2d728</t>
  </si>
  <si>
    <t>ps_ptc_xxx_x_m_x_x_x</t>
  </si>
  <si>
    <t>0x00e2d740</t>
  </si>
  <si>
    <t>ps_ptc_xxx_k_m_x_x_x</t>
  </si>
  <si>
    <t>0x00e2d758</t>
  </si>
  <si>
    <t>ps_ptc_xxx_x_x_s_x_x</t>
  </si>
  <si>
    <t>0x00e2d770</t>
  </si>
  <si>
    <t>ps_ptc_xxx_x_x_x_f_x</t>
  </si>
  <si>
    <t>0x00e2d788</t>
  </si>
  <si>
    <t>ps_ptc_xxx_k_x_x_f_x</t>
  </si>
  <si>
    <t>0x00e2d7a0</t>
  </si>
  <si>
    <t>ps_ptc_xxx_x_m_x_f_x</t>
  </si>
  <si>
    <t>0x00e2d7b8</t>
  </si>
  <si>
    <t>ps_ptc_xxx_x_x_x_x_a</t>
  </si>
  <si>
    <t>0x00e2d7d0</t>
  </si>
  <si>
    <t>ps_ptc_xxx_k_x_x_x_a</t>
  </si>
  <si>
    <t>0x00e2d7e8</t>
  </si>
  <si>
    <t>ps_ptc_mod_x_x_x_x_x</t>
  </si>
  <si>
    <t>0x00e2d800</t>
  </si>
  <si>
    <t>ps_ptc_mod_k_x_x_x_x</t>
  </si>
  <si>
    <t>0x00e2d818</t>
  </si>
  <si>
    <t>ps_ptc_mod_x_m_x_x_x</t>
  </si>
  <si>
    <t>0x00e2d830</t>
  </si>
  <si>
    <t>ps_ptc_mod_x_x_s_x_x</t>
  </si>
  <si>
    <t>0x00e2d848</t>
  </si>
  <si>
    <t>ps_ptc_mod_x_m_s_x_x</t>
  </si>
  <si>
    <t>0x00e2d860</t>
  </si>
  <si>
    <t>ps_ptc_mod_x_x_x_f_x</t>
  </si>
  <si>
    <t>0x00e2d878</t>
  </si>
  <si>
    <t>ps_ptc_mod_k_x_x_f_x</t>
  </si>
  <si>
    <t>0x00e2d890</t>
  </si>
  <si>
    <t>ps_ptc_mod_x_m_x_f_x</t>
  </si>
  <si>
    <t>0x00e2d8a8</t>
  </si>
  <si>
    <t>ps_ptc_mod_x_x_x_x_a</t>
  </si>
  <si>
    <t>0x00e2d8c0</t>
  </si>
  <si>
    <t>ps_ptc_mod_k_x_x_x_a</t>
  </si>
  <si>
    <t>0x00e2d8d8</t>
  </si>
  <si>
    <t>ps_ptc_mod_x_m_x_x_a</t>
  </si>
  <si>
    <t>0x00e2d8f0</t>
  </si>
  <si>
    <t>ps_ptc_mod_x_x_x_f_a</t>
  </si>
  <si>
    <t>0x00e2d908</t>
  </si>
  <si>
    <t>ps_ptc_bmp_x_x_x_x_x</t>
  </si>
  <si>
    <t>0x00e2d920</t>
  </si>
  <si>
    <t>ps_ptc_bmp_k_x_x_x_x</t>
  </si>
  <si>
    <t>0x00e2d938</t>
  </si>
  <si>
    <t>ps_ptc_bmp_x_m_x_x_x</t>
  </si>
  <si>
    <t>0x00e2d950</t>
  </si>
  <si>
    <t>ps_ptc_bmp_x_x_x_f_x</t>
  </si>
  <si>
    <t>0x00e2d968</t>
  </si>
  <si>
    <t>ps_ptc_bmp_k_x_x_f_x</t>
  </si>
  <si>
    <t>0x00e2d980</t>
  </si>
  <si>
    <t>ps_ptc_bmp_x_x_x_x_a</t>
  </si>
  <si>
    <t>0x00e2d998</t>
  </si>
  <si>
    <t>ps_ptc_bmr_x_x_x_x_x</t>
  </si>
  <si>
    <t>0x00e2d9b0</t>
  </si>
  <si>
    <t>ps_ptc_bmr_k_x_x_x_x</t>
  </si>
  <si>
    <t>0x00e2d9c8</t>
  </si>
  <si>
    <t>ps_ptc_bbp_x_x_x_x_x</t>
  </si>
  <si>
    <t>0x00e2d9e0</t>
  </si>
  <si>
    <t>ps_ptc_bbp_k_x_x_x_x</t>
  </si>
  <si>
    <t>0x00e2d9f8</t>
  </si>
  <si>
    <t>ps_ptc_bbp_x_m_x_x_x</t>
  </si>
  <si>
    <t>0x00e2da10</t>
  </si>
  <si>
    <t>ps_ptc_bbr_x_x_x_x_x</t>
  </si>
  <si>
    <t>0x00e2da28</t>
  </si>
  <si>
    <t>ps_ptc_bbr_k_x_x_x_x</t>
  </si>
  <si>
    <t>0x00e2da40</t>
  </si>
  <si>
    <t>ps_ptc_ref_x_x_x_x_x</t>
  </si>
  <si>
    <t>0x00e2da58</t>
  </si>
  <si>
    <t>ps_ptc_ref_k_x_x_x_x</t>
  </si>
  <si>
    <t>0x00e2da70</t>
  </si>
  <si>
    <t>ps_ptc_ref_x_m_x_x_x</t>
  </si>
  <si>
    <t>0x00e2da88</t>
  </si>
  <si>
    <t>ps_ptc_ref_x_x_x_f_x</t>
  </si>
  <si>
    <t>0x00e2daa0</t>
  </si>
  <si>
    <t>ps_ptc_rer_x_x_x_x_x</t>
  </si>
  <si>
    <t>0x00e2dab8</t>
  </si>
  <si>
    <t>ps_ptc_rer_k_x_x_x_x</t>
  </si>
  <si>
    <t>0x00e2dad0</t>
  </si>
  <si>
    <t>ps_ptc_rbf_x_x_x_x_x</t>
  </si>
  <si>
    <t>0x00e2dae8</t>
  </si>
  <si>
    <t>ps_ptc_rbf_k_x_x_x_x</t>
  </si>
  <si>
    <t>0x00e2db00</t>
  </si>
  <si>
    <t>ps_ptc_rbf_x_x_x_f_x</t>
  </si>
  <si>
    <t>0x00e2db18</t>
  </si>
  <si>
    <t>ps_ptc_rbr_x_x_x_x_x</t>
  </si>
  <si>
    <t>0x00e2db30</t>
  </si>
  <si>
    <t>ps_ptc_rbr_k_x_x_x_x</t>
  </si>
  <si>
    <t>0x00e2db48</t>
  </si>
  <si>
    <t>ps_ptc_rmp_x_x_x_x_x</t>
  </si>
  <si>
    <t>0x00e2db60</t>
  </si>
  <si>
    <t>ps_ptc_rmp_k_x_x_x_x</t>
  </si>
  <si>
    <t>0x00e2db78</t>
  </si>
  <si>
    <t>ps_ptc_meta_alp_nor_x</t>
  </si>
  <si>
    <t>0x00e2db90</t>
  </si>
  <si>
    <t>ps_ptc_meta_alp_bmp_x</t>
  </si>
  <si>
    <t>0x00e2dba8</t>
  </si>
  <si>
    <t>ps_ptc_meta_alp_bmp_e</t>
  </si>
  <si>
    <t>0x00e2dbc0</t>
  </si>
  <si>
    <t>ps_ptc_meta_alp_ref_x</t>
  </si>
  <si>
    <t>0x00e2dbd8</t>
  </si>
  <si>
    <t>ps_ptc_meta_alp_ref_e</t>
  </si>
  <si>
    <t>0x00e2dbf0</t>
  </si>
  <si>
    <t>ps_ptc_meta_col_nor_x</t>
  </si>
  <si>
    <t>0x00e2dc08</t>
  </si>
  <si>
    <t>ps_ptc_meta_col_bmp_x</t>
  </si>
  <si>
    <t>0x00e2dc20</t>
  </si>
  <si>
    <t>ps_ptc_meta_col_bmp_e</t>
  </si>
  <si>
    <t>0x00e2dc38</t>
  </si>
  <si>
    <t>ps_ptc_meta_col_ref_x</t>
  </si>
  <si>
    <t>0x00e2dc50</t>
  </si>
  <si>
    <t>ps_texture</t>
  </si>
  <si>
    <t>0x00e2dc60</t>
  </si>
  <si>
    <t>ps_texture_reg8</t>
  </si>
  <si>
    <t>0x00e2dc70</t>
  </si>
  <si>
    <t>ps_texture_reg24</t>
  </si>
  <si>
    <t>0x00e2dc88</t>
  </si>
  <si>
    <t>ps_texture_reg40</t>
  </si>
  <si>
    <t>0x00e2dca0</t>
  </si>
  <si>
    <t>ps_texture_a255</t>
  </si>
  <si>
    <t>0x00e2dcb0</t>
  </si>
  <si>
    <t>ps_texture_rgb255</t>
  </si>
  <si>
    <t>0x00e2dcc8</t>
  </si>
  <si>
    <t>ps_texture_one_color</t>
  </si>
  <si>
    <t>0x00e2dce0</t>
  </si>
  <si>
    <t>ps_black_alpha_0</t>
  </si>
  <si>
    <t>0x00e2dcf8</t>
  </si>
  <si>
    <t>ps_constant_id</t>
  </si>
  <si>
    <t>0x00e2dd08</t>
  </si>
  <si>
    <t>ps_texture_mask</t>
  </si>
  <si>
    <t>0x00e2dd18</t>
  </si>
  <si>
    <t>ps_texture_rgbinv_a255</t>
  </si>
  <si>
    <t>0x00e2dd30</t>
  </si>
  <si>
    <t>ps_texture_scalea</t>
  </si>
  <si>
    <t>0x00e2dd48</t>
  </si>
  <si>
    <t>ps_texture_y_threshold</t>
  </si>
  <si>
    <t>0x00e2dd60</t>
  </si>
  <si>
    <t>ps_texture_subtract</t>
  </si>
  <si>
    <t>0x00e2dd78</t>
  </si>
  <si>
    <t>ps_ccr_hls_sc_gm_gi_of</t>
  </si>
  <si>
    <t>0x00e2dd90</t>
  </si>
  <si>
    <t>ps_ccr_hls_sc_gm_gi___</t>
  </si>
  <si>
    <t>0x00e2dda8</t>
  </si>
  <si>
    <t>ps_ccr_hls_sc_gm____of</t>
  </si>
  <si>
    <t>0x00e2ddc0</t>
  </si>
  <si>
    <t>ps_ccr_hls_sc_gm______</t>
  </si>
  <si>
    <t>0x00e2ddd8</t>
  </si>
  <si>
    <t>ps_ccr_hls_sc____gi_of</t>
  </si>
  <si>
    <t>0x00e2ddf0</t>
  </si>
  <si>
    <t>ps_ccr_hls_sc____gi___</t>
  </si>
  <si>
    <t>0x00e2de08</t>
  </si>
  <si>
    <t>ps_ccr_hls_sc_______of</t>
  </si>
  <si>
    <t>0x00e2de20</t>
  </si>
  <si>
    <t>ps_ccr_hls_sc_________</t>
  </si>
  <si>
    <t>0x00e2de38</t>
  </si>
  <si>
    <t>ps_ccr_hls____gm_gi_of</t>
  </si>
  <si>
    <t>0x00e2de50</t>
  </si>
  <si>
    <t>ps_ccr_hls____gm_gi___</t>
  </si>
  <si>
    <t>0x00e2de68</t>
  </si>
  <si>
    <t>ps_ccr_hls____gm____of</t>
  </si>
  <si>
    <t>0x00e2de80</t>
  </si>
  <si>
    <t>ps_ccr_hls____gm______</t>
  </si>
  <si>
    <t>Er</t>
  </si>
  <si>
    <t>Go forward</t>
  </si>
  <si>
    <t>&lt;Sign:D&gt; Forward</t>
  </si>
  <si>
    <t>&lt;Sign:C&gt;Return</t>
  </si>
  <si>
    <t>&lt;Sign:D&gt;Decide &lt;Sign:C&gt;Return</t>
  </si>
  <si>
    <t>Circle</t>
  </si>
  <si>
    <t>Text</t>
  </si>
  <si>
    <t>both</t>
  </si>
  <si>
    <t>billion</t>
  </si>
  <si>
    <t>Item</t>
  </si>
  <si>
    <t>Sheet</t>
  </si>
  <si>
    <t>Pieces</t>
  </si>
  <si>
    <t>P</t>
  </si>
  <si>
    <t>emission</t>
  </si>
  <si>
    <t>Money in your possession</t>
  </si>
  <si>
    <t>Chips</t>
  </si>
  <si>
    <t>Onii</t>
  </si>
  <si>
    <t>Points</t>
  </si>
  <si>
    <t>fighting balls</t>
  </si>
  <si>
    <t>Funds</t>
  </si>
  <si>
    <t>Dojo Fund</t>
  </si>
  <si>
    <t>Possession P</t>
  </si>
  <si>
    <t>Medals</t>
  </si>
  <si>
    <t>Medal</t>
  </si>
  <si>
    <t>Earned P</t>
  </si>
  <si>
    <t>Cab Pt</t>
  </si>
  <si>
    <t>%2d points</t>
  </si>
  <si>
    <t>Place</t>
  </si>
  <si>
    <t>Lucky draw ticket</t>
  </si>
  <si>
    <t>Gion</t>
  </si>
  <si>
    <t>in the city</t>
  </si>
  <si>
    <t>outside of Kyoto</t>
  </si>
  <si>
    <t>corrupt street</t>
  </si>
  <si>
    <t>Fushimi</t>
  </si>
  <si>
    <t>Tosa</t>
  </si>
  <si>
    <t>G</t>
  </si>
  <si>
    <t>Toku</t>
  </si>
  <si>
    <t>Type</t>
  </si>
  <si>
    <t>times</t>
  </si>
  <si>
    <t>Saito</t>
  </si>
  <si>
    <t>Ryoma</t>
  </si>
  <si>
    <t>Haruka</t>
  </si>
  <si>
    <t>Saito I</t>
  </si>
  <si>
    <t>Ryoma Sakamoto</t>
  </si>
  <si>
    <t>Haruka Sawamura</t>
  </si>
  <si>
    <t>Ka</t>
  </si>
  <si>
    <t>Saitou</t>
  </si>
  <si>
    <t>land</t>
  </si>
  <si>
    <t>KAGUYA</t>
  </si>
  <si>
    <t>HOKKAIDO</t>
  </si>
  <si>
    <t>Shion</t>
  </si>
  <si>
    <t>Hinata Sakurazaki</t>
  </si>
  <si>
    <t>Sunata</t>
  </si>
  <si>
    <t>Annan</t>
  </si>
  <si>
    <t>Inu</t>
  </si>
  <si>
    <t>cat</t>
  </si>
  <si>
    <t>Mame</t>
  </si>
  <si>
    <t>Hoeta</t>
  </si>
  <si>
    <t>Naotaro</t>
  </si>
  <si>
    <t>Daikichi</t>
  </si>
  <si>
    <t>Maguro</t>
  </si>
  <si>
    <t>Ochoko</t>
  </si>
  <si>
    <t>I don't have anything I can use.</t>
  </si>
  <si>
    <t>What should I use?</t>
  </si>
  <si>
    <t>Can I really use it?</t>
  </si>
  <si>
    <t>Betting Points</t>
  </si>
  <si>
    <t>Dividend points</t>
  </si>
  <si>
    <t>Deposit</t>
  </si>
  <si>
    <t>Nice to meet you.</t>
  </si>
  <si>
    <t>Go easy on me.</t>
  </si>
  <si>
    <t>I'm gonna win this thing!</t>
  </si>
  <si>
    <t>One pair, out of nowhere!</t>
  </si>
  <si>
    <t>Nice to see you again.</t>
  </si>
  <si>
    <t>Let's hope you get a good deal.</t>
  </si>
  <si>
    <t>What the hell is this?</t>
  </si>
  <si>
    <t>We're gonna win this thing.</t>
  </si>
  <si>
    <t>I don't think I can win.</t>
  </si>
  <si>
    <t>Everyone should get out.</t>
  </si>
  <si>
    <t>Bad luck...</t>
  </si>
  <si>
    <t>Come on, come on!</t>
  </si>
  <si>
    <t>Let's be careful...</t>
  </si>
  <si>
    <t>We're in luck!</t>
  </si>
  <si>
    <t>It's not looking good.</t>
  </si>
  <si>
    <t>Let's just wait and see.</t>
  </si>
  <si>
    <t>Let's see what you got.</t>
  </si>
  <si>
    <t>He's bluffing!</t>
  </si>
  <si>
    <t>Let's get out of here.</t>
  </si>
  <si>
    <t>I'm having a little trouble...</t>
  </si>
  <si>
    <t>I guess running away is the way to go.</t>
  </si>
  <si>
    <t>That's it!</t>
  </si>
  <si>
    <t>Nice!</t>
  </si>
  <si>
    <t>Oh, shit!</t>
  </si>
  <si>
    <t>Yes!</t>
  </si>
  <si>
    <t>I'm so sorry.</t>
  </si>
  <si>
    <t>Ugh!</t>
  </si>
  <si>
    <t>Sickening... (Tears)</t>
  </si>
  <si>
    <t>Amazing peach tree, prickly pear tree.</t>
  </si>
  <si>
    <t>It's so hard!</t>
  </si>
  <si>
    <t>I can't take it!</t>
  </si>
  <si>
    <t>I'm in trouble!</t>
  </si>
  <si>
    <t>I think I'll get out...</t>
  </si>
  <si>
    <t>I've got the part!</t>
  </si>
  <si>
    <t>I got a hand, but it was weak...</t>
  </si>
  <si>
    <t>I got a strong hand.</t>
  </si>
  <si>
    <t>I can't get them all...</t>
  </si>
  <si>
    <t>I'm so excited.</t>
  </si>
  <si>
    <t>I made the wrong choice...</t>
  </si>
  <si>
    <t>Ia</t>
  </si>
  <si>
    <t>2P.</t>
  </si>
  <si>
    <t>1P 2P .</t>
  </si>
  <si>
    <t>Le.</t>
  </si>
  <si>
    <t>Le</t>
  </si>
  <si>
    <t>Do</t>
  </si>
  <si>
    <t>s[n].</t>
  </si>
  <si>
    <t>) )</t>
  </si>
  <si>
    <t>...</t>
  </si>
  <si>
    <t>One.</t>
  </si>
  <si>
    <t>( )</t>
  </si>
  <si>
    <t>Time</t>
  </si>
  <si>
    <t>King kazunoko</t>
  </si>
  <si>
    <t>Mr. Mu</t>
  </si>
  <si>
    <t>Akinako</t>
  </si>
  <si>
    <t>De De De De</t>
  </si>
  <si>
    <t>Colonel Saxon</t>
  </si>
  <si>
    <t>Machine Gun Lowlife</t>
  </si>
  <si>
    <t>Matsukov @ Gifu</t>
  </si>
  <si>
    <t>Deya Mama</t>
  </si>
  <si>
    <t>Bercy</t>
  </si>
  <si>
    <t>South</t>
  </si>
  <si>
    <t>Willful Cherry Blossom</t>
  </si>
  <si>
    <t>Hungry days</t>
  </si>
  <si>
    <t>Asura Komachi</t>
  </si>
  <si>
    <t>Samurai Ondo</t>
  </si>
  <si>
    <t>We Must Decorate Our Hometown with Nishiki</t>
  </si>
  <si>
    <t>Shishi</t>
  </si>
  <si>
    <t>The God of Excitement</t>
  </si>
  <si>
    <t>Our signature man</t>
  </si>
  <si>
    <t>The man who changes the atmosphere</t>
  </si>
  <si>
    <t>The juggernaut</t>
  </si>
  <si>
    <t>the guy who doesn't like the sound of music</t>
  </si>
  <si>
    <t>Untried</t>
  </si>
  <si>
    <t>Safe hands</t>
  </si>
  <si>
    <t>Passionate hands</t>
  </si>
  <si>
    <t>Sing</t>
  </si>
  <si>
    <t>I?</t>
  </si>
  <si>
    <t>Ki</t>
  </si>
  <si>
    <t>Tuna</t>
  </si>
  <si>
    <t>Squid</t>
  </si>
  <si>
    <t>Flounder</t>
  </si>
  <si>
    <t>scorpionfish</t>
  </si>
  <si>
    <t>sea bream</t>
  </si>
  <si>
    <t>Conger eel</t>
  </si>
  <si>
    <t>Great White Shark</t>
  </si>
  <si>
    <t>cormorant</t>
  </si>
  <si>
    <t>sea urchin</t>
  </si>
  <si>
    <t>Hawksbill Crab</t>
  </si>
  <si>
    <t>Octopus</t>
  </si>
  <si>
    <t>Umbrella</t>
  </si>
  <si>
    <t>Harisenbon</t>
  </si>
  <si>
    <t>crucian carp</t>
  </si>
  <si>
    <t>Carp</t>
  </si>
  <si>
    <t>Rainbow Carp</t>
  </si>
  <si>
    <t>fish</t>
  </si>
  <si>
    <t>trout</t>
  </si>
  <si>
    <t>Rainbow trout</t>
  </si>
  <si>
    <t>k</t>
  </si>
  <si>
    <t>Question</t>
  </si>
  <si>
    <t>Shino</t>
  </si>
  <si>
    <t>Co.</t>
  </si>
  <si>
    <t>... .</t>
  </si>
  <si>
    <t>... ...</t>
  </si>
  <si>
    <t>.</t>
  </si>
  <si>
    <t>S</t>
  </si>
  <si>
    <t>e</t>
  </si>
  <si>
    <t>Translated with www.DeepL.com/Translator (free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</si>
</sst>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16" fontId="1" fillId="0" borderId="0" xfId="0" applyNumberFormat="1" applyFont="1" applyAlignment="1"/>
    <xf numFmtId="3"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002"/>
  <sheetViews>
    <sheetView tabSelected="1" workbookViewId="0">
      <selection activeCell="C2" sqref="C2:C244"/>
    </sheetView>
  </sheetViews>
  <sheetFormatPr defaultColWidth="14.42578125" defaultRowHeight="15.75" customHeight="1" x14ac:dyDescent="0.2"/>
  <sheetData>
    <row r="1" spans="1:3" ht="15.75" customHeight="1" x14ac:dyDescent="0.2">
      <c r="A1" s="1" t="s">
        <v>0</v>
      </c>
      <c r="B1" s="1" t="s">
        <v>1</v>
      </c>
      <c r="C1" t="str">
        <f ca="1">IFERROR(__xludf.DUMMYFUNCTION("GOOGLETRANSLATE(B1, ""ja"", ""en"")"),"lgt_bin")</f>
        <v>lgt_bin</v>
      </c>
    </row>
    <row r="2" spans="1:3" ht="15.75" customHeight="1" x14ac:dyDescent="0.2">
      <c r="A2" s="1" t="s">
        <v>2</v>
      </c>
      <c r="B2" s="1" t="s">
        <v>3</v>
      </c>
      <c r="C2" t="s">
        <v>3</v>
      </c>
    </row>
    <row r="3" spans="1:3" ht="15.75" customHeight="1" x14ac:dyDescent="0.2">
      <c r="A3" s="1" t="s">
        <v>4</v>
      </c>
      <c r="B3" s="1" t="s">
        <v>5</v>
      </c>
      <c r="C3" t="s">
        <v>5493</v>
      </c>
    </row>
    <row r="4" spans="1:3" ht="15.75" customHeight="1" x14ac:dyDescent="0.2">
      <c r="A4" s="1" t="s">
        <v>6</v>
      </c>
      <c r="B4" s="1" t="s">
        <v>7</v>
      </c>
      <c r="C4" t="s">
        <v>5494</v>
      </c>
    </row>
    <row r="5" spans="1:3" ht="15.75" customHeight="1" x14ac:dyDescent="0.2">
      <c r="A5" s="1" t="s">
        <v>8</v>
      </c>
      <c r="B5" s="1" t="s">
        <v>9</v>
      </c>
      <c r="C5" t="s">
        <v>5495</v>
      </c>
    </row>
    <row r="6" spans="1:3" ht="15.75" customHeight="1" x14ac:dyDescent="0.2">
      <c r="A6" s="1" t="s">
        <v>10</v>
      </c>
      <c r="B6" s="1" t="s">
        <v>11</v>
      </c>
      <c r="C6" t="s">
        <v>5496</v>
      </c>
    </row>
    <row r="7" spans="1:3" ht="15.75" customHeight="1" x14ac:dyDescent="0.2">
      <c r="A7" s="1" t="s">
        <v>12</v>
      </c>
      <c r="B7" s="1" t="s">
        <v>13</v>
      </c>
      <c r="C7" t="s">
        <v>5497</v>
      </c>
    </row>
    <row r="8" spans="1:3" ht="15.75" customHeight="1" x14ac:dyDescent="0.2">
      <c r="A8" s="1" t="s">
        <v>14</v>
      </c>
      <c r="B8" s="1" t="s">
        <v>15</v>
      </c>
      <c r="C8" t="s">
        <v>5498</v>
      </c>
    </row>
    <row r="9" spans="1:3" ht="15.75" customHeight="1" x14ac:dyDescent="0.2">
      <c r="A9" s="1" t="s">
        <v>16</v>
      </c>
      <c r="B9" s="1" t="s">
        <v>17</v>
      </c>
      <c r="C9" t="s">
        <v>5499</v>
      </c>
    </row>
    <row r="10" spans="1:3" ht="15.75" customHeight="1" x14ac:dyDescent="0.2">
      <c r="A10" s="1" t="s">
        <v>18</v>
      </c>
      <c r="B10" s="1" t="s">
        <v>19</v>
      </c>
      <c r="C10" t="s">
        <v>5500</v>
      </c>
    </row>
    <row r="11" spans="1:3" ht="15.75" customHeight="1" x14ac:dyDescent="0.2">
      <c r="A11" s="1" t="s">
        <v>20</v>
      </c>
      <c r="B11" s="1" t="s">
        <v>21</v>
      </c>
      <c r="C11" s="3">
        <v>10000000</v>
      </c>
    </row>
    <row r="12" spans="1:3" ht="15.75" customHeight="1" x14ac:dyDescent="0.2">
      <c r="A12" s="1" t="s">
        <v>22</v>
      </c>
      <c r="B12" s="1" t="s">
        <v>23</v>
      </c>
      <c r="C12" t="s">
        <v>5501</v>
      </c>
    </row>
    <row r="13" spans="1:3" ht="15.75" customHeight="1" x14ac:dyDescent="0.2">
      <c r="A13" s="1" t="s">
        <v>24</v>
      </c>
      <c r="B13" s="1" t="s">
        <v>25</v>
      </c>
      <c r="C13" t="s">
        <v>5502</v>
      </c>
    </row>
    <row r="14" spans="1:3" ht="15.75" customHeight="1" x14ac:dyDescent="0.2">
      <c r="A14" s="1" t="s">
        <v>26</v>
      </c>
      <c r="B14" s="1" t="s">
        <v>27</v>
      </c>
      <c r="C14" t="s">
        <v>5503</v>
      </c>
    </row>
    <row r="15" spans="1:3" ht="15.75" customHeight="1" x14ac:dyDescent="0.2">
      <c r="A15" s="1" t="s">
        <v>28</v>
      </c>
      <c r="B15" s="1" t="s">
        <v>29</v>
      </c>
      <c r="C15" t="s">
        <v>5504</v>
      </c>
    </row>
    <row r="16" spans="1:3" ht="15.75" customHeight="1" x14ac:dyDescent="0.2">
      <c r="A16" s="1" t="s">
        <v>30</v>
      </c>
      <c r="B16" s="1" t="s">
        <v>31</v>
      </c>
      <c r="C16" t="s">
        <v>5505</v>
      </c>
    </row>
    <row r="17" spans="1:3" ht="15.75" customHeight="1" x14ac:dyDescent="0.2">
      <c r="A17" s="1" t="s">
        <v>32</v>
      </c>
      <c r="B17" s="1" t="s">
        <v>33</v>
      </c>
      <c r="C17" t="s">
        <v>5506</v>
      </c>
    </row>
    <row r="18" spans="1:3" ht="15.75" customHeight="1" x14ac:dyDescent="0.2">
      <c r="A18" s="1" t="s">
        <v>34</v>
      </c>
      <c r="B18" s="1" t="s">
        <v>35</v>
      </c>
      <c r="C18" t="s">
        <v>35</v>
      </c>
    </row>
    <row r="19" spans="1:3" ht="15.75" customHeight="1" x14ac:dyDescent="0.2">
      <c r="A19" s="1" t="s">
        <v>36</v>
      </c>
      <c r="B19" s="1" t="s">
        <v>37</v>
      </c>
      <c r="C19" t="s">
        <v>5507</v>
      </c>
    </row>
    <row r="20" spans="1:3" ht="15.75" customHeight="1" x14ac:dyDescent="0.2">
      <c r="A20" s="1" t="s">
        <v>38</v>
      </c>
      <c r="B20" s="1" t="s">
        <v>39</v>
      </c>
      <c r="C20" t="s">
        <v>5508</v>
      </c>
    </row>
    <row r="21" spans="1:3" ht="15.75" customHeight="1" x14ac:dyDescent="0.2">
      <c r="A21" s="1" t="s">
        <v>40</v>
      </c>
      <c r="B21" s="1" t="s">
        <v>41</v>
      </c>
      <c r="C21" t="s">
        <v>5509</v>
      </c>
    </row>
    <row r="22" spans="1:3" ht="15.75" customHeight="1" x14ac:dyDescent="0.2">
      <c r="A22" s="1" t="s">
        <v>42</v>
      </c>
      <c r="B22" s="1" t="s">
        <v>43</v>
      </c>
      <c r="C22" t="s">
        <v>5510</v>
      </c>
    </row>
    <row r="23" spans="1:3" ht="15.75" customHeight="1" x14ac:dyDescent="0.2">
      <c r="A23" s="1" t="s">
        <v>44</v>
      </c>
      <c r="B23" s="1" t="s">
        <v>45</v>
      </c>
      <c r="C23" t="s">
        <v>5511</v>
      </c>
    </row>
    <row r="24" spans="1:3" ht="15.75" customHeight="1" x14ac:dyDescent="0.2">
      <c r="A24" s="1" t="s">
        <v>46</v>
      </c>
      <c r="B24" s="1" t="s">
        <v>47</v>
      </c>
      <c r="C24" t="s">
        <v>5512</v>
      </c>
    </row>
    <row r="25" spans="1:3" ht="15.75" customHeight="1" x14ac:dyDescent="0.2">
      <c r="A25" s="1" t="s">
        <v>48</v>
      </c>
      <c r="B25" s="1" t="s">
        <v>49</v>
      </c>
      <c r="C25" t="s">
        <v>5513</v>
      </c>
    </row>
    <row r="26" spans="1:3" ht="15.75" customHeight="1" x14ac:dyDescent="0.2">
      <c r="A26" s="1" t="s">
        <v>50</v>
      </c>
      <c r="B26" s="1" t="s">
        <v>51</v>
      </c>
      <c r="C26" t="s">
        <v>5514</v>
      </c>
    </row>
    <row r="27" spans="1:3" ht="15.75" customHeight="1" x14ac:dyDescent="0.2">
      <c r="A27" s="1" t="s">
        <v>52</v>
      </c>
      <c r="B27" s="1" t="s">
        <v>53</v>
      </c>
      <c r="C27" t="s">
        <v>5515</v>
      </c>
    </row>
    <row r="28" spans="1:3" ht="15.75" customHeight="1" x14ac:dyDescent="0.2">
      <c r="A28" s="1" t="s">
        <v>54</v>
      </c>
      <c r="B28" s="1" t="s">
        <v>55</v>
      </c>
      <c r="C28" t="s">
        <v>5516</v>
      </c>
    </row>
    <row r="29" spans="1:3" ht="15.75" customHeight="1" x14ac:dyDescent="0.2">
      <c r="A29" s="1" t="s">
        <v>56</v>
      </c>
      <c r="B29" s="1" t="s">
        <v>57</v>
      </c>
      <c r="C29" t="s">
        <v>5517</v>
      </c>
    </row>
    <row r="30" spans="1:3" ht="15.75" customHeight="1" x14ac:dyDescent="0.2">
      <c r="A30" s="1" t="s">
        <v>58</v>
      </c>
      <c r="B30" s="1" t="s">
        <v>59</v>
      </c>
      <c r="C30" t="s">
        <v>5518</v>
      </c>
    </row>
    <row r="31" spans="1:3" ht="15.75" customHeight="1" x14ac:dyDescent="0.2">
      <c r="A31" s="1" t="s">
        <v>60</v>
      </c>
      <c r="B31" s="1" t="s">
        <v>61</v>
      </c>
      <c r="C31" t="s">
        <v>5519</v>
      </c>
    </row>
    <row r="32" spans="1:3" ht="15.75" customHeight="1" x14ac:dyDescent="0.2">
      <c r="A32" s="1" t="s">
        <v>62</v>
      </c>
      <c r="B32" s="1" t="s">
        <v>63</v>
      </c>
      <c r="C32" t="s">
        <v>5520</v>
      </c>
    </row>
    <row r="33" spans="1:3" ht="15.75" customHeight="1" x14ac:dyDescent="0.2">
      <c r="A33" s="1" t="s">
        <v>64</v>
      </c>
      <c r="B33" s="1" t="s">
        <v>65</v>
      </c>
      <c r="C33" t="s">
        <v>5521</v>
      </c>
    </row>
    <row r="34" spans="1:3" ht="15.75" customHeight="1" x14ac:dyDescent="0.2">
      <c r="A34" s="1" t="s">
        <v>66</v>
      </c>
      <c r="B34" s="1" t="s">
        <v>67</v>
      </c>
      <c r="C34" t="s">
        <v>5522</v>
      </c>
    </row>
    <row r="35" spans="1:3" ht="15.75" customHeight="1" x14ac:dyDescent="0.2">
      <c r="A35" s="1" t="s">
        <v>68</v>
      </c>
      <c r="B35" s="1" t="s">
        <v>69</v>
      </c>
      <c r="C35" t="s">
        <v>5523</v>
      </c>
    </row>
    <row r="36" spans="1:3" ht="15.75" customHeight="1" x14ac:dyDescent="0.2">
      <c r="A36" s="1" t="s">
        <v>70</v>
      </c>
      <c r="B36" s="1" t="s">
        <v>71</v>
      </c>
      <c r="C36" t="s">
        <v>5524</v>
      </c>
    </row>
    <row r="37" spans="1:3" ht="15.75" customHeight="1" x14ac:dyDescent="0.2">
      <c r="A37" s="1" t="s">
        <v>72</v>
      </c>
      <c r="B37" s="1" t="s">
        <v>73</v>
      </c>
      <c r="C37" t="s">
        <v>5525</v>
      </c>
    </row>
    <row r="38" spans="1:3" ht="12.75" x14ac:dyDescent="0.2">
      <c r="A38" s="1" t="s">
        <v>74</v>
      </c>
      <c r="B38" s="1" t="s">
        <v>75</v>
      </c>
      <c r="C38" t="s">
        <v>5526</v>
      </c>
    </row>
    <row r="39" spans="1:3" ht="12.75" x14ac:dyDescent="0.2">
      <c r="A39" s="1" t="s">
        <v>76</v>
      </c>
      <c r="B39" s="1" t="s">
        <v>77</v>
      </c>
      <c r="C39" t="s">
        <v>5527</v>
      </c>
    </row>
    <row r="40" spans="1:3" ht="12.75" x14ac:dyDescent="0.2">
      <c r="A40" s="1" t="s">
        <v>78</v>
      </c>
      <c r="B40" s="1" t="s">
        <v>79</v>
      </c>
      <c r="C40" t="s">
        <v>5528</v>
      </c>
    </row>
    <row r="41" spans="1:3" ht="12.75" x14ac:dyDescent="0.2">
      <c r="A41" s="1" t="s">
        <v>80</v>
      </c>
      <c r="B41" s="1" t="s">
        <v>81</v>
      </c>
      <c r="C41" t="s">
        <v>5529</v>
      </c>
    </row>
    <row r="42" spans="1:3" ht="12.75" x14ac:dyDescent="0.2">
      <c r="A42" s="1" t="s">
        <v>82</v>
      </c>
      <c r="B42" s="1" t="s">
        <v>83</v>
      </c>
      <c r="C42" t="s">
        <v>5530</v>
      </c>
    </row>
    <row r="43" spans="1:3" ht="12.75" x14ac:dyDescent="0.2">
      <c r="A43" s="1" t="s">
        <v>84</v>
      </c>
      <c r="B43" s="1" t="s">
        <v>85</v>
      </c>
      <c r="C43" t="s">
        <v>5531</v>
      </c>
    </row>
    <row r="44" spans="1:3" ht="12.75" x14ac:dyDescent="0.2">
      <c r="A44" s="1" t="s">
        <v>86</v>
      </c>
      <c r="B44" s="1" t="s">
        <v>87</v>
      </c>
      <c r="C44" t="s">
        <v>5532</v>
      </c>
    </row>
    <row r="45" spans="1:3" ht="12.75" x14ac:dyDescent="0.2">
      <c r="A45" s="1" t="s">
        <v>88</v>
      </c>
      <c r="B45" s="1" t="s">
        <v>89</v>
      </c>
      <c r="C45" t="s">
        <v>5533</v>
      </c>
    </row>
    <row r="46" spans="1:3" ht="12.75" x14ac:dyDescent="0.2">
      <c r="A46" s="1" t="s">
        <v>90</v>
      </c>
      <c r="B46" s="1" t="s">
        <v>91</v>
      </c>
      <c r="C46" t="s">
        <v>5534</v>
      </c>
    </row>
    <row r="47" spans="1:3" ht="12.75" x14ac:dyDescent="0.2">
      <c r="A47" s="1" t="s">
        <v>92</v>
      </c>
      <c r="B47" s="1" t="s">
        <v>93</v>
      </c>
      <c r="C47" t="s">
        <v>5535</v>
      </c>
    </row>
    <row r="48" spans="1:3" ht="12.75" x14ac:dyDescent="0.2">
      <c r="A48" s="1" t="s">
        <v>94</v>
      </c>
      <c r="B48" s="1" t="s">
        <v>95</v>
      </c>
      <c r="C48" t="s">
        <v>5536</v>
      </c>
    </row>
    <row r="49" spans="1:3" ht="12.75" x14ac:dyDescent="0.2">
      <c r="A49" s="1" t="s">
        <v>96</v>
      </c>
      <c r="B49" s="1" t="s">
        <v>97</v>
      </c>
      <c r="C49" t="s">
        <v>5537</v>
      </c>
    </row>
    <row r="50" spans="1:3" ht="12.75" x14ac:dyDescent="0.2">
      <c r="A50" s="1" t="s">
        <v>98</v>
      </c>
      <c r="B50" s="1" t="s">
        <v>99</v>
      </c>
      <c r="C50" t="s">
        <v>5532</v>
      </c>
    </row>
    <row r="51" spans="1:3" ht="12.75" x14ac:dyDescent="0.2">
      <c r="A51" s="1" t="s">
        <v>100</v>
      </c>
      <c r="B51" s="1" t="s">
        <v>101</v>
      </c>
      <c r="C51" t="s">
        <v>5538</v>
      </c>
    </row>
    <row r="52" spans="1:3" ht="12.75" x14ac:dyDescent="0.2">
      <c r="A52" s="1" t="s">
        <v>102</v>
      </c>
      <c r="B52" s="1" t="s">
        <v>103</v>
      </c>
      <c r="C52" t="s">
        <v>5539</v>
      </c>
    </row>
    <row r="53" spans="1:3" ht="12.75" x14ac:dyDescent="0.2">
      <c r="A53" s="1" t="s">
        <v>104</v>
      </c>
      <c r="B53" s="1" t="s">
        <v>105</v>
      </c>
      <c r="C53" t="s">
        <v>5538</v>
      </c>
    </row>
    <row r="54" spans="1:3" ht="12.75" x14ac:dyDescent="0.2">
      <c r="A54" s="1" t="s">
        <v>106</v>
      </c>
      <c r="B54" s="1" t="s">
        <v>107</v>
      </c>
      <c r="C54" t="s">
        <v>107</v>
      </c>
    </row>
    <row r="55" spans="1:3" ht="12.75" x14ac:dyDescent="0.2">
      <c r="A55" s="1" t="s">
        <v>108</v>
      </c>
      <c r="B55" s="1" t="s">
        <v>109</v>
      </c>
      <c r="C55" t="s">
        <v>109</v>
      </c>
    </row>
    <row r="56" spans="1:3" ht="12.75" x14ac:dyDescent="0.2">
      <c r="A56" s="1" t="s">
        <v>110</v>
      </c>
      <c r="B56" s="1" t="s">
        <v>111</v>
      </c>
      <c r="C56" t="s">
        <v>111</v>
      </c>
    </row>
    <row r="57" spans="1:3" ht="12.75" x14ac:dyDescent="0.2">
      <c r="A57" s="1" t="s">
        <v>112</v>
      </c>
      <c r="B57" s="1" t="s">
        <v>113</v>
      </c>
      <c r="C57" t="s">
        <v>5540</v>
      </c>
    </row>
    <row r="58" spans="1:3" ht="12.75" x14ac:dyDescent="0.2">
      <c r="A58" s="1" t="s">
        <v>114</v>
      </c>
      <c r="B58" s="1" t="s">
        <v>115</v>
      </c>
      <c r="C58" t="s">
        <v>5541</v>
      </c>
    </row>
    <row r="59" spans="1:3" ht="12.75" x14ac:dyDescent="0.2">
      <c r="A59" s="1" t="s">
        <v>116</v>
      </c>
      <c r="B59" s="1" t="s">
        <v>117</v>
      </c>
      <c r="C59" t="s">
        <v>5542</v>
      </c>
    </row>
    <row r="60" spans="1:3" ht="12.75" x14ac:dyDescent="0.2">
      <c r="A60" s="1" t="s">
        <v>118</v>
      </c>
      <c r="B60" s="1" t="s">
        <v>119</v>
      </c>
      <c r="C60" t="s">
        <v>5543</v>
      </c>
    </row>
    <row r="61" spans="1:3" ht="12.75" x14ac:dyDescent="0.2">
      <c r="A61" s="1" t="s">
        <v>120</v>
      </c>
      <c r="B61" s="1" t="s">
        <v>121</v>
      </c>
      <c r="C61" t="s">
        <v>5544</v>
      </c>
    </row>
    <row r="62" spans="1:3" ht="12.75" x14ac:dyDescent="0.2">
      <c r="A62" s="1" t="s">
        <v>122</v>
      </c>
      <c r="B62" s="1" t="s">
        <v>123</v>
      </c>
      <c r="C62" t="s">
        <v>5545</v>
      </c>
    </row>
    <row r="63" spans="1:3" ht="12.75" x14ac:dyDescent="0.2">
      <c r="A63" s="1" t="s">
        <v>124</v>
      </c>
      <c r="B63" s="1" t="s">
        <v>125</v>
      </c>
      <c r="C63" t="s">
        <v>5546</v>
      </c>
    </row>
    <row r="64" spans="1:3" ht="12.75" x14ac:dyDescent="0.2">
      <c r="A64" s="1" t="s">
        <v>126</v>
      </c>
      <c r="B64" s="1" t="s">
        <v>127</v>
      </c>
      <c r="C64" t="s">
        <v>5547</v>
      </c>
    </row>
    <row r="65" spans="1:3" ht="12.75" x14ac:dyDescent="0.2">
      <c r="A65" s="1" t="s">
        <v>128</v>
      </c>
      <c r="B65" s="1" t="s">
        <v>129</v>
      </c>
      <c r="C65" t="s">
        <v>5548</v>
      </c>
    </row>
    <row r="66" spans="1:3" ht="12.75" x14ac:dyDescent="0.2">
      <c r="A66" s="1" t="s">
        <v>130</v>
      </c>
      <c r="B66" s="1" t="s">
        <v>131</v>
      </c>
      <c r="C66" t="s">
        <v>5549</v>
      </c>
    </row>
    <row r="67" spans="1:3" ht="12.75" x14ac:dyDescent="0.2">
      <c r="A67" s="1" t="s">
        <v>132</v>
      </c>
      <c r="B67" s="1" t="s">
        <v>133</v>
      </c>
      <c r="C67" t="s">
        <v>5550</v>
      </c>
    </row>
    <row r="68" spans="1:3" ht="12.75" x14ac:dyDescent="0.2">
      <c r="A68" s="1" t="s">
        <v>134</v>
      </c>
      <c r="B68" s="1" t="s">
        <v>135</v>
      </c>
      <c r="C68" t="s">
        <v>5551</v>
      </c>
    </row>
    <row r="69" spans="1:3" ht="12.75" x14ac:dyDescent="0.2">
      <c r="A69" s="1" t="s">
        <v>136</v>
      </c>
      <c r="B69" s="1" t="s">
        <v>137</v>
      </c>
      <c r="C69" t="s">
        <v>5552</v>
      </c>
    </row>
    <row r="70" spans="1:3" ht="12.75" x14ac:dyDescent="0.2">
      <c r="A70" s="1" t="s">
        <v>138</v>
      </c>
      <c r="B70" s="1" t="s">
        <v>139</v>
      </c>
      <c r="C70" t="s">
        <v>5553</v>
      </c>
    </row>
    <row r="71" spans="1:3" ht="12.75" x14ac:dyDescent="0.2">
      <c r="A71" s="1" t="s">
        <v>140</v>
      </c>
      <c r="B71" s="1" t="s">
        <v>141</v>
      </c>
      <c r="C71" t="s">
        <v>5554</v>
      </c>
    </row>
    <row r="72" spans="1:3" ht="12.75" x14ac:dyDescent="0.2">
      <c r="A72" s="1" t="s">
        <v>142</v>
      </c>
      <c r="B72" s="1" t="s">
        <v>143</v>
      </c>
      <c r="C72" t="s">
        <v>5555</v>
      </c>
    </row>
    <row r="73" spans="1:3" ht="12.75" x14ac:dyDescent="0.2">
      <c r="A73" s="1" t="s">
        <v>144</v>
      </c>
      <c r="B73" s="1" t="s">
        <v>145</v>
      </c>
      <c r="C73" t="s">
        <v>5556</v>
      </c>
    </row>
    <row r="74" spans="1:3" ht="12.75" x14ac:dyDescent="0.2">
      <c r="A74" s="1" t="s">
        <v>146</v>
      </c>
      <c r="B74" s="1" t="s">
        <v>147</v>
      </c>
      <c r="C74" t="s">
        <v>5557</v>
      </c>
    </row>
    <row r="75" spans="1:3" ht="12.75" x14ac:dyDescent="0.2">
      <c r="A75" s="1" t="s">
        <v>148</v>
      </c>
      <c r="B75" s="1" t="s">
        <v>149</v>
      </c>
      <c r="C75" t="s">
        <v>5558</v>
      </c>
    </row>
    <row r="76" spans="1:3" ht="12.75" x14ac:dyDescent="0.2">
      <c r="A76" s="1" t="s">
        <v>150</v>
      </c>
      <c r="B76" s="1" t="s">
        <v>151</v>
      </c>
      <c r="C76" t="s">
        <v>5559</v>
      </c>
    </row>
    <row r="77" spans="1:3" ht="12.75" x14ac:dyDescent="0.2">
      <c r="A77" s="1" t="s">
        <v>152</v>
      </c>
      <c r="B77" s="1" t="s">
        <v>153</v>
      </c>
      <c r="C77" t="s">
        <v>5560</v>
      </c>
    </row>
    <row r="78" spans="1:3" ht="12.75" x14ac:dyDescent="0.2">
      <c r="A78" s="1" t="s">
        <v>154</v>
      </c>
      <c r="B78" s="1" t="s">
        <v>155</v>
      </c>
      <c r="C78" t="s">
        <v>5561</v>
      </c>
    </row>
    <row r="79" spans="1:3" ht="12.75" x14ac:dyDescent="0.2">
      <c r="A79" s="1" t="s">
        <v>156</v>
      </c>
      <c r="B79" s="1" t="s">
        <v>157</v>
      </c>
      <c r="C79" t="s">
        <v>5562</v>
      </c>
    </row>
    <row r="80" spans="1:3" ht="12.75" x14ac:dyDescent="0.2">
      <c r="A80" s="1" t="s">
        <v>158</v>
      </c>
      <c r="B80" s="1" t="s">
        <v>159</v>
      </c>
      <c r="C80" t="s">
        <v>5563</v>
      </c>
    </row>
    <row r="81" spans="1:3" ht="12.75" x14ac:dyDescent="0.2">
      <c r="A81" s="1" t="s">
        <v>160</v>
      </c>
      <c r="B81" s="1" t="s">
        <v>161</v>
      </c>
      <c r="C81" t="s">
        <v>5564</v>
      </c>
    </row>
    <row r="82" spans="1:3" ht="12.75" x14ac:dyDescent="0.2">
      <c r="A82" s="1" t="s">
        <v>162</v>
      </c>
      <c r="B82" s="1" t="s">
        <v>163</v>
      </c>
      <c r="C82" t="s">
        <v>5565</v>
      </c>
    </row>
    <row r="83" spans="1:3" ht="12.75" x14ac:dyDescent="0.2">
      <c r="A83" s="1" t="s">
        <v>164</v>
      </c>
      <c r="B83" s="1" t="s">
        <v>165</v>
      </c>
      <c r="C83" t="s">
        <v>5561</v>
      </c>
    </row>
    <row r="84" spans="1:3" ht="12.75" x14ac:dyDescent="0.2">
      <c r="A84" s="1" t="s">
        <v>166</v>
      </c>
      <c r="B84" s="1" t="s">
        <v>167</v>
      </c>
      <c r="C84" t="s">
        <v>5566</v>
      </c>
    </row>
    <row r="85" spans="1:3" ht="12.75" x14ac:dyDescent="0.2">
      <c r="A85" s="1" t="s">
        <v>168</v>
      </c>
      <c r="B85" s="1" t="s">
        <v>169</v>
      </c>
      <c r="C85" t="s">
        <v>5567</v>
      </c>
    </row>
    <row r="86" spans="1:3" ht="12.75" x14ac:dyDescent="0.2">
      <c r="A86" s="1" t="s">
        <v>170</v>
      </c>
      <c r="B86" s="1" t="s">
        <v>171</v>
      </c>
      <c r="C86" t="s">
        <v>5568</v>
      </c>
    </row>
    <row r="87" spans="1:3" ht="12.75" x14ac:dyDescent="0.2">
      <c r="A87" s="1" t="s">
        <v>172</v>
      </c>
      <c r="B87" s="1" t="s">
        <v>173</v>
      </c>
      <c r="C87" t="s">
        <v>5569</v>
      </c>
    </row>
    <row r="88" spans="1:3" ht="12.75" x14ac:dyDescent="0.2">
      <c r="A88" s="1" t="s">
        <v>174</v>
      </c>
      <c r="B88" s="1" t="s">
        <v>175</v>
      </c>
      <c r="C88" t="s">
        <v>5570</v>
      </c>
    </row>
    <row r="89" spans="1:3" ht="12.75" x14ac:dyDescent="0.2">
      <c r="A89" s="1" t="s">
        <v>176</v>
      </c>
      <c r="B89" s="1" t="s">
        <v>177</v>
      </c>
      <c r="C89" t="s">
        <v>5571</v>
      </c>
    </row>
    <row r="90" spans="1:3" ht="12.75" x14ac:dyDescent="0.2">
      <c r="A90" s="1" t="s">
        <v>178</v>
      </c>
      <c r="B90" s="1" t="s">
        <v>179</v>
      </c>
      <c r="C90" t="s">
        <v>5572</v>
      </c>
    </row>
    <row r="91" spans="1:3" ht="12.75" x14ac:dyDescent="0.2">
      <c r="A91" s="1" t="s">
        <v>180</v>
      </c>
      <c r="B91" s="1" t="s">
        <v>181</v>
      </c>
      <c r="C91" t="s">
        <v>5573</v>
      </c>
    </row>
    <row r="92" spans="1:3" ht="12.75" x14ac:dyDescent="0.2">
      <c r="A92" s="1" t="s">
        <v>182</v>
      </c>
      <c r="B92" s="1" t="s">
        <v>183</v>
      </c>
      <c r="C92" t="s">
        <v>5574</v>
      </c>
    </row>
    <row r="93" spans="1:3" ht="12.75" x14ac:dyDescent="0.2">
      <c r="A93" s="1" t="s">
        <v>184</v>
      </c>
      <c r="B93" s="1" t="s">
        <v>185</v>
      </c>
      <c r="C93" t="s">
        <v>5575</v>
      </c>
    </row>
    <row r="94" spans="1:3" ht="12.75" x14ac:dyDescent="0.2">
      <c r="A94" s="1" t="s">
        <v>186</v>
      </c>
      <c r="B94" s="1" t="s">
        <v>187</v>
      </c>
      <c r="C94" t="s">
        <v>5576</v>
      </c>
    </row>
    <row r="95" spans="1:3" ht="12.75" x14ac:dyDescent="0.2">
      <c r="A95" s="1" t="s">
        <v>188</v>
      </c>
      <c r="B95" s="1" t="s">
        <v>189</v>
      </c>
      <c r="C95" t="s">
        <v>5577</v>
      </c>
    </row>
    <row r="96" spans="1:3" ht="12.75" x14ac:dyDescent="0.2">
      <c r="A96" s="1" t="s">
        <v>190</v>
      </c>
      <c r="B96" s="1" t="s">
        <v>191</v>
      </c>
      <c r="C96" t="s">
        <v>5578</v>
      </c>
    </row>
    <row r="97" spans="1:3" ht="12.75" x14ac:dyDescent="0.2">
      <c r="A97" s="1" t="s">
        <v>192</v>
      </c>
      <c r="B97" s="1" t="s">
        <v>193</v>
      </c>
      <c r="C97" t="s">
        <v>5579</v>
      </c>
    </row>
    <row r="98" spans="1:3" ht="12.75" x14ac:dyDescent="0.2">
      <c r="A98" s="1" t="s">
        <v>194</v>
      </c>
      <c r="B98" s="1" t="s">
        <v>195</v>
      </c>
      <c r="C98" t="s">
        <v>5580</v>
      </c>
    </row>
    <row r="99" spans="1:3" ht="12.75" x14ac:dyDescent="0.2">
      <c r="A99" s="1" t="s">
        <v>196</v>
      </c>
      <c r="B99" s="1" t="s">
        <v>197</v>
      </c>
      <c r="C99" t="s">
        <v>5581</v>
      </c>
    </row>
    <row r="100" spans="1:3" ht="12.75" x14ac:dyDescent="0.2">
      <c r="A100" s="1" t="s">
        <v>198</v>
      </c>
      <c r="B100" s="1" t="s">
        <v>199</v>
      </c>
      <c r="C100" t="s">
        <v>5582</v>
      </c>
    </row>
    <row r="101" spans="1:3" ht="12.75" x14ac:dyDescent="0.2">
      <c r="A101" s="1" t="s">
        <v>200</v>
      </c>
      <c r="B101" s="1" t="s">
        <v>201</v>
      </c>
      <c r="C101" t="s">
        <v>5583</v>
      </c>
    </row>
    <row r="102" spans="1:3" ht="12.75" x14ac:dyDescent="0.2">
      <c r="A102" s="1" t="s">
        <v>202</v>
      </c>
      <c r="B102" s="1" t="s">
        <v>203</v>
      </c>
      <c r="C102" t="s">
        <v>5584</v>
      </c>
    </row>
    <row r="103" spans="1:3" ht="12.75" x14ac:dyDescent="0.2">
      <c r="A103" s="1" t="s">
        <v>204</v>
      </c>
      <c r="B103" s="1" t="s">
        <v>205</v>
      </c>
      <c r="C103" t="s">
        <v>5585</v>
      </c>
    </row>
    <row r="104" spans="1:3" ht="12.75" x14ac:dyDescent="0.2">
      <c r="A104" s="1" t="s">
        <v>206</v>
      </c>
      <c r="B104" s="1" t="s">
        <v>207</v>
      </c>
      <c r="C104" t="s">
        <v>5586</v>
      </c>
    </row>
    <row r="105" spans="1:3" ht="12.75" x14ac:dyDescent="0.2">
      <c r="A105" s="1" t="s">
        <v>208</v>
      </c>
      <c r="B105" s="1" t="s">
        <v>209</v>
      </c>
      <c r="C105" t="s">
        <v>5587</v>
      </c>
    </row>
    <row r="106" spans="1:3" ht="12.75" x14ac:dyDescent="0.2">
      <c r="A106" s="1" t="s">
        <v>210</v>
      </c>
      <c r="B106" s="1" t="s">
        <v>211</v>
      </c>
      <c r="C106" t="s">
        <v>5588</v>
      </c>
    </row>
    <row r="107" spans="1:3" ht="12.75" x14ac:dyDescent="0.2">
      <c r="A107" s="1" t="s">
        <v>212</v>
      </c>
      <c r="B107" s="1" t="s">
        <v>213</v>
      </c>
      <c r="C107" t="s">
        <v>5589</v>
      </c>
    </row>
    <row r="108" spans="1:3" ht="12.75" x14ac:dyDescent="0.2">
      <c r="A108" s="1" t="s">
        <v>214</v>
      </c>
      <c r="B108" s="1" t="s">
        <v>215</v>
      </c>
      <c r="C108" t="s">
        <v>5590</v>
      </c>
    </row>
    <row r="109" spans="1:3" ht="12.75" x14ac:dyDescent="0.2">
      <c r="A109" s="1" t="s">
        <v>216</v>
      </c>
      <c r="B109" s="1" t="s">
        <v>217</v>
      </c>
      <c r="C109" t="s">
        <v>5591</v>
      </c>
    </row>
    <row r="110" spans="1:3" ht="12.75" x14ac:dyDescent="0.2">
      <c r="A110" s="1" t="s">
        <v>218</v>
      </c>
      <c r="B110" s="1" t="s">
        <v>219</v>
      </c>
      <c r="C110" t="s">
        <v>5592</v>
      </c>
    </row>
    <row r="111" spans="1:3" ht="12.75" x14ac:dyDescent="0.2">
      <c r="A111" s="1" t="s">
        <v>220</v>
      </c>
      <c r="B111" s="1" t="s">
        <v>221</v>
      </c>
      <c r="C111" t="s">
        <v>5593</v>
      </c>
    </row>
    <row r="112" spans="1:3" ht="12.75" x14ac:dyDescent="0.2">
      <c r="A112" s="1" t="s">
        <v>222</v>
      </c>
      <c r="B112" s="1" t="s">
        <v>223</v>
      </c>
      <c r="C112" t="s">
        <v>5594</v>
      </c>
    </row>
    <row r="113" spans="1:3" ht="12.75" x14ac:dyDescent="0.2">
      <c r="A113" s="1" t="s">
        <v>224</v>
      </c>
      <c r="B113" s="1" t="s">
        <v>225</v>
      </c>
      <c r="C113" t="s">
        <v>5595</v>
      </c>
    </row>
    <row r="114" spans="1:3" ht="12.75" x14ac:dyDescent="0.2">
      <c r="A114" s="1" t="s">
        <v>226</v>
      </c>
      <c r="B114" s="1" t="s">
        <v>227</v>
      </c>
      <c r="C114" t="s">
        <v>5596</v>
      </c>
    </row>
    <row r="115" spans="1:3" ht="12.75" x14ac:dyDescent="0.2">
      <c r="A115" s="1" t="s">
        <v>228</v>
      </c>
      <c r="B115" s="1" t="s">
        <v>229</v>
      </c>
      <c r="C115" t="s">
        <v>5597</v>
      </c>
    </row>
    <row r="116" spans="1:3" ht="12.75" x14ac:dyDescent="0.2">
      <c r="A116" s="1" t="s">
        <v>230</v>
      </c>
      <c r="B116" s="1" t="s">
        <v>231</v>
      </c>
      <c r="C116" t="s">
        <v>5598</v>
      </c>
    </row>
    <row r="117" spans="1:3" ht="12.75" x14ac:dyDescent="0.2">
      <c r="A117" s="1" t="s">
        <v>232</v>
      </c>
      <c r="B117" s="1" t="s">
        <v>233</v>
      </c>
      <c r="C117" t="s">
        <v>5599</v>
      </c>
    </row>
    <row r="118" spans="1:3" ht="12.75" x14ac:dyDescent="0.2">
      <c r="A118" s="1" t="s">
        <v>234</v>
      </c>
      <c r="B118" s="1" t="s">
        <v>235</v>
      </c>
      <c r="C118" t="s">
        <v>235</v>
      </c>
    </row>
    <row r="119" spans="1:3" ht="12.75" x14ac:dyDescent="0.2">
      <c r="A119" s="1" t="s">
        <v>236</v>
      </c>
      <c r="B119" s="1" t="s">
        <v>237</v>
      </c>
      <c r="C119" t="s">
        <v>237</v>
      </c>
    </row>
    <row r="120" spans="1:3" ht="12.75" x14ac:dyDescent="0.2">
      <c r="A120" s="1" t="s">
        <v>238</v>
      </c>
      <c r="B120" s="1" t="s">
        <v>239</v>
      </c>
      <c r="C120" t="s">
        <v>239</v>
      </c>
    </row>
    <row r="121" spans="1:3" ht="12.75" x14ac:dyDescent="0.2">
      <c r="A121" s="1" t="s">
        <v>240</v>
      </c>
      <c r="B121" s="1" t="s">
        <v>241</v>
      </c>
      <c r="C121" t="s">
        <v>5600</v>
      </c>
    </row>
    <row r="122" spans="1:3" ht="12.75" x14ac:dyDescent="0.2">
      <c r="A122" s="1" t="s">
        <v>242</v>
      </c>
      <c r="B122" s="1" t="s">
        <v>243</v>
      </c>
      <c r="C122" t="s">
        <v>243</v>
      </c>
    </row>
    <row r="123" spans="1:3" ht="12.75" x14ac:dyDescent="0.2">
      <c r="A123" s="1" t="s">
        <v>244</v>
      </c>
      <c r="B123" s="1" t="s">
        <v>245</v>
      </c>
      <c r="C123" t="s">
        <v>245</v>
      </c>
    </row>
    <row r="124" spans="1:3" ht="12.75" x14ac:dyDescent="0.2">
      <c r="A124" s="1" t="s">
        <v>246</v>
      </c>
      <c r="B124" s="1" t="s">
        <v>247</v>
      </c>
      <c r="C124" t="s">
        <v>5601</v>
      </c>
    </row>
    <row r="125" spans="1:3" ht="12.75" x14ac:dyDescent="0.2">
      <c r="A125" s="1" t="s">
        <v>248</v>
      </c>
      <c r="B125" s="1" t="s">
        <v>247</v>
      </c>
      <c r="C125" t="s">
        <v>5602</v>
      </c>
    </row>
    <row r="126" spans="1:3" ht="12.75" x14ac:dyDescent="0.2">
      <c r="A126" s="1" t="s">
        <v>249</v>
      </c>
      <c r="B126" s="1" t="s">
        <v>250</v>
      </c>
      <c r="C126" t="s">
        <v>5601</v>
      </c>
    </row>
    <row r="127" spans="1:3" ht="12.75" x14ac:dyDescent="0.2">
      <c r="A127" s="1" t="s">
        <v>251</v>
      </c>
      <c r="B127" s="1" t="s">
        <v>252</v>
      </c>
      <c r="C127" t="s">
        <v>5603</v>
      </c>
    </row>
    <row r="128" spans="1:3" ht="12.75" x14ac:dyDescent="0.2">
      <c r="A128" s="1" t="s">
        <v>253</v>
      </c>
      <c r="B128" s="1" t="s">
        <v>252</v>
      </c>
      <c r="C128" t="s">
        <v>5604</v>
      </c>
    </row>
    <row r="129" spans="1:3" ht="12.75" x14ac:dyDescent="0.2">
      <c r="A129" s="1" t="s">
        <v>254</v>
      </c>
      <c r="B129" s="1" t="s">
        <v>255</v>
      </c>
      <c r="C129" t="s">
        <v>255</v>
      </c>
    </row>
    <row r="130" spans="1:3" ht="12.75" x14ac:dyDescent="0.2">
      <c r="A130" s="1" t="s">
        <v>256</v>
      </c>
      <c r="B130" s="1" t="s">
        <v>257</v>
      </c>
      <c r="C130" t="s">
        <v>255</v>
      </c>
    </row>
    <row r="131" spans="1:3" ht="12.75" x14ac:dyDescent="0.2">
      <c r="A131" s="1" t="s">
        <v>258</v>
      </c>
      <c r="B131" s="1" t="s">
        <v>247</v>
      </c>
      <c r="C131" t="s">
        <v>255</v>
      </c>
    </row>
    <row r="132" spans="1:3" ht="12.75" x14ac:dyDescent="0.2">
      <c r="A132" s="1" t="s">
        <v>259</v>
      </c>
      <c r="B132" s="1" t="s">
        <v>260</v>
      </c>
      <c r="C132" t="s">
        <v>5605</v>
      </c>
    </row>
    <row r="133" spans="1:3" ht="12.75" x14ac:dyDescent="0.2">
      <c r="A133" s="1" t="s">
        <v>261</v>
      </c>
      <c r="B133" s="1" t="s">
        <v>262</v>
      </c>
      <c r="C133" t="s">
        <v>5606</v>
      </c>
    </row>
    <row r="134" spans="1:3" ht="12.75" x14ac:dyDescent="0.2">
      <c r="A134" s="1" t="s">
        <v>263</v>
      </c>
      <c r="B134" s="1" t="s">
        <v>85</v>
      </c>
      <c r="C134" t="s">
        <v>5531</v>
      </c>
    </row>
    <row r="135" spans="1:3" ht="12.75" x14ac:dyDescent="0.2">
      <c r="A135" s="1" t="s">
        <v>264</v>
      </c>
      <c r="B135" s="1" t="s">
        <v>265</v>
      </c>
      <c r="C135" t="s">
        <v>265</v>
      </c>
    </row>
    <row r="136" spans="1:3" ht="12.75" x14ac:dyDescent="0.2">
      <c r="A136" s="1" t="s">
        <v>266</v>
      </c>
      <c r="B136" s="1" t="s">
        <v>267</v>
      </c>
      <c r="C136" t="s">
        <v>267</v>
      </c>
    </row>
    <row r="137" spans="1:3" ht="12.75" x14ac:dyDescent="0.2">
      <c r="A137" s="1" t="s">
        <v>268</v>
      </c>
      <c r="B137" s="1" t="s">
        <v>267</v>
      </c>
      <c r="C137" t="s">
        <v>267</v>
      </c>
    </row>
    <row r="138" spans="1:3" ht="12.75" x14ac:dyDescent="0.2">
      <c r="A138" s="1" t="s">
        <v>269</v>
      </c>
      <c r="B138" s="1" t="s">
        <v>267</v>
      </c>
      <c r="C138" t="s">
        <v>267</v>
      </c>
    </row>
    <row r="139" spans="1:3" ht="12.75" x14ac:dyDescent="0.2">
      <c r="A139" s="1" t="s">
        <v>270</v>
      </c>
      <c r="B139" s="1" t="s">
        <v>271</v>
      </c>
      <c r="C139" t="s">
        <v>271</v>
      </c>
    </row>
    <row r="140" spans="1:3" ht="12.75" x14ac:dyDescent="0.2">
      <c r="A140" s="1" t="s">
        <v>272</v>
      </c>
      <c r="B140" s="1" t="s">
        <v>273</v>
      </c>
      <c r="C140" t="s">
        <v>273</v>
      </c>
    </row>
    <row r="141" spans="1:3" ht="12.75" x14ac:dyDescent="0.2">
      <c r="A141" s="1" t="s">
        <v>274</v>
      </c>
      <c r="B141" s="1" t="s">
        <v>275</v>
      </c>
      <c r="C141" t="s">
        <v>275</v>
      </c>
    </row>
    <row r="142" spans="1:3" ht="12.75" x14ac:dyDescent="0.2">
      <c r="A142" s="1" t="s">
        <v>276</v>
      </c>
      <c r="B142" s="1" t="s">
        <v>277</v>
      </c>
      <c r="C142" t="s">
        <v>277</v>
      </c>
    </row>
    <row r="143" spans="1:3" ht="12.75" x14ac:dyDescent="0.2">
      <c r="A143" s="1" t="s">
        <v>278</v>
      </c>
      <c r="B143" s="1" t="s">
        <v>279</v>
      </c>
      <c r="C143" t="s">
        <v>279</v>
      </c>
    </row>
    <row r="144" spans="1:3" ht="12.75" x14ac:dyDescent="0.2">
      <c r="A144" s="1" t="s">
        <v>280</v>
      </c>
      <c r="B144" s="1" t="s">
        <v>281</v>
      </c>
      <c r="C144" t="s">
        <v>281</v>
      </c>
    </row>
    <row r="145" spans="1:3" ht="12.75" x14ac:dyDescent="0.2">
      <c r="A145" s="1" t="s">
        <v>282</v>
      </c>
      <c r="B145" s="1">
        <v>2</v>
      </c>
      <c r="C145">
        <v>2</v>
      </c>
    </row>
    <row r="146" spans="1:3" ht="12.75" x14ac:dyDescent="0.2">
      <c r="A146" s="1" t="s">
        <v>283</v>
      </c>
      <c r="B146" s="1" t="s">
        <v>284</v>
      </c>
      <c r="C146" t="s">
        <v>284</v>
      </c>
    </row>
    <row r="147" spans="1:3" ht="12.75" x14ac:dyDescent="0.2">
      <c r="A147" s="1" t="s">
        <v>285</v>
      </c>
      <c r="B147" s="1" t="s">
        <v>284</v>
      </c>
      <c r="C147" t="s">
        <v>284</v>
      </c>
    </row>
    <row r="148" spans="1:3" ht="12.75" x14ac:dyDescent="0.2">
      <c r="A148" s="1" t="s">
        <v>286</v>
      </c>
      <c r="B148" s="1" t="s">
        <v>284</v>
      </c>
      <c r="C148" t="s">
        <v>284</v>
      </c>
    </row>
    <row r="149" spans="1:3" ht="12.75" x14ac:dyDescent="0.2">
      <c r="A149" s="1" t="s">
        <v>287</v>
      </c>
      <c r="B149" s="1" t="s">
        <v>284</v>
      </c>
      <c r="C149" t="s">
        <v>5607</v>
      </c>
    </row>
    <row r="150" spans="1:3" ht="12.75" x14ac:dyDescent="0.2">
      <c r="A150" s="1" t="s">
        <v>288</v>
      </c>
      <c r="B150" s="1" t="s">
        <v>289</v>
      </c>
      <c r="C150" t="s">
        <v>5608</v>
      </c>
    </row>
    <row r="151" spans="1:3" ht="12.75" x14ac:dyDescent="0.2">
      <c r="A151" s="1" t="s">
        <v>290</v>
      </c>
      <c r="B151" s="1">
        <v>1</v>
      </c>
      <c r="C151" t="s">
        <v>5609</v>
      </c>
    </row>
    <row r="152" spans="1:3" ht="12.75" x14ac:dyDescent="0.2">
      <c r="A152" s="1" t="s">
        <v>291</v>
      </c>
      <c r="B152" s="1">
        <v>2</v>
      </c>
      <c r="C152">
        <v>2</v>
      </c>
    </row>
    <row r="153" spans="1:3" ht="12.75" x14ac:dyDescent="0.2">
      <c r="A153" s="1" t="s">
        <v>292</v>
      </c>
      <c r="B153" s="1" t="s">
        <v>293</v>
      </c>
      <c r="C153" t="s">
        <v>284</v>
      </c>
    </row>
    <row r="154" spans="1:3" ht="12.75" x14ac:dyDescent="0.2">
      <c r="A154" s="1" t="s">
        <v>294</v>
      </c>
      <c r="B154" s="1" t="s">
        <v>295</v>
      </c>
      <c r="C154" t="s">
        <v>5610</v>
      </c>
    </row>
    <row r="155" spans="1:3" ht="12.75" x14ac:dyDescent="0.2">
      <c r="A155" s="1" t="s">
        <v>296</v>
      </c>
      <c r="B155" s="1" t="s">
        <v>293</v>
      </c>
      <c r="C155" t="s">
        <v>5610</v>
      </c>
    </row>
    <row r="156" spans="1:3" ht="12.75" x14ac:dyDescent="0.2">
      <c r="A156" s="1" t="s">
        <v>297</v>
      </c>
      <c r="B156" s="1" t="s">
        <v>298</v>
      </c>
      <c r="C156" t="s">
        <v>5611</v>
      </c>
    </row>
    <row r="157" spans="1:3" ht="12.75" x14ac:dyDescent="0.2">
      <c r="A157" s="1" t="s">
        <v>299</v>
      </c>
      <c r="B157" s="1" t="s">
        <v>298</v>
      </c>
      <c r="C157" t="s">
        <v>5611</v>
      </c>
    </row>
    <row r="158" spans="1:3" ht="12.75" x14ac:dyDescent="0.2">
      <c r="A158" s="1" t="s">
        <v>300</v>
      </c>
      <c r="B158" s="1" t="s">
        <v>289</v>
      </c>
      <c r="C158" t="s">
        <v>5608</v>
      </c>
    </row>
    <row r="159" spans="1:3" ht="12.75" x14ac:dyDescent="0.2">
      <c r="A159" s="1" t="s">
        <v>301</v>
      </c>
      <c r="B159" s="1" t="s">
        <v>302</v>
      </c>
      <c r="C159" t="s">
        <v>5612</v>
      </c>
    </row>
    <row r="160" spans="1:3" ht="12.75" x14ac:dyDescent="0.2">
      <c r="A160" s="1" t="s">
        <v>303</v>
      </c>
      <c r="B160" s="1" t="s">
        <v>304</v>
      </c>
      <c r="C160" t="s">
        <v>5613</v>
      </c>
    </row>
    <row r="161" spans="1:3" ht="12.75" x14ac:dyDescent="0.2">
      <c r="A161" s="1" t="s">
        <v>305</v>
      </c>
      <c r="B161" s="1" t="s">
        <v>306</v>
      </c>
      <c r="C161" t="s">
        <v>5614</v>
      </c>
    </row>
    <row r="162" spans="1:3" ht="12.75" x14ac:dyDescent="0.2">
      <c r="A162" s="1" t="s">
        <v>307</v>
      </c>
      <c r="B162" s="1" t="s">
        <v>308</v>
      </c>
      <c r="C162" t="s">
        <v>5615</v>
      </c>
    </row>
    <row r="163" spans="1:3" ht="12.75" x14ac:dyDescent="0.2">
      <c r="A163" s="1" t="s">
        <v>309</v>
      </c>
      <c r="B163" s="1" t="s">
        <v>310</v>
      </c>
      <c r="C163" t="s">
        <v>5616</v>
      </c>
    </row>
    <row r="164" spans="1:3" ht="12.75" x14ac:dyDescent="0.2">
      <c r="A164" s="1" t="s">
        <v>311</v>
      </c>
      <c r="B164" s="1" t="s">
        <v>312</v>
      </c>
      <c r="C164" t="s">
        <v>5617</v>
      </c>
    </row>
    <row r="165" spans="1:3" ht="12.75" x14ac:dyDescent="0.2">
      <c r="A165" s="1" t="s">
        <v>313</v>
      </c>
      <c r="B165" s="1" t="s">
        <v>314</v>
      </c>
      <c r="C165" t="s">
        <v>5618</v>
      </c>
    </row>
    <row r="166" spans="1:3" ht="12.75" x14ac:dyDescent="0.2">
      <c r="A166" s="1" t="s">
        <v>315</v>
      </c>
      <c r="B166" s="1" t="s">
        <v>316</v>
      </c>
      <c r="C166" t="s">
        <v>5619</v>
      </c>
    </row>
    <row r="167" spans="1:3" ht="12.75" x14ac:dyDescent="0.2">
      <c r="A167" s="1" t="s">
        <v>317</v>
      </c>
      <c r="B167" s="1" t="s">
        <v>318</v>
      </c>
      <c r="C167" t="s">
        <v>5620</v>
      </c>
    </row>
    <row r="168" spans="1:3" ht="12.75" x14ac:dyDescent="0.2">
      <c r="A168" s="1" t="s">
        <v>319</v>
      </c>
      <c r="B168" s="1" t="s">
        <v>320</v>
      </c>
      <c r="C168" t="s">
        <v>5621</v>
      </c>
    </row>
    <row r="169" spans="1:3" ht="12.75" x14ac:dyDescent="0.2">
      <c r="A169" s="1" t="s">
        <v>321</v>
      </c>
      <c r="B169" s="1" t="s">
        <v>322</v>
      </c>
      <c r="C169" t="s">
        <v>5622</v>
      </c>
    </row>
    <row r="170" spans="1:3" ht="12.75" x14ac:dyDescent="0.2">
      <c r="A170" s="1" t="s">
        <v>323</v>
      </c>
      <c r="B170" s="1" t="s">
        <v>324</v>
      </c>
      <c r="C170" t="s">
        <v>5623</v>
      </c>
    </row>
    <row r="171" spans="1:3" ht="12.75" x14ac:dyDescent="0.2">
      <c r="A171" s="1" t="s">
        <v>325</v>
      </c>
      <c r="B171" s="1" t="s">
        <v>326</v>
      </c>
      <c r="C171" t="s">
        <v>5624</v>
      </c>
    </row>
    <row r="172" spans="1:3" ht="12.75" x14ac:dyDescent="0.2">
      <c r="A172" s="1" t="s">
        <v>327</v>
      </c>
      <c r="B172" s="1" t="s">
        <v>328</v>
      </c>
      <c r="C172" t="s">
        <v>5625</v>
      </c>
    </row>
    <row r="173" spans="1:3" ht="12.75" x14ac:dyDescent="0.2">
      <c r="A173" s="1" t="s">
        <v>329</v>
      </c>
      <c r="B173" s="1" t="s">
        <v>330</v>
      </c>
      <c r="C173" t="s">
        <v>5626</v>
      </c>
    </row>
    <row r="174" spans="1:3" ht="12.75" x14ac:dyDescent="0.2">
      <c r="A174" s="1" t="s">
        <v>331</v>
      </c>
      <c r="B174" s="1" t="s">
        <v>332</v>
      </c>
      <c r="C174" t="s">
        <v>5627</v>
      </c>
    </row>
    <row r="175" spans="1:3" ht="12.75" x14ac:dyDescent="0.2">
      <c r="A175" s="1" t="s">
        <v>333</v>
      </c>
      <c r="B175" s="1" t="s">
        <v>334</v>
      </c>
      <c r="C175" t="s">
        <v>5628</v>
      </c>
    </row>
    <row r="176" spans="1:3" ht="12.75" x14ac:dyDescent="0.2">
      <c r="A176" s="1" t="s">
        <v>335</v>
      </c>
      <c r="B176" s="1" t="s">
        <v>336</v>
      </c>
      <c r="C176" t="s">
        <v>5629</v>
      </c>
    </row>
    <row r="177" spans="1:3" ht="12.75" x14ac:dyDescent="0.2">
      <c r="A177" s="1" t="s">
        <v>337</v>
      </c>
      <c r="B177" s="1" t="s">
        <v>338</v>
      </c>
      <c r="C177" t="s">
        <v>5630</v>
      </c>
    </row>
    <row r="178" spans="1:3" ht="12.75" x14ac:dyDescent="0.2">
      <c r="A178" s="1" t="s">
        <v>339</v>
      </c>
      <c r="B178" s="1" t="s">
        <v>340</v>
      </c>
      <c r="C178" t="s">
        <v>5631</v>
      </c>
    </row>
    <row r="179" spans="1:3" ht="12.75" x14ac:dyDescent="0.2">
      <c r="A179" s="1" t="s">
        <v>341</v>
      </c>
      <c r="B179" s="1" t="s">
        <v>342</v>
      </c>
      <c r="C179" t="s">
        <v>5632</v>
      </c>
    </row>
    <row r="180" spans="1:3" ht="12.75" x14ac:dyDescent="0.2">
      <c r="A180" s="1" t="s">
        <v>343</v>
      </c>
      <c r="B180" s="1" t="s">
        <v>344</v>
      </c>
      <c r="C180" t="s">
        <v>5633</v>
      </c>
    </row>
    <row r="181" spans="1:3" ht="12.75" x14ac:dyDescent="0.2">
      <c r="A181" s="1" t="s">
        <v>345</v>
      </c>
      <c r="B181" s="1" t="s">
        <v>346</v>
      </c>
      <c r="C181" t="s">
        <v>5634</v>
      </c>
    </row>
    <row r="182" spans="1:3" ht="12.75" x14ac:dyDescent="0.2">
      <c r="A182" s="1" t="s">
        <v>347</v>
      </c>
      <c r="B182" s="1" t="s">
        <v>348</v>
      </c>
      <c r="C182" t="s">
        <v>5635</v>
      </c>
    </row>
    <row r="183" spans="1:3" ht="12.75" x14ac:dyDescent="0.2">
      <c r="A183" s="1" t="s">
        <v>349</v>
      </c>
      <c r="B183" s="1" t="s">
        <v>350</v>
      </c>
      <c r="C183" t="s">
        <v>5636</v>
      </c>
    </row>
    <row r="184" spans="1:3" ht="12.75" x14ac:dyDescent="0.2">
      <c r="A184" s="1" t="s">
        <v>351</v>
      </c>
      <c r="B184" s="1" t="s">
        <v>352</v>
      </c>
      <c r="C184" t="s">
        <v>352</v>
      </c>
    </row>
    <row r="185" spans="1:3" ht="12.75" x14ac:dyDescent="0.2">
      <c r="A185" s="1" t="s">
        <v>353</v>
      </c>
      <c r="B185" s="1" t="s">
        <v>354</v>
      </c>
      <c r="C185" t="s">
        <v>359</v>
      </c>
    </row>
    <row r="186" spans="1:3" ht="12.75" x14ac:dyDescent="0.2">
      <c r="A186" s="1" t="s">
        <v>355</v>
      </c>
      <c r="B186" s="1" t="s">
        <v>356</v>
      </c>
      <c r="C186" t="s">
        <v>356</v>
      </c>
    </row>
    <row r="187" spans="1:3" ht="12.75" x14ac:dyDescent="0.2">
      <c r="A187" s="1" t="s">
        <v>357</v>
      </c>
      <c r="B187" s="1" t="s">
        <v>250</v>
      </c>
      <c r="C187" t="s">
        <v>5637</v>
      </c>
    </row>
    <row r="188" spans="1:3" ht="12.75" x14ac:dyDescent="0.2">
      <c r="A188" s="1" t="s">
        <v>358</v>
      </c>
      <c r="B188" s="1" t="s">
        <v>359</v>
      </c>
      <c r="C188" t="s">
        <v>359</v>
      </c>
    </row>
    <row r="189" spans="1:3" ht="12.75" x14ac:dyDescent="0.2">
      <c r="A189" s="1" t="s">
        <v>360</v>
      </c>
      <c r="B189" s="1" t="s">
        <v>361</v>
      </c>
      <c r="C189" t="s">
        <v>361</v>
      </c>
    </row>
    <row r="190" spans="1:3" ht="12.75" x14ac:dyDescent="0.2">
      <c r="A190" s="1" t="s">
        <v>362</v>
      </c>
      <c r="B190" s="1" t="s">
        <v>363</v>
      </c>
      <c r="C190" t="s">
        <v>5638</v>
      </c>
    </row>
    <row r="191" spans="1:3" ht="12.75" x14ac:dyDescent="0.2">
      <c r="A191" s="1" t="s">
        <v>364</v>
      </c>
      <c r="B191" s="1" t="s">
        <v>365</v>
      </c>
      <c r="C191" t="s">
        <v>5639</v>
      </c>
    </row>
    <row r="192" spans="1:3" ht="12.75" x14ac:dyDescent="0.2">
      <c r="A192" s="1" t="s">
        <v>366</v>
      </c>
      <c r="B192" s="1" t="s">
        <v>367</v>
      </c>
      <c r="C192" t="s">
        <v>5640</v>
      </c>
    </row>
    <row r="193" spans="1:3" ht="12.75" x14ac:dyDescent="0.2">
      <c r="A193" s="1" t="s">
        <v>368</v>
      </c>
      <c r="B193" s="1" t="s">
        <v>369</v>
      </c>
      <c r="C193" t="s">
        <v>5641</v>
      </c>
    </row>
    <row r="194" spans="1:3" ht="12.75" x14ac:dyDescent="0.2">
      <c r="A194" s="1" t="s">
        <v>370</v>
      </c>
      <c r="B194" s="1" t="s">
        <v>371</v>
      </c>
      <c r="C194" t="s">
        <v>5642</v>
      </c>
    </row>
    <row r="195" spans="1:3" ht="12.75" x14ac:dyDescent="0.2">
      <c r="A195" s="1" t="s">
        <v>372</v>
      </c>
      <c r="B195" s="1" t="s">
        <v>373</v>
      </c>
      <c r="C195" t="s">
        <v>5643</v>
      </c>
    </row>
    <row r="196" spans="1:3" ht="12.75" x14ac:dyDescent="0.2">
      <c r="A196" s="1" t="s">
        <v>374</v>
      </c>
      <c r="B196" s="1" t="s">
        <v>375</v>
      </c>
      <c r="C196" t="s">
        <v>5644</v>
      </c>
    </row>
    <row r="197" spans="1:3" ht="12.75" x14ac:dyDescent="0.2">
      <c r="A197" s="1" t="s">
        <v>376</v>
      </c>
      <c r="B197" s="1" t="s">
        <v>377</v>
      </c>
      <c r="C197" t="s">
        <v>5645</v>
      </c>
    </row>
    <row r="198" spans="1:3" ht="12.75" x14ac:dyDescent="0.2">
      <c r="A198" s="1" t="s">
        <v>378</v>
      </c>
      <c r="B198" s="1" t="s">
        <v>379</v>
      </c>
      <c r="C198" t="s">
        <v>5646</v>
      </c>
    </row>
    <row r="199" spans="1:3" ht="12.75" x14ac:dyDescent="0.2">
      <c r="A199" s="1" t="s">
        <v>380</v>
      </c>
      <c r="B199" s="1" t="s">
        <v>381</v>
      </c>
      <c r="C199" t="s">
        <v>5647</v>
      </c>
    </row>
    <row r="200" spans="1:3" ht="12.75" x14ac:dyDescent="0.2">
      <c r="A200" s="1" t="s">
        <v>382</v>
      </c>
      <c r="B200" s="1" t="s">
        <v>383</v>
      </c>
      <c r="C200" t="s">
        <v>5648</v>
      </c>
    </row>
    <row r="201" spans="1:3" ht="12.75" x14ac:dyDescent="0.2">
      <c r="A201" s="1" t="s">
        <v>384</v>
      </c>
      <c r="B201" s="1" t="s">
        <v>385</v>
      </c>
      <c r="C201" t="s">
        <v>5649</v>
      </c>
    </row>
    <row r="202" spans="1:3" ht="12.75" x14ac:dyDescent="0.2">
      <c r="A202" s="1" t="s">
        <v>386</v>
      </c>
      <c r="B202" s="1" t="s">
        <v>387</v>
      </c>
      <c r="C202" t="s">
        <v>5650</v>
      </c>
    </row>
    <row r="203" spans="1:3" ht="12.75" x14ac:dyDescent="0.2">
      <c r="A203" s="1" t="s">
        <v>388</v>
      </c>
      <c r="B203" s="1" t="s">
        <v>389</v>
      </c>
      <c r="C203" t="s">
        <v>5651</v>
      </c>
    </row>
    <row r="204" spans="1:3" ht="12.75" x14ac:dyDescent="0.2">
      <c r="A204" s="1" t="s">
        <v>390</v>
      </c>
      <c r="B204" s="1" t="s">
        <v>391</v>
      </c>
      <c r="C204" t="s">
        <v>5652</v>
      </c>
    </row>
    <row r="205" spans="1:3" ht="12.75" x14ac:dyDescent="0.2">
      <c r="A205" s="1" t="s">
        <v>392</v>
      </c>
      <c r="B205" s="1" t="s">
        <v>393</v>
      </c>
      <c r="C205" t="s">
        <v>5653</v>
      </c>
    </row>
    <row r="206" spans="1:3" ht="12.75" x14ac:dyDescent="0.2">
      <c r="A206" s="1" t="s">
        <v>394</v>
      </c>
      <c r="B206" s="1" t="s">
        <v>395</v>
      </c>
      <c r="C206" t="s">
        <v>5654</v>
      </c>
    </row>
    <row r="207" spans="1:3" ht="12.75" x14ac:dyDescent="0.2">
      <c r="A207" s="1" t="s">
        <v>396</v>
      </c>
      <c r="B207" s="1" t="s">
        <v>397</v>
      </c>
      <c r="C207" t="s">
        <v>5655</v>
      </c>
    </row>
    <row r="208" spans="1:3" ht="12.75" x14ac:dyDescent="0.2">
      <c r="A208" s="1" t="s">
        <v>398</v>
      </c>
      <c r="B208" s="1" t="s">
        <v>399</v>
      </c>
      <c r="C208" t="s">
        <v>5656</v>
      </c>
    </row>
    <row r="209" spans="1:3" ht="12.75" x14ac:dyDescent="0.2">
      <c r="A209" s="1" t="s">
        <v>400</v>
      </c>
      <c r="B209" s="1" t="s">
        <v>401</v>
      </c>
      <c r="C209" t="s">
        <v>5657</v>
      </c>
    </row>
    <row r="210" spans="1:3" ht="12.75" x14ac:dyDescent="0.2">
      <c r="A210" s="1" t="s">
        <v>402</v>
      </c>
      <c r="B210" s="1" t="s">
        <v>403</v>
      </c>
      <c r="C210" t="s">
        <v>5658</v>
      </c>
    </row>
    <row r="211" spans="1:3" ht="12.75" x14ac:dyDescent="0.2">
      <c r="A211" s="1" t="s">
        <v>404</v>
      </c>
      <c r="B211" s="1" t="s">
        <v>255</v>
      </c>
      <c r="C211" t="s">
        <v>255</v>
      </c>
    </row>
    <row r="212" spans="1:3" ht="12.75" x14ac:dyDescent="0.2">
      <c r="A212" s="1" t="s">
        <v>405</v>
      </c>
      <c r="B212" s="1" t="s">
        <v>406</v>
      </c>
      <c r="C212" t="s">
        <v>5659</v>
      </c>
    </row>
    <row r="213" spans="1:3" ht="12.75" x14ac:dyDescent="0.2">
      <c r="A213" s="1" t="s">
        <v>407</v>
      </c>
      <c r="B213" s="1" t="s">
        <v>406</v>
      </c>
      <c r="C213" t="s">
        <v>1609</v>
      </c>
    </row>
    <row r="214" spans="1:3" ht="12.75" x14ac:dyDescent="0.2">
      <c r="A214" s="1" t="s">
        <v>408</v>
      </c>
      <c r="B214" s="1" t="s">
        <v>409</v>
      </c>
      <c r="C214" t="s">
        <v>409</v>
      </c>
    </row>
    <row r="215" spans="1:3" ht="12.75" x14ac:dyDescent="0.2">
      <c r="A215" s="1" t="s">
        <v>410</v>
      </c>
      <c r="B215" s="1" t="s">
        <v>411</v>
      </c>
      <c r="C215" t="s">
        <v>411</v>
      </c>
    </row>
    <row r="216" spans="1:3" ht="12.75" x14ac:dyDescent="0.2">
      <c r="A216" s="1" t="s">
        <v>412</v>
      </c>
      <c r="B216" s="1" t="s">
        <v>411</v>
      </c>
      <c r="C216" t="s">
        <v>411</v>
      </c>
    </row>
    <row r="217" spans="1:3" ht="12.75" x14ac:dyDescent="0.2">
      <c r="A217" s="1" t="s">
        <v>413</v>
      </c>
      <c r="B217" s="1" t="s">
        <v>414</v>
      </c>
      <c r="C217" t="s">
        <v>414</v>
      </c>
    </row>
    <row r="218" spans="1:3" ht="12.75" x14ac:dyDescent="0.2">
      <c r="A218" s="1" t="s">
        <v>415</v>
      </c>
      <c r="B218" s="1" t="s">
        <v>416</v>
      </c>
      <c r="C218" t="s">
        <v>5660</v>
      </c>
    </row>
    <row r="219" spans="1:3" ht="12.75" x14ac:dyDescent="0.2">
      <c r="A219" s="1" t="s">
        <v>417</v>
      </c>
      <c r="B219" s="1" t="s">
        <v>418</v>
      </c>
      <c r="C219" t="s">
        <v>5661</v>
      </c>
    </row>
    <row r="220" spans="1:3" ht="12.75" x14ac:dyDescent="0.2">
      <c r="A220" s="1" t="s">
        <v>419</v>
      </c>
      <c r="B220" s="1" t="s">
        <v>289</v>
      </c>
      <c r="C220" t="s">
        <v>5608</v>
      </c>
    </row>
    <row r="221" spans="1:3" ht="12.75" x14ac:dyDescent="0.2">
      <c r="A221" s="1" t="s">
        <v>420</v>
      </c>
      <c r="B221" s="1" t="s">
        <v>289</v>
      </c>
      <c r="C221" t="s">
        <v>5608</v>
      </c>
    </row>
    <row r="222" spans="1:3" ht="12.75" x14ac:dyDescent="0.2">
      <c r="A222" s="1" t="s">
        <v>421</v>
      </c>
      <c r="B222" s="1" t="s">
        <v>247</v>
      </c>
      <c r="C222" t="s">
        <v>5608</v>
      </c>
    </row>
    <row r="223" spans="1:3" ht="12.75" x14ac:dyDescent="0.2">
      <c r="A223" s="1" t="s">
        <v>422</v>
      </c>
      <c r="B223" s="1" t="s">
        <v>247</v>
      </c>
      <c r="C223" t="s">
        <v>5608</v>
      </c>
    </row>
    <row r="224" spans="1:3" ht="12.75" x14ac:dyDescent="0.2">
      <c r="A224" s="1" t="s">
        <v>423</v>
      </c>
      <c r="B224" s="1" t="s">
        <v>247</v>
      </c>
      <c r="C224" t="s">
        <v>5662</v>
      </c>
    </row>
    <row r="225" spans="1:3" ht="12.75" x14ac:dyDescent="0.2">
      <c r="A225" s="1" t="s">
        <v>424</v>
      </c>
      <c r="B225" s="1" t="s">
        <v>247</v>
      </c>
      <c r="C225" t="s">
        <v>5663</v>
      </c>
    </row>
    <row r="226" spans="1:3" ht="12.75" x14ac:dyDescent="0.2">
      <c r="A226" s="1" t="s">
        <v>425</v>
      </c>
      <c r="B226" s="1" t="s">
        <v>247</v>
      </c>
      <c r="C226" t="s">
        <v>5663</v>
      </c>
    </row>
    <row r="227" spans="1:3" ht="12.75" x14ac:dyDescent="0.2">
      <c r="A227" s="1" t="s">
        <v>426</v>
      </c>
      <c r="B227" s="1" t="s">
        <v>247</v>
      </c>
      <c r="C227" t="s">
        <v>5608</v>
      </c>
    </row>
    <row r="228" spans="1:3" ht="12.75" x14ac:dyDescent="0.2">
      <c r="A228" s="1" t="s">
        <v>427</v>
      </c>
      <c r="B228" s="1" t="s">
        <v>247</v>
      </c>
      <c r="C228" t="s">
        <v>5608</v>
      </c>
    </row>
    <row r="229" spans="1:3" ht="12.75" x14ac:dyDescent="0.2">
      <c r="A229" s="1" t="s">
        <v>428</v>
      </c>
      <c r="B229" s="1" t="s">
        <v>247</v>
      </c>
      <c r="C229" t="s">
        <v>5608</v>
      </c>
    </row>
    <row r="230" spans="1:3" ht="12.75" x14ac:dyDescent="0.2">
      <c r="A230" s="1" t="s">
        <v>429</v>
      </c>
      <c r="B230" s="1" t="s">
        <v>247</v>
      </c>
      <c r="C230" t="s">
        <v>5608</v>
      </c>
    </row>
    <row r="231" spans="1:3" ht="12.75" x14ac:dyDescent="0.2">
      <c r="A231" s="1" t="s">
        <v>430</v>
      </c>
      <c r="B231" s="1" t="s">
        <v>247</v>
      </c>
      <c r="C231" t="s">
        <v>5608</v>
      </c>
    </row>
    <row r="232" spans="1:3" ht="12.75" x14ac:dyDescent="0.2">
      <c r="A232" s="1" t="s">
        <v>431</v>
      </c>
      <c r="B232" s="1" t="s">
        <v>247</v>
      </c>
      <c r="C232" t="s">
        <v>5608</v>
      </c>
    </row>
    <row r="233" spans="1:3" ht="12.75" x14ac:dyDescent="0.2">
      <c r="A233" s="1" t="s">
        <v>432</v>
      </c>
      <c r="B233" s="1" t="s">
        <v>247</v>
      </c>
      <c r="C233" t="s">
        <v>5608</v>
      </c>
    </row>
    <row r="234" spans="1:3" ht="12.75" x14ac:dyDescent="0.2">
      <c r="A234" s="1" t="s">
        <v>433</v>
      </c>
      <c r="B234" s="1" t="s">
        <v>247</v>
      </c>
      <c r="C234" t="s">
        <v>5608</v>
      </c>
    </row>
    <row r="235" spans="1:3" ht="12.75" x14ac:dyDescent="0.2">
      <c r="A235" s="1" t="s">
        <v>434</v>
      </c>
      <c r="B235" s="1" t="s">
        <v>247</v>
      </c>
      <c r="C235" t="s">
        <v>5608</v>
      </c>
    </row>
    <row r="236" spans="1:3" ht="12.75" x14ac:dyDescent="0.2">
      <c r="A236" s="1" t="s">
        <v>435</v>
      </c>
      <c r="B236" s="1" t="s">
        <v>247</v>
      </c>
      <c r="C236" t="s">
        <v>5608</v>
      </c>
    </row>
    <row r="237" spans="1:3" ht="12.75" x14ac:dyDescent="0.2">
      <c r="A237" s="1" t="s">
        <v>436</v>
      </c>
      <c r="B237" s="1" t="s">
        <v>247</v>
      </c>
      <c r="C237" t="s">
        <v>5608</v>
      </c>
    </row>
    <row r="238" spans="1:3" ht="12.75" x14ac:dyDescent="0.2">
      <c r="A238" s="1" t="s">
        <v>437</v>
      </c>
      <c r="B238" s="1" t="s">
        <v>247</v>
      </c>
      <c r="C238" t="s">
        <v>5664</v>
      </c>
    </row>
    <row r="239" spans="1:3" ht="12.75" x14ac:dyDescent="0.2">
      <c r="A239" s="1" t="s">
        <v>438</v>
      </c>
      <c r="B239" s="1" t="s">
        <v>439</v>
      </c>
      <c r="C239" t="s">
        <v>5665</v>
      </c>
    </row>
    <row r="240" spans="1:3" ht="12.75" x14ac:dyDescent="0.2">
      <c r="A240" s="1" t="s">
        <v>440</v>
      </c>
      <c r="B240" s="1" t="s">
        <v>441</v>
      </c>
      <c r="C240" t="s">
        <v>5666</v>
      </c>
    </row>
    <row r="241" spans="1:3" ht="12.75" x14ac:dyDescent="0.2">
      <c r="A241" s="1" t="s">
        <v>442</v>
      </c>
      <c r="B241" s="1" t="s">
        <v>257</v>
      </c>
      <c r="C241" t="s">
        <v>359</v>
      </c>
    </row>
    <row r="242" spans="1:3" ht="12.75" x14ac:dyDescent="0.2">
      <c r="A242" s="1" t="s">
        <v>443</v>
      </c>
    </row>
    <row r="243" spans="1:3" ht="12.75" x14ac:dyDescent="0.2">
      <c r="A243" s="1" t="s">
        <v>444</v>
      </c>
    </row>
    <row r="244" spans="1:3" ht="12.75" x14ac:dyDescent="0.2">
      <c r="A244" s="1" t="s">
        <v>445</v>
      </c>
      <c r="B244" s="1" t="s">
        <v>446</v>
      </c>
      <c r="C244" t="s">
        <v>5667</v>
      </c>
    </row>
    <row r="245" spans="1:3" ht="12.75" x14ac:dyDescent="0.2">
      <c r="A245" s="1" t="s">
        <v>447</v>
      </c>
      <c r="B245" s="1" t="s">
        <v>252</v>
      </c>
      <c r="C245" t="str">
        <f ca="1">IFERROR(__xludf.DUMMYFUNCTION("GOOGLETRANSLATE(B245, ""ja"", ""en"")"),"Le")</f>
        <v>Le</v>
      </c>
    </row>
    <row r="246" spans="1:3" ht="12.75" x14ac:dyDescent="0.2">
      <c r="A246" s="1" t="s">
        <v>448</v>
      </c>
      <c r="B246" s="1" t="s">
        <v>449</v>
      </c>
      <c r="C246" t="str">
        <f ca="1">IFERROR(__xludf.DUMMYFUNCTION("GOOGLETRANSLATE(B246, ""ja"", ""en"")"),"Tsu")</f>
        <v>Tsu</v>
      </c>
    </row>
    <row r="247" spans="1:3" ht="12.75" x14ac:dyDescent="0.2">
      <c r="A247" s="1" t="s">
        <v>450</v>
      </c>
      <c r="B247" s="1" t="s">
        <v>451</v>
      </c>
      <c r="C247" t="str">
        <f ca="1">IFERROR(__xludf.DUMMYFUNCTION("GOOGLETRANSLATE(B247, ""ja"", ""en"")"),"Elementary level")</f>
        <v>Elementary level</v>
      </c>
    </row>
    <row r="248" spans="1:3" ht="12.75" x14ac:dyDescent="0.2">
      <c r="A248" s="1" t="s">
        <v>452</v>
      </c>
      <c r="B248" s="1" t="s">
        <v>453</v>
      </c>
      <c r="C248" t="str">
        <f ca="1">IFERROR(__xludf.DUMMYFUNCTION("GOOGLETRANSLATE(B248, ""ja"", ""en"")"),"Intermediate Level")</f>
        <v>Intermediate Level</v>
      </c>
    </row>
    <row r="249" spans="1:3" ht="12.75" x14ac:dyDescent="0.2">
      <c r="A249" s="1" t="s">
        <v>454</v>
      </c>
      <c r="B249" s="1" t="s">
        <v>455</v>
      </c>
      <c r="C249" t="str">
        <f ca="1">IFERROR(__xludf.DUMMYFUNCTION("GOOGLETRANSLATE(B249, ""ja"", ""en"")"),"Senior")</f>
        <v>Senior</v>
      </c>
    </row>
    <row r="250" spans="1:3" ht="12.75" x14ac:dyDescent="0.2">
      <c r="A250" s="1" t="s">
        <v>456</v>
      </c>
      <c r="B250" s="1" t="s">
        <v>457</v>
      </c>
      <c r="C250" t="str">
        <f ca="1">IFERROR(__xludf.DUMMYFUNCTION("GOOGLETRANSLATE(B250, ""ja"", ""en"")"),"so")</f>
        <v>so</v>
      </c>
    </row>
    <row r="251" spans="1:3" ht="12.75" x14ac:dyDescent="0.2">
      <c r="A251" s="1" t="s">
        <v>458</v>
      </c>
      <c r="B251" s="1">
        <v>1</v>
      </c>
      <c r="C251" t="str">
        <f ca="1">IFERROR(__xludf.DUMMYFUNCTION("GOOGLETRANSLATE(B251, ""ja"", ""en"")"),"1")</f>
        <v>1</v>
      </c>
    </row>
    <row r="252" spans="1:3" ht="12.75" x14ac:dyDescent="0.2">
      <c r="A252" s="1" t="s">
        <v>459</v>
      </c>
      <c r="B252" s="1" t="s">
        <v>460</v>
      </c>
      <c r="C252" t="str">
        <f ca="1">IFERROR(__xludf.DUMMYFUNCTION("GOOGLETRANSLATE(B252, ""ja"", ""en"")"),"OM")</f>
        <v>OM</v>
      </c>
    </row>
    <row r="253" spans="1:3" ht="12.75" x14ac:dyDescent="0.2">
      <c r="A253" s="1" t="s">
        <v>461</v>
      </c>
      <c r="B253" s="1" t="s">
        <v>462</v>
      </c>
      <c r="C253" t="str">
        <f ca="1">IFERROR(__xludf.DUMMYFUNCTION("GOOGLETRANSLATE(B253, ""ja"", ""en"")"),"EN")</f>
        <v>EN</v>
      </c>
    </row>
    <row r="254" spans="1:3" ht="12.75" x14ac:dyDescent="0.2">
      <c r="A254" s="1" t="s">
        <v>463</v>
      </c>
      <c r="B254" s="1" t="s">
        <v>101</v>
      </c>
      <c r="C254" t="str">
        <f ca="1">IFERROR(__xludf.DUMMYFUNCTION("GOOGLETRANSLATE(B254, ""ja"", ""en"")"),"Or")</f>
        <v>Or</v>
      </c>
    </row>
    <row r="255" spans="1:3" ht="12.75" x14ac:dyDescent="0.2">
      <c r="A255" s="1" t="s">
        <v>464</v>
      </c>
      <c r="B255" s="1" t="s">
        <v>465</v>
      </c>
      <c r="C255" t="str">
        <f ca="1">IFERROR(__xludf.DUMMYFUNCTION("GOOGLETRANSLATE(B255, ""ja"", ""en"")"),"")</f>
        <v/>
      </c>
    </row>
    <row r="256" spans="1:3" ht="12.75" x14ac:dyDescent="0.2">
      <c r="A256" s="1" t="s">
        <v>466</v>
      </c>
      <c r="B256" s="1" t="s">
        <v>465</v>
      </c>
      <c r="C256" t="str">
        <f ca="1">IFERROR(__xludf.DUMMYFUNCTION("GOOGLETRANSLATE(B256, ""ja"", ""en"")"),"")</f>
        <v/>
      </c>
    </row>
    <row r="257" spans="1:3" ht="12.75" x14ac:dyDescent="0.2">
      <c r="A257" s="1" t="s">
        <v>467</v>
      </c>
      <c r="B257" s="1" t="s">
        <v>468</v>
      </c>
      <c r="C257" t="str">
        <f ca="1">IFERROR(__xludf.DUMMYFUNCTION("GOOGLETRANSLATE(B257, ""ja"", ""en"")"),"Also")</f>
        <v>Also</v>
      </c>
    </row>
    <row r="258" spans="1:3" ht="12.75" x14ac:dyDescent="0.2">
      <c r="A258" s="1" t="s">
        <v>469</v>
      </c>
      <c r="B258" s="1" t="s">
        <v>470</v>
      </c>
      <c r="C258" t="str">
        <f ca="1">IFERROR(__xludf.DUMMYFUNCTION("GOOGLETRANSLATE(B258, ""ja"", ""en"")"),"Over")</f>
        <v>Over</v>
      </c>
    </row>
    <row r="259" spans="1:3" ht="12.75" x14ac:dyDescent="0.2">
      <c r="A259" s="1" t="s">
        <v>471</v>
      </c>
      <c r="B259" s="1" t="s">
        <v>472</v>
      </c>
      <c r="C259" t="str">
        <f ca="1">IFERROR(__xludf.DUMMYFUNCTION("GOOGLETRANSLATE(B259, ""ja"", ""en"")"),"Place")</f>
        <v>Place</v>
      </c>
    </row>
    <row r="260" spans="1:3" ht="12.75" x14ac:dyDescent="0.2">
      <c r="A260" s="1" t="s">
        <v>473</v>
      </c>
      <c r="B260" s="1" t="s">
        <v>474</v>
      </c>
      <c r="C260" t="str">
        <f ca="1">IFERROR(__xludf.DUMMYFUNCTION("GOOGLETRANSLATE(B260, ""ja"", ""en"")"),"hand")</f>
        <v>hand</v>
      </c>
    </row>
    <row r="261" spans="1:3" ht="12.75" x14ac:dyDescent="0.2">
      <c r="A261" s="1" t="s">
        <v>475</v>
      </c>
      <c r="B261" s="1" t="s">
        <v>476</v>
      </c>
      <c r="C261" t="str">
        <f ca="1">IFERROR(__xludf.DUMMYFUNCTION("GOOGLETRANSLATE(B261, ""ja"", ""en"")"),"I")</f>
        <v>I</v>
      </c>
    </row>
    <row r="262" spans="1:3" ht="12.75" x14ac:dyDescent="0.2">
      <c r="A262" s="1" t="s">
        <v>477</v>
      </c>
      <c r="B262" s="1" t="s">
        <v>478</v>
      </c>
      <c r="C262" t="str">
        <f ca="1">IFERROR(__xludf.DUMMYFUNCTION("GOOGLETRANSLATE(B262, ""ja"", ""en"")"),"Hmm")</f>
        <v>Hmm</v>
      </c>
    </row>
    <row r="263" spans="1:3" ht="12.75" x14ac:dyDescent="0.2">
      <c r="A263" s="1" t="s">
        <v>479</v>
      </c>
      <c r="B263" s="1" t="s">
        <v>468</v>
      </c>
      <c r="C263" t="str">
        <f ca="1">IFERROR(__xludf.DUMMYFUNCTION("GOOGLETRANSLATE(B263, ""ja"", ""en"")"),"Also")</f>
        <v>Also</v>
      </c>
    </row>
    <row r="264" spans="1:3" ht="12.75" x14ac:dyDescent="0.2">
      <c r="A264" s="1" t="s">
        <v>480</v>
      </c>
      <c r="B264" s="1" t="s">
        <v>465</v>
      </c>
      <c r="C264" t="str">
        <f ca="1">IFERROR(__xludf.DUMMYFUNCTION("GOOGLETRANSLATE(B264, ""ja"", ""en"")"),"")</f>
        <v/>
      </c>
    </row>
    <row r="265" spans="1:3" ht="12.75" x14ac:dyDescent="0.2">
      <c r="A265" s="1" t="s">
        <v>481</v>
      </c>
      <c r="B265" s="1" t="s">
        <v>470</v>
      </c>
      <c r="C265" t="str">
        <f ca="1">IFERROR(__xludf.DUMMYFUNCTION("GOOGLETRANSLATE(B265, ""ja"", ""en"")"),"Over")</f>
        <v>Over</v>
      </c>
    </row>
    <row r="266" spans="1:3" ht="12.75" x14ac:dyDescent="0.2">
      <c r="A266" s="1" t="s">
        <v>482</v>
      </c>
      <c r="B266" s="1" t="s">
        <v>465</v>
      </c>
      <c r="C266" t="str">
        <f ca="1">IFERROR(__xludf.DUMMYFUNCTION("GOOGLETRANSLATE(B266, ""ja"", ""en"")"),"")</f>
        <v/>
      </c>
    </row>
    <row r="267" spans="1:3" ht="12.75" x14ac:dyDescent="0.2">
      <c r="A267" s="1" t="s">
        <v>483</v>
      </c>
      <c r="B267" s="1" t="s">
        <v>250</v>
      </c>
      <c r="C267" t="str">
        <f ca="1">IFERROR(__xludf.DUMMYFUNCTION("GOOGLETRANSLATE(B267, ""ja"", ""en"")"),"?")</f>
        <v>?</v>
      </c>
    </row>
    <row r="268" spans="1:3" ht="12.75" x14ac:dyDescent="0.2">
      <c r="A268" s="1" t="s">
        <v>484</v>
      </c>
      <c r="B268" s="1" t="s">
        <v>474</v>
      </c>
      <c r="C268" t="str">
        <f ca="1">IFERROR(__xludf.DUMMYFUNCTION("GOOGLETRANSLATE(B268, ""ja"", ""en"")"),"hand")</f>
        <v>hand</v>
      </c>
    </row>
    <row r="269" spans="1:3" ht="12.75" x14ac:dyDescent="0.2">
      <c r="A269" s="1" t="s">
        <v>485</v>
      </c>
      <c r="B269" s="1" t="s">
        <v>472</v>
      </c>
      <c r="C269" t="str">
        <f ca="1">IFERROR(__xludf.DUMMYFUNCTION("GOOGLETRANSLATE(B269, ""ja"", ""en"")"),"Place")</f>
        <v>Place</v>
      </c>
    </row>
    <row r="270" spans="1:3" ht="12.75" x14ac:dyDescent="0.2">
      <c r="A270" s="1" t="s">
        <v>486</v>
      </c>
      <c r="B270" s="1" t="s">
        <v>465</v>
      </c>
      <c r="C270" t="str">
        <f ca="1">IFERROR(__xludf.DUMMYFUNCTION("GOOGLETRANSLATE(B270, ""ja"", ""en"")"),"")</f>
        <v/>
      </c>
    </row>
    <row r="271" spans="1:3" ht="12.75" x14ac:dyDescent="0.2">
      <c r="A271" s="1" t="s">
        <v>487</v>
      </c>
      <c r="B271" s="1" t="s">
        <v>257</v>
      </c>
      <c r="C271" t="str">
        <f ca="1">IFERROR(__xludf.DUMMYFUNCTION("GOOGLETRANSLATE(B271, ""ja"", ""en"")"),"Have")</f>
        <v>Have</v>
      </c>
    </row>
    <row r="272" spans="1:3" ht="12.75" x14ac:dyDescent="0.2">
      <c r="A272" s="1" t="s">
        <v>488</v>
      </c>
      <c r="B272" s="1" t="s">
        <v>468</v>
      </c>
      <c r="C272" t="str">
        <f ca="1">IFERROR(__xludf.DUMMYFUNCTION("GOOGLETRANSLATE(B272, ""ja"", ""en"")"),"Also")</f>
        <v>Also</v>
      </c>
    </row>
    <row r="273" spans="1:3" ht="12.75" x14ac:dyDescent="0.2">
      <c r="A273" s="1" t="s">
        <v>489</v>
      </c>
      <c r="B273" s="1" t="s">
        <v>470</v>
      </c>
      <c r="C273" t="str">
        <f ca="1">IFERROR(__xludf.DUMMYFUNCTION("GOOGLETRANSLATE(B273, ""ja"", ""en"")"),"Over")</f>
        <v>Over</v>
      </c>
    </row>
    <row r="274" spans="1:3" ht="12.75" x14ac:dyDescent="0.2">
      <c r="A274" s="1" t="s">
        <v>490</v>
      </c>
      <c r="B274" s="1" t="s">
        <v>472</v>
      </c>
      <c r="C274" t="str">
        <f ca="1">IFERROR(__xludf.DUMMYFUNCTION("GOOGLETRANSLATE(B274, ""ja"", ""en"")"),"Place")</f>
        <v>Place</v>
      </c>
    </row>
    <row r="275" spans="1:3" ht="12.75" x14ac:dyDescent="0.2">
      <c r="A275" s="1" t="s">
        <v>491</v>
      </c>
      <c r="B275" s="1" t="s">
        <v>474</v>
      </c>
      <c r="C275" t="str">
        <f ca="1">IFERROR(__xludf.DUMMYFUNCTION("GOOGLETRANSLATE(B275, ""ja"", ""en"")"),"hand")</f>
        <v>hand</v>
      </c>
    </row>
    <row r="276" spans="1:3" ht="12.75" x14ac:dyDescent="0.2">
      <c r="A276" s="1" t="s">
        <v>492</v>
      </c>
      <c r="B276" s="1" t="s">
        <v>476</v>
      </c>
      <c r="C276" t="str">
        <f ca="1">IFERROR(__xludf.DUMMYFUNCTION("GOOGLETRANSLATE(B276, ""ja"", ""en"")"),"I")</f>
        <v>I</v>
      </c>
    </row>
    <row r="277" spans="1:3" ht="12.75" x14ac:dyDescent="0.2">
      <c r="A277" s="1" t="s">
        <v>493</v>
      </c>
      <c r="B277" s="1" t="s">
        <v>478</v>
      </c>
      <c r="C277" t="str">
        <f ca="1">IFERROR(__xludf.DUMMYFUNCTION("GOOGLETRANSLATE(B277, ""ja"", ""en"")"),"Hmm")</f>
        <v>Hmm</v>
      </c>
    </row>
    <row r="278" spans="1:3" ht="12.75" x14ac:dyDescent="0.2">
      <c r="A278" s="1" t="s">
        <v>494</v>
      </c>
      <c r="B278" s="1" t="s">
        <v>472</v>
      </c>
      <c r="C278" t="str">
        <f ca="1">IFERROR(__xludf.DUMMYFUNCTION("GOOGLETRANSLATE(B278, ""ja"", ""en"")"),"Place")</f>
        <v>Place</v>
      </c>
    </row>
    <row r="279" spans="1:3" ht="12.75" x14ac:dyDescent="0.2">
      <c r="A279" s="1" t="s">
        <v>495</v>
      </c>
      <c r="B279" s="1" t="s">
        <v>476</v>
      </c>
      <c r="C279" t="str">
        <f ca="1">IFERROR(__xludf.DUMMYFUNCTION("GOOGLETRANSLATE(B279, ""ja"", ""en"")"),"I")</f>
        <v>I</v>
      </c>
    </row>
    <row r="280" spans="1:3" ht="12.75" x14ac:dyDescent="0.2">
      <c r="A280" s="1" t="s">
        <v>496</v>
      </c>
      <c r="B280" s="1" t="s">
        <v>465</v>
      </c>
      <c r="C280" t="str">
        <f ca="1">IFERROR(__xludf.DUMMYFUNCTION("GOOGLETRANSLATE(B280, ""ja"", ""en"")"),"")</f>
        <v/>
      </c>
    </row>
    <row r="281" spans="1:3" ht="12.75" x14ac:dyDescent="0.2">
      <c r="A281" s="1" t="s">
        <v>497</v>
      </c>
      <c r="B281" s="1" t="s">
        <v>498</v>
      </c>
      <c r="C281" t="str">
        <f ca="1">IFERROR(__xludf.DUMMYFUNCTION("GOOGLETRANSLATE(B281, ""ja"", ""en"")"),"The filtrate")</f>
        <v>The filtrate</v>
      </c>
    </row>
    <row r="282" spans="1:3" ht="12.75" x14ac:dyDescent="0.2">
      <c r="A282" s="1" t="s">
        <v>499</v>
      </c>
      <c r="B282" s="1" t="s">
        <v>478</v>
      </c>
      <c r="C282" t="str">
        <f ca="1">IFERROR(__xludf.DUMMYFUNCTION("GOOGLETRANSLATE(B282, ""ja"", ""en"")"),"Hmm")</f>
        <v>Hmm</v>
      </c>
    </row>
    <row r="283" spans="1:3" ht="12.75" x14ac:dyDescent="0.2">
      <c r="A283" s="1" t="s">
        <v>500</v>
      </c>
      <c r="B283" s="1" t="s">
        <v>468</v>
      </c>
      <c r="C283" t="str">
        <f ca="1">IFERROR(__xludf.DUMMYFUNCTION("GOOGLETRANSLATE(B283, ""ja"", ""en"")"),"Also")</f>
        <v>Also</v>
      </c>
    </row>
    <row r="284" spans="1:3" ht="12.75" x14ac:dyDescent="0.2">
      <c r="A284" s="1" t="s">
        <v>501</v>
      </c>
      <c r="B284" s="1" t="s">
        <v>250</v>
      </c>
      <c r="C284" t="str">
        <f ca="1">IFERROR(__xludf.DUMMYFUNCTION("GOOGLETRANSLATE(B284, ""ja"", ""en"")"),"?")</f>
        <v>?</v>
      </c>
    </row>
    <row r="285" spans="1:3" ht="12.75" x14ac:dyDescent="0.2">
      <c r="A285" s="1" t="s">
        <v>502</v>
      </c>
      <c r="B285" s="1" t="s">
        <v>503</v>
      </c>
      <c r="C285" t="str">
        <f ca="1">IFERROR(__xludf.DUMMYFUNCTION("GOOGLETRANSLATE(B285, ""ja"", ""en"")"),"shop")</f>
        <v>shop</v>
      </c>
    </row>
    <row r="286" spans="1:3" ht="12.75" x14ac:dyDescent="0.2">
      <c r="A286" s="1" t="s">
        <v>504</v>
      </c>
      <c r="B286" s="1" t="s">
        <v>503</v>
      </c>
      <c r="C286" t="str">
        <f ca="1">IFERROR(__xludf.DUMMYFUNCTION("GOOGLETRANSLATE(B286, ""ja"", ""en"")"),"shop")</f>
        <v>shop</v>
      </c>
    </row>
    <row r="287" spans="1:3" ht="12.75" x14ac:dyDescent="0.2">
      <c r="A287" s="1" t="s">
        <v>505</v>
      </c>
      <c r="B287" s="1" t="s">
        <v>503</v>
      </c>
      <c r="C287" t="str">
        <f ca="1">IFERROR(__xludf.DUMMYFUNCTION("GOOGLETRANSLATE(B287, ""ja"", ""en"")"),"shop")</f>
        <v>shop</v>
      </c>
    </row>
    <row r="288" spans="1:3" ht="12.75" x14ac:dyDescent="0.2">
      <c r="A288" s="1" t="s">
        <v>506</v>
      </c>
      <c r="B288" s="1" t="s">
        <v>503</v>
      </c>
      <c r="C288" t="str">
        <f ca="1">IFERROR(__xludf.DUMMYFUNCTION("GOOGLETRANSLATE(B288, ""ja"", ""en"")"),"shop")</f>
        <v>shop</v>
      </c>
    </row>
    <row r="289" spans="1:3" ht="12.75" x14ac:dyDescent="0.2">
      <c r="A289" s="1" t="s">
        <v>507</v>
      </c>
      <c r="B289" s="1" t="s">
        <v>508</v>
      </c>
      <c r="C289" t="str">
        <f ca="1">IFERROR(__xludf.DUMMYFUNCTION("GOOGLETRANSLATE(B289, ""ja"", ""en"")"),"d")</f>
        <v>d</v>
      </c>
    </row>
    <row r="290" spans="1:3" ht="12.75" x14ac:dyDescent="0.2">
      <c r="A290" s="1" t="s">
        <v>509</v>
      </c>
      <c r="B290" s="1" t="s">
        <v>25</v>
      </c>
      <c r="C290" t="str">
        <f ca="1">IFERROR(__xludf.DUMMYFUNCTION("GOOGLETRANSLATE(B290, ""ja"", ""en"")"),"point")</f>
        <v>point</v>
      </c>
    </row>
    <row r="291" spans="1:3" ht="12.75" x14ac:dyDescent="0.2">
      <c r="A291" s="1" t="s">
        <v>510</v>
      </c>
      <c r="B291" s="1" t="s">
        <v>511</v>
      </c>
      <c r="C291" t="str">
        <f ca="1">IFERROR(__xludf.DUMMYFUNCTION("GOOGLETRANSLATE(B291, ""ja"", ""en"")"),"Formation")</f>
        <v>Formation</v>
      </c>
    </row>
    <row r="292" spans="1:3" ht="12.75" x14ac:dyDescent="0.2">
      <c r="A292" s="1" t="s">
        <v>512</v>
      </c>
      <c r="B292" s="1" t="s">
        <v>257</v>
      </c>
      <c r="C292" t="str">
        <f ca="1">IFERROR(__xludf.DUMMYFUNCTION("GOOGLETRANSLATE(B292, ""ja"", ""en"")"),"Have")</f>
        <v>Have</v>
      </c>
    </row>
    <row r="293" spans="1:3" ht="12.75" x14ac:dyDescent="0.2">
      <c r="A293" s="1" t="s">
        <v>513</v>
      </c>
      <c r="B293" s="1" t="s">
        <v>354</v>
      </c>
      <c r="C293" t="str">
        <f ca="1">IFERROR(__xludf.DUMMYFUNCTION("GOOGLETRANSLATE(B293, ""ja"", ""en"")"),"That")</f>
        <v>That</v>
      </c>
    </row>
    <row r="294" spans="1:3" ht="12.75" x14ac:dyDescent="0.2">
      <c r="A294" s="1" t="s">
        <v>514</v>
      </c>
      <c r="B294" s="1" t="s">
        <v>354</v>
      </c>
      <c r="C294" t="str">
        <f ca="1">IFERROR(__xludf.DUMMYFUNCTION("GOOGLETRANSLATE(B294, ""ja"", ""en"")"),"That")</f>
        <v>That</v>
      </c>
    </row>
    <row r="295" spans="1:3" ht="12.75" x14ac:dyDescent="0.2">
      <c r="A295" s="1" t="s">
        <v>515</v>
      </c>
      <c r="B295" s="1" t="s">
        <v>516</v>
      </c>
      <c r="C295" t="str">
        <f ca="1">IFERROR(__xludf.DUMMYFUNCTION("GOOGLETRANSLATE(B295, ""ja"", ""en"")"),"Kerning")</f>
        <v>Kerning</v>
      </c>
    </row>
    <row r="296" spans="1:3" ht="12.75" x14ac:dyDescent="0.2">
      <c r="A296" s="1" t="s">
        <v>517</v>
      </c>
      <c r="B296" s="1" t="s">
        <v>101</v>
      </c>
      <c r="C296" t="str">
        <f ca="1">IFERROR(__xludf.DUMMYFUNCTION("GOOGLETRANSLATE(B296, ""ja"", ""en"")"),"Or")</f>
        <v>Or</v>
      </c>
    </row>
    <row r="297" spans="1:3" ht="12.75" x14ac:dyDescent="0.2">
      <c r="A297" s="1" t="s">
        <v>518</v>
      </c>
      <c r="B297" s="1" t="s">
        <v>519</v>
      </c>
      <c r="C297" t="str">
        <f ca="1">IFERROR(__xludf.DUMMYFUNCTION("GOOGLETRANSLATE(B297, ""ja"", ""en"")"),"But")</f>
        <v>But</v>
      </c>
    </row>
    <row r="298" spans="1:3" ht="12.75" x14ac:dyDescent="0.2">
      <c r="A298" s="1" t="s">
        <v>520</v>
      </c>
      <c r="B298" s="1" t="s">
        <v>457</v>
      </c>
      <c r="C298" t="str">
        <f ca="1">IFERROR(__xludf.DUMMYFUNCTION("GOOGLETRANSLATE(B298, ""ja"", ""en"")"),"so")</f>
        <v>so</v>
      </c>
    </row>
    <row r="299" spans="1:3" ht="12.75" x14ac:dyDescent="0.2">
      <c r="A299" s="1" t="s">
        <v>521</v>
      </c>
      <c r="B299" s="1" t="s">
        <v>522</v>
      </c>
      <c r="C299" t="str">
        <f ca="1">IFERROR(__xludf.DUMMYFUNCTION("GOOGLETRANSLATE(B299, ""ja"", ""en"")"),"When")</f>
        <v>When</v>
      </c>
    </row>
    <row r="300" spans="1:3" ht="12.75" x14ac:dyDescent="0.2">
      <c r="A300" s="1" t="s">
        <v>523</v>
      </c>
      <c r="B300" s="1" t="s">
        <v>524</v>
      </c>
      <c r="C300" t="str">
        <f ca="1">IFERROR(__xludf.DUMMYFUNCTION("GOOGLETRANSLATE(B300, ""ja"", ""en"")"),"I")</f>
        <v>I</v>
      </c>
    </row>
    <row r="301" spans="1:3" ht="12.75" x14ac:dyDescent="0.2">
      <c r="A301" s="1" t="s">
        <v>525</v>
      </c>
      <c r="B301" s="1" t="s">
        <v>526</v>
      </c>
      <c r="C301" t="str">
        <f ca="1">IFERROR(__xludf.DUMMYFUNCTION("GOOGLETRANSLATE(B301, ""ja"", ""en"")"),"To")</f>
        <v>To</v>
      </c>
    </row>
    <row r="302" spans="1:3" ht="12.75" x14ac:dyDescent="0.2">
      <c r="A302" s="1" t="s">
        <v>527</v>
      </c>
      <c r="B302" s="1" t="s">
        <v>528</v>
      </c>
      <c r="C302" t="str">
        <f ca="1">IFERROR(__xludf.DUMMYFUNCTION("GOOGLETRANSLATE(B302, ""ja"", ""en"")"),"of")</f>
        <v>of</v>
      </c>
    </row>
    <row r="303" spans="1:3" ht="12.75" x14ac:dyDescent="0.2">
      <c r="A303" s="1" t="s">
        <v>529</v>
      </c>
      <c r="B303" s="1" t="s">
        <v>530</v>
      </c>
      <c r="C303" t="str">
        <f ca="1">IFERROR(__xludf.DUMMYFUNCTION("GOOGLETRANSLATE(B303, ""ja"", ""en"")"),"It is")</f>
        <v>It is</v>
      </c>
    </row>
    <row r="304" spans="1:3" ht="12.75" x14ac:dyDescent="0.2">
      <c r="A304" s="1" t="s">
        <v>531</v>
      </c>
      <c r="B304" s="1" t="s">
        <v>532</v>
      </c>
      <c r="C304" t="str">
        <f ca="1">IFERROR(__xludf.DUMMYFUNCTION("GOOGLETRANSLATE(B304, ""ja"", ""en"")"),"What")</f>
        <v>What</v>
      </c>
    </row>
    <row r="305" spans="1:3" ht="12.75" x14ac:dyDescent="0.2">
      <c r="A305" s="1" t="s">
        <v>533</v>
      </c>
      <c r="B305" s="1" t="s">
        <v>468</v>
      </c>
      <c r="C305" t="str">
        <f ca="1">IFERROR(__xludf.DUMMYFUNCTION("GOOGLETRANSLATE(B305, ""ja"", ""en"")"),"Also")</f>
        <v>Also</v>
      </c>
    </row>
    <row r="306" spans="1:3" ht="12.75" x14ac:dyDescent="0.2">
      <c r="A306" s="1" t="s">
        <v>534</v>
      </c>
      <c r="B306" s="1" t="s">
        <v>535</v>
      </c>
      <c r="C306" t="str">
        <f ca="1">IFERROR(__xludf.DUMMYFUNCTION("GOOGLETRANSLATE(B306, ""ja"", ""en"")"),"Ya")</f>
        <v>Ya</v>
      </c>
    </row>
    <row r="307" spans="1:3" ht="12.75" x14ac:dyDescent="0.2">
      <c r="A307" s="1" t="s">
        <v>536</v>
      </c>
      <c r="B307" s="1" t="s">
        <v>537</v>
      </c>
      <c r="C307" t="str">
        <f ca="1">IFERROR(__xludf.DUMMYFUNCTION("GOOGLETRANSLATE(B307, ""ja"", ""en"")"),"The")</f>
        <v>The</v>
      </c>
    </row>
    <row r="308" spans="1:3" ht="12.75" x14ac:dyDescent="0.2">
      <c r="A308" s="1" t="s">
        <v>538</v>
      </c>
      <c r="B308" s="1" t="s">
        <v>539</v>
      </c>
      <c r="C308" t="str">
        <f ca="1">IFERROR(__xludf.DUMMYFUNCTION("GOOGLETRANSLATE(B308, ""ja"", ""en"")"),"set")</f>
        <v>set</v>
      </c>
    </row>
    <row r="309" spans="1:3" ht="12.75" x14ac:dyDescent="0.2">
      <c r="A309" s="1" t="s">
        <v>540</v>
      </c>
      <c r="B309" s="1" t="s">
        <v>541</v>
      </c>
      <c r="C309" t="str">
        <f ca="1">IFERROR(__xludf.DUMMYFUNCTION("GOOGLETRANSLATE(B309, ""ja"", ""en"")"),"Wind")</f>
        <v>Wind</v>
      </c>
    </row>
    <row r="310" spans="1:3" ht="12.75" x14ac:dyDescent="0.2">
      <c r="A310" s="1" t="s">
        <v>542</v>
      </c>
      <c r="B310" s="1" t="s">
        <v>543</v>
      </c>
      <c r="C310" t="str">
        <f ca="1">IFERROR(__xludf.DUMMYFUNCTION("GOOGLETRANSLATE(B310, ""ja"", ""en"")"),"Flow")</f>
        <v>Flow</v>
      </c>
    </row>
    <row r="311" spans="1:3" ht="12.75" x14ac:dyDescent="0.2">
      <c r="A311" s="1" t="s">
        <v>544</v>
      </c>
      <c r="B311" s="1" t="s">
        <v>545</v>
      </c>
      <c r="C311" t="str">
        <f ca="1">IFERROR(__xludf.DUMMYFUNCTION("GOOGLETRANSLATE(B311, ""ja"", ""en"")"),"poker")</f>
        <v>poker</v>
      </c>
    </row>
    <row r="312" spans="1:3" ht="12.75" x14ac:dyDescent="0.2">
      <c r="A312" s="1" t="s">
        <v>546</v>
      </c>
      <c r="B312" s="1" t="s">
        <v>547</v>
      </c>
      <c r="C312" t="str">
        <f ca="1">IFERROR(__xludf.DUMMYFUNCTION("GOOGLETRANSLATE(B312, ""ja"", ""en"")"),"Foreign country")</f>
        <v>Foreign country</v>
      </c>
    </row>
    <row r="313" spans="1:3" ht="12.75" x14ac:dyDescent="0.2">
      <c r="A313" s="1" t="s">
        <v>548</v>
      </c>
      <c r="B313" s="1" t="s">
        <v>549</v>
      </c>
      <c r="C313" t="str">
        <f ca="1">IFERROR(__xludf.DUMMYFUNCTION("GOOGLETRANSLATE(B313, ""ja"", ""en"")"),"Bluff")</f>
        <v>Bluff</v>
      </c>
    </row>
    <row r="314" spans="1:3" ht="12.75" x14ac:dyDescent="0.2">
      <c r="A314" s="1" t="s">
        <v>550</v>
      </c>
      <c r="B314" s="1" t="s">
        <v>551</v>
      </c>
      <c r="C314" t="str">
        <f ca="1">IFERROR(__xludf.DUMMYFUNCTION("GOOGLETRANSLATE(B314, ""ja"", ""en"")"),"club")</f>
        <v>club</v>
      </c>
    </row>
    <row r="315" spans="1:3" ht="12.75" x14ac:dyDescent="0.2">
      <c r="A315" s="1" t="s">
        <v>552</v>
      </c>
      <c r="B315" s="1" t="s">
        <v>553</v>
      </c>
      <c r="C315" t="str">
        <f ca="1">IFERROR(__xludf.DUMMYFUNCTION("GOOGLETRANSLATE(B315, ""ja"", ""en"")"),"Diamond")</f>
        <v>Diamond</v>
      </c>
    </row>
    <row r="316" spans="1:3" ht="12.75" x14ac:dyDescent="0.2">
      <c r="A316" s="1" t="s">
        <v>554</v>
      </c>
      <c r="B316" s="1" t="s">
        <v>555</v>
      </c>
      <c r="C316" t="str">
        <f ca="1">IFERROR(__xludf.DUMMYFUNCTION("GOOGLETRANSLATE(B316, ""ja"", ""en"")"),"spade")</f>
        <v>spade</v>
      </c>
    </row>
    <row r="317" spans="1:3" ht="12.75" x14ac:dyDescent="0.2">
      <c r="A317" s="1" t="s">
        <v>556</v>
      </c>
      <c r="B317" s="1" t="s">
        <v>557</v>
      </c>
      <c r="C317" t="str">
        <f ca="1">IFERROR(__xludf.DUMMYFUNCTION("GOOGLETRANSLATE(B317, ""ja"", ""en"")"),"heart")</f>
        <v>heart</v>
      </c>
    </row>
    <row r="318" spans="1:3" ht="12.75" x14ac:dyDescent="0.2">
      <c r="A318" s="1" t="s">
        <v>558</v>
      </c>
      <c r="B318" s="1" t="s">
        <v>559</v>
      </c>
      <c r="C318" t="str">
        <f ca="1">IFERROR(__xludf.DUMMYFUNCTION("GOOGLETRANSLATE(B318, ""ja"", ""en"")"),"Nopea")</f>
        <v>Nopea</v>
      </c>
    </row>
    <row r="319" spans="1:3" ht="12.75" x14ac:dyDescent="0.2">
      <c r="A319" s="1" t="s">
        <v>560</v>
      </c>
      <c r="B319" s="1" t="s">
        <v>561</v>
      </c>
      <c r="C319" t="str">
        <f ca="1">IFERROR(__xludf.DUMMYFUNCTION("GOOGLETRANSLATE(B319, ""ja"", ""en"")"),"One pair")</f>
        <v>One pair</v>
      </c>
    </row>
    <row r="320" spans="1:3" ht="12.75" x14ac:dyDescent="0.2">
      <c r="A320" s="1" t="s">
        <v>562</v>
      </c>
      <c r="B320" s="1" t="s">
        <v>563</v>
      </c>
      <c r="C320" t="str">
        <f ca="1">IFERROR(__xludf.DUMMYFUNCTION("GOOGLETRANSLATE(B320, ""ja"", ""en"")"),"Two Pairs")</f>
        <v>Two Pairs</v>
      </c>
    </row>
    <row r="321" spans="1:3" ht="12.75" x14ac:dyDescent="0.2">
      <c r="A321" s="1" t="s">
        <v>564</v>
      </c>
      <c r="B321" s="1" t="s">
        <v>565</v>
      </c>
      <c r="C321" t="str">
        <f ca="1">IFERROR(__xludf.DUMMYFUNCTION("GOOGLETRANSLATE(B321, ""ja"", ""en"")"),"3 card")</f>
        <v>3 card</v>
      </c>
    </row>
    <row r="322" spans="1:3" ht="12.75" x14ac:dyDescent="0.2">
      <c r="A322" s="1" t="s">
        <v>566</v>
      </c>
      <c r="B322" s="1" t="s">
        <v>567</v>
      </c>
      <c r="C322" t="str">
        <f ca="1">IFERROR(__xludf.DUMMYFUNCTION("GOOGLETRANSLATE(B322, ""ja"", ""en"")"),"straight")</f>
        <v>straight</v>
      </c>
    </row>
    <row r="323" spans="1:3" ht="12.75" x14ac:dyDescent="0.2">
      <c r="A323" s="1" t="s">
        <v>568</v>
      </c>
      <c r="B323" s="1" t="s">
        <v>569</v>
      </c>
      <c r="C323" t="str">
        <f ca="1">IFERROR(__xludf.DUMMYFUNCTION("GOOGLETRANSLATE(B323, ""ja"", ""en"")"),"flash")</f>
        <v>flash</v>
      </c>
    </row>
    <row r="324" spans="1:3" ht="12.75" x14ac:dyDescent="0.2">
      <c r="A324" s="1" t="s">
        <v>570</v>
      </c>
      <c r="B324" s="1" t="s">
        <v>571</v>
      </c>
      <c r="C324" t="str">
        <f ca="1">IFERROR(__xludf.DUMMYFUNCTION("GOOGLETRANSLATE(B324, ""ja"", ""en"")"),"Full house")</f>
        <v>Full house</v>
      </c>
    </row>
    <row r="325" spans="1:3" ht="12.75" x14ac:dyDescent="0.2">
      <c r="A325" s="1" t="s">
        <v>572</v>
      </c>
      <c r="B325" s="1" t="s">
        <v>573</v>
      </c>
      <c r="C325" t="str">
        <f ca="1">IFERROR(__xludf.DUMMYFUNCTION("GOOGLETRANSLATE(B325, ""ja"", ""en"")"),"4 card")</f>
        <v>4 card</v>
      </c>
    </row>
    <row r="326" spans="1:3" ht="12.75" x14ac:dyDescent="0.2">
      <c r="A326" s="1" t="s">
        <v>574</v>
      </c>
      <c r="B326" s="1" t="s">
        <v>575</v>
      </c>
      <c r="C326" t="str">
        <f ca="1">IFERROR(__xludf.DUMMYFUNCTION("GOOGLETRANSLATE(B326, ""ja"", ""en"")"),"Royal")</f>
        <v>Royal</v>
      </c>
    </row>
    <row r="327" spans="1:3" ht="12.75" x14ac:dyDescent="0.2">
      <c r="A327" s="1" t="s">
        <v>576</v>
      </c>
      <c r="B327" s="1" t="s">
        <v>577</v>
      </c>
      <c r="C327" t="str">
        <f ca="1">IFERROR(__xludf.DUMMYFUNCTION("GOOGLETRANSLATE(B327, ""ja"", ""en"")"),"pawn")</f>
        <v>pawn</v>
      </c>
    </row>
    <row r="328" spans="1:3" ht="12.75" x14ac:dyDescent="0.2">
      <c r="A328" s="1" t="s">
        <v>578</v>
      </c>
      <c r="B328" s="1" t="s">
        <v>579</v>
      </c>
      <c r="C328" t="str">
        <f ca="1">IFERROR(__xludf.DUMMYFUNCTION("GOOGLETRANSLATE(B328, ""ja"", ""en"")"),"Night")</f>
        <v>Night</v>
      </c>
    </row>
    <row r="329" spans="1:3" ht="12.75" x14ac:dyDescent="0.2">
      <c r="A329" s="1" t="s">
        <v>580</v>
      </c>
      <c r="B329" s="1" t="s">
        <v>581</v>
      </c>
      <c r="C329" t="str">
        <f ca="1">IFERROR(__xludf.DUMMYFUNCTION("GOOGLETRANSLATE(B329, ""ja"", ""en"")"),"Bishop")</f>
        <v>Bishop</v>
      </c>
    </row>
    <row r="330" spans="1:3" ht="12.75" x14ac:dyDescent="0.2">
      <c r="A330" s="1" t="s">
        <v>582</v>
      </c>
      <c r="B330" s="1" t="s">
        <v>583</v>
      </c>
      <c r="C330" t="str">
        <f ca="1">IFERROR(__xludf.DUMMYFUNCTION("GOOGLETRANSLATE(B330, ""ja"", ""en"")"),"Luke")</f>
        <v>Luke</v>
      </c>
    </row>
    <row r="331" spans="1:3" ht="12.75" x14ac:dyDescent="0.2">
      <c r="A331" s="1" t="s">
        <v>584</v>
      </c>
      <c r="B331" s="1" t="s">
        <v>585</v>
      </c>
      <c r="C331" t="str">
        <f ca="1">IFERROR(__xludf.DUMMYFUNCTION("GOOGLETRANSLATE(B331, ""ja"", ""en"")"),"Jack")</f>
        <v>Jack</v>
      </c>
    </row>
    <row r="332" spans="1:3" ht="12.75" x14ac:dyDescent="0.2">
      <c r="A332" s="1" t="s">
        <v>586</v>
      </c>
      <c r="B332" s="1" t="s">
        <v>587</v>
      </c>
      <c r="C332" t="str">
        <f ca="1">IFERROR(__xludf.DUMMYFUNCTION("GOOGLETRANSLATE(B332, ""ja"", ""en"")"),"Queen")</f>
        <v>Queen</v>
      </c>
    </row>
    <row r="333" spans="1:3" ht="12.75" x14ac:dyDescent="0.2">
      <c r="A333" s="1" t="s">
        <v>588</v>
      </c>
      <c r="B333" s="1" t="s">
        <v>589</v>
      </c>
      <c r="C333" t="str">
        <f ca="1">IFERROR(__xludf.DUMMYFUNCTION("GOOGLETRANSLATE(B333, ""ja"", ""en"")"),"King")</f>
        <v>King</v>
      </c>
    </row>
    <row r="334" spans="1:3" ht="12.75" x14ac:dyDescent="0.2">
      <c r="A334" s="1" t="s">
        <v>590</v>
      </c>
      <c r="B334" s="1" t="s">
        <v>591</v>
      </c>
      <c r="C334" t="str">
        <f ca="1">IFERROR(__xludf.DUMMYFUNCTION("GOOGLETRANSLATE(B334, ""ja"", ""en"")"),"Ace")</f>
        <v>Ace</v>
      </c>
    </row>
    <row r="335" spans="1:3" ht="12.75" x14ac:dyDescent="0.2">
      <c r="A335" s="1" t="s">
        <v>592</v>
      </c>
      <c r="B335" s="1" t="s">
        <v>593</v>
      </c>
      <c r="C335" t="str">
        <f ca="1">IFERROR(__xludf.DUMMYFUNCTION("GOOGLETRANSLATE(B335, ""ja"", ""en"")"),"The Joker")</f>
        <v>The Joker</v>
      </c>
    </row>
    <row r="336" spans="1:3" ht="12.75" x14ac:dyDescent="0.2">
      <c r="A336" s="1" t="s">
        <v>594</v>
      </c>
      <c r="B336" s="1" t="s">
        <v>595</v>
      </c>
      <c r="C336" t="str">
        <f ca="1">IFERROR(__xludf.DUMMYFUNCTION("GOOGLETRANSLATE(B336, ""ja"", ""en"")"),"Poker King")</f>
        <v>Poker King</v>
      </c>
    </row>
    <row r="337" spans="1:3" ht="12.75" x14ac:dyDescent="0.2">
      <c r="A337" s="1" t="s">
        <v>596</v>
      </c>
      <c r="B337" s="1" t="s">
        <v>597</v>
      </c>
      <c r="C337" t="str">
        <f ca="1">IFERROR(__xludf.DUMMYFUNCTION("GOOGLETRANSLATE(B337, ""ja"", ""en"")"),"Mah-jongg")</f>
        <v>Mah-jongg</v>
      </c>
    </row>
    <row r="338" spans="1:3" ht="12.75" x14ac:dyDescent="0.2">
      <c r="A338" s="1" t="s">
        <v>598</v>
      </c>
      <c r="B338" s="1" t="s">
        <v>599</v>
      </c>
      <c r="C338" t="str">
        <f ca="1">IFERROR(__xludf.DUMMYFUNCTION("GOOGLETRANSLATE(B338, ""ja"", ""en"")"),"east")</f>
        <v>east</v>
      </c>
    </row>
    <row r="339" spans="1:3" ht="12.75" x14ac:dyDescent="0.2">
      <c r="A339" s="1" t="s">
        <v>600</v>
      </c>
      <c r="B339" s="1" t="s">
        <v>601</v>
      </c>
      <c r="C339" t="str">
        <f ca="1">IFERROR(__xludf.DUMMYFUNCTION("GOOGLETRANSLATE(B339, ""ja"", ""en"")"),"West")</f>
        <v>West</v>
      </c>
    </row>
    <row r="340" spans="1:3" ht="12.75" x14ac:dyDescent="0.2">
      <c r="A340" s="1" t="s">
        <v>602</v>
      </c>
      <c r="B340" s="1" t="s">
        <v>603</v>
      </c>
      <c r="C340" t="str">
        <f ca="1">IFERROR(__xludf.DUMMYFUNCTION("GOOGLETRANSLATE(B340, ""ja"", ""en"")"),"North")</f>
        <v>North</v>
      </c>
    </row>
    <row r="341" spans="1:3" ht="12.75" x14ac:dyDescent="0.2">
      <c r="A341" s="1" t="s">
        <v>604</v>
      </c>
      <c r="B341" s="1" t="s">
        <v>605</v>
      </c>
      <c r="C341" t="str">
        <f ca="1">IFERROR(__xludf.DUMMYFUNCTION("GOOGLETRANSLATE(B341, ""ja"", ""en"")"),"Qi")</f>
        <v>Qi</v>
      </c>
    </row>
    <row r="342" spans="1:3" ht="12.75" x14ac:dyDescent="0.2">
      <c r="A342" s="1" t="s">
        <v>606</v>
      </c>
      <c r="B342" s="1" t="s">
        <v>607</v>
      </c>
      <c r="C342" t="str">
        <f ca="1">IFERROR(__xludf.DUMMYFUNCTION("GOOGLETRANSLATE(B342, ""ja"", ""en"")"),"Pont")</f>
        <v>Pont</v>
      </c>
    </row>
    <row r="343" spans="1:3" ht="12.75" x14ac:dyDescent="0.2">
      <c r="A343" s="1" t="s">
        <v>608</v>
      </c>
      <c r="B343" s="1" t="s">
        <v>609</v>
      </c>
      <c r="C343" t="str">
        <f ca="1">IFERROR(__xludf.DUMMYFUNCTION("GOOGLETRANSLATE(B343, ""ja"", ""en"")"),"Kang")</f>
        <v>Kang</v>
      </c>
    </row>
    <row r="344" spans="1:3" ht="12.75" x14ac:dyDescent="0.2">
      <c r="A344" s="1" t="s">
        <v>610</v>
      </c>
      <c r="B344" s="1" t="s">
        <v>611</v>
      </c>
      <c r="C344" t="str">
        <f ca="1">IFERROR(__xludf.DUMMYFUNCTION("GOOGLETRANSLATE(B344, ""ja"", ""en"")"),"Man's")</f>
        <v>Man's</v>
      </c>
    </row>
    <row r="345" spans="1:3" ht="12.75" x14ac:dyDescent="0.2">
      <c r="A345" s="1" t="s">
        <v>612</v>
      </c>
      <c r="B345" s="1" t="s">
        <v>613</v>
      </c>
      <c r="C345" t="str">
        <f ca="1">IFERROR(__xludf.DUMMYFUNCTION("GOOGLETRANSLATE(B345, ""ja"", ""en"")"),"Pins")</f>
        <v>Pins</v>
      </c>
    </row>
    <row r="346" spans="1:3" ht="12.75" x14ac:dyDescent="0.2">
      <c r="A346" s="1" t="s">
        <v>614</v>
      </c>
      <c r="B346" s="1" t="s">
        <v>615</v>
      </c>
      <c r="C346" t="str">
        <f ca="1">IFERROR(__xludf.DUMMYFUNCTION("GOOGLETRANSLATE(B346, ""ja"", ""en"")"),"P &amp; ID")</f>
        <v>P &amp; ID</v>
      </c>
    </row>
    <row r="347" spans="1:3" ht="12.75" x14ac:dyDescent="0.2">
      <c r="A347" s="1" t="s">
        <v>616</v>
      </c>
      <c r="B347" s="1" t="s">
        <v>617</v>
      </c>
      <c r="C347" t="str">
        <f ca="1">IFERROR(__xludf.DUMMYFUNCTION("GOOGLETRANSLATE(B347, ""ja"", ""en"")"),"Three-way tiles")</f>
        <v>Three-way tiles</v>
      </c>
    </row>
    <row r="348" spans="1:3" ht="12.75" x14ac:dyDescent="0.2">
      <c r="A348" s="1" t="s">
        <v>618</v>
      </c>
      <c r="B348" s="1" t="s">
        <v>619</v>
      </c>
      <c r="C348" t="str">
        <f ca="1">IFERROR(__xludf.DUMMYFUNCTION("GOOGLETRANSLATE(B348, ""ja"", ""en"")"),"Yonkazepai")</f>
        <v>Yonkazepai</v>
      </c>
    </row>
    <row r="349" spans="1:3" ht="12.75" x14ac:dyDescent="0.2">
      <c r="A349" s="1" t="s">
        <v>620</v>
      </c>
      <c r="B349" s="1" t="s">
        <v>621</v>
      </c>
      <c r="C349" t="str">
        <f ca="1">IFERROR(__xludf.DUMMYFUNCTION("GOOGLETRANSLATE(B349, ""ja"", ""en"")"),"reach")</f>
        <v>reach</v>
      </c>
    </row>
    <row r="350" spans="1:3" ht="12.75" x14ac:dyDescent="0.2">
      <c r="A350" s="1" t="s">
        <v>622</v>
      </c>
      <c r="B350" s="1" t="s">
        <v>623</v>
      </c>
      <c r="C350" t="str">
        <f ca="1">IFERROR(__xludf.DUMMYFUNCTION("GOOGLETRANSLATE(B350, ""ja"", ""en"")"),"Tsumo")</f>
        <v>Tsumo</v>
      </c>
    </row>
    <row r="351" spans="1:3" ht="12.75" x14ac:dyDescent="0.2">
      <c r="A351" s="1" t="s">
        <v>624</v>
      </c>
      <c r="B351" s="1" t="s">
        <v>625</v>
      </c>
      <c r="C351" t="str">
        <f ca="1">IFERROR(__xludf.DUMMYFUNCTION("GOOGLETRANSLATE(B351, ""ja"", ""en"")"),"Ron")</f>
        <v>Ron</v>
      </c>
    </row>
    <row r="352" spans="1:3" ht="12.75" x14ac:dyDescent="0.2">
      <c r="A352" s="1" t="s">
        <v>626</v>
      </c>
      <c r="B352" s="1" t="s">
        <v>627</v>
      </c>
      <c r="C352" t="str">
        <f ca="1">IFERROR(__xludf.DUMMYFUNCTION("GOOGLETRANSLATE(B352, ""ja"", ""en"")"),"The strong")</f>
        <v>The strong</v>
      </c>
    </row>
    <row r="353" spans="1:3" ht="12.75" x14ac:dyDescent="0.2">
      <c r="A353" s="1" t="s">
        <v>628</v>
      </c>
      <c r="B353" s="1" t="s">
        <v>629</v>
      </c>
      <c r="C353" t="str">
        <f ca="1">IFERROR(__xludf.DUMMYFUNCTION("GOOGLETRANSLATE(B353, ""ja"", ""en"")"),"King")</f>
        <v>King</v>
      </c>
    </row>
    <row r="354" spans="1:3" ht="12.75" x14ac:dyDescent="0.2">
      <c r="A354" s="1" t="s">
        <v>630</v>
      </c>
      <c r="B354" s="1" t="s">
        <v>631</v>
      </c>
      <c r="C354" t="str">
        <f ca="1">IFERROR(__xludf.DUMMYFUNCTION("GOOGLETRANSLATE(B354, ""ja"", ""en"")"),"Champion")</f>
        <v>Champion</v>
      </c>
    </row>
    <row r="355" spans="1:3" ht="12.75" x14ac:dyDescent="0.2">
      <c r="A355" s="1" t="s">
        <v>632</v>
      </c>
      <c r="B355" s="1" t="s">
        <v>633</v>
      </c>
      <c r="C355" t="str">
        <f ca="1">IFERROR(__xludf.DUMMYFUNCTION("GOOGLETRANSLATE(B355, ""ja"", ""en"")"),"Emperor")</f>
        <v>Emperor</v>
      </c>
    </row>
    <row r="356" spans="1:3" ht="12.75" x14ac:dyDescent="0.2">
      <c r="A356" s="1" t="s">
        <v>634</v>
      </c>
      <c r="B356" s="1" t="s">
        <v>635</v>
      </c>
      <c r="C356" t="str">
        <f ca="1">IFERROR(__xludf.DUMMYFUNCTION("GOOGLETRANSLATE(B356, ""ja"", ""en"")"),"Overlord")</f>
        <v>Overlord</v>
      </c>
    </row>
    <row r="357" spans="1:3" ht="12.75" x14ac:dyDescent="0.2">
      <c r="A357" s="1" t="s">
        <v>636</v>
      </c>
      <c r="B357" s="1" t="s">
        <v>637</v>
      </c>
      <c r="C357" t="str">
        <f ca="1">IFERROR(__xludf.DUMMYFUNCTION("GOOGLETRANSLATE(B357, ""ja"", ""en"")"),"Suzumeokami")</f>
        <v>Suzumeokami</v>
      </c>
    </row>
    <row r="358" spans="1:3" ht="12.75" x14ac:dyDescent="0.2">
      <c r="A358" s="1" t="s">
        <v>638</v>
      </c>
      <c r="B358" s="1" t="s">
        <v>639</v>
      </c>
      <c r="C358" t="str">
        <f ca="1">IFERROR(__xludf.DUMMYFUNCTION("GOOGLETRANSLATE(B358, ""ja"", ""en"")"),"Suzumesho")</f>
        <v>Suzumesho</v>
      </c>
    </row>
    <row r="359" spans="1:3" ht="12.75" x14ac:dyDescent="0.2">
      <c r="A359" s="1" t="s">
        <v>640</v>
      </c>
      <c r="B359" s="1" t="s">
        <v>641</v>
      </c>
      <c r="C359" t="str">
        <f ca="1">IFERROR(__xludf.DUMMYFUNCTION("GOOGLETRANSLATE(B359, ""ja"", ""en"")"),"Suzumeo")</f>
        <v>Suzumeo</v>
      </c>
    </row>
    <row r="360" spans="1:3" ht="12.75" x14ac:dyDescent="0.2">
      <c r="A360" s="1" t="s">
        <v>642</v>
      </c>
      <c r="B360" s="1" t="s">
        <v>643</v>
      </c>
      <c r="C360" t="str">
        <f ca="1">IFERROR(__xludf.DUMMYFUNCTION("GOOGLETRANSLATE(B360, ""ja"", ""en"")"),"Sparrow dragon")</f>
        <v>Sparrow dragon</v>
      </c>
    </row>
    <row r="361" spans="1:3" ht="12.75" x14ac:dyDescent="0.2">
      <c r="A361" s="1" t="s">
        <v>644</v>
      </c>
      <c r="B361" s="1" t="s">
        <v>645</v>
      </c>
      <c r="C361" t="str">
        <f ca="1">IFERROR(__xludf.DUMMYFUNCTION("GOOGLETRANSLATE(B361, ""ja"", ""en"")"),"Sparrow God")</f>
        <v>Sparrow God</v>
      </c>
    </row>
    <row r="362" spans="1:3" ht="12.75" x14ac:dyDescent="0.2">
      <c r="A362" s="1" t="s">
        <v>646</v>
      </c>
      <c r="B362" s="1" t="s">
        <v>647</v>
      </c>
      <c r="C362" t="str">
        <f ca="1">IFERROR(__xludf.DUMMYFUNCTION("GOOGLETRANSLATE(B362, ""ja"", ""en"")"),"Koi-Koi")</f>
        <v>Koi-Koi</v>
      </c>
    </row>
    <row r="363" spans="1:3" ht="12.75" x14ac:dyDescent="0.2">
      <c r="A363" s="1" t="s">
        <v>648</v>
      </c>
      <c r="B363" s="1" t="s">
        <v>649</v>
      </c>
      <c r="C363" t="str">
        <f ca="1">IFERROR(__xludf.DUMMYFUNCTION("GOOGLETRANSLATE(B363, ""ja"", ""en"")"),"Floral playing cards")</f>
        <v>Floral playing cards</v>
      </c>
    </row>
    <row r="364" spans="1:3" ht="12.75" x14ac:dyDescent="0.2">
      <c r="A364" s="1" t="s">
        <v>650</v>
      </c>
      <c r="B364" s="1" t="s">
        <v>651</v>
      </c>
      <c r="C364" t="str">
        <f ca="1">IFERROR(__xludf.DUMMYFUNCTION("GOOGLETRANSLATE(B364, ""ja"", ""en"")"),"Lend")</f>
        <v>Lend</v>
      </c>
    </row>
    <row r="365" spans="1:3" ht="12.75" x14ac:dyDescent="0.2">
      <c r="A365" s="1" t="s">
        <v>652</v>
      </c>
      <c r="B365" s="1" t="s">
        <v>653</v>
      </c>
      <c r="C365" t="str">
        <f ca="1">IFERROR(__xludf.DUMMYFUNCTION("GOOGLETRANSLATE(B365, ""ja"", ""en"")"),"Tan")</f>
        <v>Tan</v>
      </c>
    </row>
    <row r="366" spans="1:3" ht="12.75" x14ac:dyDescent="0.2">
      <c r="A366" s="1" t="s">
        <v>654</v>
      </c>
      <c r="B366" s="1" t="s">
        <v>655</v>
      </c>
      <c r="C366" t="str">
        <f ca="1">IFERROR(__xludf.DUMMYFUNCTION("GOOGLETRANSLATE(B366, ""ja"", ""en"")"),"Tane")</f>
        <v>Tane</v>
      </c>
    </row>
    <row r="367" spans="1:3" ht="12.75" x14ac:dyDescent="0.2">
      <c r="A367" s="1" t="s">
        <v>656</v>
      </c>
      <c r="B367" s="1" t="s">
        <v>657</v>
      </c>
      <c r="C367" t="str">
        <f ca="1">IFERROR(__xludf.DUMMYFUNCTION("GOOGLETRANSLATE(B367, ""ja"", ""en"")"),"Hanami wine")</f>
        <v>Hanami wine</v>
      </c>
    </row>
    <row r="368" spans="1:3" ht="12.75" x14ac:dyDescent="0.2">
      <c r="A368" s="1" t="s">
        <v>658</v>
      </c>
      <c r="B368" s="1" t="s">
        <v>659</v>
      </c>
      <c r="C368" t="str">
        <f ca="1">IFERROR(__xludf.DUMMYFUNCTION("GOOGLETRANSLATE(B368, ""ja"", ""en"")"),"Tsukimi Sake")</f>
        <v>Tsukimi Sake</v>
      </c>
    </row>
    <row r="369" spans="1:3" ht="12.75" x14ac:dyDescent="0.2">
      <c r="A369" s="1" t="s">
        <v>660</v>
      </c>
      <c r="B369" s="1" t="s">
        <v>661</v>
      </c>
      <c r="C369" t="str">
        <f ca="1">IFERROR(__xludf.DUMMYFUNCTION("GOOGLETRANSLATE(B369, ""ja"", ""en"")"),"Blue short")</f>
        <v>Blue short</v>
      </c>
    </row>
    <row r="370" spans="1:3" ht="12.75" x14ac:dyDescent="0.2">
      <c r="A370" s="1" t="s">
        <v>662</v>
      </c>
      <c r="B370" s="1" t="s">
        <v>663</v>
      </c>
      <c r="C370" t="str">
        <f ca="1">IFERROR(__xludf.DUMMYFUNCTION("GOOGLETRANSLATE(B370, ""ja"", ""en"")"),"Akatan")</f>
        <v>Akatan</v>
      </c>
    </row>
    <row r="371" spans="1:3" ht="12.75" x14ac:dyDescent="0.2">
      <c r="A371" s="1" t="s">
        <v>664</v>
      </c>
      <c r="B371" s="1" t="s">
        <v>665</v>
      </c>
      <c r="C371" t="str">
        <f ca="1">IFERROR(__xludf.DUMMYFUNCTION("GOOGLETRANSLATE(B371, ""ja"", ""en"")"),"Inoshikacho")</f>
        <v>Inoshikacho</v>
      </c>
    </row>
    <row r="372" spans="1:3" ht="12.75" x14ac:dyDescent="0.2">
      <c r="A372" s="1" t="s">
        <v>666</v>
      </c>
      <c r="B372" s="1" t="s">
        <v>667</v>
      </c>
      <c r="C372" t="str">
        <f ca="1">IFERROR(__xludf.DUMMYFUNCTION("GOOGLETRANSLATE(B372, ""ja"", ""en"")"),"Sanko")</f>
        <v>Sanko</v>
      </c>
    </row>
    <row r="373" spans="1:3" ht="12.75" x14ac:dyDescent="0.2">
      <c r="A373" s="1" t="s">
        <v>668</v>
      </c>
      <c r="B373" s="1" t="s">
        <v>669</v>
      </c>
      <c r="C373" t="str">
        <f ca="1">IFERROR(__xludf.DUMMYFUNCTION("GOOGLETRANSLATE(B373, ""ja"", ""en"")"),"With food")</f>
        <v>With food</v>
      </c>
    </row>
    <row r="374" spans="1:3" ht="12.75" x14ac:dyDescent="0.2">
      <c r="A374" s="1" t="s">
        <v>670</v>
      </c>
      <c r="B374" s="1" t="s">
        <v>671</v>
      </c>
      <c r="C374" t="str">
        <f ca="1">IFERROR(__xludf.DUMMYFUNCTION("GOOGLETRANSLATE(B374, ""ja"", ""en"")"),"Hand four")</f>
        <v>Hand four</v>
      </c>
    </row>
    <row r="375" spans="1:3" ht="12.75" x14ac:dyDescent="0.2">
      <c r="A375" s="1" t="s">
        <v>672</v>
      </c>
      <c r="B375" s="1" t="s">
        <v>673</v>
      </c>
      <c r="C375" t="str">
        <f ca="1">IFERROR(__xludf.DUMMYFUNCTION("GOOGLETRANSLATE(B375, ""ja"", ""en"")"),"Rain four light")</f>
        <v>Rain four light</v>
      </c>
    </row>
    <row r="376" spans="1:3" ht="12.75" x14ac:dyDescent="0.2">
      <c r="A376" s="1" t="s">
        <v>674</v>
      </c>
      <c r="B376" s="1" t="s">
        <v>675</v>
      </c>
      <c r="C376" t="str">
        <f ca="1">IFERROR(__xludf.DUMMYFUNCTION("GOOGLETRANSLATE(B376, ""ja"", ""en"")"),"Four light")</f>
        <v>Four light</v>
      </c>
    </row>
    <row r="377" spans="1:3" ht="12.75" x14ac:dyDescent="0.2">
      <c r="A377" s="1" t="s">
        <v>676</v>
      </c>
      <c r="B377" s="1" t="s">
        <v>677</v>
      </c>
      <c r="C377" t="str">
        <f ca="1">IFERROR(__xludf.DUMMYFUNCTION("GOOGLETRANSLATE(B377, ""ja"", ""en"")"),"Five light")</f>
        <v>Five light</v>
      </c>
    </row>
    <row r="378" spans="1:3" ht="12.75" x14ac:dyDescent="0.2">
      <c r="A378" s="1" t="s">
        <v>678</v>
      </c>
      <c r="B378" s="1" t="s">
        <v>679</v>
      </c>
      <c r="C378" t="str">
        <f ca="1">IFERROR(__xludf.DUMMYFUNCTION("GOOGLETRANSLATE(B378, ""ja"", ""en"")"),"Just the beginning")</f>
        <v>Just the beginning</v>
      </c>
    </row>
    <row r="379" spans="1:3" ht="12.75" x14ac:dyDescent="0.2">
      <c r="A379" s="1" t="s">
        <v>680</v>
      </c>
      <c r="B379" s="1" t="s">
        <v>681</v>
      </c>
      <c r="C379" t="str">
        <f ca="1">IFERROR(__xludf.DUMMYFUNCTION("GOOGLETRANSLATE(B379, ""ja"", ""en"")"),"Introduction two-stage")</f>
        <v>Introduction two-stage</v>
      </c>
    </row>
    <row r="380" spans="1:3" ht="12.75" x14ac:dyDescent="0.2">
      <c r="A380" s="1" t="s">
        <v>682</v>
      </c>
      <c r="B380" s="1" t="s">
        <v>683</v>
      </c>
      <c r="C380" t="str">
        <f ca="1">IFERROR(__xludf.DUMMYFUNCTION("GOOGLETRANSLATE(B380, ""ja"", ""en"")"),"The third stage")</f>
        <v>The third stage</v>
      </c>
    </row>
    <row r="381" spans="1:3" ht="12.75" x14ac:dyDescent="0.2">
      <c r="A381" s="1" t="s">
        <v>684</v>
      </c>
      <c r="B381" s="1" t="s">
        <v>685</v>
      </c>
      <c r="C381" t="str">
        <f ca="1">IFERROR(__xludf.DUMMYFUNCTION("GOOGLETRANSLATE(B381, ""ja"", ""en"")"),"Makushita")</f>
        <v>Makushita</v>
      </c>
    </row>
    <row r="382" spans="1:3" ht="12.75" x14ac:dyDescent="0.2">
      <c r="A382" s="1" t="s">
        <v>686</v>
      </c>
      <c r="B382" s="1" t="s">
        <v>687</v>
      </c>
      <c r="C382" t="str">
        <f ca="1">IFERROR(__xludf.DUMMYFUNCTION("GOOGLETRANSLATE(B382, ""ja"", ""en"")"),"Junior grade sumo wrestler")</f>
        <v>Junior grade sumo wrestler</v>
      </c>
    </row>
    <row r="383" spans="1:3" ht="12.75" x14ac:dyDescent="0.2">
      <c r="A383" s="1" t="s">
        <v>688</v>
      </c>
      <c r="B383" s="1" t="s">
        <v>689</v>
      </c>
      <c r="C383" t="str">
        <f ca="1">IFERROR(__xludf.DUMMYFUNCTION("GOOGLETRANSLATE(B383, ""ja"", ""en"")"),"Frontal")</f>
        <v>Frontal</v>
      </c>
    </row>
    <row r="384" spans="1:3" ht="12.75" x14ac:dyDescent="0.2">
      <c r="A384" s="1" t="s">
        <v>690</v>
      </c>
      <c r="B384" s="1" t="s">
        <v>691</v>
      </c>
      <c r="C384" t="str">
        <f ca="1">IFERROR(__xludf.DUMMYFUNCTION("GOOGLETRANSLATE(B384, ""ja"", ""en"")"),"Komusubi")</f>
        <v>Komusubi</v>
      </c>
    </row>
    <row r="385" spans="1:3" ht="12.75" x14ac:dyDescent="0.2">
      <c r="A385" s="1" t="s">
        <v>692</v>
      </c>
      <c r="B385" s="1" t="s">
        <v>693</v>
      </c>
      <c r="C385" t="str">
        <f ca="1">IFERROR(__xludf.DUMMYFUNCTION("GOOGLETRANSLATE(B385, ""ja"", ""en"")"),"Sumo junior champion")</f>
        <v>Sumo junior champion</v>
      </c>
    </row>
    <row r="386" spans="1:3" ht="12.75" x14ac:dyDescent="0.2">
      <c r="A386" s="1" t="s">
        <v>694</v>
      </c>
      <c r="B386" s="1" t="s">
        <v>695</v>
      </c>
      <c r="C386" t="str">
        <f ca="1">IFERROR(__xludf.DUMMYFUNCTION("GOOGLETRANSLATE(B386, ""ja"", ""en"")"),"Ozeki")</f>
        <v>Ozeki</v>
      </c>
    </row>
    <row r="387" spans="1:3" ht="12.75" x14ac:dyDescent="0.2">
      <c r="A387" s="1" t="s">
        <v>696</v>
      </c>
      <c r="B387" s="1" t="s">
        <v>697</v>
      </c>
      <c r="C387" t="str">
        <f ca="1">IFERROR(__xludf.DUMMYFUNCTION("GOOGLETRANSLATE(B387, ""ja"", ""en"")"),"Sumo grand champion")</f>
        <v>Sumo grand champion</v>
      </c>
    </row>
    <row r="388" spans="1:3" ht="12.75" x14ac:dyDescent="0.2">
      <c r="A388" s="1" t="s">
        <v>698</v>
      </c>
      <c r="B388" s="1" t="s">
        <v>699</v>
      </c>
      <c r="C388" t="str">
        <f ca="1">IFERROR(__xludf.DUMMYFUNCTION("GOOGLETRANSLATE(B388, ""ja"", ""en"")"),"Kabufuda")</f>
        <v>Kabufuda</v>
      </c>
    </row>
    <row r="389" spans="1:3" ht="12.75" x14ac:dyDescent="0.2">
      <c r="A389" s="1" t="s">
        <v>700</v>
      </c>
      <c r="B389" s="1" t="s">
        <v>701</v>
      </c>
      <c r="C389" t="str">
        <f ca="1">IFERROR(__xludf.DUMMYFUNCTION("GOOGLETRANSLATE(B389, ""ja"", ""en"")"),"Moss game")</f>
        <v>Moss game</v>
      </c>
    </row>
    <row r="390" spans="1:3" ht="12.75" x14ac:dyDescent="0.2">
      <c r="A390" s="1" t="s">
        <v>702</v>
      </c>
      <c r="B390" s="1" t="s">
        <v>703</v>
      </c>
      <c r="C390" t="str">
        <f ca="1">IFERROR(__xludf.DUMMYFUNCTION("GOOGLETRANSLATE(B390, ""ja"", ""en"")"),"I thought six Paw")</f>
        <v>I thought six Paw</v>
      </c>
    </row>
    <row r="391" spans="1:3" ht="12.75" x14ac:dyDescent="0.2">
      <c r="A391" s="1" t="s">
        <v>704</v>
      </c>
      <c r="B391" s="1" t="s">
        <v>705</v>
      </c>
      <c r="C391" t="str">
        <f ca="1">IFERROR(__xludf.DUMMYFUNCTION("GOOGLETRANSLATE(B391, ""ja"", ""en"")"),"pig")</f>
        <v>pig</v>
      </c>
    </row>
    <row r="392" spans="1:3" ht="12.75" x14ac:dyDescent="0.2">
      <c r="A392" s="1" t="s">
        <v>706</v>
      </c>
      <c r="B392" s="1" t="s">
        <v>707</v>
      </c>
      <c r="C392" t="str">
        <f ca="1">IFERROR(__xludf.DUMMYFUNCTION("GOOGLETRANSLATE(B392, ""ja"", ""en"")"),"pin")</f>
        <v>pin</v>
      </c>
    </row>
    <row r="393" spans="1:3" ht="12.75" x14ac:dyDescent="0.2">
      <c r="A393" s="1" t="s">
        <v>708</v>
      </c>
      <c r="B393" s="1" t="s">
        <v>709</v>
      </c>
      <c r="C393" t="str">
        <f ca="1">IFERROR(__xludf.DUMMYFUNCTION("GOOGLETRANSLATE(B393, ""ja"", ""en"")"),"Nisou")</f>
        <v>Nisou</v>
      </c>
    </row>
    <row r="394" spans="1:3" ht="12.75" x14ac:dyDescent="0.2">
      <c r="A394" s="1" t="s">
        <v>710</v>
      </c>
      <c r="B394" s="1" t="s">
        <v>711</v>
      </c>
      <c r="C394" t="str">
        <f ca="1">IFERROR(__xludf.DUMMYFUNCTION("GOOGLETRANSLATE(B394, ""ja"", ""en"")"),"Santa")</f>
        <v>Santa</v>
      </c>
    </row>
    <row r="395" spans="1:3" ht="12.75" x14ac:dyDescent="0.2">
      <c r="A395" s="1" t="s">
        <v>712</v>
      </c>
      <c r="B395" s="1" t="s">
        <v>713</v>
      </c>
      <c r="C395" t="str">
        <f ca="1">IFERROR(__xludf.DUMMYFUNCTION("GOOGLETRANSLATE(B395, ""ja"", ""en"")"),"Yotsuya")</f>
        <v>Yotsuya</v>
      </c>
    </row>
    <row r="396" spans="1:3" ht="12.75" x14ac:dyDescent="0.2">
      <c r="A396" s="1" t="s">
        <v>714</v>
      </c>
      <c r="B396" s="1" t="s">
        <v>715</v>
      </c>
      <c r="C396" t="str">
        <f ca="1">IFERROR(__xludf.DUMMYFUNCTION("GOOGLETRANSLATE(B396, ""ja"", ""en"")"),"Moss")</f>
        <v>Moss</v>
      </c>
    </row>
    <row r="397" spans="1:3" ht="12.75" x14ac:dyDescent="0.2">
      <c r="A397" s="1" t="s">
        <v>716</v>
      </c>
      <c r="B397" s="1" t="s">
        <v>717</v>
      </c>
      <c r="C397" t="str">
        <f ca="1">IFERROR(__xludf.DUMMYFUNCTION("GOOGLETRANSLATE(B397, ""ja"", ""en"")"),"Six law codes")</f>
        <v>Six law codes</v>
      </c>
    </row>
    <row r="398" spans="1:3" ht="12.75" x14ac:dyDescent="0.2">
      <c r="A398" s="1" t="s">
        <v>718</v>
      </c>
      <c r="B398" s="1" t="s">
        <v>719</v>
      </c>
      <c r="C398" t="str">
        <f ca="1">IFERROR(__xludf.DUMMYFUNCTION("GOOGLETRANSLATE(B398, ""ja"", ""en"")"),"Naki")</f>
        <v>Naki</v>
      </c>
    </row>
    <row r="399" spans="1:3" ht="12.75" x14ac:dyDescent="0.2">
      <c r="A399" s="1" t="s">
        <v>720</v>
      </c>
      <c r="B399" s="1" t="s">
        <v>721</v>
      </c>
      <c r="C399" t="str">
        <f ca="1">IFERROR(__xludf.DUMMYFUNCTION("GOOGLETRANSLATE(B399, ""ja"", ""en"")"),"Oicho")</f>
        <v>Oicho</v>
      </c>
    </row>
    <row r="400" spans="1:3" ht="12.75" x14ac:dyDescent="0.2">
      <c r="A400" s="1" t="s">
        <v>722</v>
      </c>
      <c r="B400" s="1" t="s">
        <v>723</v>
      </c>
      <c r="C400" t="str">
        <f ca="1">IFERROR(__xludf.DUMMYFUNCTION("GOOGLETRANSLATE(B400, ""ja"", ""en"")"),"Cub")</f>
        <v>Cub</v>
      </c>
    </row>
    <row r="401" spans="1:3" ht="12.75" x14ac:dyDescent="0.2">
      <c r="A401" s="1" t="s">
        <v>724</v>
      </c>
      <c r="B401" s="1" t="s">
        <v>725</v>
      </c>
      <c r="C401" t="str">
        <f ca="1">IFERROR(__xludf.DUMMYFUNCTION("GOOGLETRANSLATE(B401, ""ja"", ""en"")"),"Shippin")</f>
        <v>Shippin</v>
      </c>
    </row>
    <row r="402" spans="1:3" ht="12.75" x14ac:dyDescent="0.2">
      <c r="A402" s="1" t="s">
        <v>726</v>
      </c>
      <c r="B402" s="1" t="s">
        <v>727</v>
      </c>
      <c r="C402" t="str">
        <f ca="1">IFERROR(__xludf.DUMMYFUNCTION("GOOGLETRANSLATE(B402, ""ja"", ""en"")"),"Kuppin")</f>
        <v>Kuppin</v>
      </c>
    </row>
    <row r="403" spans="1:3" ht="12.75" x14ac:dyDescent="0.2">
      <c r="A403" s="1" t="s">
        <v>728</v>
      </c>
      <c r="B403" s="1" t="s">
        <v>729</v>
      </c>
      <c r="C403" t="str">
        <f ca="1">IFERROR(__xludf.DUMMYFUNCTION("GOOGLETRANSLATE(B403, ""ja"", ""en"")"),"Arashi")</f>
        <v>Arashi</v>
      </c>
    </row>
    <row r="404" spans="1:3" ht="12.75" x14ac:dyDescent="0.2">
      <c r="A404" s="1" t="s">
        <v>730</v>
      </c>
      <c r="B404" s="1" t="s">
        <v>731</v>
      </c>
      <c r="C404" t="str">
        <f ca="1">IFERROR(__xludf.DUMMYFUNCTION("GOOGLETRANSLATE(B404, ""ja"", ""en"")"),"Stock entertainer")</f>
        <v>Stock entertainer</v>
      </c>
    </row>
    <row r="405" spans="1:3" ht="12.75" x14ac:dyDescent="0.2">
      <c r="A405" s="1" t="s">
        <v>732</v>
      </c>
      <c r="B405" s="1" t="s">
        <v>733</v>
      </c>
      <c r="C405" t="str">
        <f ca="1">IFERROR(__xludf.DUMMYFUNCTION("GOOGLETRANSLATE(B405, ""ja"", ""en"")"),"Stock keeper")</f>
        <v>Stock keeper</v>
      </c>
    </row>
    <row r="406" spans="1:3" ht="12.75" x14ac:dyDescent="0.2">
      <c r="A406" s="1" t="s">
        <v>734</v>
      </c>
      <c r="B406" s="1" t="s">
        <v>735</v>
      </c>
      <c r="C406" t="str">
        <f ca="1">IFERROR(__xludf.DUMMYFUNCTION("GOOGLETRANSLATE(B406, ""ja"", ""en"")"),"Ltd. Guru")</f>
        <v>Ltd. Guru</v>
      </c>
    </row>
    <row r="407" spans="1:3" ht="12.75" x14ac:dyDescent="0.2">
      <c r="A407" s="1" t="s">
        <v>736</v>
      </c>
      <c r="B407" s="1" t="s">
        <v>737</v>
      </c>
      <c r="C407" t="str">
        <f ca="1">IFERROR(__xludf.DUMMYFUNCTION("GOOGLETRANSLATE(B407, ""ja"", ""en"")"),"Ltd. Iron Man")</f>
        <v>Ltd. Iron Man</v>
      </c>
    </row>
    <row r="408" spans="1:3" ht="12.75" x14ac:dyDescent="0.2">
      <c r="A408" s="1" t="s">
        <v>738</v>
      </c>
      <c r="B408" s="1" t="s">
        <v>739</v>
      </c>
      <c r="C408" t="str">
        <f ca="1">IFERROR(__xludf.DUMMYFUNCTION("GOOGLETRANSLATE(B408, ""ja"", ""en"")"),"Stock superman")</f>
        <v>Stock superman</v>
      </c>
    </row>
    <row r="409" spans="1:3" ht="12.75" x14ac:dyDescent="0.2">
      <c r="A409" s="1" t="s">
        <v>740</v>
      </c>
      <c r="B409" s="1" t="s">
        <v>741</v>
      </c>
      <c r="C409" t="str">
        <f ca="1">IFERROR(__xludf.DUMMYFUNCTION("GOOGLETRANSLATE(B409, ""ja"", ""en"")"),"Shareholder")</f>
        <v>Shareholder</v>
      </c>
    </row>
    <row r="410" spans="1:3" ht="12.75" x14ac:dyDescent="0.2">
      <c r="A410" s="1" t="s">
        <v>742</v>
      </c>
      <c r="B410" s="1" t="s">
        <v>743</v>
      </c>
      <c r="C410" t="str">
        <f ca="1">IFERROR(__xludf.DUMMYFUNCTION("GOOGLETRANSLATE(B410, ""ja"", ""en"")"),"Kabusho")</f>
        <v>Kabusho</v>
      </c>
    </row>
    <row r="411" spans="1:3" ht="12.75" x14ac:dyDescent="0.2">
      <c r="A411" s="1" t="s">
        <v>744</v>
      </c>
      <c r="B411" s="1" t="s">
        <v>745</v>
      </c>
      <c r="C411" t="str">
        <f ca="1">IFERROR(__xludf.DUMMYFUNCTION("GOOGLETRANSLATE(B411, ""ja"", ""en"")"),"Kabuo")</f>
        <v>Kabuo</v>
      </c>
    </row>
    <row r="412" spans="1:3" ht="12.75" x14ac:dyDescent="0.2">
      <c r="A412" s="1" t="s">
        <v>746</v>
      </c>
      <c r="B412" s="1" t="s">
        <v>747</v>
      </c>
      <c r="C412" t="str">
        <f ca="1">IFERROR(__xludf.DUMMYFUNCTION("GOOGLETRANSLATE(B412, ""ja"", ""en"")"),"Ltd. dragon")</f>
        <v>Ltd. dragon</v>
      </c>
    </row>
    <row r="413" spans="1:3" ht="12.75" x14ac:dyDescent="0.2">
      <c r="A413" s="1" t="s">
        <v>748</v>
      </c>
      <c r="B413" s="1" t="s">
        <v>749</v>
      </c>
      <c r="C413" t="str">
        <f ca="1">IFERROR(__xludf.DUMMYFUNCTION("GOOGLETRANSLATE(B413, ""ja"", ""en"")"),"Ltd. God")</f>
        <v>Ltd. God</v>
      </c>
    </row>
    <row r="414" spans="1:3" ht="12.75" x14ac:dyDescent="0.2">
      <c r="A414" s="1" t="s">
        <v>750</v>
      </c>
      <c r="B414" s="1" t="s">
        <v>751</v>
      </c>
      <c r="C414" t="str">
        <f ca="1">IFERROR(__xludf.DUMMYFUNCTION("GOOGLETRANSLATE(B414, ""ja"", ""en"")"),"Japanese chess")</f>
        <v>Japanese chess</v>
      </c>
    </row>
    <row r="415" spans="1:3" ht="12.75" x14ac:dyDescent="0.2">
      <c r="A415" s="1" t="s">
        <v>752</v>
      </c>
      <c r="B415" s="1" t="s">
        <v>753</v>
      </c>
      <c r="C415" t="str">
        <f ca="1">IFERROR(__xludf.DUMMYFUNCTION("GOOGLETRANSLATE(B415, ""ja"", ""en"")"),"First move")</f>
        <v>First move</v>
      </c>
    </row>
    <row r="416" spans="1:3" ht="12.75" x14ac:dyDescent="0.2">
      <c r="A416" s="1" t="s">
        <v>754</v>
      </c>
      <c r="B416" s="1" t="s">
        <v>755</v>
      </c>
      <c r="C416" t="str">
        <f ca="1">IFERROR(__xludf.DUMMYFUNCTION("GOOGLETRANSLATE(B416, ""ja"", ""en"")"),"Iron")</f>
        <v>Iron</v>
      </c>
    </row>
    <row r="417" spans="1:3" ht="12.75" x14ac:dyDescent="0.2">
      <c r="A417" s="1" t="s">
        <v>756</v>
      </c>
      <c r="B417" s="1" t="s">
        <v>757</v>
      </c>
      <c r="C417" t="str">
        <f ca="1">IFERROR(__xludf.DUMMYFUNCTION("GOOGLETRANSLATE(B417, ""ja"", ""en"")"),"Stay rook")</f>
        <v>Stay rook</v>
      </c>
    </row>
    <row r="418" spans="1:3" ht="12.75" x14ac:dyDescent="0.2">
      <c r="A418" s="1" t="s">
        <v>758</v>
      </c>
      <c r="B418" s="1" t="s">
        <v>759</v>
      </c>
      <c r="C418" t="str">
        <f ca="1">IFERROR(__xludf.DUMMYFUNCTION("GOOGLETRANSLATE(B418, ""ja"", ""en"")"),"Pretend rook")</f>
        <v>Pretend rook</v>
      </c>
    </row>
    <row r="419" spans="1:3" ht="12.75" x14ac:dyDescent="0.2">
      <c r="A419" s="1" t="s">
        <v>760</v>
      </c>
      <c r="B419" s="1" t="s">
        <v>761</v>
      </c>
      <c r="C419" t="str">
        <f ca="1">IFERROR(__xludf.DUMMYFUNCTION("GOOGLETRANSLATE(B419, ""ja"", ""en"")"),"enclosure")</f>
        <v>enclosure</v>
      </c>
    </row>
    <row r="420" spans="1:3" ht="12.75" x14ac:dyDescent="0.2">
      <c r="A420" s="1" t="s">
        <v>762</v>
      </c>
      <c r="B420" s="1" t="s">
        <v>763</v>
      </c>
      <c r="C420" t="str">
        <f ca="1">IFERROR(__xludf.DUMMYFUNCTION("GOOGLETRANSLATE(B420, ""ja"", ""en"")"),"Checkmate")</f>
        <v>Checkmate</v>
      </c>
    </row>
    <row r="421" spans="1:3" ht="12.75" x14ac:dyDescent="0.2">
      <c r="A421" s="1" t="s">
        <v>764</v>
      </c>
      <c r="B421" s="1" t="s">
        <v>765</v>
      </c>
      <c r="C421" t="str">
        <f ca="1">IFERROR(__xludf.DUMMYFUNCTION("GOOGLETRANSLATE(B421, ""ja"", ""en"")"),"Resign")</f>
        <v>Resign</v>
      </c>
    </row>
    <row r="422" spans="1:3" ht="12.75" x14ac:dyDescent="0.2">
      <c r="A422" s="1" t="s">
        <v>766</v>
      </c>
      <c r="B422" s="1" t="s">
        <v>767</v>
      </c>
      <c r="C422" t="str">
        <f ca="1">IFERROR(__xludf.DUMMYFUNCTION("GOOGLETRANSLATE(B422, ""ja"", ""en"")"),"Checkmate")</f>
        <v>Checkmate</v>
      </c>
    </row>
    <row r="423" spans="1:3" ht="12.75" x14ac:dyDescent="0.2">
      <c r="A423" s="1" t="s">
        <v>768</v>
      </c>
      <c r="B423" s="1" t="s">
        <v>769</v>
      </c>
      <c r="C423" t="str">
        <f ca="1">IFERROR(__xludf.DUMMYFUNCTION("GOOGLETRANSLATE(B423, ""ja"", ""en"")"),"Made pieces")</f>
        <v>Made pieces</v>
      </c>
    </row>
    <row r="424" spans="1:3" ht="12.75" x14ac:dyDescent="0.2">
      <c r="A424" s="1" t="s">
        <v>770</v>
      </c>
      <c r="B424" s="1" t="s">
        <v>771</v>
      </c>
      <c r="C424" t="str">
        <f ca="1">IFERROR(__xludf.DUMMYFUNCTION("GOOGLETRANSLATE(B424, ""ja"", ""en"")"),"Gold")</f>
        <v>Gold</v>
      </c>
    </row>
    <row r="425" spans="1:3" ht="12.75" x14ac:dyDescent="0.2">
      <c r="A425" s="1" t="s">
        <v>772</v>
      </c>
      <c r="B425" s="1" t="s">
        <v>773</v>
      </c>
      <c r="C425" t="str">
        <f ca="1">IFERROR(__xludf.DUMMYFUNCTION("GOOGLETRANSLATE(B425, ""ja"", ""en"")"),"Naruka")</f>
        <v>Naruka</v>
      </c>
    </row>
    <row r="426" spans="1:3" ht="12.75" x14ac:dyDescent="0.2">
      <c r="A426" s="1" t="s">
        <v>774</v>
      </c>
      <c r="B426" s="1" t="s">
        <v>775</v>
      </c>
      <c r="C426" t="str">
        <f ca="1">IFERROR(__xludf.DUMMYFUNCTION("GOOGLETRANSLATE(B426, ""ja"", ""en"")"),"Seikei")</f>
        <v>Seikei</v>
      </c>
    </row>
    <row r="427" spans="1:3" ht="12.75" x14ac:dyDescent="0.2">
      <c r="A427" s="1" t="s">
        <v>776</v>
      </c>
      <c r="B427" s="1" t="s">
        <v>777</v>
      </c>
      <c r="C427" t="str">
        <f ca="1">IFERROR(__xludf.DUMMYFUNCTION("GOOGLETRANSLATE(B427, ""ja"", ""en"")"),"Narugin")</f>
        <v>Narugin</v>
      </c>
    </row>
    <row r="428" spans="1:3" ht="12.75" x14ac:dyDescent="0.2">
      <c r="A428" s="1" t="s">
        <v>778</v>
      </c>
      <c r="B428" s="1" t="s">
        <v>779</v>
      </c>
      <c r="C428" t="str">
        <f ca="1">IFERROR(__xludf.DUMMYFUNCTION("GOOGLETRANSLATE(B428, ""ja"", ""en"")"),"Ryoma")</f>
        <v>Ryoma</v>
      </c>
    </row>
    <row r="429" spans="1:3" ht="12.75" x14ac:dyDescent="0.2">
      <c r="A429" s="1" t="s">
        <v>780</v>
      </c>
      <c r="B429" s="1" t="s">
        <v>781</v>
      </c>
      <c r="C429" t="str">
        <f ca="1">IFERROR(__xludf.DUMMYFUNCTION("GOOGLETRANSLATE(B429, ""ja"", ""en"")"),"Ryuo")</f>
        <v>Ryuo</v>
      </c>
    </row>
    <row r="430" spans="1:3" ht="12.75" x14ac:dyDescent="0.2">
      <c r="A430" s="1" t="s">
        <v>782</v>
      </c>
      <c r="B430" s="1" t="s">
        <v>783</v>
      </c>
      <c r="C430" t="str">
        <f ca="1">IFERROR(__xludf.DUMMYFUNCTION("GOOGLETRANSLATE(B430, ""ja"", ""en"")"),"Step")</f>
        <v>Step</v>
      </c>
    </row>
    <row r="431" spans="1:3" ht="12.75" x14ac:dyDescent="0.2">
      <c r="A431" s="1" t="s">
        <v>784</v>
      </c>
      <c r="B431" s="1" t="s">
        <v>785</v>
      </c>
      <c r="C431" t="str">
        <f ca="1">IFERROR(__xludf.DUMMYFUNCTION("GOOGLETRANSLATE(B431, ""ja"", ""en"")"),"Kyosha")</f>
        <v>Kyosha</v>
      </c>
    </row>
    <row r="432" spans="1:3" ht="12.75" x14ac:dyDescent="0.2">
      <c r="A432" s="1" t="s">
        <v>786</v>
      </c>
      <c r="B432" s="1" t="s">
        <v>787</v>
      </c>
      <c r="C432" t="str">
        <f ca="1">IFERROR(__xludf.DUMMYFUNCTION("GOOGLETRANSLATE(B432, ""ja"", ""en"")"),"Keima")</f>
        <v>Keima</v>
      </c>
    </row>
    <row r="433" spans="1:3" ht="12.75" x14ac:dyDescent="0.2">
      <c r="A433" s="1" t="s">
        <v>788</v>
      </c>
      <c r="B433" s="1" t="s">
        <v>789</v>
      </c>
      <c r="C433" t="str">
        <f ca="1">IFERROR(__xludf.DUMMYFUNCTION("GOOGLETRANSLATE(B433, ""ja"", ""en"")"),"Chanting")</f>
        <v>Chanting</v>
      </c>
    </row>
    <row r="434" spans="1:3" ht="12.75" x14ac:dyDescent="0.2">
      <c r="A434" s="1" t="s">
        <v>790</v>
      </c>
      <c r="B434" s="1" t="s">
        <v>791</v>
      </c>
      <c r="C434" t="str">
        <f ca="1">IFERROR(__xludf.DUMMYFUNCTION("GOOGLETRANSLATE(B434, ""ja"", ""en"")"),"KimuSusumu")</f>
        <v>KimuSusumu</v>
      </c>
    </row>
    <row r="435" spans="1:3" ht="12.75" x14ac:dyDescent="0.2">
      <c r="A435" s="1" t="s">
        <v>792</v>
      </c>
      <c r="B435" s="1" t="s">
        <v>793</v>
      </c>
      <c r="C435" t="str">
        <f ca="1">IFERROR(__xludf.DUMMYFUNCTION("GOOGLETRANSLATE(B435, ""ja"", ""en"")"),"Cuckoo")</f>
        <v>Cuckoo</v>
      </c>
    </row>
    <row r="436" spans="1:3" ht="12.75" x14ac:dyDescent="0.2">
      <c r="A436" s="1" t="s">
        <v>794</v>
      </c>
      <c r="B436" s="1" t="s">
        <v>795</v>
      </c>
      <c r="C436" t="str">
        <f ca="1">IFERROR(__xludf.DUMMYFUNCTION("GOOGLETRANSLATE(B436, ""ja"", ""en"")"),"Rook")</f>
        <v>Rook</v>
      </c>
    </row>
    <row r="437" spans="1:3" ht="12.75" x14ac:dyDescent="0.2">
      <c r="A437" s="1" t="s">
        <v>796</v>
      </c>
      <c r="B437" s="1" t="s">
        <v>797</v>
      </c>
      <c r="C437" t="str">
        <f ca="1">IFERROR(__xludf.DUMMYFUNCTION("GOOGLETRANSLATE(B437, ""ja"", ""en"")"),"Gyokusho")</f>
        <v>Gyokusho</v>
      </c>
    </row>
    <row r="438" spans="1:3" ht="12.75" x14ac:dyDescent="0.2">
      <c r="A438" s="1" t="s">
        <v>798</v>
      </c>
      <c r="B438" s="1" t="s">
        <v>799</v>
      </c>
      <c r="C438" t="str">
        <f ca="1">IFERROR(__xludf.DUMMYFUNCTION("GOOGLETRANSLATE(B438, ""ja"", ""en"")"),"king")</f>
        <v>king</v>
      </c>
    </row>
    <row r="439" spans="1:3" ht="12.75" x14ac:dyDescent="0.2">
      <c r="A439" s="1" t="s">
        <v>800</v>
      </c>
      <c r="B439" s="1" t="s">
        <v>801</v>
      </c>
      <c r="C439" t="str">
        <f ca="1">IFERROR(__xludf.DUMMYFUNCTION("GOOGLETRANSLATE(B439, ""ja"", ""en"")"),"Shogi King")</f>
        <v>Shogi King</v>
      </c>
    </row>
    <row r="440" spans="1:3" ht="12.75" x14ac:dyDescent="0.2">
      <c r="A440" s="1" t="s">
        <v>802</v>
      </c>
      <c r="B440" s="1" t="s">
        <v>803</v>
      </c>
      <c r="C440" t="str">
        <f ca="1">IFERROR(__xludf.DUMMYFUNCTION("GOOGLETRANSLATE(B440, ""ja"", ""en"")"),"joy")</f>
        <v>joy</v>
      </c>
    </row>
    <row r="441" spans="1:3" ht="12.75" x14ac:dyDescent="0.2">
      <c r="A441" s="1" t="s">
        <v>804</v>
      </c>
      <c r="B441" s="1" t="s">
        <v>805</v>
      </c>
      <c r="C441" t="str">
        <f ca="1">IFERROR(__xludf.DUMMYFUNCTION("GOOGLETRANSLATE(B441, ""ja"", ""en"")"),"small")</f>
        <v>small</v>
      </c>
    </row>
    <row r="442" spans="1:3" ht="12.75" x14ac:dyDescent="0.2">
      <c r="A442" s="1" t="s">
        <v>806</v>
      </c>
      <c r="B442" s="1" t="s">
        <v>807</v>
      </c>
      <c r="C442" t="str">
        <f ca="1">IFERROR(__xludf.DUMMYFUNCTION("GOOGLETRANSLATE(B442, ""ja"", ""en"")"),"mouse")</f>
        <v>mouse</v>
      </c>
    </row>
    <row r="443" spans="1:3" ht="12.75" x14ac:dyDescent="0.2">
      <c r="A443" s="1" t="s">
        <v>808</v>
      </c>
      <c r="B443" s="1" t="s">
        <v>809</v>
      </c>
      <c r="C443" t="str">
        <f ca="1">IFERROR(__xludf.DUMMYFUNCTION("GOOGLETRANSLATE(B443, ""ja"", ""en"")"),"Neighborhood")</f>
        <v>Neighborhood</v>
      </c>
    </row>
    <row r="444" spans="1:3" ht="12.75" x14ac:dyDescent="0.2">
      <c r="A444" s="1" t="s">
        <v>810</v>
      </c>
      <c r="B444" s="1" t="s">
        <v>811</v>
      </c>
      <c r="C444" t="str">
        <f ca="1">IFERROR(__xludf.DUMMYFUNCTION("GOOGLETRANSLATE(B444, ""ja"", ""en"")"),"Poverty")</f>
        <v>Poverty</v>
      </c>
    </row>
    <row r="445" spans="1:3" ht="12.75" x14ac:dyDescent="0.2">
      <c r="A445" s="1" t="s">
        <v>812</v>
      </c>
      <c r="B445" s="1" t="s">
        <v>813</v>
      </c>
      <c r="C445" t="str">
        <f ca="1">IFERROR(__xludf.DUMMYFUNCTION("GOOGLETRANSLATE(B445, ""ja"", ""en"")"),"Millionaire")</f>
        <v>Millionaire</v>
      </c>
    </row>
    <row r="446" spans="1:3" ht="12.75" x14ac:dyDescent="0.2">
      <c r="A446" s="1" t="s">
        <v>814</v>
      </c>
      <c r="B446" s="1" t="s">
        <v>815</v>
      </c>
      <c r="C446" t="str">
        <f ca="1">IFERROR(__xludf.DUMMYFUNCTION("GOOGLETRANSLATE(B446, ""ja"", ""en"")"),"Millionaire")</f>
        <v>Millionaire</v>
      </c>
    </row>
    <row r="447" spans="1:3" ht="12.75" x14ac:dyDescent="0.2">
      <c r="A447" s="1" t="s">
        <v>816</v>
      </c>
      <c r="B447" s="1" t="s">
        <v>817</v>
      </c>
      <c r="C447" t="str">
        <f ca="1">IFERROR(__xludf.DUMMYFUNCTION("GOOGLETRANSLATE(B447, ""ja"", ""en"")"),"anger")</f>
        <v>anger</v>
      </c>
    </row>
    <row r="448" spans="1:3" ht="12.75" x14ac:dyDescent="0.2">
      <c r="A448" s="1" t="s">
        <v>818</v>
      </c>
      <c r="B448" s="1" t="s">
        <v>819</v>
      </c>
      <c r="C448" t="str">
        <f ca="1">IFERROR(__xludf.DUMMYFUNCTION("GOOGLETRANSLATE(B448, ""ja"", ""en"")"),"big")</f>
        <v>big</v>
      </c>
    </row>
    <row r="449" spans="1:3" ht="12.75" x14ac:dyDescent="0.2">
      <c r="A449" s="1" t="s">
        <v>820</v>
      </c>
      <c r="B449" s="1" t="s">
        <v>821</v>
      </c>
      <c r="C449" t="str">
        <f ca="1">IFERROR(__xludf.DUMMYFUNCTION("GOOGLETRANSLATE(B449, ""ja"", ""en"")"),"Cow")</f>
        <v>Cow</v>
      </c>
    </row>
    <row r="450" spans="1:3" ht="12.75" x14ac:dyDescent="0.2">
      <c r="A450" s="1" t="s">
        <v>822</v>
      </c>
      <c r="B450" s="1" t="s">
        <v>823</v>
      </c>
      <c r="C450" t="str">
        <f ca="1">IFERROR(__xludf.DUMMYFUNCTION("GOOGLETRANSLATE(B450, ""ja"", ""en"")"),"Restoration")</f>
        <v>Restoration</v>
      </c>
    </row>
    <row r="451" spans="1:3" ht="12.75" x14ac:dyDescent="0.2">
      <c r="A451" s="1" t="s">
        <v>824</v>
      </c>
      <c r="B451" s="1" t="s">
        <v>825</v>
      </c>
      <c r="C451" t="str">
        <f ca="1">IFERROR(__xludf.DUMMYFUNCTION("GOOGLETRANSLATE(B451, ""ja"", ""en"")"),"Pity")</f>
        <v>Pity</v>
      </c>
    </row>
    <row r="452" spans="1:3" ht="12.75" x14ac:dyDescent="0.2">
      <c r="A452" s="1" t="s">
        <v>826</v>
      </c>
      <c r="B452" s="1" t="s">
        <v>827</v>
      </c>
      <c r="C452" t="str">
        <f ca="1">IFERROR(__xludf.DUMMYFUNCTION("GOOGLETRANSLATE(B452, ""ja"", ""en"")"),"fat")</f>
        <v>fat</v>
      </c>
    </row>
    <row r="453" spans="1:3" ht="12.75" x14ac:dyDescent="0.2">
      <c r="A453" s="1" t="s">
        <v>828</v>
      </c>
      <c r="B453" s="1" t="s">
        <v>829</v>
      </c>
      <c r="C453" t="str">
        <f ca="1">IFERROR(__xludf.DUMMYFUNCTION("GOOGLETRANSLATE(B453, ""ja"", ""en"")"),"tiger")</f>
        <v>tiger</v>
      </c>
    </row>
    <row r="454" spans="1:3" ht="12.75" x14ac:dyDescent="0.2">
      <c r="A454" s="1" t="s">
        <v>830</v>
      </c>
      <c r="B454" s="1" t="s">
        <v>831</v>
      </c>
      <c r="C454" t="str">
        <f ca="1">IFERROR(__xludf.DUMMYFUNCTION("GOOGLETRANSLATE(B454, ""ja"", ""en"")"),"Came back")</f>
        <v>Came back</v>
      </c>
    </row>
    <row r="455" spans="1:3" ht="12.75" x14ac:dyDescent="0.2">
      <c r="A455" s="1" t="s">
        <v>832</v>
      </c>
      <c r="B455" s="1" t="s">
        <v>833</v>
      </c>
      <c r="C455" t="str">
        <f ca="1">IFERROR(__xludf.DUMMYFUNCTION("GOOGLETRANSLATE(B455, ""ja"", ""en"")"),"pleasant")</f>
        <v>pleasant</v>
      </c>
    </row>
    <row r="456" spans="1:3" ht="12.75" x14ac:dyDescent="0.2">
      <c r="A456" s="1" t="s">
        <v>834</v>
      </c>
      <c r="B456" s="1" t="s">
        <v>835</v>
      </c>
      <c r="C456" t="str">
        <f ca="1">IFERROR(__xludf.DUMMYFUNCTION("GOOGLETRANSLATE(B456, ""ja"", ""en"")"),"Infertile")</f>
        <v>Infertile</v>
      </c>
    </row>
    <row r="457" spans="1:3" ht="12.75" x14ac:dyDescent="0.2">
      <c r="A457" s="1" t="s">
        <v>836</v>
      </c>
      <c r="B457" s="1" t="s">
        <v>837</v>
      </c>
      <c r="C457" t="str">
        <f ca="1">IFERROR(__xludf.DUMMYFUNCTION("GOOGLETRANSLATE(B457, ""ja"", ""en"")"),"Rabbits")</f>
        <v>Rabbits</v>
      </c>
    </row>
    <row r="458" spans="1:3" ht="12.75" x14ac:dyDescent="0.2">
      <c r="A458" s="1" t="s">
        <v>838</v>
      </c>
      <c r="B458" s="1" t="s">
        <v>839</v>
      </c>
      <c r="C458" t="str">
        <f ca="1">IFERROR(__xludf.DUMMYFUNCTION("GOOGLETRANSLATE(B458, ""ja"", ""en"")"),"Easy")</f>
        <v>Easy</v>
      </c>
    </row>
    <row r="459" spans="1:3" ht="12.75" x14ac:dyDescent="0.2">
      <c r="A459" s="1" t="s">
        <v>840</v>
      </c>
      <c r="B459" s="1" t="s">
        <v>841</v>
      </c>
      <c r="C459" t="str">
        <f ca="1">IFERROR(__xludf.DUMMYFUNCTION("GOOGLETRANSLATE(B459, ""ja"", ""en"")"),"flashy")</f>
        <v>flashy</v>
      </c>
    </row>
    <row r="460" spans="1:3" ht="12.75" x14ac:dyDescent="0.2">
      <c r="A460" s="1" t="s">
        <v>842</v>
      </c>
      <c r="B460" s="1" t="s">
        <v>843</v>
      </c>
      <c r="C460" t="str">
        <f ca="1">IFERROR(__xludf.DUMMYFUNCTION("GOOGLETRANSLATE(B460, ""ja"", ""en"")"),"Dragon")</f>
        <v>Dragon</v>
      </c>
    </row>
    <row r="461" spans="1:3" ht="12.75" x14ac:dyDescent="0.2">
      <c r="A461" s="1" t="s">
        <v>844</v>
      </c>
      <c r="B461" s="1" t="s">
        <v>845</v>
      </c>
      <c r="C461" t="str">
        <f ca="1">IFERROR(__xludf.DUMMYFUNCTION("GOOGLETRANSLATE(B461, ""ja"", ""en"")"),"sorrow")</f>
        <v>sorrow</v>
      </c>
    </row>
    <row r="462" spans="1:3" ht="12.75" x14ac:dyDescent="0.2">
      <c r="A462" s="1" t="s">
        <v>846</v>
      </c>
      <c r="B462" s="1" t="s">
        <v>847</v>
      </c>
      <c r="C462" t="str">
        <f ca="1">IFERROR(__xludf.DUMMYFUNCTION("GOOGLETRANSLATE(B462, ""ja"", ""en"")"),"sober")</f>
        <v>sober</v>
      </c>
    </row>
    <row r="463" spans="1:3" ht="12.75" x14ac:dyDescent="0.2">
      <c r="A463" s="1" t="s">
        <v>848</v>
      </c>
      <c r="B463" s="1" t="s">
        <v>849</v>
      </c>
      <c r="C463" t="str">
        <f ca="1">IFERROR(__xludf.DUMMYFUNCTION("GOOGLETRANSLATE(B463, ""ja"", ""en"")"),"snake")</f>
        <v>snake</v>
      </c>
    </row>
    <row r="464" spans="1:3" ht="12.75" x14ac:dyDescent="0.2">
      <c r="A464" s="1" t="s">
        <v>850</v>
      </c>
      <c r="B464" s="1" t="s">
        <v>851</v>
      </c>
      <c r="C464" t="str">
        <f ca="1">IFERROR(__xludf.DUMMYFUNCTION("GOOGLETRANSLATE(B464, ""ja"", ""en"")"),"Laughter")</f>
        <v>Laughter</v>
      </c>
    </row>
    <row r="465" spans="1:3" ht="12.75" x14ac:dyDescent="0.2">
      <c r="A465" s="1" t="s">
        <v>852</v>
      </c>
      <c r="B465" s="1" t="s">
        <v>853</v>
      </c>
      <c r="C465" t="str">
        <f ca="1">IFERROR(__xludf.DUMMYFUNCTION("GOOGLETRANSLATE(B465, ""ja"", ""en"")"),"suspicious")</f>
        <v>suspicious</v>
      </c>
    </row>
    <row r="466" spans="1:3" ht="12.75" x14ac:dyDescent="0.2">
      <c r="A466" s="1" t="s">
        <v>854</v>
      </c>
      <c r="B466" s="1" t="s">
        <v>855</v>
      </c>
      <c r="C466" t="str">
        <f ca="1">IFERROR(__xludf.DUMMYFUNCTION("GOOGLETRANSLATE(B466, ""ja"", ""en"")"),"Horse")</f>
        <v>Horse</v>
      </c>
    </row>
    <row r="467" spans="1:3" ht="12.75" x14ac:dyDescent="0.2">
      <c r="A467" s="1" t="s">
        <v>856</v>
      </c>
      <c r="B467" s="1" t="s">
        <v>857</v>
      </c>
      <c r="C467" t="str">
        <f ca="1">IFERROR(__xludf.DUMMYFUNCTION("GOOGLETRANSLATE(B467, ""ja"", ""en"")"),"Cried")</f>
        <v>Cried</v>
      </c>
    </row>
    <row r="468" spans="1:3" ht="12.75" x14ac:dyDescent="0.2">
      <c r="A468" s="1" t="s">
        <v>858</v>
      </c>
      <c r="B468" s="1" t="s">
        <v>859</v>
      </c>
      <c r="C468" t="str">
        <f ca="1">IFERROR(__xludf.DUMMYFUNCTION("GOOGLETRANSLATE(B468, ""ja"", ""en"")"),"Fashionable")</f>
        <v>Fashionable</v>
      </c>
    </row>
    <row r="469" spans="1:3" ht="12.75" x14ac:dyDescent="0.2">
      <c r="A469" s="1" t="s">
        <v>860</v>
      </c>
      <c r="B469" s="1" t="s">
        <v>861</v>
      </c>
      <c r="C469" t="str">
        <f ca="1">IFERROR(__xludf.DUMMYFUNCTION("GOOGLETRANSLATE(B469, ""ja"", ""en"")"),"sheep")</f>
        <v>sheep</v>
      </c>
    </row>
    <row r="470" spans="1:3" ht="12.75" x14ac:dyDescent="0.2">
      <c r="A470" s="1" t="s">
        <v>862</v>
      </c>
      <c r="B470" s="1" t="s">
        <v>863</v>
      </c>
      <c r="C470" t="str">
        <f ca="1">IFERROR(__xludf.DUMMYFUNCTION("GOOGLETRANSLATE(B470, ""ja"", ""en"")"),"surprise")</f>
        <v>surprise</v>
      </c>
    </row>
    <row r="471" spans="1:3" ht="12.75" x14ac:dyDescent="0.2">
      <c r="A471" s="1" t="s">
        <v>864</v>
      </c>
      <c r="B471" s="1" t="s">
        <v>865</v>
      </c>
      <c r="C471" t="str">
        <f ca="1">IFERROR(__xludf.DUMMYFUNCTION("GOOGLETRANSLATE(B471, ""ja"", ""en"")"),"Refreshing")</f>
        <v>Refreshing</v>
      </c>
    </row>
    <row r="472" spans="1:3" ht="12.75" x14ac:dyDescent="0.2">
      <c r="A472" s="1" t="s">
        <v>866</v>
      </c>
      <c r="B472" s="1" t="s">
        <v>867</v>
      </c>
      <c r="C472" t="str">
        <f ca="1">IFERROR(__xludf.DUMMYFUNCTION("GOOGLETRANSLATE(B472, ""ja"", ""en"")"),"monkey")</f>
        <v>monkey</v>
      </c>
    </row>
    <row r="473" spans="1:3" ht="12.75" x14ac:dyDescent="0.2">
      <c r="A473" s="1" t="s">
        <v>868</v>
      </c>
      <c r="B473" s="1" t="s">
        <v>869</v>
      </c>
      <c r="C473" t="str">
        <f ca="1">IFERROR(__xludf.DUMMYFUNCTION("GOOGLETRANSLATE(B473, ""ja"", ""en"")"),"Pleasantly thrilling")</f>
        <v>Pleasantly thrilling</v>
      </c>
    </row>
    <row r="474" spans="1:3" ht="12.75" x14ac:dyDescent="0.2">
      <c r="A474" s="1" t="s">
        <v>870</v>
      </c>
      <c r="B474" s="1" t="s">
        <v>871</v>
      </c>
      <c r="C474" t="str">
        <f ca="1">IFERROR(__xludf.DUMMYFUNCTION("GOOGLETRANSLATE(B474, ""ja"", ""en"")"),"it's beautiful")</f>
        <v>it's beautiful</v>
      </c>
    </row>
    <row r="475" spans="1:3" ht="12.75" x14ac:dyDescent="0.2">
      <c r="A475" s="1" t="s">
        <v>872</v>
      </c>
      <c r="B475" s="1" t="s">
        <v>873</v>
      </c>
      <c r="C475" t="str">
        <f ca="1">IFERROR(__xludf.DUMMYFUNCTION("GOOGLETRANSLATE(B475, ""ja"", ""en"")"),"I was surprised")</f>
        <v>I was surprised</v>
      </c>
    </row>
    <row r="476" spans="1:3" ht="12.75" x14ac:dyDescent="0.2">
      <c r="A476" s="1" t="s">
        <v>874</v>
      </c>
      <c r="B476" s="1" t="s">
        <v>875</v>
      </c>
      <c r="C476" t="str">
        <f ca="1">IFERROR(__xludf.DUMMYFUNCTION("GOOGLETRANSLATE(B476, ""ja"", ""en"")"),"bird")</f>
        <v>bird</v>
      </c>
    </row>
    <row r="477" spans="1:3" ht="12.75" x14ac:dyDescent="0.2">
      <c r="A477" s="1" t="s">
        <v>876</v>
      </c>
      <c r="B477" s="1" t="s">
        <v>877</v>
      </c>
      <c r="C477" t="str">
        <f ca="1">IFERROR(__xludf.DUMMYFUNCTION("GOOGLETRANSLATE(B477, ""ja"", ""en"")"),"Edo")</f>
        <v>Edo</v>
      </c>
    </row>
    <row r="478" spans="1:3" ht="12.75" x14ac:dyDescent="0.2">
      <c r="A478" s="1" t="s">
        <v>878</v>
      </c>
      <c r="B478" s="1" t="s">
        <v>879</v>
      </c>
      <c r="C478" t="str">
        <f ca="1">IFERROR(__xludf.DUMMYFUNCTION("GOOGLETRANSLATE(B478, ""ja"", ""en"")"),"crybaby")</f>
        <v>crybaby</v>
      </c>
    </row>
    <row r="479" spans="1:3" ht="12.75" x14ac:dyDescent="0.2">
      <c r="A479" s="1" t="s">
        <v>880</v>
      </c>
      <c r="B479" s="1" t="s">
        <v>881</v>
      </c>
      <c r="C479" t="str">
        <f ca="1">IFERROR(__xludf.DUMMYFUNCTION("GOOGLETRANSLATE(B479, ""ja"", ""en"")"),"fresh")</f>
        <v>fresh</v>
      </c>
    </row>
    <row r="480" spans="1:3" ht="12.75" x14ac:dyDescent="0.2">
      <c r="A480" s="1" t="s">
        <v>882</v>
      </c>
      <c r="B480" s="1" t="s">
        <v>883</v>
      </c>
      <c r="C480" t="str">
        <f ca="1">IFERROR(__xludf.DUMMYFUNCTION("GOOGLETRANSLATE(B480, ""ja"", ""en"")"),"dog")</f>
        <v>dog</v>
      </c>
    </row>
    <row r="481" spans="1:3" ht="12.75" x14ac:dyDescent="0.2">
      <c r="A481" s="1" t="s">
        <v>884</v>
      </c>
      <c r="B481" s="1" t="s">
        <v>885</v>
      </c>
      <c r="C481" t="str">
        <f ca="1">IFERROR(__xludf.DUMMYFUNCTION("GOOGLETRANSLATE(B481, ""ja"", ""en"")"),"Blood, sweat and tears")</f>
        <v>Blood, sweat and tears</v>
      </c>
    </row>
    <row r="482" spans="1:3" ht="12.75" x14ac:dyDescent="0.2">
      <c r="A482" s="1" t="s">
        <v>886</v>
      </c>
      <c r="B482" s="1" t="s">
        <v>887</v>
      </c>
      <c r="C482" t="str">
        <f ca="1">IFERROR(__xludf.DUMMYFUNCTION("GOOGLETRANSLATE(B482, ""ja"", ""en"")"),"Bow N anger")</f>
        <v>Bow N anger</v>
      </c>
    </row>
    <row r="483" spans="1:3" ht="12.75" x14ac:dyDescent="0.2">
      <c r="A483" s="1" t="s">
        <v>888</v>
      </c>
      <c r="B483" s="1" t="s">
        <v>889</v>
      </c>
      <c r="C483" t="str">
        <f ca="1">IFERROR(__xludf.DUMMYFUNCTION("GOOGLETRANSLATE(B483, ""ja"", ""en"")"),"One-shot reversal")</f>
        <v>One-shot reversal</v>
      </c>
    </row>
    <row r="484" spans="1:3" ht="12.75" x14ac:dyDescent="0.2">
      <c r="A484" s="1" t="s">
        <v>890</v>
      </c>
      <c r="B484" s="1" t="s">
        <v>891</v>
      </c>
      <c r="C484" t="str">
        <f ca="1">IFERROR(__xludf.DUMMYFUNCTION("GOOGLETRANSLATE(B484, ""ja"", ""en"")"),"boar")</f>
        <v>boar</v>
      </c>
    </row>
    <row r="485" spans="1:3" ht="12.75" x14ac:dyDescent="0.2">
      <c r="A485" s="1" t="s">
        <v>892</v>
      </c>
      <c r="B485" s="1" t="s">
        <v>893</v>
      </c>
      <c r="C485" t="str">
        <f ca="1">IFERROR(__xludf.DUMMYFUNCTION("GOOGLETRANSLATE(B485, ""ja"", ""en"")"),"Veteran")</f>
        <v>Veteran</v>
      </c>
    </row>
    <row r="486" spans="1:3" ht="12.75" x14ac:dyDescent="0.2">
      <c r="A486" s="1" t="s">
        <v>894</v>
      </c>
      <c r="B486" s="1" t="s">
        <v>895</v>
      </c>
      <c r="C486" t="str">
        <f ca="1">IFERROR(__xludf.DUMMYFUNCTION("GOOGLETRANSLATE(B486, ""ja"", ""en"")"),"Son of a gun")</f>
        <v>Son of a gun</v>
      </c>
    </row>
    <row r="487" spans="1:3" ht="12.75" x14ac:dyDescent="0.2">
      <c r="A487" s="1" t="s">
        <v>896</v>
      </c>
      <c r="B487" s="1" t="s">
        <v>897</v>
      </c>
      <c r="C487" t="str">
        <f ca="1">IFERROR(__xludf.DUMMYFUNCTION("GOOGLETRANSLATE(B487, ""ja"", ""en"")"),"Immaculately")</f>
        <v>Immaculately</v>
      </c>
    </row>
    <row r="488" spans="1:3" ht="12.75" x14ac:dyDescent="0.2">
      <c r="A488" s="1" t="s">
        <v>898</v>
      </c>
      <c r="B488" s="1" t="s">
        <v>899</v>
      </c>
      <c r="C488" t="str">
        <f ca="1">IFERROR(__xludf.DUMMYFUNCTION("GOOGLETRANSLATE(B488, ""ja"", ""en"")"),"Newcomer")</f>
        <v>Newcomer</v>
      </c>
    </row>
    <row r="489" spans="1:3" ht="12.75" x14ac:dyDescent="0.2">
      <c r="A489" s="1" t="s">
        <v>900</v>
      </c>
      <c r="B489" s="1" t="s">
        <v>901</v>
      </c>
      <c r="C489" t="str">
        <f ca="1">IFERROR(__xludf.DUMMYFUNCTION("GOOGLETRANSLATE(B489, ""ja"", ""en"")"),"Man")</f>
        <v>Man</v>
      </c>
    </row>
    <row r="490" spans="1:3" ht="12.75" x14ac:dyDescent="0.2">
      <c r="A490" s="1" t="s">
        <v>902</v>
      </c>
      <c r="B490" s="1" t="s">
        <v>903</v>
      </c>
      <c r="C490" t="str">
        <f ca="1">IFERROR(__xludf.DUMMYFUNCTION("GOOGLETRANSLATE(B490, ""ja"", ""en"")"),"woman")</f>
        <v>woman</v>
      </c>
    </row>
    <row r="491" spans="1:3" ht="12.75" x14ac:dyDescent="0.2">
      <c r="A491" s="1" t="s">
        <v>904</v>
      </c>
      <c r="B491" s="1" t="s">
        <v>905</v>
      </c>
      <c r="C491" t="str">
        <f ca="1">IFERROR(__xludf.DUMMYFUNCTION("GOOGLETRANSLATE(B491, ""ja"", ""en"")"),"Cat")</f>
        <v>Cat</v>
      </c>
    </row>
    <row r="492" spans="1:3" ht="12.75" x14ac:dyDescent="0.2">
      <c r="A492" s="1" t="s">
        <v>906</v>
      </c>
      <c r="B492" s="1" t="s">
        <v>907</v>
      </c>
      <c r="C492" t="str">
        <f ca="1">IFERROR(__xludf.DUMMYFUNCTION("GOOGLETRANSLATE(B492, ""ja"", ""en"")"),"Youngster")</f>
        <v>Youngster</v>
      </c>
    </row>
    <row r="493" spans="1:3" ht="12.75" x14ac:dyDescent="0.2">
      <c r="A493" s="1" t="s">
        <v>908</v>
      </c>
      <c r="B493" s="1" t="s">
        <v>909</v>
      </c>
      <c r="C493" t="str">
        <f ca="1">IFERROR(__xludf.DUMMYFUNCTION("GOOGLETRANSLATE(B493, ""ja"", ""en"")"),"Country girl")</f>
        <v>Country girl</v>
      </c>
    </row>
    <row r="494" spans="1:3" ht="12.75" x14ac:dyDescent="0.2">
      <c r="A494" s="1" t="s">
        <v>910</v>
      </c>
      <c r="B494" s="1" t="s">
        <v>911</v>
      </c>
      <c r="C494" t="str">
        <f ca="1">IFERROR(__xludf.DUMMYFUNCTION("GOOGLETRANSLATE(B494, ""ja"", ""en"")"),"raccoon dog")</f>
        <v>raccoon dog</v>
      </c>
    </row>
    <row r="495" spans="1:3" ht="12.75" x14ac:dyDescent="0.2">
      <c r="A495" s="1" t="s">
        <v>912</v>
      </c>
      <c r="B495" s="1" t="s">
        <v>913</v>
      </c>
      <c r="C495" t="str">
        <f ca="1">IFERROR(__xludf.DUMMYFUNCTION("GOOGLETRANSLATE(B495, ""ja"", ""en"")"),"Common Practice")</f>
        <v>Common Practice</v>
      </c>
    </row>
    <row r="496" spans="1:3" ht="12.75" x14ac:dyDescent="0.2">
      <c r="A496" s="1" t="s">
        <v>914</v>
      </c>
      <c r="B496" s="1" t="s">
        <v>915</v>
      </c>
      <c r="C496" t="str">
        <f ca="1">IFERROR(__xludf.DUMMYFUNCTION("GOOGLETRANSLATE(B496, ""ja"", ""en"")"),"Showgirl")</f>
        <v>Showgirl</v>
      </c>
    </row>
    <row r="497" spans="1:3" ht="12.75" x14ac:dyDescent="0.2">
      <c r="A497" s="1" t="s">
        <v>916</v>
      </c>
      <c r="B497" s="1" t="s">
        <v>917</v>
      </c>
      <c r="C497" t="str">
        <f ca="1">IFERROR(__xludf.DUMMYFUNCTION("GOOGLETRANSLATE(B497, ""ja"", ""en"")"),"fox")</f>
        <v>fox</v>
      </c>
    </row>
    <row r="498" spans="1:3" ht="12.75" x14ac:dyDescent="0.2">
      <c r="A498" s="1" t="s">
        <v>918</v>
      </c>
      <c r="B498" s="1" t="s">
        <v>919</v>
      </c>
      <c r="C498" t="str">
        <f ca="1">IFERROR(__xludf.DUMMYFUNCTION("GOOGLETRANSLATE(B498, ""ja"", ""en"")"),"Merchant")</f>
        <v>Merchant</v>
      </c>
    </row>
    <row r="499" spans="1:3" ht="12.75" x14ac:dyDescent="0.2">
      <c r="A499" s="1" t="s">
        <v>920</v>
      </c>
      <c r="B499" s="1" t="s">
        <v>921</v>
      </c>
      <c r="C499" t="str">
        <f ca="1">IFERROR(__xludf.DUMMYFUNCTION("GOOGLETRANSLATE(B499, ""ja"", ""en"")"),"merchant")</f>
        <v>merchant</v>
      </c>
    </row>
    <row r="500" spans="1:3" ht="12.75" x14ac:dyDescent="0.2">
      <c r="A500" s="1" t="s">
        <v>922</v>
      </c>
      <c r="B500" s="1" t="s">
        <v>923</v>
      </c>
      <c r="C500" t="str">
        <f ca="1">IFERROR(__xludf.DUMMYFUNCTION("GOOGLETRANSLATE(B500, ""ja"", ""en"")"),"crow")</f>
        <v>crow</v>
      </c>
    </row>
    <row r="501" spans="1:3" ht="12.75" x14ac:dyDescent="0.2">
      <c r="A501" s="1" t="s">
        <v>924</v>
      </c>
      <c r="B501" s="1" t="s">
        <v>925</v>
      </c>
      <c r="C501" t="str">
        <f ca="1">IFERROR(__xludf.DUMMYFUNCTION("GOOGLETRANSLATE(B501, ""ja"", ""en"")"),"Craftsman")</f>
        <v>Craftsman</v>
      </c>
    </row>
    <row r="502" spans="1:3" ht="12.75" x14ac:dyDescent="0.2">
      <c r="A502" s="1" t="s">
        <v>926</v>
      </c>
      <c r="B502" s="1" t="s">
        <v>927</v>
      </c>
      <c r="C502" t="str">
        <f ca="1">IFERROR(__xludf.DUMMYFUNCTION("GOOGLETRANSLATE(B502, ""ja"", ""en"")"),"Buddhist priest")</f>
        <v>Buddhist priest</v>
      </c>
    </row>
    <row r="503" spans="1:3" ht="12.75" x14ac:dyDescent="0.2">
      <c r="A503" s="1" t="s">
        <v>928</v>
      </c>
      <c r="B503" s="1" t="s">
        <v>929</v>
      </c>
      <c r="C503" t="str">
        <f ca="1">IFERROR(__xludf.DUMMYFUNCTION("GOOGLETRANSLATE(B503, ""ja"", ""en"")"),"wolf")</f>
        <v>wolf</v>
      </c>
    </row>
    <row r="504" spans="1:3" ht="12.75" x14ac:dyDescent="0.2">
      <c r="A504" s="1" t="s">
        <v>930</v>
      </c>
      <c r="B504" s="1" t="s">
        <v>931</v>
      </c>
      <c r="C504" t="str">
        <f ca="1">IFERROR(__xludf.DUMMYFUNCTION("GOOGLETRANSLATE(B504, ""ja"", ""en"")"),"Ronin")</f>
        <v>Ronin</v>
      </c>
    </row>
    <row r="505" spans="1:3" ht="12.75" x14ac:dyDescent="0.2">
      <c r="A505" s="1" t="s">
        <v>932</v>
      </c>
      <c r="B505" s="1" t="s">
        <v>933</v>
      </c>
      <c r="C505" t="str">
        <f ca="1">IFERROR(__xludf.DUMMYFUNCTION("GOOGLETRANSLATE(B505, ""ja"", ""en"")"),"Servant")</f>
        <v>Servant</v>
      </c>
    </row>
    <row r="506" spans="1:3" ht="12.75" x14ac:dyDescent="0.2">
      <c r="A506" s="1" t="s">
        <v>934</v>
      </c>
      <c r="B506" s="1" t="s">
        <v>935</v>
      </c>
      <c r="C506" t="str">
        <f ca="1">IFERROR(__xludf.DUMMYFUNCTION("GOOGLETRANSLATE(B506, ""ja"", ""en"")"),"hawk")</f>
        <v>hawk</v>
      </c>
    </row>
    <row r="507" spans="1:3" ht="12.75" x14ac:dyDescent="0.2">
      <c r="A507" s="1" t="s">
        <v>936</v>
      </c>
      <c r="B507" s="1" t="s">
        <v>937</v>
      </c>
      <c r="C507" t="str">
        <f ca="1">IFERROR(__xludf.DUMMYFUNCTION("GOOGLETRANSLATE(B507, ""ja"", ""en"")"),"Patriot")</f>
        <v>Patriot</v>
      </c>
    </row>
    <row r="508" spans="1:3" ht="12.75" x14ac:dyDescent="0.2">
      <c r="A508" s="1" t="s">
        <v>938</v>
      </c>
      <c r="B508" s="1" t="s">
        <v>939</v>
      </c>
      <c r="C508" t="str">
        <f ca="1">IFERROR(__xludf.DUMMYFUNCTION("GOOGLETRANSLATE(B508, ""ja"", ""en"")"),"samurai")</f>
        <v>samurai</v>
      </c>
    </row>
    <row r="509" spans="1:3" ht="12.75" x14ac:dyDescent="0.2">
      <c r="A509" s="1" t="s">
        <v>940</v>
      </c>
      <c r="B509" s="1" t="s">
        <v>941</v>
      </c>
      <c r="C509" t="str">
        <f ca="1">IFERROR(__xludf.DUMMYFUNCTION("GOOGLETRANSLATE(B509, ""ja"", ""en"")"),"Beauty")</f>
        <v>Beauty</v>
      </c>
    </row>
    <row r="510" spans="1:3" ht="12.75" x14ac:dyDescent="0.2">
      <c r="A510" s="1" t="s">
        <v>942</v>
      </c>
      <c r="B510" s="1" t="s">
        <v>943</v>
      </c>
      <c r="C510" t="str">
        <f ca="1">IFERROR(__xludf.DUMMYFUNCTION("GOOGLETRANSLATE(B510, ""ja"", ""en"")"),"as")</f>
        <v>as</v>
      </c>
    </row>
    <row r="511" spans="1:3" ht="12.75" x14ac:dyDescent="0.2">
      <c r="A511" s="1" t="s">
        <v>944</v>
      </c>
      <c r="B511" s="1" t="s">
        <v>945</v>
      </c>
      <c r="C511" t="str">
        <f ca="1">IFERROR(__xludf.DUMMYFUNCTION("GOOGLETRANSLATE(B511, ""ja"", ""en"")"),"Maiko")</f>
        <v>Maiko</v>
      </c>
    </row>
    <row r="512" spans="1:3" ht="12.75" x14ac:dyDescent="0.2">
      <c r="A512" s="1" t="s">
        <v>946</v>
      </c>
      <c r="B512" s="1" t="s">
        <v>947</v>
      </c>
      <c r="C512" t="str">
        <f ca="1">IFERROR(__xludf.DUMMYFUNCTION("GOOGLETRANSLATE(B512, ""ja"", ""en"")"),"Kappa")</f>
        <v>Kappa</v>
      </c>
    </row>
    <row r="513" spans="1:3" ht="12.75" x14ac:dyDescent="0.2">
      <c r="A513" s="1" t="s">
        <v>948</v>
      </c>
      <c r="B513" s="1" t="s">
        <v>949</v>
      </c>
      <c r="C513" t="str">
        <f ca="1">IFERROR(__xludf.DUMMYFUNCTION("GOOGLETRANSLATE(B513, ""ja"", ""en"")"),"geisha")</f>
        <v>geisha</v>
      </c>
    </row>
    <row r="514" spans="1:3" ht="12.75" x14ac:dyDescent="0.2">
      <c r="A514" s="1" t="s">
        <v>950</v>
      </c>
      <c r="B514" s="1" t="s">
        <v>951</v>
      </c>
      <c r="C514" t="str">
        <f ca="1">IFERROR(__xludf.DUMMYFUNCTION("GOOGLETRANSLATE(B514, ""ja"", ""en"")"),"Geisha")</f>
        <v>Geisha</v>
      </c>
    </row>
    <row r="515" spans="1:3" ht="12.75" x14ac:dyDescent="0.2">
      <c r="A515" s="1" t="s">
        <v>952</v>
      </c>
      <c r="B515" s="1" t="s">
        <v>953</v>
      </c>
      <c r="C515" t="str">
        <f ca="1">IFERROR(__xludf.DUMMYFUNCTION("GOOGLETRANSLATE(B515, ""ja"", ""en"")"),"Ōnyūdō")</f>
        <v>Ōnyūdō</v>
      </c>
    </row>
    <row r="516" spans="1:3" ht="12.75" x14ac:dyDescent="0.2">
      <c r="A516" s="1" t="s">
        <v>954</v>
      </c>
      <c r="B516" s="1" t="s">
        <v>955</v>
      </c>
      <c r="C516" t="str">
        <f ca="1">IFERROR(__xludf.DUMMYFUNCTION("GOOGLETRANSLATE(B516, ""ja"", ""en"")"),"princess")</f>
        <v>princess</v>
      </c>
    </row>
    <row r="517" spans="1:3" ht="12.75" x14ac:dyDescent="0.2">
      <c r="A517" s="1" t="s">
        <v>956</v>
      </c>
      <c r="B517" s="1" t="s">
        <v>957</v>
      </c>
      <c r="C517" t="str">
        <f ca="1">IFERROR(__xludf.DUMMYFUNCTION("GOOGLETRANSLATE(B517, ""ja"", ""en"")"),"demon")</f>
        <v>demon</v>
      </c>
    </row>
    <row r="518" spans="1:3" ht="12.75" x14ac:dyDescent="0.2">
      <c r="A518" s="1" t="s">
        <v>958</v>
      </c>
      <c r="B518" s="1" t="s">
        <v>959</v>
      </c>
      <c r="C518" t="str">
        <f ca="1">IFERROR(__xludf.DUMMYFUNCTION("GOOGLETRANSLATE(B518, ""ja"", ""en"")"),"Ninja")</f>
        <v>Ninja</v>
      </c>
    </row>
    <row r="519" spans="1:3" ht="12.75" x14ac:dyDescent="0.2">
      <c r="A519" s="1" t="s">
        <v>960</v>
      </c>
      <c r="B519" s="1" t="s">
        <v>961</v>
      </c>
      <c r="C519" t="str">
        <f ca="1">IFERROR(__xludf.DUMMYFUNCTION("GOOGLETRANSLATE(B519, ""ja"", ""en"")"),"samurai")</f>
        <v>samurai</v>
      </c>
    </row>
    <row r="520" spans="1:3" ht="12.75" x14ac:dyDescent="0.2">
      <c r="A520" s="1" t="s">
        <v>962</v>
      </c>
      <c r="B520" s="1" t="s">
        <v>963</v>
      </c>
      <c r="C520" t="str">
        <f ca="1">IFERROR(__xludf.DUMMYFUNCTION("GOOGLETRANSLATE(B520, ""ja"", ""en"")"),"Feudal lord")</f>
        <v>Feudal lord</v>
      </c>
    </row>
    <row r="521" spans="1:3" ht="12.75" x14ac:dyDescent="0.2">
      <c r="A521" s="1" t="s">
        <v>964</v>
      </c>
      <c r="B521" s="1" t="s">
        <v>965</v>
      </c>
      <c r="C521" t="str">
        <f ca="1">IFERROR(__xludf.DUMMYFUNCTION("GOOGLETRANSLATE(B521, ""ja"", ""en"")"),"Shogun")</f>
        <v>Shogun</v>
      </c>
    </row>
    <row r="522" spans="1:3" ht="12.75" x14ac:dyDescent="0.2">
      <c r="A522" s="1" t="s">
        <v>966</v>
      </c>
      <c r="B522" s="1" t="s">
        <v>967</v>
      </c>
      <c r="C522" t="str">
        <f ca="1">IFERROR(__xludf.DUMMYFUNCTION("GOOGLETRANSLATE(B522, ""ja"", ""en"")"),"Ten Grade")</f>
        <v>Ten Grade</v>
      </c>
    </row>
    <row r="523" spans="1:3" ht="12.75" x14ac:dyDescent="0.2">
      <c r="A523" s="1" t="s">
        <v>968</v>
      </c>
      <c r="B523" s="1" t="s">
        <v>969</v>
      </c>
      <c r="C523" t="str">
        <f ca="1">IFERROR(__xludf.DUMMYFUNCTION("GOOGLETRANSLATE(B523, ""ja"", ""en"")"),"Nine Grade")</f>
        <v>Nine Grade</v>
      </c>
    </row>
    <row r="524" spans="1:3" ht="12.75" x14ac:dyDescent="0.2">
      <c r="A524" s="1" t="s">
        <v>970</v>
      </c>
      <c r="B524" s="1" t="s">
        <v>971</v>
      </c>
      <c r="C524" t="str">
        <f ca="1">IFERROR(__xludf.DUMMYFUNCTION("GOOGLETRANSLATE(B524, ""ja"", ""en"")"),"Eight grade")</f>
        <v>Eight grade</v>
      </c>
    </row>
    <row r="525" spans="1:3" ht="12.75" x14ac:dyDescent="0.2">
      <c r="A525" s="1" t="s">
        <v>972</v>
      </c>
      <c r="B525" s="1" t="s">
        <v>973</v>
      </c>
      <c r="C525" t="str">
        <f ca="1">IFERROR(__xludf.DUMMYFUNCTION("GOOGLETRANSLATE(B525, ""ja"", ""en"")"),"Seven grade")</f>
        <v>Seven grade</v>
      </c>
    </row>
    <row r="526" spans="1:3" ht="12.75" x14ac:dyDescent="0.2">
      <c r="A526" s="1" t="s">
        <v>974</v>
      </c>
      <c r="B526" s="1" t="s">
        <v>975</v>
      </c>
      <c r="C526" t="str">
        <f ca="1">IFERROR(__xludf.DUMMYFUNCTION("GOOGLETRANSLATE(B526, ""ja"", ""en"")"),"Six Grade")</f>
        <v>Six Grade</v>
      </c>
    </row>
    <row r="527" spans="1:3" ht="12.75" x14ac:dyDescent="0.2">
      <c r="A527" s="1" t="s">
        <v>976</v>
      </c>
      <c r="B527" s="1" t="s">
        <v>977</v>
      </c>
      <c r="C527" t="str">
        <f ca="1">IFERROR(__xludf.DUMMYFUNCTION("GOOGLETRANSLATE(B527, ""ja"", ""en"")"),"Five Grade")</f>
        <v>Five Grade</v>
      </c>
    </row>
    <row r="528" spans="1:3" ht="12.75" x14ac:dyDescent="0.2">
      <c r="A528" s="1" t="s">
        <v>978</v>
      </c>
      <c r="B528" s="1" t="s">
        <v>979</v>
      </c>
      <c r="C528" t="str">
        <f ca="1">IFERROR(__xludf.DUMMYFUNCTION("GOOGLETRANSLATE(B528, ""ja"", ""en"")"),"Quaternary")</f>
        <v>Quaternary</v>
      </c>
    </row>
    <row r="529" spans="1:3" ht="12.75" x14ac:dyDescent="0.2">
      <c r="A529" s="1" t="s">
        <v>980</v>
      </c>
      <c r="B529" s="1" t="s">
        <v>981</v>
      </c>
      <c r="C529" t="str">
        <f ca="1">IFERROR(__xludf.DUMMYFUNCTION("GOOGLETRANSLATE(B529, ""ja"", ""en"")"),"Tertiary")</f>
        <v>Tertiary</v>
      </c>
    </row>
    <row r="530" spans="1:3" ht="12.75" x14ac:dyDescent="0.2">
      <c r="A530" s="1" t="s">
        <v>982</v>
      </c>
      <c r="B530" s="1" t="s">
        <v>983</v>
      </c>
      <c r="C530" t="str">
        <f ca="1">IFERROR(__xludf.DUMMYFUNCTION("GOOGLETRANSLATE(B530, ""ja"", ""en"")"),"Secondary")</f>
        <v>Secondary</v>
      </c>
    </row>
    <row r="531" spans="1:3" ht="12.75" x14ac:dyDescent="0.2">
      <c r="A531" s="1" t="s">
        <v>984</v>
      </c>
      <c r="B531" s="1" t="s">
        <v>985</v>
      </c>
      <c r="C531" t="str">
        <f ca="1">IFERROR(__xludf.DUMMYFUNCTION("GOOGLETRANSLATE(B531, ""ja"", ""en"")"),"First class")</f>
        <v>First class</v>
      </c>
    </row>
    <row r="532" spans="1:3" ht="12.75" x14ac:dyDescent="0.2">
      <c r="A532" s="1" t="s">
        <v>986</v>
      </c>
      <c r="B532" s="1" t="s">
        <v>987</v>
      </c>
      <c r="C532" t="str">
        <f ca="1">IFERROR(__xludf.DUMMYFUNCTION("GOOGLETRANSLATE(B532, ""ja"", ""en"")"),"The first stage")</f>
        <v>The first stage</v>
      </c>
    </row>
    <row r="533" spans="1:3" ht="12.75" x14ac:dyDescent="0.2">
      <c r="A533" s="1" t="s">
        <v>988</v>
      </c>
      <c r="B533" s="1" t="s">
        <v>989</v>
      </c>
      <c r="C533" t="str">
        <f ca="1">IFERROR(__xludf.DUMMYFUNCTION("GOOGLETRANSLATE(B533, ""ja"", ""en"")"),"Two-stage")</f>
        <v>Two-stage</v>
      </c>
    </row>
    <row r="534" spans="1:3" ht="12.75" x14ac:dyDescent="0.2">
      <c r="A534" s="1" t="s">
        <v>990</v>
      </c>
      <c r="B534" s="1" t="s">
        <v>991</v>
      </c>
      <c r="C534" t="str">
        <f ca="1">IFERROR(__xludf.DUMMYFUNCTION("GOOGLETRANSLATE(B534, ""ja"", ""en"")"),"Three-stage")</f>
        <v>Three-stage</v>
      </c>
    </row>
    <row r="535" spans="1:3" ht="12.75" x14ac:dyDescent="0.2">
      <c r="A535" s="1" t="s">
        <v>992</v>
      </c>
      <c r="B535" s="1" t="s">
        <v>993</v>
      </c>
      <c r="C535" t="str">
        <f ca="1">IFERROR(__xludf.DUMMYFUNCTION("GOOGLETRANSLATE(B535, ""ja"", ""en"")"),"4-dan")</f>
        <v>4-dan</v>
      </c>
    </row>
    <row r="536" spans="1:3" ht="12.75" x14ac:dyDescent="0.2">
      <c r="A536" s="1" t="s">
        <v>994</v>
      </c>
      <c r="B536" s="1" t="s">
        <v>995</v>
      </c>
      <c r="C536" t="str">
        <f ca="1">IFERROR(__xludf.DUMMYFUNCTION("GOOGLETRANSLATE(B536, ""ja"", ""en"")"),"Fifth rank")</f>
        <v>Fifth rank</v>
      </c>
    </row>
    <row r="537" spans="1:3" ht="12.75" x14ac:dyDescent="0.2">
      <c r="A537" s="1" t="s">
        <v>996</v>
      </c>
      <c r="B537" s="1" t="s">
        <v>997</v>
      </c>
      <c r="C537" t="str">
        <f ca="1">IFERROR(__xludf.DUMMYFUNCTION("GOOGLETRANSLATE(B537, ""ja"", ""en"")"),"6th dan")</f>
        <v>6th dan</v>
      </c>
    </row>
    <row r="538" spans="1:3" ht="12.75" x14ac:dyDescent="0.2">
      <c r="A538" s="1" t="s">
        <v>998</v>
      </c>
      <c r="B538" s="1" t="s">
        <v>999</v>
      </c>
      <c r="C538" t="str">
        <f ca="1">IFERROR(__xludf.DUMMYFUNCTION("GOOGLETRANSLATE(B538, ""ja"", ""en"")"),"Seven-stage")</f>
        <v>Seven-stage</v>
      </c>
    </row>
    <row r="539" spans="1:3" ht="12.75" x14ac:dyDescent="0.2">
      <c r="A539" s="1" t="s">
        <v>1000</v>
      </c>
      <c r="B539" s="1" t="s">
        <v>1001</v>
      </c>
      <c r="C539" t="str">
        <f ca="1">IFERROR(__xludf.DUMMYFUNCTION("GOOGLETRANSLATE(B539, ""ja"", ""en"")"),"8th Dan")</f>
        <v>8th Dan</v>
      </c>
    </row>
    <row r="540" spans="1:3" ht="12.75" x14ac:dyDescent="0.2">
      <c r="A540" s="1" t="s">
        <v>1002</v>
      </c>
      <c r="B540" s="1" t="s">
        <v>1003</v>
      </c>
      <c r="C540" t="str">
        <f ca="1">IFERROR(__xludf.DUMMYFUNCTION("GOOGLETRANSLATE(B540, ""ja"", ""en"")"),"Kudan")</f>
        <v>Kudan</v>
      </c>
    </row>
    <row r="541" spans="1:3" ht="12.75" x14ac:dyDescent="0.2">
      <c r="A541" s="1" t="s">
        <v>1004</v>
      </c>
      <c r="B541" s="1" t="s">
        <v>1005</v>
      </c>
      <c r="C541" t="str">
        <f ca="1">IFERROR(__xludf.DUMMYFUNCTION("GOOGLETRANSLATE(B541, ""ja"", ""en"")"),"top Rank")</f>
        <v>top Rank</v>
      </c>
    </row>
    <row r="542" spans="1:3" ht="12.75" x14ac:dyDescent="0.2">
      <c r="A542" s="1" t="s">
        <v>1006</v>
      </c>
      <c r="B542" s="1" t="s">
        <v>1007</v>
      </c>
      <c r="C542" t="str">
        <f ca="1">IFERROR(__xludf.DUMMYFUNCTION("GOOGLETRANSLATE(B542, ""ja"", ""en"")"),"Since it is now looking for the opponent, please wait for a while.")</f>
        <v>Since it is now looking for the opponent, please wait for a while.</v>
      </c>
    </row>
    <row r="543" spans="1:3" ht="12.75" x14ac:dyDescent="0.2">
      <c r="A543" s="1" t="s">
        <v>1008</v>
      </c>
      <c r="B543" s="1" t="s">
        <v>1009</v>
      </c>
      <c r="C543" t="str">
        <f ca="1">IFERROR(__xludf.DUMMYFUNCTION("GOOGLETRANSLATE(B543, ""ja"", ""en"")"),"Find the opponent")</f>
        <v>Find the opponent</v>
      </c>
    </row>
    <row r="544" spans="1:3" ht="12.75" x14ac:dyDescent="0.2">
      <c r="A544" s="1" t="s">
        <v>1010</v>
      </c>
      <c r="B544" s="1" t="s">
        <v>1011</v>
      </c>
      <c r="C544" t="str">
        <f ca="1">IFERROR(__xludf.DUMMYFUNCTION("GOOGLETRANSLATE(B544, ""ja"", ""en"")"),"Continue to wait in this state")</f>
        <v>Continue to wait in this state</v>
      </c>
    </row>
    <row r="545" spans="1:3" ht="12.75" x14ac:dyDescent="0.2">
      <c r="A545" s="1" t="s">
        <v>1012</v>
      </c>
      <c r="B545" s="1" t="s">
        <v>1013</v>
      </c>
      <c r="C545" t="str">
        <f ca="1">IFERROR(__xludf.DUMMYFUNCTION("GOOGLETRANSLATE(B545, ""ja"", ""en"")"),"Play in another game")</f>
        <v>Play in another game</v>
      </c>
    </row>
    <row r="546" spans="1:3" ht="12.75" x14ac:dyDescent="0.2">
      <c r="A546" s="1" t="s">
        <v>1014</v>
      </c>
      <c r="B546" s="1" t="s">
        <v>1015</v>
      </c>
      <c r="C546" t="str">
        <f ca="1">IFERROR(__xludf.DUMMYFUNCTION("GOOGLETRANSLATE(B546, ""ja"", ""en"")"),"Choose the next remote station")</f>
        <v>Choose the next remote station</v>
      </c>
    </row>
    <row r="547" spans="1:3" ht="12.75" x14ac:dyDescent="0.2">
      <c r="A547" s="1" t="s">
        <v>1016</v>
      </c>
      <c r="B547" s="1" t="s">
        <v>1017</v>
      </c>
      <c r="C547" t="str">
        <f ca="1">IFERROR(__xludf.DUMMYFUNCTION("GOOGLETRANSLATE(B547, ""ja"", ""en"")"),"Choose the next opponent")</f>
        <v>Choose the next opponent</v>
      </c>
    </row>
    <row r="548" spans="1:3" ht="12.75" x14ac:dyDescent="0.2">
      <c r="A548" s="1" t="s">
        <v>1018</v>
      </c>
      <c r="B548" s="1" t="s">
        <v>1019</v>
      </c>
      <c r="C548" t="str">
        <f ca="1">IFERROR(__xludf.DUMMYFUNCTION("GOOGLETRANSLATE(B548, ""ja"", ""en"")"),"B")</f>
        <v>B</v>
      </c>
    </row>
    <row r="549" spans="1:3" ht="12.75" x14ac:dyDescent="0.2">
      <c r="A549" s="1" t="s">
        <v>1020</v>
      </c>
      <c r="B549" s="1" t="s">
        <v>1021</v>
      </c>
      <c r="C549" t="str">
        <f ca="1">IFERROR(__xludf.DUMMYFUNCTION("GOOGLETRANSLATE(B549, ""ja"", ""en"")"),"Communication error has occurred. To return to the [n] the main menu screen.")</f>
        <v>Communication error has occurred. To return to the [n] the main menu screen.</v>
      </c>
    </row>
    <row r="550" spans="1:3" ht="12.75" x14ac:dyDescent="0.2">
      <c r="A550" s="1" t="s">
        <v>1022</v>
      </c>
      <c r="B550" s="1" t="s">
        <v>1019</v>
      </c>
      <c r="C550" t="str">
        <f ca="1">IFERROR(__xludf.DUMMYFUNCTION("GOOGLETRANSLATE(B550, ""ja"", ""en"")"),"B")</f>
        <v>B</v>
      </c>
    </row>
    <row r="551" spans="1:3" ht="12.75" x14ac:dyDescent="0.2">
      <c r="A551" s="1" t="s">
        <v>1023</v>
      </c>
      <c r="B551" s="1" t="s">
        <v>1024</v>
      </c>
      <c r="C551" t="str">
        <f ca="1">IFERROR(__xludf.DUMMYFUNCTION("GOOGLETRANSLATE(B551, ""ja"", ""en"")"),"Nickname has not been entered. To return to the [n] the main menu screen.")</f>
        <v>Nickname has not been entered. To return to the [n] the main menu screen.</v>
      </c>
    </row>
    <row r="552" spans="1:3" ht="12.75" x14ac:dyDescent="0.2">
      <c r="A552" s="1" t="s">
        <v>1025</v>
      </c>
      <c r="B552" s="1" t="s">
        <v>1026</v>
      </c>
      <c r="C552" t="str">
        <f ca="1">IFERROR(__xludf.DUMMYFUNCTION("GOOGLETRANSLATE(B552, ""ja"", ""en"")"),"Nickname is incorrect. To return to the [n] the main menu screen.")</f>
        <v>Nickname is incorrect. To return to the [n] the main menu screen.</v>
      </c>
    </row>
    <row r="553" spans="1:3" ht="12.75" x14ac:dyDescent="0.2">
      <c r="A553" s="1" t="s">
        <v>1027</v>
      </c>
      <c r="B553" s="1" t="s">
        <v>1028</v>
      </c>
      <c r="C553" t="str">
        <f ca="1">IFERROR(__xludf.DUMMYFUNCTION("GOOGLETRANSLATE(B553, ""ja"", ""en"")"),"It has been disconnected from the host. [N] Please wait for a while.")</f>
        <v>It has been disconnected from the host. [N] Please wait for a while.</v>
      </c>
    </row>
    <row r="554" spans="1:3" ht="12.75" x14ac:dyDescent="0.2">
      <c r="A554" s="1" t="s">
        <v>1029</v>
      </c>
      <c r="B554" s="1" t="s">
        <v>1030</v>
      </c>
      <c r="C554" t="str">
        <f ca="1">IFERROR(__xludf.DUMMYFUNCTION("GOOGLETRANSLATE(B554, ""ja"", ""en"")"),"Ranking is waiting to receive. [N] Please wait for a while.")</f>
        <v>Ranking is waiting to receive. [N] Please wait for a while.</v>
      </c>
    </row>
    <row r="555" spans="1:3" ht="12.75" x14ac:dyDescent="0.2">
      <c r="A555" s="1" t="s">
        <v>1031</v>
      </c>
      <c r="B555" s="1" t="s">
        <v>1032</v>
      </c>
      <c r="C555" t="str">
        <f ca="1">IFERROR(__xludf.DUMMYFUNCTION("GOOGLETRANSLATE(B555, ""ja"", ""en"")"),"It failed in the ranking of the reception. To return to the [n] betting point selection screen.")</f>
        <v>It failed in the ranking of the reception. To return to the [n] betting point selection screen.</v>
      </c>
    </row>
    <row r="556" spans="1:3" ht="12.75" x14ac:dyDescent="0.2">
      <c r="A556" s="1" t="s">
        <v>1033</v>
      </c>
      <c r="B556" s="1" t="s">
        <v>354</v>
      </c>
      <c r="C556" t="str">
        <f ca="1">IFERROR(__xludf.DUMMYFUNCTION("GOOGLETRANSLATE(B556, ""ja"", ""en"")"),"That")</f>
        <v>That</v>
      </c>
    </row>
    <row r="557" spans="1:3" ht="12.75" x14ac:dyDescent="0.2">
      <c r="A557" s="1" t="s">
        <v>1034</v>
      </c>
      <c r="B557" s="1" t="s">
        <v>1035</v>
      </c>
      <c r="C557" t="str">
        <f ca="1">IFERROR(__xludf.DUMMYFUNCTION("GOOGLETRANSLATE(B557, ""ja"", ""en"")"),"nickname")</f>
        <v>nickname</v>
      </c>
    </row>
    <row r="558" spans="1:3" ht="12.75" x14ac:dyDescent="0.2">
      <c r="A558" s="1" t="s">
        <v>1036</v>
      </c>
      <c r="B558" s="1" t="s">
        <v>1037</v>
      </c>
      <c r="C558" t="str">
        <f ca="1">IFERROR(__xludf.DUMMYFUNCTION("GOOGLETRANSLATE(B558, ""ja"", ""en"")"),"Because it was not signed in to return to the [n] the main menu screen.")</f>
        <v>Because it was not signed in to return to the [n] the main menu screen.</v>
      </c>
    </row>
    <row r="559" spans="1:3" ht="12.75" x14ac:dyDescent="0.2">
      <c r="A559" s="1" t="s">
        <v>1038</v>
      </c>
      <c r="B559" s="1" t="s">
        <v>1039</v>
      </c>
      <c r="C559" t="str">
        <f ca="1">IFERROR(__xludf.DUMMYFUNCTION("GOOGLETRANSLATE(B559, ""ja"", ""en"")"),"Because it was not signed up to return to the [n] the main menu screen.")</f>
        <v>Because it was not signed up to return to the [n] the main menu screen.</v>
      </c>
    </row>
    <row r="560" spans="1:3" ht="12.75" x14ac:dyDescent="0.2">
      <c r="A560" s="1" t="s">
        <v>1040</v>
      </c>
      <c r="B560" s="1" t="s">
        <v>1041</v>
      </c>
      <c r="C560" t="str">
        <f ca="1">IFERROR(__xludf.DUMMYFUNCTION("GOOGLETRANSLATE(B560, ""ja"", ""en"")"),"You have been signed out from the ""PSN"". You can not play in the [n] Toba mini game. To return to the [n] the main menu screen.")</f>
        <v>You have been signed out from the "PSN". You can not play in the [n] Toba mini game. To return to the [n] the main menu screen.</v>
      </c>
    </row>
    <row r="561" spans="1:3" ht="12.75" x14ac:dyDescent="0.2">
      <c r="A561" s="1" t="s">
        <v>1042</v>
      </c>
      <c r="B561" s="1" t="s">
        <v>1019</v>
      </c>
      <c r="C561" t="str">
        <f ca="1">IFERROR(__xludf.DUMMYFUNCTION("GOOGLETRANSLATE(B561, ""ja"", ""en"")"),"B")</f>
        <v>B</v>
      </c>
    </row>
    <row r="562" spans="1:3" ht="12.75" x14ac:dyDescent="0.2">
      <c r="A562" s="1" t="s">
        <v>1043</v>
      </c>
      <c r="B562" s="1" t="s">
        <v>1019</v>
      </c>
      <c r="C562" t="str">
        <f ca="1">IFERROR(__xludf.DUMMYFUNCTION("GOOGLETRANSLATE(B562, ""ja"", ""en"")"),"B")</f>
        <v>B</v>
      </c>
    </row>
    <row r="563" spans="1:3" ht="12.75" x14ac:dyDescent="0.2">
      <c r="A563" s="1" t="s">
        <v>1044</v>
      </c>
      <c r="B563" s="1" t="s">
        <v>1045</v>
      </c>
      <c r="C563" t="str">
        <f ca="1">IFERROR(__xludf.DUMMYFUNCTION("GOOGLETRANSLATE(B563, ""ja"", ""en"")"),"It is a communication waiting with other users. [N] Please wait for a while.")</f>
        <v>It is a communication waiting with other users. [N] Please wait for a while.</v>
      </c>
    </row>
    <row r="564" spans="1:3" ht="12.75" x14ac:dyDescent="0.2">
      <c r="A564" s="1" t="s">
        <v>1046</v>
      </c>
      <c r="B564" s="1" t="s">
        <v>1047</v>
      </c>
      <c r="C564" t="str">
        <f ca="1">IFERROR(__xludf.DUMMYFUNCTION("GOOGLETRANSLATE(B564, ""ja"", ""en"")"),"Failed to room of creation. [N] Check the communication situation.")</f>
        <v>Failed to room of creation. [N] Check the communication situation.</v>
      </c>
    </row>
    <row r="565" spans="1:3" ht="12.75" x14ac:dyDescent="0.2">
      <c r="A565" s="1" t="s">
        <v>1048</v>
      </c>
      <c r="B565" s="1" t="s">
        <v>1049</v>
      </c>
      <c r="C565" t="str">
        <f ca="1">IFERROR(__xludf.DUMMYFUNCTION("GOOGLETRANSLATE(B565, ""ja"", ""en"")"),"It failed in the ranking of the reception. Close the [n] ranking screen.")</f>
        <v>It failed in the ranking of the reception. Close the [n] ranking screen.</v>
      </c>
    </row>
    <row r="566" spans="1:3" ht="12.75" x14ac:dyDescent="0.2">
      <c r="A566" s="1" t="s">
        <v>1050</v>
      </c>
      <c r="B566" s="1" t="s">
        <v>1051</v>
      </c>
      <c r="C566" t="str">
        <f ca="1">IFERROR(__xludf.DUMMYFUNCTION("GOOGLETRANSLATE(B566, ""ja"", ""en"")"),"Waiting for his turn of the other player.")</f>
        <v>Waiting for his turn of the other player.</v>
      </c>
    </row>
    <row r="567" spans="1:3" ht="12.75" x14ac:dyDescent="0.2">
      <c r="A567" s="1" t="s">
        <v>1052</v>
      </c>
      <c r="B567" s="1" t="s">
        <v>1053</v>
      </c>
      <c r="C567" t="str">
        <f ca="1">IFERROR(__xludf.DUMMYFUNCTION("GOOGLETRANSLATE(B567, ""ja"", ""en"")"),"Shiba inu")</f>
        <v>Shiba inu</v>
      </c>
    </row>
    <row r="568" spans="1:3" ht="12.75" x14ac:dyDescent="0.2">
      <c r="A568" s="1" t="s">
        <v>1054</v>
      </c>
      <c r="B568" s="1" t="s">
        <v>1055</v>
      </c>
      <c r="C568" t="str">
        <f ca="1">IFERROR(__xludf.DUMMYFUNCTION("GOOGLETRANSLATE(B568, ""ja"", ""en"")"),"Black Shiba")</f>
        <v>Black Shiba</v>
      </c>
    </row>
    <row r="569" spans="1:3" ht="12.75" x14ac:dyDescent="0.2">
      <c r="A569" s="1" t="s">
        <v>1056</v>
      </c>
      <c r="B569" s="1" t="s">
        <v>1057</v>
      </c>
      <c r="C569" t="str">
        <f ca="1">IFERROR(__xludf.DUMMYFUNCTION("GOOGLETRANSLATE(B569, ""ja"", ""en"")"),"Shiroshiba")</f>
        <v>Shiroshiba</v>
      </c>
    </row>
    <row r="570" spans="1:3" ht="12.75" x14ac:dyDescent="0.2">
      <c r="A570" s="1" t="s">
        <v>1058</v>
      </c>
      <c r="B570" s="1" t="s">
        <v>1059</v>
      </c>
      <c r="C570" t="str">
        <f ca="1">IFERROR(__xludf.DUMMYFUNCTION("GOOGLETRANSLATE(B570, ""ja"", ""en"")"),"Tortoiseshell cat")</f>
        <v>Tortoiseshell cat</v>
      </c>
    </row>
    <row r="571" spans="1:3" ht="12.75" x14ac:dyDescent="0.2">
      <c r="A571" s="1" t="s">
        <v>1060</v>
      </c>
      <c r="B571" s="1" t="s">
        <v>1061</v>
      </c>
      <c r="C571" t="str">
        <f ca="1">IFERROR(__xludf.DUMMYFUNCTION("GOOGLETRANSLATE(B571, ""ja"", ""en"")"),"Black cat")</f>
        <v>Black cat</v>
      </c>
    </row>
    <row r="572" spans="1:3" ht="12.75" x14ac:dyDescent="0.2">
      <c r="A572" s="1" t="s">
        <v>1062</v>
      </c>
      <c r="B572" s="1" t="s">
        <v>1063</v>
      </c>
      <c r="C572" t="str">
        <f ca="1">IFERROR(__xludf.DUMMYFUNCTION("GOOGLETRANSLATE(B572, ""ja"", ""en"")"),"White cat")</f>
        <v>White cat</v>
      </c>
    </row>
    <row r="573" spans="1:3" ht="12.75" x14ac:dyDescent="0.2">
      <c r="A573" s="1" t="s">
        <v>1064</v>
      </c>
      <c r="B573" s="1" t="s">
        <v>1065</v>
      </c>
      <c r="C573" t="str">
        <f ca="1">IFERROR(__xludf.DUMMYFUNCTION("GOOGLETRANSLATE(B573, ""ja"", ""en"")"),"Please give it a name")</f>
        <v>Please give it a name</v>
      </c>
    </row>
    <row r="574" spans="1:3" ht="12.75" x14ac:dyDescent="0.2">
      <c r="A574" s="1" t="s">
        <v>1066</v>
      </c>
      <c r="B574" s="1" t="s">
        <v>1067</v>
      </c>
      <c r="C574" t="str">
        <f ca="1">IFERROR(__xludf.DUMMYFUNCTION("GOOGLETRANSLATE(B574, ""ja"", ""en"")"),"Are you sure you want to exchange?")</f>
        <v>Are you sure you want to exchange?</v>
      </c>
    </row>
    <row r="575" spans="1:3" ht="12.75" x14ac:dyDescent="0.2">
      <c r="A575" s="1" t="s">
        <v>1068</v>
      </c>
      <c r="B575" s="1" t="s">
        <v>1069</v>
      </c>
      <c r="C575" t="str">
        <f ca="1">IFERROR(__xludf.DUMMYFUNCTION("GOOGLETRANSLATE(B575, ""ja"", ""en"")"),"It has been replaced")</f>
        <v>It has been replaced</v>
      </c>
    </row>
    <row r="576" spans="1:3" ht="12.75" x14ac:dyDescent="0.2">
      <c r="A576" s="1" t="s">
        <v>1070</v>
      </c>
      <c r="B576" s="1" t="s">
        <v>1071</v>
      </c>
      <c r="C576" t="str">
        <f ca="1">IFERROR(__xludf.DUMMYFUNCTION("GOOGLETRANSLATE(B576, ""ja"", ""en"")"),"It does not have the things that can be passed")</f>
        <v>It does not have the things that can be passed</v>
      </c>
    </row>
    <row r="577" spans="1:3" ht="12.75" x14ac:dyDescent="0.2">
      <c r="A577" s="1" t="s">
        <v>1072</v>
      </c>
      <c r="B577" s="1" t="s">
        <v>1073</v>
      </c>
      <c r="C577" t="str">
        <f ca="1">IFERROR(__xludf.DUMMYFUNCTION("GOOGLETRANSLATE(B577, ""ja"", ""en"")"),"(Do not seem to do not have enough virtue ...)")</f>
        <v>(Do not seem to do not have enough virtue ...)</v>
      </c>
    </row>
    <row r="578" spans="1:3" ht="12.75" x14ac:dyDescent="0.2">
      <c r="A578" s="1" t="s">
        <v>1074</v>
      </c>
      <c r="B578" s="1" t="s">
        <v>1075</v>
      </c>
      <c r="C578" t="str">
        <f ca="1">IFERROR(__xludf.DUMMYFUNCTION("GOOGLETRANSLATE(B578, ""ja"", ""en"")"),"standard")</f>
        <v>standard</v>
      </c>
    </row>
    <row r="579" spans="1:3" ht="12.75" x14ac:dyDescent="0.2">
      <c r="A579" s="1" t="s">
        <v>1076</v>
      </c>
      <c r="B579" s="1" t="s">
        <v>1077</v>
      </c>
      <c r="C579" t="str">
        <f ca="1">IFERROR(__xludf.DUMMYFUNCTION("GOOGLETRANSLATE(B579, ""ja"", ""en"")"),"Gold Mai")</f>
        <v>Gold Mai</v>
      </c>
    </row>
    <row r="580" spans="1:3" ht="12.75" x14ac:dyDescent="0.2">
      <c r="A580" s="1" t="s">
        <v>1078</v>
      </c>
      <c r="B580" s="1" t="s">
        <v>1079</v>
      </c>
      <c r="C580" t="str">
        <f ca="1">IFERROR(__xludf.DUMMYFUNCTION("GOOGLETRANSLATE(B580, ""ja"", ""en"")"),"New construction style")</f>
        <v>New construction style</v>
      </c>
    </row>
    <row r="581" spans="1:3" ht="12.75" x14ac:dyDescent="0.2">
      <c r="A581" s="1" t="s">
        <v>1080</v>
      </c>
      <c r="B581" s="1" t="s">
        <v>1081</v>
      </c>
      <c r="C581" t="str">
        <f ca="1">IFERROR(__xludf.DUMMYFUNCTION("GOOGLETRANSLATE(B581, ""ja"", ""en"")"),"I love flowers")</f>
        <v>I love flowers</v>
      </c>
    </row>
    <row r="582" spans="1:3" ht="12.75" x14ac:dyDescent="0.2">
      <c r="A582" s="1" t="s">
        <v>1082</v>
      </c>
      <c r="B582" s="1" t="s">
        <v>1083</v>
      </c>
      <c r="C582" t="str">
        <f ca="1">IFERROR(__xludf.DUMMYFUNCTION("GOOGLETRANSLATE(B582, ""ja"", ""en"")"),"Interior D")</f>
        <v>Interior D</v>
      </c>
    </row>
    <row r="583" spans="1:3" ht="12.75" x14ac:dyDescent="0.2">
      <c r="A583" s="1" t="s">
        <v>1084</v>
      </c>
      <c r="B583" s="1" t="s">
        <v>1085</v>
      </c>
      <c r="C583" t="str">
        <f ca="1">IFERROR(__xludf.DUMMYFUNCTION("GOOGLETRANSLATE(B583, ""ja"", ""en"")"),"Interior E")</f>
        <v>Interior E</v>
      </c>
    </row>
    <row r="584" spans="1:3" ht="12.75" x14ac:dyDescent="0.2">
      <c r="A584" s="1" t="s">
        <v>1086</v>
      </c>
      <c r="B584" s="1" t="s">
        <v>1087</v>
      </c>
      <c r="C584" t="str">
        <f ca="1">IFERROR(__xludf.DUMMYFUNCTION("GOOGLETRANSLATE(B584, ""ja"", ""en"")"),"That's menu that does not make it's now in the kitchen. [N] the kitchen is ...... I hope to be able to extension")</f>
        <v>That's menu that does not make it's now in the kitchen. [N] the kitchen is ...... I hope to be able to extension</v>
      </c>
    </row>
    <row r="585" spans="1:3" ht="12.75" x14ac:dyDescent="0.2">
      <c r="A585" s="1" t="s">
        <v>1088</v>
      </c>
      <c r="B585" s="1" t="s">
        <v>1089</v>
      </c>
      <c r="C585" t="str">
        <f ca="1">IFERROR(__xludf.DUMMYFUNCTION("GOOGLETRANSLATE(B585, ""ja"", ""en"")"),"It's still a menu that does not make right now. Or extended to the kitchen to [n] ""universal kitchen"", I hope to be able to or taught a [n] how to make cooking to someone ......")</f>
        <v>It's still a menu that does not make right now. Or extended to the kitchen to [n] "universal kitchen", I hope to be able to or taught a [n] how to make cooking to someone ......</v>
      </c>
    </row>
    <row r="586" spans="1:3" ht="12.75" x14ac:dyDescent="0.2">
      <c r="A586" s="1" t="s">
        <v>1090</v>
      </c>
      <c r="B586" s="1" t="s">
        <v>1091</v>
      </c>
      <c r="C586" t="str">
        <f ca="1">IFERROR(__xludf.DUMMYFUNCTION("GOOGLETRANSLATE(B586, ""ja"", ""en"")"),"Material is not enough.")</f>
        <v>Material is not enough.</v>
      </c>
    </row>
    <row r="587" spans="1:3" ht="12.75" x14ac:dyDescent="0.2">
      <c r="A587" s="1" t="s">
        <v>1092</v>
      </c>
      <c r="B587" s="1" t="s">
        <v>1093</v>
      </c>
      <c r="C587" t="str">
        <f ca="1">IFERROR(__xludf.DUMMYFUNCTION("GOOGLETRANSLATE(B587, ""ja"", ""en"")"),"-")</f>
        <v>-</v>
      </c>
    </row>
    <row r="588" spans="1:3" ht="12.75" x14ac:dyDescent="0.2">
      <c r="A588" s="1" t="s">
        <v>1094</v>
      </c>
      <c r="B588" s="1" t="s">
        <v>1095</v>
      </c>
      <c r="C588" t="str">
        <f ca="1">IFERROR(__xludf.DUMMYFUNCTION("GOOGLETRANSLATE(B588, ""ja"", ""en"")"),"Please choose a destination. You can select the top and bottom of the left stick.")</f>
        <v>Please choose a destination. You can select the top and bottom of the left stick.</v>
      </c>
    </row>
    <row r="589" spans="1:3" ht="12.75" x14ac:dyDescent="0.2">
      <c r="A589" s="1" t="s">
        <v>1096</v>
      </c>
      <c r="B589" s="1" t="s">
        <v>1097</v>
      </c>
      <c r="C589" t="str">
        <f ca="1">IFERROR(__xludf.DUMMYFUNCTION("GOOGLETRANSLATE(B589, ""ja"", ""en"")"),"Chapter Tosa, Dappan")</f>
        <v>Chapter Tosa, Dappan</v>
      </c>
    </row>
    <row r="590" spans="1:3" ht="12.75" x14ac:dyDescent="0.2">
      <c r="A590" s="1" t="s">
        <v>1098</v>
      </c>
      <c r="B590" s="1" t="s">
        <v>1099</v>
      </c>
      <c r="C590" t="str">
        <f ca="1">IFERROR(__xludf.DUMMYFUNCTION("GOOGLETRANSLATE(B590, ""ja"", ""en"")"),"Chapter II a man named Saito Hajime")</f>
        <v>Chapter II a man named Saito Hajime</v>
      </c>
    </row>
    <row r="591" spans="1:3" ht="12.75" x14ac:dyDescent="0.2">
      <c r="A591" s="1" t="s">
        <v>1100</v>
      </c>
      <c r="B591" s="1" t="s">
        <v>1101</v>
      </c>
      <c r="C591" t="str">
        <f ca="1">IFERROR(__xludf.DUMMYFUNCTION("GOOGLETRANSLATE(B591, ""ja"", ""en"")"),"Chapter III Mibu wolf")</f>
        <v>Chapter III Mibu wolf</v>
      </c>
    </row>
    <row r="592" spans="1:3" ht="12.75" x14ac:dyDescent="0.2">
      <c r="A592" s="1" t="s">
        <v>1102</v>
      </c>
      <c r="B592" s="1" t="s">
        <v>1103</v>
      </c>
      <c r="C592" t="str">
        <f ca="1">IFERROR(__xludf.DUMMYFUNCTION("GOOGLETRANSLATE(B592, ""ja"", ""en"")"),"Chapter IV united front")</f>
        <v>Chapter IV united front</v>
      </c>
    </row>
    <row r="593" spans="1:3" ht="12.75" x14ac:dyDescent="0.2">
      <c r="A593" s="1" t="s">
        <v>1104</v>
      </c>
      <c r="B593" s="1" t="s">
        <v>1105</v>
      </c>
      <c r="C593" t="str">
        <f ca="1">IFERROR(__xludf.DUMMYFUNCTION("GOOGLETRANSLATE(B593, ""ja"", ""en"")"),"Chapter V of the iron law")</f>
        <v>Chapter V of the iron law</v>
      </c>
    </row>
    <row r="594" spans="1:3" ht="12.75" x14ac:dyDescent="0.2">
      <c r="A594" s="1" t="s">
        <v>1106</v>
      </c>
      <c r="B594" s="1" t="s">
        <v>1107</v>
      </c>
      <c r="C594" t="str">
        <f ca="1">IFERROR(__xludf.DUMMYFUNCTION("GOOGLETRANSLATE(B594, ""ja"", ""en"")"),"Chapter VI ikedaya incident")</f>
        <v>Chapter VI ikedaya incident</v>
      </c>
    </row>
    <row r="595" spans="1:3" ht="12.75" x14ac:dyDescent="0.2">
      <c r="A595" s="1" t="s">
        <v>1108</v>
      </c>
      <c r="B595" s="1" t="s">
        <v>1109</v>
      </c>
      <c r="C595" t="str">
        <f ca="1">IFERROR(__xludf.DUMMYFUNCTION("GOOGLETRANSLATE(B595, ""ja"", ""en"")"),"Chapter VII two of Ryoma")</f>
        <v>Chapter VII two of Ryoma</v>
      </c>
    </row>
    <row r="596" spans="1:3" ht="12.75" x14ac:dyDescent="0.2">
      <c r="A596" s="1" t="s">
        <v>1110</v>
      </c>
      <c r="B596" s="1" t="s">
        <v>1111</v>
      </c>
      <c r="C596" t="str">
        <f ca="1">IFERROR(__xludf.DUMMYFUNCTION("GOOGLETRANSLATE(B596, ""ja"", ""en"")"),"Chapter VIII mad dog barking")</f>
        <v>Chapter VIII mad dog barking</v>
      </c>
    </row>
    <row r="597" spans="1:3" ht="12.75" x14ac:dyDescent="0.2">
      <c r="A597" s="1" t="s">
        <v>1112</v>
      </c>
      <c r="B597" s="1" t="s">
        <v>1113</v>
      </c>
      <c r="C597" t="str">
        <f ca="1">IFERROR(__xludf.DUMMYFUNCTION("GOOGLETRANSLATE(B597, ""ja"", ""en"")"),"Runway of Chapter IX quarrel")</f>
        <v>Runway of Chapter IX quarrel</v>
      </c>
    </row>
    <row r="598" spans="1:3" ht="12.75" x14ac:dyDescent="0.2">
      <c r="A598" s="1" t="s">
        <v>1114</v>
      </c>
      <c r="B598" s="1" t="s">
        <v>1115</v>
      </c>
      <c r="C598" t="str">
        <f ca="1">IFERROR(__xludf.DUMMYFUNCTION("GOOGLETRANSLATE(B598, ""ja"", ""en"")"),"Chapter X identity")</f>
        <v>Chapter X identity</v>
      </c>
    </row>
    <row r="599" spans="1:3" ht="12.75" x14ac:dyDescent="0.2">
      <c r="A599" s="1" t="s">
        <v>1116</v>
      </c>
      <c r="B599" s="1" t="s">
        <v>1117</v>
      </c>
      <c r="C599" t="str">
        <f ca="1">IFERROR(__xludf.DUMMYFUNCTION("GOOGLETRANSLATE(B599, ""ja"", ""en"")"),"Chapter XI large gambling")</f>
        <v>Chapter XI large gambling</v>
      </c>
    </row>
    <row r="600" spans="1:3" ht="12.75" x14ac:dyDescent="0.2">
      <c r="A600" s="1" t="s">
        <v>1118</v>
      </c>
      <c r="B600" s="1" t="s">
        <v>1119</v>
      </c>
      <c r="C600" t="str">
        <f ca="1">IFERROR(__xludf.DUMMYFUNCTION("GOOGLETRANSLATE(B600, ""ja"", ""en"")"),"Chapter XII Kyoto flames")</f>
        <v>Chapter XII Kyoto flames</v>
      </c>
    </row>
    <row r="601" spans="1:3" ht="12.75" x14ac:dyDescent="0.2">
      <c r="A601" s="1" t="s">
        <v>1120</v>
      </c>
      <c r="B601" s="1" t="s">
        <v>1121</v>
      </c>
      <c r="C601" t="str">
        <f ca="1">IFERROR(__xludf.DUMMYFUNCTION("GOOGLETRANSLATE(B601, ""ja"", ""en"")"),"Chapter 13 Ryoma assassination")</f>
        <v>Chapter 13 Ryoma assassination</v>
      </c>
    </row>
    <row r="602" spans="1:3" ht="12.75" x14ac:dyDescent="0.2">
      <c r="A602" s="1" t="s">
        <v>1122</v>
      </c>
      <c r="B602" s="1" t="s">
        <v>1123</v>
      </c>
      <c r="C602" t="str">
        <f ca="1">IFERROR(__xludf.DUMMYFUNCTION("GOOGLETRANSLATE(B602, ""ja"", ""en"")"),"The final chapter dawn")</f>
        <v>The final chapter dawn</v>
      </c>
    </row>
    <row r="603" spans="1:3" ht="12.75" x14ac:dyDescent="0.2">
      <c r="A603" s="1" t="s">
        <v>1124</v>
      </c>
      <c r="B603" s="1" t="s">
        <v>1125</v>
      </c>
      <c r="C603" t="str">
        <f ca="1">IFERROR(__xludf.DUMMYFUNCTION("GOOGLETRANSLATE(B603, ""ja"", ""en"")"),"Complete")</f>
        <v>Complete</v>
      </c>
    </row>
    <row r="604" spans="1:3" ht="12.75" x14ac:dyDescent="0.2">
      <c r="A604" s="1" t="s">
        <v>1126</v>
      </c>
      <c r="B604" s="1" t="s">
        <v>1127</v>
      </c>
      <c r="C604" t="str">
        <f ca="1">IFERROR(__xludf.DUMMYFUNCTION("GOOGLETRANSLATE(B604, ""ja"", ""en"")"),"% S got the")</f>
        <v>% S got the</v>
      </c>
    </row>
    <row r="605" spans="1:3" ht="12.75" x14ac:dyDescent="0.2">
      <c r="A605" s="1" t="s">
        <v>1128</v>
      </c>
      <c r="B605" s="1" t="s">
        <v>1129</v>
      </c>
      <c r="C605" t="str">
        <f ca="1">IFERROR(__xludf.DUMMYFUNCTION("GOOGLETRANSLATE(B605, ""ja"", ""en"")"),"Lost% s")</f>
        <v>Lost% s</v>
      </c>
    </row>
    <row r="606" spans="1:3" ht="12.75" x14ac:dyDescent="0.2">
      <c r="A606" s="1" t="s">
        <v>1130</v>
      </c>
      <c r="B606" s="1" t="s">
        <v>1131</v>
      </c>
      <c r="C606" t="str">
        <f ca="1">IFERROR(__xludf.DUMMYFUNCTION("GOOGLETRANSLATE(B606, ""ja"", ""en"")"),"Physical strength has been restored")</f>
        <v>Physical strength has been restored</v>
      </c>
    </row>
    <row r="607" spans="1:3" ht="12.75" x14ac:dyDescent="0.2">
      <c r="A607" s="1" t="s">
        <v>1132</v>
      </c>
      <c r="B607" s="1" t="s">
        <v>1133</v>
      </c>
      <c r="C607" t="str">
        <f ca="1">IFERROR(__xludf.DUMMYFUNCTION("GOOGLETRANSLATE(B607, ""ja"", ""en"")"),"It was")</f>
        <v>It was</v>
      </c>
    </row>
    <row r="608" spans="1:3" ht="12.75" x14ac:dyDescent="0.2">
      <c r="A608" s="1" t="s">
        <v>1134</v>
      </c>
      <c r="B608" s="1" t="s">
        <v>1135</v>
      </c>
      <c r="C608" t="str">
        <f ca="1">IFERROR(__xludf.DUMMYFUNCTION("GOOGLETRANSLATE(B608, ""ja"", ""en"")"),"Experience:% s")</f>
        <v>Experience:% s</v>
      </c>
    </row>
    <row r="609" spans="1:3" ht="12.75" x14ac:dyDescent="0.2">
      <c r="A609" s="1" t="s">
        <v>1136</v>
      </c>
      <c r="B609" s="1" t="s">
        <v>1019</v>
      </c>
      <c r="C609" t="str">
        <f ca="1">IFERROR(__xludf.DUMMYFUNCTION("GOOGLETRANSLATE(B609, ""ja"", ""en"")"),"B")</f>
        <v>B</v>
      </c>
    </row>
    <row r="610" spans="1:3" ht="12.75" x14ac:dyDescent="0.2">
      <c r="A610" s="1" t="s">
        <v>1137</v>
      </c>
      <c r="B610" s="1" t="s">
        <v>247</v>
      </c>
      <c r="C610" t="str">
        <f ca="1">IFERROR(__xludf.DUMMYFUNCTION("GOOGLETRANSLATE(B610, ""ja"", ""en"")"),".")</f>
        <v>.</v>
      </c>
    </row>
    <row r="611" spans="1:3" ht="12.75" x14ac:dyDescent="0.2">
      <c r="A611" s="1" t="s">
        <v>1138</v>
      </c>
      <c r="B611" s="1" t="s">
        <v>1019</v>
      </c>
      <c r="C611" t="str">
        <f ca="1">IFERROR(__xludf.DUMMYFUNCTION("GOOGLETRANSLATE(B611, ""ja"", ""en"")"),"B")</f>
        <v>B</v>
      </c>
    </row>
    <row r="612" spans="1:3" ht="12.75" x14ac:dyDescent="0.2">
      <c r="A612" s="1" t="s">
        <v>1139</v>
      </c>
      <c r="B612" s="1" t="s">
        <v>1140</v>
      </c>
      <c r="C612" t="str">
        <f ca="1">IFERROR(__xludf.DUMMYFUNCTION("GOOGLETRANSLATE(B612, ""ja"", ""en"")"),"Equipment")</f>
        <v>Equipment</v>
      </c>
    </row>
    <row r="613" spans="1:3" ht="12.75" x14ac:dyDescent="0.2">
      <c r="A613" s="1" t="s">
        <v>1141</v>
      </c>
      <c r="B613" s="1" t="s">
        <v>1142</v>
      </c>
      <c r="C613" t="str">
        <f ca="1">IFERROR(__xludf.DUMMYFUNCTION("GOOGLETRANSLATE(B613, ""ja"", ""en"")"),"Belongings is full")</f>
        <v>Belongings is full</v>
      </c>
    </row>
    <row r="614" spans="1:3" ht="12.75" x14ac:dyDescent="0.2">
      <c r="A614" s="1" t="s">
        <v>1143</v>
      </c>
      <c r="B614" s="1" t="s">
        <v>1144</v>
      </c>
      <c r="C614" t="str">
        <f ca="1">IFERROR(__xludf.DUMMYFUNCTION("GOOGLETRANSLATE(B614, ""ja"", ""en"")"),"Edo Man'yu in")</f>
        <v>Edo Man'yu in</v>
      </c>
    </row>
    <row r="615" spans="1:3" ht="12.75" x14ac:dyDescent="0.2">
      <c r="A615" s="1" t="s">
        <v>1145</v>
      </c>
      <c r="B615" s="1" t="s">
        <v>1146</v>
      </c>
      <c r="C615" t="str">
        <f ca="1">IFERROR(__xludf.DUMMYFUNCTION("GOOGLETRANSLATE(B615, ""ja"", ""en"")"),"Free carefree or search. [N] to go to the place you want to go, trying to do what you want.")</f>
        <v>Free carefree or search. [N] to go to the place you want to go, trying to do what you want.</v>
      </c>
    </row>
    <row r="616" spans="1:3" ht="12.75" x14ac:dyDescent="0.2">
      <c r="A616" s="1" t="s">
        <v>1147</v>
      </c>
      <c r="B616" s="1" t="s">
        <v>1148</v>
      </c>
      <c r="C616" t="str">
        <f ca="1">IFERROR(__xludf.DUMMYFUNCTION("GOOGLETRANSLATE(B616, ""ja"", ""en"")"),"Free carefree search Shiyoka. [N] to go to the place you want to go, trying to do what you want.")</f>
        <v>Free carefree search Shiyoka. [N] to go to the place you want to go, trying to do what you want.</v>
      </c>
    </row>
    <row r="617" spans="1:3" ht="12.75" x14ac:dyDescent="0.2">
      <c r="A617" s="1" t="s">
        <v>1149</v>
      </c>
      <c r="B617" s="1" t="s">
        <v>1150</v>
      </c>
      <c r="C617" t="str">
        <f ca="1">IFERROR(__xludf.DUMMYFUNCTION("GOOGLETRANSLATE(B617, ""ja"", ""en"")"),"Free carefree search Shiyotto. Go to the [n] I want to go places, trying to do what you want to do.")</f>
        <v>Free carefree search Shiyotto. Go to the [n] I want to go places, trying to do what you want to do.</v>
      </c>
    </row>
    <row r="618" spans="1:3" ht="12.75" x14ac:dyDescent="0.2">
      <c r="A618" s="1" t="s">
        <v>1151</v>
      </c>
      <c r="B618" s="1" t="s">
        <v>1152</v>
      </c>
      <c r="C618" t="str">
        <f ca="1">IFERROR(__xludf.DUMMYFUNCTION("GOOGLETRANSLATE(B618, ""ja"", ""en"")"),"●% s [n] total play time% d time% 02d min / [n] level% 02d / Experience% d / [n] money in% s / betting point% d point [n] ● Battle Dungeon [n] solve mission% d matter / corps officer card% d sheets [n] ● Another life [n] crop% d species / fish% d species "&amp;"/ cuisine% d product / delivery% d items")</f>
        <v>●% s [n] total play time% d time% 02d min / [n] level% 02d / Experience% d / [n] money in% s / betting point% d point [n] ● Battle Dungeon [n] solve mission% d matter / corps officer card% d sheets [n] ● Another life [n] crop% d species / fish% d species / cuisine% d product / delivery% d items</v>
      </c>
    </row>
    <row r="619" spans="1:3" ht="12.75" x14ac:dyDescent="0.2">
      <c r="A619" s="1" t="s">
        <v>1153</v>
      </c>
      <c r="B619" s="1" t="s">
        <v>1154</v>
      </c>
      <c r="C619" t="str">
        <f ca="1">IFERROR(__xludf.DUMMYFUNCTION("GOOGLETRANSLATE(B619, ""ja"", ""en"")"),"Goods")</f>
        <v>Goods</v>
      </c>
    </row>
    <row r="620" spans="1:3" ht="12.75" x14ac:dyDescent="0.2">
      <c r="A620" s="1" t="s">
        <v>1155</v>
      </c>
      <c r="B620" s="1" t="s">
        <v>1156</v>
      </c>
      <c r="C620" t="str">
        <f ca="1">IFERROR(__xludf.DUMMYFUNCTION("GOOGLETRANSLATE(B620, ""ja"", ""en"")"),"Clear data")</f>
        <v>Clear data</v>
      </c>
    </row>
    <row r="621" spans="1:3" ht="12.75" x14ac:dyDescent="0.2">
      <c r="A621" s="1" t="s">
        <v>1157</v>
      </c>
      <c r="B621" s="1" t="s">
        <v>1158</v>
      </c>
      <c r="C621" t="str">
        <f ca="1">IFERROR(__xludf.DUMMYFUNCTION("GOOGLETRANSLATE(B621, ""ja"", ""en"")"),"sell")</f>
        <v>sell</v>
      </c>
    </row>
    <row r="622" spans="1:3" ht="12.75" x14ac:dyDescent="0.2">
      <c r="A622" s="1" t="s">
        <v>1159</v>
      </c>
      <c r="B622" s="1" t="s">
        <v>1160</v>
      </c>
      <c r="C622" t="str">
        <f ca="1">IFERROR(__xludf.DUMMYFUNCTION("GOOGLETRANSLATE(B622, ""ja"", ""en"")"),"eat")</f>
        <v>eat</v>
      </c>
    </row>
    <row r="623" spans="1:3" ht="12.75" x14ac:dyDescent="0.2">
      <c r="A623" s="1" t="s">
        <v>1161</v>
      </c>
      <c r="B623" s="1" t="s">
        <v>1162</v>
      </c>
      <c r="C623" t="str">
        <f ca="1">IFERROR(__xludf.DUMMYFUNCTION("GOOGLETRANSLATE(B623, ""ja"", ""en"")"),"Replace")</f>
        <v>Replace</v>
      </c>
    </row>
    <row r="624" spans="1:3" ht="12.75" x14ac:dyDescent="0.2">
      <c r="A624" s="1" t="s">
        <v>1163</v>
      </c>
      <c r="B624" s="1" t="s">
        <v>1164</v>
      </c>
      <c r="C624" t="str">
        <f ca="1">IFERROR(__xludf.DUMMYFUNCTION("GOOGLETRANSLATE(B624, ""ja"", ""en"")"),"Enlargement")</f>
        <v>Enlargement</v>
      </c>
    </row>
    <row r="625" spans="1:3" ht="12.75" x14ac:dyDescent="0.2">
      <c r="A625" s="1" t="s">
        <v>1165</v>
      </c>
      <c r="B625" s="1" t="s">
        <v>1166</v>
      </c>
      <c r="C625" t="str">
        <f ca="1">IFERROR(__xludf.DUMMYFUNCTION("GOOGLETRANSLATE(B625, ""ja"", ""en"")"),"Reduction")</f>
        <v>Reduction</v>
      </c>
    </row>
    <row r="626" spans="1:3" ht="12.75" x14ac:dyDescent="0.2">
      <c r="A626" s="1" t="s">
        <v>1167</v>
      </c>
      <c r="B626" s="1" t="s">
        <v>1168</v>
      </c>
      <c r="C626" t="str">
        <f ca="1">IFERROR(__xludf.DUMMYFUNCTION("GOOGLETRANSLATE(B626, ""ja"", ""en"")"),"use")</f>
        <v>use</v>
      </c>
    </row>
    <row r="627" spans="1:3" ht="12.75" x14ac:dyDescent="0.2">
      <c r="A627" s="1" t="s">
        <v>1169</v>
      </c>
      <c r="B627" s="1" t="s">
        <v>1170</v>
      </c>
      <c r="C627" t="str">
        <f ca="1">IFERROR(__xludf.DUMMYFUNCTION("GOOGLETRANSLATE(B627, ""ja"", ""en"")"),"throw away")</f>
        <v>throw away</v>
      </c>
    </row>
    <row r="628" spans="1:3" ht="12.75" x14ac:dyDescent="0.2">
      <c r="A628" s="1" t="s">
        <v>1171</v>
      </c>
      <c r="B628" s="1" t="s">
        <v>1172</v>
      </c>
      <c r="C628" t="str">
        <f ca="1">IFERROR(__xludf.DUMMYFUNCTION("GOOGLETRANSLATE(B628, ""ja"", ""en"")"),"Confirm")</f>
        <v>Confirm</v>
      </c>
    </row>
    <row r="629" spans="1:3" ht="12.75" x14ac:dyDescent="0.2">
      <c r="A629" s="1" t="s">
        <v>1173</v>
      </c>
      <c r="B629" s="1" t="s">
        <v>1174</v>
      </c>
      <c r="C629" t="str">
        <f ca="1">IFERROR(__xludf.DUMMYFUNCTION("GOOGLETRANSLATE(B629, ""ja"", ""en"")"),"to see")</f>
        <v>to see</v>
      </c>
    </row>
    <row r="630" spans="1:3" ht="12.75" x14ac:dyDescent="0.2">
      <c r="A630" s="1" t="s">
        <v>1175</v>
      </c>
      <c r="B630" s="1" t="s">
        <v>1176</v>
      </c>
      <c r="C630" t="str">
        <f ca="1">IFERROR(__xludf.DUMMYFUNCTION("GOOGLETRANSLATE(B630, ""ja"", ""en"")"),"Valuables")</f>
        <v>Valuables</v>
      </c>
    </row>
    <row r="631" spans="1:3" ht="12.75" x14ac:dyDescent="0.2">
      <c r="A631" s="1" t="s">
        <v>1177</v>
      </c>
      <c r="B631" s="1" t="s">
        <v>1178</v>
      </c>
      <c r="C631" t="str">
        <f ca="1">IFERROR(__xludf.DUMMYFUNCTION("GOOGLETRANSLATE(B631, ""ja"", ""en"")"),"Belongings")</f>
        <v>Belongings</v>
      </c>
    </row>
    <row r="632" spans="1:3" ht="12.75" x14ac:dyDescent="0.2">
      <c r="A632" s="1" t="s">
        <v>1179</v>
      </c>
      <c r="B632" s="1" t="s">
        <v>1180</v>
      </c>
      <c r="C632" t="str">
        <f ca="1">IFERROR(__xludf.DUMMYFUNCTION("GOOGLETRANSLATE(B632, ""ja"", ""en"")"),"List")</f>
        <v>List</v>
      </c>
    </row>
    <row r="633" spans="1:3" ht="12.75" x14ac:dyDescent="0.2">
      <c r="A633" s="1" t="s">
        <v>1181</v>
      </c>
      <c r="B633" s="1" t="s">
        <v>1182</v>
      </c>
      <c r="C633" t="str">
        <f ca="1">IFERROR(__xludf.DUMMYFUNCTION("GOOGLETRANSLATE(B633, ""ja"", ""en"")"),"remove")</f>
        <v>remove</v>
      </c>
    </row>
    <row r="634" spans="1:3" ht="12.75" x14ac:dyDescent="0.2">
      <c r="A634" s="1" t="s">
        <v>1183</v>
      </c>
      <c r="B634" s="1" t="s">
        <v>1184</v>
      </c>
      <c r="C634" t="str">
        <f ca="1">IFERROR(__xludf.DUMMYFUNCTION("GOOGLETRANSLATE(B634, ""ja"", ""en"")"),"buy")</f>
        <v>buy</v>
      </c>
    </row>
    <row r="635" spans="1:3" ht="12.75" x14ac:dyDescent="0.2">
      <c r="A635" s="1" t="s">
        <v>1185</v>
      </c>
      <c r="B635" s="1" t="s">
        <v>1186</v>
      </c>
      <c r="C635" t="str">
        <f ca="1">IFERROR(__xludf.DUMMYFUNCTION("GOOGLETRANSLATE(B635, ""ja"", ""en"")"),"Confirmation")</f>
        <v>Confirmation</v>
      </c>
    </row>
    <row r="636" spans="1:3" ht="12.75" x14ac:dyDescent="0.2">
      <c r="A636" s="1" t="s">
        <v>1187</v>
      </c>
      <c r="B636" s="1" t="s">
        <v>1188</v>
      </c>
      <c r="C636" t="str">
        <f ca="1">IFERROR(__xludf.DUMMYFUNCTION("GOOGLETRANSLATE(B636, ""ja"", ""en"")"),"Line up")</f>
        <v>Line up</v>
      </c>
    </row>
    <row r="637" spans="1:3" ht="12.75" x14ac:dyDescent="0.2">
      <c r="A637" s="1" t="s">
        <v>1189</v>
      </c>
      <c r="B637" s="1" t="s">
        <v>1190</v>
      </c>
      <c r="C637" t="str">
        <f ca="1">IFERROR(__xludf.DUMMYFUNCTION("GOOGLETRANSLATE(B637, ""ja"", ""en"")"),"Move")</f>
        <v>Move</v>
      </c>
    </row>
    <row r="638" spans="1:3" ht="12.75" x14ac:dyDescent="0.2">
      <c r="A638" s="1" t="s">
        <v>1191</v>
      </c>
      <c r="B638" s="1" t="s">
        <v>1192</v>
      </c>
      <c r="C638" t="str">
        <f ca="1">IFERROR(__xludf.DUMMYFUNCTION("GOOGLETRANSLATE(B638, ""ja"", ""en"")"),"Kyoto all the drawings")</f>
        <v>Kyoto all the drawings</v>
      </c>
    </row>
    <row r="639" spans="1:3" ht="12.75" x14ac:dyDescent="0.2">
      <c r="A639" s="1" t="s">
        <v>1193</v>
      </c>
      <c r="B639" s="1" t="s">
        <v>1194</v>
      </c>
      <c r="C639" t="str">
        <f ca="1">IFERROR(__xludf.DUMMYFUNCTION("GOOGLETRANSLATE(B639, ""ja"", ""en"")"),"Armed to the teeth")</f>
        <v>Armed to the teeth</v>
      </c>
    </row>
    <row r="640" spans="1:3" ht="12.75" x14ac:dyDescent="0.2">
      <c r="A640" s="1" t="s">
        <v>1195</v>
      </c>
      <c r="B640" s="1" t="s">
        <v>1196</v>
      </c>
      <c r="C640" t="str">
        <f ca="1">IFERROR(__xludf.DUMMYFUNCTION("GOOGLETRANSLATE(B640, ""ja"", ""en"")"),"switching")</f>
        <v>switching</v>
      </c>
    </row>
    <row r="641" spans="1:3" ht="12.75" x14ac:dyDescent="0.2">
      <c r="A641" s="1" t="s">
        <v>1197</v>
      </c>
      <c r="B641" s="1" t="s">
        <v>1198</v>
      </c>
      <c r="C641" t="str">
        <f ca="1">IFERROR(__xludf.DUMMYFUNCTION("GOOGLETRANSLATE(B641, ""ja"", ""en"")"),"sort")</f>
        <v>sort</v>
      </c>
    </row>
    <row r="642" spans="1:3" ht="12.75" x14ac:dyDescent="0.2">
      <c r="A642" s="1" t="s">
        <v>1199</v>
      </c>
      <c r="B642" s="1" t="s">
        <v>1200</v>
      </c>
      <c r="C642" t="str">
        <f ca="1">IFERROR(__xludf.DUMMYFUNCTION("GOOGLETRANSLATE(B642, ""ja"", ""en"")"),"Standard Display")</f>
        <v>Standard Display</v>
      </c>
    </row>
    <row r="643" spans="1:3" ht="12.75" x14ac:dyDescent="0.2">
      <c r="A643" s="1" t="s">
        <v>1201</v>
      </c>
      <c r="B643" s="1" t="s">
        <v>1202</v>
      </c>
      <c r="C643" t="str">
        <f ca="1">IFERROR(__xludf.DUMMYFUNCTION("GOOGLETRANSLATE(B643, ""ja"", ""en"")"),"Descending Display")</f>
        <v>Descending Display</v>
      </c>
    </row>
    <row r="644" spans="1:3" ht="12.75" x14ac:dyDescent="0.2">
      <c r="A644" s="1" t="s">
        <v>1203</v>
      </c>
      <c r="B644" s="1" t="s">
        <v>1204</v>
      </c>
      <c r="C644" t="str">
        <f ca="1">IFERROR(__xludf.DUMMYFUNCTION("GOOGLETRANSLATE(B644, ""ja"", ""en"")"),"Ascending Display")</f>
        <v>Ascending Display</v>
      </c>
    </row>
    <row r="645" spans="1:3" ht="12.75" x14ac:dyDescent="0.2">
      <c r="A645" s="1" t="s">
        <v>1205</v>
      </c>
      <c r="B645" s="1" t="s">
        <v>1206</v>
      </c>
      <c r="C645" t="str">
        <f ca="1">IFERROR(__xludf.DUMMYFUNCTION("GOOGLETRANSLATE(B645, ""ja"", ""en"")"),"tool")</f>
        <v>tool</v>
      </c>
    </row>
    <row r="646" spans="1:3" ht="12.75" x14ac:dyDescent="0.2">
      <c r="A646" s="1" t="s">
        <v>1207</v>
      </c>
      <c r="B646" s="1" t="s">
        <v>1208</v>
      </c>
      <c r="C646" t="str">
        <f ca="1">IFERROR(__xludf.DUMMYFUNCTION("GOOGLETRANSLATE(B646, ""ja"", ""en"")"),"Escape")</f>
        <v>Escape</v>
      </c>
    </row>
    <row r="647" spans="1:3" ht="12.75" x14ac:dyDescent="0.2">
      <c r="A647" s="1" t="s">
        <v>1209</v>
      </c>
      <c r="B647" s="1" t="s">
        <v>1210</v>
      </c>
      <c r="C647" t="str">
        <f ca="1">IFERROR(__xludf.DUMMYFUNCTION("GOOGLETRANSLATE(B647, ""ja"", ""en"")"),"Possession tool")</f>
        <v>Possession tool</v>
      </c>
    </row>
    <row r="648" spans="1:3" ht="12.75" x14ac:dyDescent="0.2">
      <c r="A648" s="1" t="s">
        <v>1211</v>
      </c>
      <c r="B648" s="1" t="s">
        <v>1212</v>
      </c>
      <c r="C648" t="str">
        <f ca="1">IFERROR(__xludf.DUMMYFUNCTION("GOOGLETRANSLATE(B648, ""ja"", ""en"")"),"Arrangement")</f>
        <v>Arrangement</v>
      </c>
    </row>
    <row r="649" spans="1:3" ht="12.75" x14ac:dyDescent="0.2">
      <c r="A649" s="1" t="s">
        <v>1213</v>
      </c>
      <c r="B649" s="1" t="s">
        <v>1214</v>
      </c>
      <c r="C649" t="str">
        <f ca="1">IFERROR(__xludf.DUMMYFUNCTION("GOOGLETRANSLATE(B649, ""ja"", ""en"")"),"Choice")</f>
        <v>Choice</v>
      </c>
    </row>
    <row r="650" spans="1:3" ht="12.75" x14ac:dyDescent="0.2">
      <c r="A650" s="1" t="s">
        <v>1215</v>
      </c>
      <c r="B650" s="1" t="s">
        <v>1216</v>
      </c>
      <c r="C650" t="str">
        <f ca="1">IFERROR(__xludf.DUMMYFUNCTION("GOOGLETRANSLATE(B650, ""ja"", ""en"")"),"More detail")</f>
        <v>More detail</v>
      </c>
    </row>
    <row r="651" spans="1:3" ht="12.75" x14ac:dyDescent="0.2">
      <c r="A651" s="1" t="s">
        <v>1217</v>
      </c>
      <c r="B651" s="1" t="s">
        <v>1218</v>
      </c>
      <c r="C651" t="str">
        <f ca="1">IFERROR(__xludf.DUMMYFUNCTION("GOOGLETRANSLATE(B651, ""ja"", ""en"")"),"Ability confirmation")</f>
        <v>Ability confirmation</v>
      </c>
    </row>
    <row r="652" spans="1:3" ht="12.75" x14ac:dyDescent="0.2">
      <c r="A652" s="1" t="s">
        <v>1219</v>
      </c>
      <c r="B652" s="1" t="s">
        <v>1220</v>
      </c>
      <c r="C652" t="str">
        <f ca="1">IFERROR(__xludf.DUMMYFUNCTION("GOOGLETRANSLATE(B652, ""ja"", ""en"")"),"Capacity building")</f>
        <v>Capacity building</v>
      </c>
    </row>
    <row r="653" spans="1:3" ht="12.75" x14ac:dyDescent="0.2">
      <c r="A653" s="1" t="s">
        <v>1221</v>
      </c>
      <c r="B653" s="1" t="s">
        <v>1222</v>
      </c>
      <c r="C653" t="str">
        <f ca="1">IFERROR(__xludf.DUMMYFUNCTION("GOOGLETRANSLATE(B653, ""ja"", ""en"")"),"item")</f>
        <v>item</v>
      </c>
    </row>
    <row r="654" spans="1:3" ht="12.75" x14ac:dyDescent="0.2">
      <c r="A654" s="1" t="s">
        <v>1223</v>
      </c>
      <c r="B654" s="1" t="s">
        <v>1224</v>
      </c>
      <c r="C654" t="str">
        <f ca="1">IFERROR(__xludf.DUMMYFUNCTION("GOOGLETRANSLATE(B654, ""ja"", ""en"")"),"Map selection")</f>
        <v>Map selection</v>
      </c>
    </row>
    <row r="655" spans="1:3" ht="12.75" x14ac:dyDescent="0.2">
      <c r="A655" s="1" t="s">
        <v>1225</v>
      </c>
      <c r="B655" s="1" t="s">
        <v>1226</v>
      </c>
      <c r="C655" t="str">
        <f ca="1">IFERROR(__xludf.DUMMYFUNCTION("GOOGLETRANSLATE(B655, ""ja"", ""en"")"),"Necessary materials")</f>
        <v>Necessary materials</v>
      </c>
    </row>
    <row r="656" spans="1:3" ht="12.75" x14ac:dyDescent="0.2">
      <c r="A656" s="1" t="s">
        <v>1227</v>
      </c>
      <c r="B656" s="1" t="s">
        <v>1228</v>
      </c>
      <c r="C656" t="str">
        <f ca="1">IFERROR(__xludf.DUMMYFUNCTION("GOOGLETRANSLATE(B656, ""ja"", ""en"")"),"All play")</f>
        <v>All play</v>
      </c>
    </row>
    <row r="657" spans="1:3" ht="12.75" x14ac:dyDescent="0.2">
      <c r="A657" s="1" t="s">
        <v>1229</v>
      </c>
      <c r="B657" s="1" t="s">
        <v>1230</v>
      </c>
      <c r="C657" t="str">
        <f ca="1">IFERROR(__xludf.DUMMYFUNCTION("GOOGLETRANSLATE(B657, ""ja"", ""en"")"),"rotation")</f>
        <v>rotation</v>
      </c>
    </row>
    <row r="658" spans="1:3" ht="12.75" x14ac:dyDescent="0.2">
      <c r="A658" s="1" t="s">
        <v>1231</v>
      </c>
      <c r="B658" s="1" t="s">
        <v>1232</v>
      </c>
      <c r="C658" t="str">
        <f ca="1">IFERROR(__xludf.DUMMYFUNCTION("GOOGLETRANSLATE(B658, ""ja"", ""en"")"),"hero")</f>
        <v>hero</v>
      </c>
    </row>
    <row r="659" spans="1:3" ht="12.75" x14ac:dyDescent="0.2">
      <c r="A659" s="1" t="s">
        <v>1233</v>
      </c>
      <c r="B659" s="1" t="s">
        <v>1234</v>
      </c>
      <c r="C659" t="str">
        <f ca="1">IFERROR(__xludf.DUMMYFUNCTION("GOOGLETRANSLATE(B659, ""ja"", ""en"")"),"Warehouse")</f>
        <v>Warehouse</v>
      </c>
    </row>
    <row r="660" spans="1:3" ht="12.75" x14ac:dyDescent="0.2">
      <c r="A660" s="1" t="s">
        <v>1235</v>
      </c>
      <c r="B660" s="1" t="s">
        <v>1236</v>
      </c>
      <c r="C660" t="str">
        <f ca="1">IFERROR(__xludf.DUMMYFUNCTION("GOOGLETRANSLATE(B660, ""ja"", ""en"")"),"Auto organize")</f>
        <v>Auto organize</v>
      </c>
    </row>
    <row r="661" spans="1:3" ht="12.75" x14ac:dyDescent="0.2">
      <c r="A661" s="1" t="s">
        <v>1237</v>
      </c>
      <c r="B661" s="1" t="s">
        <v>1238</v>
      </c>
      <c r="C661" t="str">
        <f ca="1">IFERROR(__xludf.DUMMYFUNCTION("GOOGLETRANSLATE(B661, ""ja"", ""en"")"),"Select all")</f>
        <v>Select all</v>
      </c>
    </row>
    <row r="662" spans="1:3" ht="12.75" x14ac:dyDescent="0.2">
      <c r="A662" s="1" t="s">
        <v>1239</v>
      </c>
      <c r="B662" s="1" t="s">
        <v>1240</v>
      </c>
      <c r="C662" t="str">
        <f ca="1">IFERROR(__xludf.DUMMYFUNCTION("GOOGLETRANSLATE(B662, ""ja"", ""en"")"),"reply")</f>
        <v>reply</v>
      </c>
    </row>
    <row r="663" spans="1:3" ht="12.75" x14ac:dyDescent="0.2">
      <c r="A663" s="1" t="s">
        <v>1241</v>
      </c>
      <c r="B663" s="1" t="s">
        <v>1242</v>
      </c>
      <c r="C663" t="str">
        <f ca="1">IFERROR(__xludf.DUMMYFUNCTION("GOOGLETRANSLATE(B663, ""ja"", ""en"")"),"Detailed facility")</f>
        <v>Detailed facility</v>
      </c>
    </row>
    <row r="664" spans="1:3" ht="12.75" x14ac:dyDescent="0.2">
      <c r="A664" s="1" t="s">
        <v>1243</v>
      </c>
      <c r="B664" s="1" t="s">
        <v>1244</v>
      </c>
      <c r="C664" t="str">
        <f ca="1">IFERROR(__xludf.DUMMYFUNCTION("GOOGLETRANSLATE(B664, ""ja"", ""en"")"),"Destination setting")</f>
        <v>Destination setting</v>
      </c>
    </row>
    <row r="665" spans="1:3" ht="12.75" x14ac:dyDescent="0.2">
      <c r="A665" s="1" t="s">
        <v>1245</v>
      </c>
      <c r="B665" s="1" t="s">
        <v>1246</v>
      </c>
      <c r="C665" t="str">
        <f ca="1">IFERROR(__xludf.DUMMYFUNCTION("GOOGLETRANSLATE(B665, ""ja"", ""en"")"),"Pause menu")</f>
        <v>Pause menu</v>
      </c>
    </row>
    <row r="666" spans="1:3" ht="12.75" x14ac:dyDescent="0.2">
      <c r="A666" s="1" t="s">
        <v>1247</v>
      </c>
      <c r="B666" s="1" t="s">
        <v>1248</v>
      </c>
      <c r="C666" t="str">
        <f ca="1">IFERROR(__xludf.DUMMYFUNCTION("GOOGLETRANSLATE(B666, ""ja"", ""en"")"),"map")</f>
        <v>map</v>
      </c>
    </row>
    <row r="667" spans="1:3" ht="12.75" x14ac:dyDescent="0.2">
      <c r="A667" s="1" t="s">
        <v>1249</v>
      </c>
      <c r="B667" s="1" t="s">
        <v>1250</v>
      </c>
      <c r="C667" t="str">
        <f ca="1">IFERROR(__xludf.DUMMYFUNCTION("GOOGLETRANSLATE(B667, ""ja"", ""en"")"),"None equipment")</f>
        <v>None equipment</v>
      </c>
    </row>
    <row r="668" spans="1:3" ht="12.75" x14ac:dyDescent="0.2">
      <c r="A668" s="1" t="s">
        <v>1251</v>
      </c>
      <c r="B668" s="1" t="s">
        <v>1252</v>
      </c>
      <c r="C668" t="str">
        <f ca="1">IFERROR(__xludf.DUMMYFUNCTION("GOOGLETRANSLATE(B668, ""ja"", ""en"")"),"% D%")</f>
        <v>% D%</v>
      </c>
    </row>
    <row r="669" spans="1:3" ht="12.75" x14ac:dyDescent="0.2">
      <c r="A669" s="1" t="s">
        <v>1253</v>
      </c>
      <c r="B669" s="1" t="s">
        <v>1254</v>
      </c>
      <c r="C669" t="str">
        <f ca="1">IFERROR(__xludf.DUMMYFUNCTION("GOOGLETRANSLATE(B669, ""ja"", ""en"")"),"Storey")</f>
        <v>Storey</v>
      </c>
    </row>
    <row r="670" spans="1:3" ht="12.75" x14ac:dyDescent="0.2">
      <c r="A670" s="1" t="s">
        <v>1255</v>
      </c>
      <c r="B670" s="1" t="s">
        <v>1256</v>
      </c>
      <c r="C670" t="str">
        <f ca="1">IFERROR(__xludf.DUMMYFUNCTION("GOOGLETRANSLATE(B670, ""ja"", ""en"")"),"I sent an item to the warehouse.")</f>
        <v>I sent an item to the warehouse.</v>
      </c>
    </row>
    <row r="671" spans="1:3" ht="12.75" x14ac:dyDescent="0.2">
      <c r="A671" s="1" t="s">
        <v>1257</v>
      </c>
      <c r="B671" s="1" t="s">
        <v>1258</v>
      </c>
      <c r="C671" t="str">
        <f ca="1">IFERROR(__xludf.DUMMYFUNCTION("GOOGLETRANSLATE(B671, ""ja"", ""en"")"),"Some of the items is the number could not be sent because of the limit.")</f>
        <v>Some of the items is the number could not be sent because of the limit.</v>
      </c>
    </row>
    <row r="672" spans="1:3" ht="12.75" x14ac:dyDescent="0.2">
      <c r="A672" s="1" t="s">
        <v>1259</v>
      </c>
      <c r="B672" s="1" t="s">
        <v>1260</v>
      </c>
      <c r="C672" t="str">
        <f ca="1">IFERROR(__xludf.DUMMYFUNCTION("GOOGLETRANSLATE(B672, ""ja"", ""en"")"),"There is no free space in the arms of the warehouse. Please organize.")</f>
        <v>There is no free space in the arms of the warehouse. Please organize.</v>
      </c>
    </row>
    <row r="673" spans="1:3" ht="12.75" x14ac:dyDescent="0.2">
      <c r="A673" s="1" t="s">
        <v>1261</v>
      </c>
      <c r="B673" s="1" t="s">
        <v>247</v>
      </c>
      <c r="C673" t="str">
        <f ca="1">IFERROR(__xludf.DUMMYFUNCTION("GOOGLETRANSLATE(B673, ""ja"", ""en"")"),".")</f>
        <v>.</v>
      </c>
    </row>
    <row r="674" spans="1:3" ht="12.75" x14ac:dyDescent="0.2">
      <c r="A674" s="1" t="s">
        <v>1262</v>
      </c>
      <c r="B674" s="1" t="s">
        <v>1263</v>
      </c>
      <c r="C674" t="str">
        <f ca="1">IFERROR(__xludf.DUMMYFUNCTION("GOOGLETRANSLATE(B674, ""ja"", ""en"")"),"&lt;Sign: 6&gt; and &lt;Sign: 4&gt; you can switch between the ability tab at")</f>
        <v>&lt;Sign: 6&gt; and &lt;Sign: 4&gt; you can switch between the ability tab at</v>
      </c>
    </row>
    <row r="675" spans="1:3" ht="12.75" x14ac:dyDescent="0.2">
      <c r="A675" s="1" t="s">
        <v>1264</v>
      </c>
      <c r="B675" s="1" t="s">
        <v>1265</v>
      </c>
      <c r="C675" t="str">
        <f ca="1">IFERROR(__xludf.DUMMYFUNCTION("GOOGLETRANSLATE(B675, ""ja"", ""en"")"),"&lt;Sign: 6&gt; and &lt;Sign: 4&gt; you can switch between the items and weapons")</f>
        <v>&lt;Sign: 6&gt; and &lt;Sign: 4&gt; you can switch between the items and weapons</v>
      </c>
    </row>
    <row r="676" spans="1:3" ht="12.75" x14ac:dyDescent="0.2">
      <c r="A676" s="1" t="s">
        <v>1266</v>
      </c>
      <c r="B676" s="1" t="s">
        <v>1267</v>
      </c>
      <c r="C676" t="str">
        <f ca="1">IFERROR(__xludf.DUMMYFUNCTION("GOOGLETRANSLATE(B676, ""ja"", ""en"")"),"field")</f>
        <v>field</v>
      </c>
    </row>
    <row r="677" spans="1:3" ht="12.75" x14ac:dyDescent="0.2">
      <c r="A677" s="1" t="s">
        <v>1268</v>
      </c>
      <c r="B677" s="1" t="s">
        <v>1269</v>
      </c>
      <c r="C677" t="str">
        <f ca="1">IFERROR(__xludf.DUMMYFUNCTION("GOOGLETRANSLATE(B677, ""ja"", ""en"")"),"town")</f>
        <v>town</v>
      </c>
    </row>
    <row r="678" spans="1:3" ht="12.75" x14ac:dyDescent="0.2">
      <c r="A678" s="1" t="s">
        <v>1270</v>
      </c>
      <c r="B678" s="1" t="s">
        <v>1271</v>
      </c>
      <c r="C678" t="str">
        <f ca="1">IFERROR(__xludf.DUMMYFUNCTION("GOOGLETRANSLATE(B678, ""ja"", ""en"")"),"A city")</f>
        <v>A city</v>
      </c>
    </row>
    <row r="679" spans="1:3" ht="12.75" x14ac:dyDescent="0.2">
      <c r="A679" s="1" t="s">
        <v>1272</v>
      </c>
      <c r="B679" s="1" t="s">
        <v>1273</v>
      </c>
      <c r="C679" t="str">
        <f ca="1">IFERROR(__xludf.DUMMYFUNCTION("GOOGLETRANSLATE(B679, ""ja"", ""en"")"),"moat")</f>
        <v>moat</v>
      </c>
    </row>
    <row r="680" spans="1:3" ht="12.75" x14ac:dyDescent="0.2">
      <c r="A680" s="1" t="s">
        <v>1274</v>
      </c>
      <c r="B680" s="1" t="s">
        <v>1271</v>
      </c>
      <c r="C680" t="str">
        <f ca="1">IFERROR(__xludf.DUMMYFUNCTION("GOOGLETRANSLATE(B680, ""ja"", ""en"")"),"A city")</f>
        <v>A city</v>
      </c>
    </row>
    <row r="681" spans="1:3" ht="12.75" x14ac:dyDescent="0.2">
      <c r="A681" s="1" t="s">
        <v>1275</v>
      </c>
      <c r="B681" s="1" t="s">
        <v>1276</v>
      </c>
      <c r="C681" t="str">
        <f ca="1">IFERROR(__xludf.DUMMYFUNCTION("GOOGLETRANSLATE(B681, ""ja"", ""en"")"),"&lt;Sign: 0&gt; to the next")</f>
        <v>&lt;Sign: 0&gt; to the next</v>
      </c>
    </row>
    <row r="682" spans="1:3" ht="12.75" x14ac:dyDescent="0.2">
      <c r="A682" s="1" t="s">
        <v>1277</v>
      </c>
      <c r="B682" s="1" t="s">
        <v>1278</v>
      </c>
      <c r="C682" t="str">
        <f ca="1">IFERROR(__xludf.DUMMYFUNCTION("GOOGLETRANSLATE(B682, ""ja"", ""en"")"),"Body")</f>
        <v>Body</v>
      </c>
    </row>
    <row r="683" spans="1:3" ht="12.75" x14ac:dyDescent="0.2">
      <c r="A683" s="1" t="s">
        <v>1279</v>
      </c>
      <c r="B683" s="1" t="s">
        <v>1280</v>
      </c>
      <c r="C683" t="str">
        <f ca="1">IFERROR(__xludf.DUMMYFUNCTION("GOOGLETRANSLATE(B683, ""ja"", ""en"")"),"[N]")</f>
        <v>[N]</v>
      </c>
    </row>
    <row r="684" spans="1:3" ht="12.75" x14ac:dyDescent="0.2">
      <c r="A684" s="1" t="s">
        <v>1281</v>
      </c>
      <c r="B684" s="1" t="s">
        <v>1282</v>
      </c>
      <c r="C684" t="str">
        <f ca="1">IFERROR(__xludf.DUMMYFUNCTION("GOOGLETRANSLATE(B684, ""ja"", ""en"")"),"Required")</f>
        <v>Required</v>
      </c>
    </row>
    <row r="685" spans="1:3" ht="12.75" x14ac:dyDescent="0.2">
      <c r="A685" s="1" t="s">
        <v>1283</v>
      </c>
      <c r="B685" s="1" t="s">
        <v>1284</v>
      </c>
      <c r="C685" t="str">
        <f ca="1">IFERROR(__xludf.DUMMYFUNCTION("GOOGLETRANSLATE(B685, ""ja"", ""en"")"),"care")</f>
        <v>care</v>
      </c>
    </row>
    <row r="686" spans="1:3" ht="12.75" x14ac:dyDescent="0.2">
      <c r="A686" s="1" t="s">
        <v>1285</v>
      </c>
      <c r="B686" s="1" t="s">
        <v>1286</v>
      </c>
      <c r="C686" t="str">
        <f ca="1">IFERROR(__xludf.DUMMYFUNCTION("GOOGLETRANSLATE(B686, ""ja"", ""en"")"),"Mission")</f>
        <v>Mission</v>
      </c>
    </row>
    <row r="687" spans="1:3" ht="12.75" x14ac:dyDescent="0.2">
      <c r="A687" s="1" t="s">
        <v>1287</v>
      </c>
      <c r="B687" s="1" t="s">
        <v>1288</v>
      </c>
      <c r="C687" t="str">
        <f ca="1">IFERROR(__xludf.DUMMYFUNCTION("GOOGLETRANSLATE(B687, ""ja"", ""en"")"),"ADV")</f>
        <v>ADV</v>
      </c>
    </row>
    <row r="688" spans="1:3" ht="12.75" x14ac:dyDescent="0.2">
      <c r="A688" s="1" t="s">
        <v>1289</v>
      </c>
      <c r="B688" s="1" t="s">
        <v>1290</v>
      </c>
      <c r="C688" t="str">
        <f ca="1">IFERROR(__xludf.DUMMYFUNCTION("GOOGLETRANSLATE(B688, ""ja"", ""en"")"),"BTL")</f>
        <v>BTL</v>
      </c>
    </row>
    <row r="689" spans="1:3" ht="12.75" x14ac:dyDescent="0.2">
      <c r="A689" s="1" t="s">
        <v>1291</v>
      </c>
      <c r="B689" s="1" t="s">
        <v>1292</v>
      </c>
      <c r="C689" t="str">
        <f ca="1">IFERROR(__xludf.DUMMYFUNCTION("GOOGLETRANSLATE(B689, ""ja"", ""en"")"),"E")</f>
        <v>E</v>
      </c>
    </row>
    <row r="690" spans="1:3" ht="12.75" x14ac:dyDescent="0.2">
      <c r="A690" s="1" t="s">
        <v>1293</v>
      </c>
      <c r="B690" s="1" t="s">
        <v>1294</v>
      </c>
      <c r="C690" t="str">
        <f ca="1">IFERROR(__xludf.DUMMYFUNCTION("GOOGLETRANSLATE(B690, ""ja"", ""en"")"),"Field theft")</f>
        <v>Field theft</v>
      </c>
    </row>
    <row r="691" spans="1:3" ht="12.75" x14ac:dyDescent="0.2">
      <c r="A691" s="1" t="s">
        <v>1295</v>
      </c>
      <c r="B691" s="1" t="s">
        <v>1296</v>
      </c>
      <c r="C691" t="str">
        <f ca="1">IFERROR(__xludf.DUMMYFUNCTION("GOOGLETRANSLATE(B691, ""ja"", ""en"")"),"Outlaw")</f>
        <v>Outlaw</v>
      </c>
    </row>
    <row r="692" spans="1:3" ht="12.75" x14ac:dyDescent="0.2">
      <c r="A692" s="1" t="s">
        <v>1297</v>
      </c>
      <c r="B692" s="1" t="s">
        <v>1298</v>
      </c>
      <c r="C692" t="str">
        <f ca="1">IFERROR(__xludf.DUMMYFUNCTION("GOOGLETRANSLATE(B692, ""ja"", ""en"")"),"Ruffian")</f>
        <v>Ruffian</v>
      </c>
    </row>
    <row r="693" spans="1:3" ht="12.75" x14ac:dyDescent="0.2">
      <c r="A693" s="1" t="s">
        <v>1299</v>
      </c>
      <c r="B693" s="1" t="s">
        <v>1300</v>
      </c>
      <c r="C693" t="str">
        <f ca="1">IFERROR(__xludf.DUMMYFUNCTION("GOOGLETRANSLATE(B693, ""ja"", ""en"")"),"Golden Shu")</f>
        <v>Golden Shu</v>
      </c>
    </row>
    <row r="694" spans="1:3" ht="12.75" x14ac:dyDescent="0.2">
      <c r="A694" s="1" t="s">
        <v>1301</v>
      </c>
      <c r="B694" s="1" t="s">
        <v>1302</v>
      </c>
      <c r="C694" t="str">
        <f ca="1">IFERROR(__xludf.DUMMYFUNCTION("GOOGLETRANSLATE(B694, ""ja"", ""en"")"),"Tomb Eji")</f>
        <v>Tomb Eji</v>
      </c>
    </row>
    <row r="695" spans="1:3" ht="12.75" x14ac:dyDescent="0.2">
      <c r="A695" s="1" t="s">
        <v>1303</v>
      </c>
      <c r="B695" s="1" t="s">
        <v>1304</v>
      </c>
      <c r="C695" t="str">
        <f ca="1">IFERROR(__xludf.DUMMYFUNCTION("GOOGLETRANSLATE(B695, ""ja"", ""en"")"),"Shinsengumi")</f>
        <v>Shinsengumi</v>
      </c>
    </row>
    <row r="696" spans="1:3" ht="12.75" x14ac:dyDescent="0.2">
      <c r="A696" s="1" t="s">
        <v>1305</v>
      </c>
      <c r="B696" s="1" t="s">
        <v>1306</v>
      </c>
      <c r="C696" t="str">
        <f ca="1">IFERROR(__xludf.DUMMYFUNCTION("GOOGLETRANSLATE(B696, ""ja"", ""en"")"),"Kyoto Mimawarigumi")</f>
        <v>Kyoto Mimawarigumi</v>
      </c>
    </row>
    <row r="697" spans="1:3" ht="12.75" x14ac:dyDescent="0.2">
      <c r="A697" s="1" t="s">
        <v>1307</v>
      </c>
      <c r="B697" s="1" t="s">
        <v>1308</v>
      </c>
      <c r="C697" t="str">
        <f ca="1">IFERROR(__xludf.DUMMYFUNCTION("GOOGLETRANSLATE(B697, ""ja"", ""en"")"),"Resumption")</f>
        <v>Resumption</v>
      </c>
    </row>
    <row r="698" spans="1:3" ht="12.75" x14ac:dyDescent="0.2">
      <c r="A698" s="1" t="s">
        <v>1309</v>
      </c>
      <c r="B698" s="1" t="s">
        <v>1310</v>
      </c>
      <c r="C698" t="str">
        <f ca="1">IFERROR(__xludf.DUMMYFUNCTION("GOOGLETRANSLATE(B698, ""ja"", ""en"")"),"skip")</f>
        <v>skip</v>
      </c>
    </row>
    <row r="699" spans="1:3" ht="12.75" x14ac:dyDescent="0.2">
      <c r="A699" s="1" t="s">
        <v>1311</v>
      </c>
      <c r="B699" s="1" t="s">
        <v>1312</v>
      </c>
      <c r="C699" t="str">
        <f ca="1">IFERROR(__xludf.DUMMYFUNCTION("GOOGLETRANSLATE(B699, ""ja"", ""en"")"),"To the menu")</f>
        <v>To the menu</v>
      </c>
    </row>
    <row r="700" spans="1:3" ht="12.75" x14ac:dyDescent="0.2">
      <c r="A700" s="1" t="s">
        <v>1313</v>
      </c>
      <c r="B700" s="1" t="s">
        <v>1314</v>
      </c>
      <c r="C700" t="str">
        <f ca="1">IFERROR(__xludf.DUMMYFUNCTION("GOOGLETRANSLATE(B700, ""ja"", ""en"")"),"Maximum station 撃数")</f>
        <v>Maximum station 撃数</v>
      </c>
    </row>
    <row r="701" spans="1:3" ht="12.75" x14ac:dyDescent="0.2">
      <c r="A701" s="1" t="s">
        <v>1315</v>
      </c>
      <c r="B701" s="1" t="s">
        <v>1316</v>
      </c>
      <c r="C701" t="str">
        <f ca="1">IFERROR(__xludf.DUMMYFUNCTION("GOOGLETRANSLATE(B701, ""ja"", ""en"")"),"number")</f>
        <v>number</v>
      </c>
    </row>
    <row r="702" spans="1:3" ht="12.75" x14ac:dyDescent="0.2">
      <c r="A702" s="1" t="s">
        <v>1317</v>
      </c>
      <c r="B702" s="1" t="s">
        <v>1316</v>
      </c>
      <c r="C702" t="str">
        <f ca="1">IFERROR(__xludf.DUMMYFUNCTION("GOOGLETRANSLATE(B702, ""ja"", ""en"")"),"number")</f>
        <v>number</v>
      </c>
    </row>
    <row r="703" spans="1:3" ht="12.75" x14ac:dyDescent="0.2">
      <c r="A703" s="1" t="s">
        <v>1318</v>
      </c>
      <c r="B703" s="1" t="s">
        <v>1319</v>
      </c>
      <c r="C703" t="str">
        <f ca="1">IFERROR(__xludf.DUMMYFUNCTION("GOOGLETRANSLATE(B703, ""ja"", ""en"")"),"Di")</f>
        <v>Di</v>
      </c>
    </row>
    <row r="704" spans="1:3" ht="12.75" x14ac:dyDescent="0.2">
      <c r="A704" s="1" t="s">
        <v>1320</v>
      </c>
      <c r="B704" s="1" t="s">
        <v>1321</v>
      </c>
      <c r="C704" t="str">
        <f ca="1">IFERROR(__xludf.DUMMYFUNCTION("GOOGLETRANSLATE(B704, ""ja"", ""en"")"),"Down")</f>
        <v>Down</v>
      </c>
    </row>
    <row r="705" spans="1:3" ht="12.75" x14ac:dyDescent="0.2">
      <c r="A705" s="1" t="s">
        <v>1322</v>
      </c>
      <c r="B705" s="1" t="s">
        <v>1323</v>
      </c>
      <c r="C705" t="str">
        <f ca="1">IFERROR(__xludf.DUMMYFUNCTION("GOOGLETRANSLATE(B705, ""ja"", ""en"")"),"Heat action")</f>
        <v>Heat action</v>
      </c>
    </row>
    <row r="706" spans="1:3" ht="12.75" x14ac:dyDescent="0.2">
      <c r="A706" s="1" t="s">
        <v>1324</v>
      </c>
      <c r="B706" s="1" t="s">
        <v>1325</v>
      </c>
      <c r="C706" t="str">
        <f ca="1">IFERROR(__xludf.DUMMYFUNCTION("GOOGLETRANSLATE(B706, ""ja"", ""en"")"),"Broken")</f>
        <v>Broken</v>
      </c>
    </row>
    <row r="707" spans="1:3" ht="12.75" x14ac:dyDescent="0.2">
      <c r="A707" s="1" t="s">
        <v>1326</v>
      </c>
      <c r="B707" s="1" t="s">
        <v>1327</v>
      </c>
      <c r="C707" t="str">
        <f ca="1">IFERROR(__xludf.DUMMYFUNCTION("GOOGLETRANSLATE(B707, ""ja"", ""en"")"),"What it did not contain")</f>
        <v>What it did not contain</v>
      </c>
    </row>
    <row r="708" spans="1:3" ht="12.75" x14ac:dyDescent="0.2">
      <c r="A708" s="1" t="s">
        <v>1328</v>
      </c>
      <c r="B708" s="1" t="s">
        <v>1329</v>
      </c>
      <c r="C708" t="str">
        <f ca="1">IFERROR(__xludf.DUMMYFUNCTION("GOOGLETRANSLATE(B708, ""ja"", ""en"")"),"Do you want to use your belongings?")</f>
        <v>Do you want to use your belongings?</v>
      </c>
    </row>
    <row r="709" spans="1:3" ht="12.75" x14ac:dyDescent="0.2">
      <c r="A709" s="1" t="s">
        <v>1330</v>
      </c>
      <c r="B709" s="1" t="s">
        <v>1331</v>
      </c>
      <c r="C709" t="str">
        <f ca="1">IFERROR(__xludf.DUMMYFUNCTION("GOOGLETRANSLATE(B709, ""ja"", ""en"")"),"Do you throw away your belongings?")</f>
        <v>Do you throw away your belongings?</v>
      </c>
    </row>
    <row r="710" spans="1:3" ht="12.75" x14ac:dyDescent="0.2">
      <c r="A710" s="1" t="s">
        <v>1332</v>
      </c>
      <c r="B710" s="1" t="s">
        <v>1333</v>
      </c>
      <c r="C710" t="str">
        <f ca="1">IFERROR(__xludf.DUMMYFUNCTION("GOOGLETRANSLATE(B710, ""ja"", ""en"")"),"Are you sure you want to save?")</f>
        <v>Are you sure you want to save?</v>
      </c>
    </row>
    <row r="711" spans="1:3" ht="12.75" x14ac:dyDescent="0.2">
      <c r="A711" s="1" t="s">
        <v>1334</v>
      </c>
      <c r="B711" s="1" t="s">
        <v>1335</v>
      </c>
      <c r="C711" t="str">
        <f ca="1">IFERROR(__xludf.DUMMYFUNCTION("GOOGLETRANSLATE(B711, ""ja"", ""en"")"),"Do you want to temporarily elementary level the degree of difficulty?")</f>
        <v>Do you want to temporarily elementary level the degree of difficulty?</v>
      </c>
    </row>
    <row r="712" spans="1:3" ht="12.75" x14ac:dyDescent="0.2">
      <c r="A712" s="1" t="s">
        <v>1336</v>
      </c>
      <c r="B712" s="1" t="s">
        <v>1337</v>
      </c>
      <c r="C712" t="str">
        <f ca="1">IFERROR(__xludf.DUMMYFUNCTION("GOOGLETRANSLATE(B712, ""ja"", ""en"")"),"Are you really sure you want to beginner?")</f>
        <v>Are you really sure you want to beginner?</v>
      </c>
    </row>
    <row r="713" spans="1:3" ht="12.75" x14ac:dyDescent="0.2">
      <c r="A713" s="1" t="s">
        <v>1338</v>
      </c>
      <c r="B713" s="1" t="s">
        <v>1339</v>
      </c>
      <c r="C713" t="str">
        <f ca="1">IFERROR(__xludf.DUMMYFUNCTION("GOOGLETRANSLATE(B713, ""ja"", ""en"")"),"There is no free space in the possession of a weapon list. Please select a weapon to move to the [n] item box.")</f>
        <v>There is no free space in the possession of a weapon list. Please select a weapon to move to the [n] item box.</v>
      </c>
    </row>
    <row r="714" spans="1:3" ht="12.75" x14ac:dyDescent="0.2">
      <c r="A714" s="1" t="s">
        <v>1340</v>
      </c>
      <c r="B714" s="1" t="s">
        <v>1341</v>
      </c>
      <c r="C714" t="str">
        <f ca="1">IFERROR(__xludf.DUMMYFUNCTION("GOOGLETRANSLATE(B714, ""ja"", ""en"")"),"There is no free space in the item list. Please select the item you want to move to the [n] item box.")</f>
        <v>There is no free space in the item list. Please select the item you want to move to the [n] item box.</v>
      </c>
    </row>
    <row r="715" spans="1:3" ht="12.75" x14ac:dyDescent="0.2">
      <c r="A715" s="1" t="s">
        <v>1342</v>
      </c>
      <c r="B715" s="1" t="s">
        <v>1343</v>
      </c>
      <c r="C715" t="str">
        <f ca="1">IFERROR(__xludf.DUMMYFUNCTION("GOOGLETRANSLATE(B715, ""ja"", ""en"")"),"Does not select an item Are you sure you want?")</f>
        <v>Does not select an item Are you sure you want?</v>
      </c>
    </row>
    <row r="716" spans="1:3" ht="12.75" x14ac:dyDescent="0.2">
      <c r="A716" s="1" t="s">
        <v>1344</v>
      </c>
      <c r="B716" s="1" t="s">
        <v>1345</v>
      </c>
      <c r="C716" t="str">
        <f ca="1">IFERROR(__xludf.DUMMYFUNCTION("GOOGLETRANSLATE(B716, ""ja"", ""en"")"),"Are you really sure?")</f>
        <v>Are you really sure?</v>
      </c>
    </row>
    <row r="717" spans="1:3" ht="12.75" x14ac:dyDescent="0.2">
      <c r="A717" s="1" t="s">
        <v>1346</v>
      </c>
      <c r="B717" s="1" t="s">
        <v>1347</v>
      </c>
      <c r="C717" t="str">
        <f ca="1">IFERROR(__xludf.DUMMYFUNCTION("GOOGLETRANSLATE(B717, ""ja"", ""en"")"),"Are you sure you want to complete the item organize?")</f>
        <v>Are you sure you want to complete the item organize?</v>
      </c>
    </row>
    <row r="718" spans="1:3" ht="12.75" x14ac:dyDescent="0.2">
      <c r="A718" s="1" t="s">
        <v>1348</v>
      </c>
      <c r="B718" s="1" t="s">
        <v>1349</v>
      </c>
      <c r="C718" t="str">
        <f ca="1">IFERROR(__xludf.DUMMYFUNCTION("GOOGLETRANSLATE(B718, ""ja"", ""en"")"),"Do you want to set a destination?")</f>
        <v>Do you want to set a destination?</v>
      </c>
    </row>
    <row r="719" spans="1:3" ht="12.75" x14ac:dyDescent="0.2">
      <c r="A719" s="1" t="s">
        <v>1350</v>
      </c>
      <c r="B719" s="1" t="s">
        <v>1351</v>
      </c>
      <c r="C719" t="str">
        <f ca="1">IFERROR(__xludf.DUMMYFUNCTION("GOOGLETRANSLATE(B719, ""ja"", ""en"")"),"Are you sure you want to remove the destination?")</f>
        <v>Are you sure you want to remove the destination?</v>
      </c>
    </row>
    <row r="720" spans="1:3" ht="12.75" x14ac:dyDescent="0.2">
      <c r="A720" s="1" t="s">
        <v>1352</v>
      </c>
      <c r="B720" s="1" t="s">
        <v>1353</v>
      </c>
      <c r="C720" t="str">
        <f ca="1">IFERROR(__xludf.DUMMYFUNCTION("GOOGLETRANSLATE(B720, ""ja"", ""en"")"),"Do you want to go back to the title?")</f>
        <v>Do you want to go back to the title?</v>
      </c>
    </row>
    <row r="721" spans="1:3" ht="12.75" x14ac:dyDescent="0.2">
      <c r="A721" s="1" t="s">
        <v>1354</v>
      </c>
      <c r="B721" s="1" t="s">
        <v>1355</v>
      </c>
      <c r="C721" t="str">
        <f ca="1">IFERROR(__xludf.DUMMYFUNCTION("GOOGLETRANSLATE(B721, ""ja"", ""en"")"),"Do you want to interrupt?")</f>
        <v>Do you want to interrupt?</v>
      </c>
    </row>
    <row r="722" spans="1:3" ht="12.75" x14ac:dyDescent="0.2">
      <c r="A722" s="1" t="s">
        <v>1356</v>
      </c>
      <c r="B722" s="1" t="s">
        <v>1357</v>
      </c>
      <c r="C722" t="str">
        <f ca="1">IFERROR(__xludf.DUMMYFUNCTION("GOOGLETRANSLATE(B722, ""ja"", ""en"")"),"Data that is not saved but will be gone, do you really want [n]?")</f>
        <v>Data that is not saved but will be gone, do you really want [n]?</v>
      </c>
    </row>
    <row r="723" spans="1:3" ht="12.75" x14ac:dyDescent="0.2">
      <c r="A723" s="1" t="s">
        <v>1358</v>
      </c>
      <c r="B723" s="1" t="s">
        <v>1359</v>
      </c>
      <c r="C723" t="str">
        <f ca="1">IFERROR(__xludf.DUMMYFUNCTION("GOOGLETRANSLATE(B723, ""ja"", ""en"")"),"Are you sure you want to break?")</f>
        <v>Are you sure you want to break?</v>
      </c>
    </row>
    <row r="724" spans="1:3" ht="12.75" x14ac:dyDescent="0.2">
      <c r="A724" s="1" t="s">
        <v>1360</v>
      </c>
      <c r="B724" s="1" t="s">
        <v>1361</v>
      </c>
      <c r="C724" t="str">
        <f ca="1">IFERROR(__xludf.DUMMYFUNCTION("GOOGLETRANSLATE(B724, ""ja"", ""en"")"),"Are you sure you want this title?")</f>
        <v>Are you sure you want this title?</v>
      </c>
    </row>
    <row r="725" spans="1:3" ht="12.75" x14ac:dyDescent="0.2">
      <c r="A725" s="1" t="s">
        <v>1362</v>
      </c>
      <c r="B725" s="1" t="s">
        <v>1363</v>
      </c>
      <c r="C725" t="str">
        <f ca="1">IFERROR(__xludf.DUMMYFUNCTION("GOOGLETRANSLATE(B725, ""ja"", ""en"")"),"To cancel the order request. Is it OK? [N] (pass the goods will be canceled)")</f>
        <v>To cancel the order request. Is it OK? [N] (pass the goods will be canceled)</v>
      </c>
    </row>
    <row r="726" spans="1:3" ht="12.75" x14ac:dyDescent="0.2">
      <c r="A726" s="1" t="s">
        <v>1364</v>
      </c>
      <c r="B726" s="1" t="s">
        <v>1365</v>
      </c>
      <c r="C726" t="str">
        <f ca="1">IFERROR(__xludf.DUMMYFUNCTION("GOOGLETRANSLATE(B726, ""ja"", ""en"")"),"Shogi is one game 5 points. [N] do you pay?")</f>
        <v>Shogi is one game 5 points. [N] do you pay?</v>
      </c>
    </row>
    <row r="727" spans="1:3" ht="12.75" x14ac:dyDescent="0.2">
      <c r="A727" s="1" t="s">
        <v>1366</v>
      </c>
      <c r="B727" s="1" t="s">
        <v>1367</v>
      </c>
      <c r="C727" t="str">
        <f ca="1">IFERROR(__xludf.DUMMYFUNCTION("GOOGLETRANSLATE(B727, ""ja"", ""en"")"),"The save data of PlayStation Vita side uploaded on the [n] server, you sure you want to save [n] overwrite?")</f>
        <v>The save data of PlayStation Vita side uploaded on the [n] server, you sure you want to save [n] overwrite?</v>
      </c>
    </row>
    <row r="728" spans="1:3" ht="12.75" x14ac:dyDescent="0.2">
      <c r="A728" s="1" t="s">
        <v>1368</v>
      </c>
      <c r="B728" s="1" t="s">
        <v>1369</v>
      </c>
      <c r="C728" t="str">
        <f ca="1">IFERROR(__xludf.DUMMYFUNCTION("GOOGLETRANSLATE(B728, ""ja"", ""en"")"),"[N] Save Are you sure you want to in the save data on the PlayStation Vita side [n] server to save data?")</f>
        <v>[N] Save Are you sure you want to in the save data on the PlayStation Vita side [n] server to save data?</v>
      </c>
    </row>
    <row r="729" spans="1:3" ht="12.75" x14ac:dyDescent="0.2">
      <c r="A729" s="1" t="s">
        <v>1370</v>
      </c>
      <c r="B729" s="1" t="s">
        <v>1371</v>
      </c>
      <c r="C729" t="str">
        <f ca="1">IFERROR(__xludf.DUMMYFUNCTION("GOOGLETRANSLATE(B729, ""ja"", ""en"")"),"PlayStation 3 side of the save data and upload it to the [n] server, you sure you want to save [n] overwrite?")</f>
        <v>PlayStation 3 side of the save data and upload it to the [n] server, you sure you want to save [n] overwrite?</v>
      </c>
    </row>
    <row r="730" spans="1:3" ht="12.75" x14ac:dyDescent="0.2">
      <c r="A730" s="1" t="s">
        <v>1372</v>
      </c>
      <c r="B730" s="1" t="s">
        <v>1373</v>
      </c>
      <c r="C730" t="str">
        <f ca="1">IFERROR(__xludf.DUMMYFUNCTION("GOOGLETRANSLATE(B730, ""ja"", ""en"")"),"PlayStation 4 side of the save data and upload it to the [n] server, you sure you want to save [n] overwrite?")</f>
        <v>PlayStation 4 side of the save data and upload it to the [n] server, you sure you want to save [n] overwrite?</v>
      </c>
    </row>
    <row r="731" spans="1:3" ht="12.75" x14ac:dyDescent="0.2">
      <c r="A731" s="1" t="s">
        <v>1374</v>
      </c>
      <c r="B731" s="1" t="s">
        <v>1375</v>
      </c>
      <c r="C731" t="str">
        <f ca="1">IFERROR(__xludf.DUMMYFUNCTION("GOOGLETRANSLATE(B731, ""ja"", ""en"")"),"Although earlier in the server-side save data is [n] level (experience) is higher of the hero, Are you sure you want to overwrite in this still really [n] upload?")</f>
        <v>Although earlier in the server-side save data is [n] level (experience) is higher of the hero, Are you sure you want to overwrite in this still really [n] upload?</v>
      </c>
    </row>
    <row r="732" spans="1:3" ht="12.75" x14ac:dyDescent="0.2">
      <c r="A732" s="1" t="s">
        <v>1376</v>
      </c>
      <c r="B732" s="1" t="s">
        <v>1377</v>
      </c>
      <c r="C732" t="str">
        <f ca="1">IFERROR(__xludf.DUMMYFUNCTION("GOOGLETRANSLATE(B732, ""ja"", ""en"")"),"Although towards the server side of the save data is a long [n] total play time, Are you sure you want to overwrite save this state really [n] upload?")</f>
        <v>Although towards the server side of the save data is a long [n] total play time, Are you sure you want to overwrite save this state really [n] upload?</v>
      </c>
    </row>
    <row r="733" spans="1:3" ht="12.75" x14ac:dyDescent="0.2">
      <c r="A733" s="1" t="s">
        <v>1378</v>
      </c>
      <c r="B733" s="1" t="s">
        <v>1379</v>
      </c>
      <c r="C733" t="str">
        <f ca="1">IFERROR(__xludf.DUMMYFUNCTION("GOOGLETRANSLATE(B733, ""ja"", ""en"")"),"Although earlier in the server-side save data is low [n] level (experience value) of the main character, you sure you want to overwrite this state really download [n]?")</f>
        <v>Although earlier in the server-side save data is low [n] level (experience value) of the main character, you sure you want to overwrite this state really download [n]?</v>
      </c>
    </row>
    <row r="734" spans="1:3" ht="12.75" x14ac:dyDescent="0.2">
      <c r="A734" s="1" t="s">
        <v>1380</v>
      </c>
      <c r="B734" s="1" t="s">
        <v>1381</v>
      </c>
      <c r="C734" t="str">
        <f ca="1">IFERROR(__xludf.DUMMYFUNCTION("GOOGLETRANSLATE(B734, ""ja"", ""en"")"),"Although towards the server side of the save data is short [n] total play time, Are you sure you want to overwrite this state really download [n]?")</f>
        <v>Although towards the server side of the save data is short [n] total play time, Are you sure you want to overwrite this state really download [n]?</v>
      </c>
    </row>
    <row r="735" spans="1:3" ht="12.75" x14ac:dyDescent="0.2">
      <c r="A735" s="1" t="s">
        <v>1382</v>
      </c>
      <c r="B735" s="1" t="s">
        <v>1383</v>
      </c>
      <c r="C735" t="str">
        <f ca="1">IFERROR(__xludf.DUMMYFUNCTION("GOOGLETRANSLATE(B735, ""ja"", ""en"")"),"Are you sure you want to races?")</f>
        <v>Are you sure you want to races?</v>
      </c>
    </row>
    <row r="736" spans="1:3" ht="12.75" x14ac:dyDescent="0.2">
      <c r="A736" s="1" t="s">
        <v>1384</v>
      </c>
      <c r="B736" s="1" t="s">
        <v>1385</v>
      </c>
      <c r="C736" t="str">
        <f ca="1">IFERROR(__xludf.DUMMYFUNCTION("GOOGLETRANSLATE(B736, ""ja"", ""en"")"),"Do you want to exit the chopping wood?")</f>
        <v>Do you want to exit the chopping wood?</v>
      </c>
    </row>
    <row r="737" spans="1:3" ht="12.75" x14ac:dyDescent="0.2">
      <c r="A737" s="1" t="s">
        <v>1386</v>
      </c>
      <c r="B737" s="1" t="s">
        <v>1387</v>
      </c>
      <c r="C737" t="str">
        <f ca="1">IFERROR(__xludf.DUMMYFUNCTION("GOOGLETRANSLATE(B737, ""ja"", ""en"")"),"Do you stop the Scarecrow mansion?")</f>
        <v>Do you stop the Scarecrow mansion?</v>
      </c>
    </row>
    <row r="738" spans="1:3" ht="12.75" x14ac:dyDescent="0.2">
      <c r="A738" s="1" t="s">
        <v>1388</v>
      </c>
      <c r="B738" s="1" t="s">
        <v>1389</v>
      </c>
      <c r="C738" t="str">
        <f ca="1">IFERROR(__xludf.DUMMYFUNCTION("GOOGLETRANSLATE(B738, ""ja"", ""en"")"),"Although physical fitness has been all recovery, Are you sure that you want to use?")</f>
        <v>Although physical fitness has been all recovery, Are you sure that you want to use?</v>
      </c>
    </row>
    <row r="739" spans="1:3" ht="12.75" x14ac:dyDescent="0.2">
      <c r="A739" s="1" t="s">
        <v>1390</v>
      </c>
      <c r="B739" s="1" t="s">
        <v>1391</v>
      </c>
      <c r="C739" t="str">
        <f ca="1">IFERROR(__xludf.DUMMYFUNCTION("GOOGLETRANSLATE(B739, ""ja"", ""en"")"),"Heat but has been all recovery, Are you sure that you want to use?")</f>
        <v>Heat but has been all recovery, Are you sure that you want to use?</v>
      </c>
    </row>
    <row r="740" spans="1:3" ht="12.75" x14ac:dyDescent="0.2">
      <c r="A740" s="1" t="s">
        <v>1392</v>
      </c>
      <c r="B740" s="1" t="s">
        <v>1393</v>
      </c>
      <c r="C740" t="str">
        <f ca="1">IFERROR(__xludf.DUMMYFUNCTION("GOOGLETRANSLATE(B740, ""ja"", ""en"")"),"Although physical strength and heat are all recovery, Are you sure that you want to use?")</f>
        <v>Although physical strength and heat are all recovery, Are you sure that you want to use?</v>
      </c>
    </row>
    <row r="741" spans="1:3" ht="12.75" x14ac:dyDescent="0.2">
      <c r="A741" s="1" t="s">
        <v>1394</v>
      </c>
      <c r="B741" s="1" t="s">
        <v>1395</v>
      </c>
      <c r="C741" t="str">
        <f ca="1">IFERROR(__xludf.DUMMYFUNCTION("GOOGLETRANSLATE(B741, ""ja"", ""en"")"),"Do you want to go back to the main menu?")</f>
        <v>Do you want to go back to the main menu?</v>
      </c>
    </row>
    <row r="742" spans="1:3" ht="12.75" x14ac:dyDescent="0.2">
      <c r="A742" s="1" t="s">
        <v>1396</v>
      </c>
      <c r="B742" s="1" t="s">
        <v>1397</v>
      </c>
      <c r="C742" t="str">
        <f ca="1">IFERROR(__xludf.DUMMYFUNCTION("GOOGLETRANSLATE(B742, ""ja"", ""en"")"),"Do you want to go back to the military station?")</f>
        <v>Do you want to go back to the military station?</v>
      </c>
    </row>
    <row r="743" spans="1:3" ht="12.75" x14ac:dyDescent="0.2">
      <c r="A743" s="1" t="s">
        <v>1398</v>
      </c>
      <c r="B743" s="1" t="s">
        <v>1399</v>
      </c>
      <c r="C743" t="str">
        <f ca="1">IFERROR(__xludf.DUMMYFUNCTION("GOOGLETRANSLATE(B743, ""ja"", ""en"")"),"Do you want to go back to the Scarecrow mansion menu?")</f>
        <v>Do you want to go back to the Scarecrow mansion menu?</v>
      </c>
    </row>
    <row r="744" spans="1:3" ht="12.75" x14ac:dyDescent="0.2">
      <c r="A744" s="1" t="s">
        <v>1400</v>
      </c>
      <c r="B744" s="1" t="s">
        <v>1401</v>
      </c>
      <c r="C744" t="str">
        <f ca="1">IFERROR(__xludf.DUMMYFUNCTION("GOOGLETRANSLATE(B744, ""ja"", ""en"")"),"Do you want to go back to the ultimate competition menu?")</f>
        <v>Do you want to go back to the ultimate competition menu?</v>
      </c>
    </row>
    <row r="745" spans="1:3" ht="12.75" x14ac:dyDescent="0.2">
      <c r="A745" s="1" t="s">
        <v>1402</v>
      </c>
      <c r="B745" s="1" t="s">
        <v>1403</v>
      </c>
      <c r="C745" t="str">
        <f ca="1">IFERROR(__xludf.DUMMYFUNCTION("GOOGLETRANSLATE(B745, ""ja"", ""en"")"),"Are you sure you want this nickname?")</f>
        <v>Are you sure you want this nickname?</v>
      </c>
    </row>
    <row r="746" spans="1:3" ht="12.75" x14ac:dyDescent="0.2">
      <c r="A746" s="1" t="s">
        <v>1404</v>
      </c>
      <c r="B746" s="1" t="s">
        <v>1405</v>
      </c>
      <c r="C746" t="str">
        <f ca="1">IFERROR(__xludf.DUMMYFUNCTION("GOOGLETRANSLATE(B746, ""ja"", ""en"")"),"There is no need to use now.")</f>
        <v>There is no need to use now.</v>
      </c>
    </row>
    <row r="747" spans="1:3" ht="12.75" x14ac:dyDescent="0.2">
      <c r="A747" s="1" t="s">
        <v>1406</v>
      </c>
      <c r="B747" s="1" t="s">
        <v>1407</v>
      </c>
      <c r="C747" t="str">
        <f ca="1">IFERROR(__xludf.DUMMYFUNCTION("GOOGLETRANSLATE(B747, ""ja"", ""en"")"),"Here it can not be used.")</f>
        <v>Here it can not be used.</v>
      </c>
    </row>
    <row r="748" spans="1:3" ht="12.75" x14ac:dyDescent="0.2">
      <c r="A748" s="1" t="s">
        <v>1408</v>
      </c>
      <c r="B748" s="1" t="s">
        <v>1409</v>
      </c>
      <c r="C748" t="str">
        <f ca="1">IFERROR(__xludf.DUMMYFUNCTION("GOOGLETRANSLATE(B748, ""ja"", ""en"")"),"This is not discarded.")</f>
        <v>This is not discarded.</v>
      </c>
    </row>
    <row r="749" spans="1:3" ht="12.75" x14ac:dyDescent="0.2">
      <c r="A749" s="1" t="s">
        <v>1410</v>
      </c>
      <c r="B749" s="1" t="s">
        <v>1411</v>
      </c>
      <c r="C749" t="str">
        <f ca="1">IFERROR(__xludf.DUMMYFUNCTION("GOOGLETRANSLATE(B749, ""ja"", ""en"")"),"Not be discarded because it is in the equipment.")</f>
        <v>Not be discarded because it is in the equipment.</v>
      </c>
    </row>
    <row r="750" spans="1:3" ht="12.75" x14ac:dyDescent="0.2">
      <c r="A750" s="1" t="s">
        <v>1412</v>
      </c>
      <c r="B750" s="1" t="s">
        <v>1413</v>
      </c>
      <c r="C750" t="str">
        <f ca="1">IFERROR(__xludf.DUMMYFUNCTION("GOOGLETRANSLATE(B750, ""ja"", ""en"")"),"It can not be equipped with this hero.")</f>
        <v>It can not be equipped with this hero.</v>
      </c>
    </row>
    <row r="751" spans="1:3" ht="12.75" x14ac:dyDescent="0.2">
      <c r="A751" s="1" t="s">
        <v>1414</v>
      </c>
      <c r="B751" s="1" t="s">
        <v>1415</v>
      </c>
      <c r="C751" t="str">
        <f ca="1">IFERROR(__xludf.DUMMYFUNCTION("GOOGLETRANSLATE(B751, ""ja"", ""en"")"),"Number of items box is the limit.")</f>
        <v>Number of items box is the limit.</v>
      </c>
    </row>
    <row r="752" spans="1:3" ht="12.75" x14ac:dyDescent="0.2">
      <c r="A752" s="1" t="s">
        <v>1416</v>
      </c>
      <c r="B752" s="1" t="s">
        <v>1417</v>
      </c>
      <c r="C752" t="str">
        <f ca="1">IFERROR(__xludf.DUMMYFUNCTION("GOOGLETRANSLATE(B752, ""ja"", ""en"")"),"Usually weapons should be in the sky.")</f>
        <v>Usually weapons should be in the sky.</v>
      </c>
    </row>
    <row r="753" spans="1:3" ht="12.75" x14ac:dyDescent="0.2">
      <c r="A753" s="1" t="s">
        <v>1418</v>
      </c>
      <c r="B753" s="1" t="s">
        <v>1419</v>
      </c>
      <c r="C753" t="str">
        <f ca="1">IFERROR(__xludf.DUMMYFUNCTION("GOOGLETRANSLATE(B753, ""ja"", ""en"")"),"There is no equipment skills.")</f>
        <v>There is no equipment skills.</v>
      </c>
    </row>
    <row r="754" spans="1:3" ht="12.75" x14ac:dyDescent="0.2">
      <c r="A754" s="1" t="s">
        <v>1420</v>
      </c>
      <c r="B754" s="1" t="s">
        <v>1421</v>
      </c>
      <c r="C754" t="str">
        <f ca="1">IFERROR(__xludf.DUMMYFUNCTION("GOOGLETRANSLATE(B754, ""ja"", ""en"")"),"Can not be used.")</f>
        <v>Can not be used.</v>
      </c>
    </row>
    <row r="755" spans="1:3" ht="12.75" x14ac:dyDescent="0.2">
      <c r="A755" s="1" t="s">
        <v>1422</v>
      </c>
      <c r="B755" s="1" t="s">
        <v>1423</v>
      </c>
      <c r="C755" t="str">
        <f ca="1">IFERROR(__xludf.DUMMYFUNCTION("GOOGLETRANSLATE(B755, ""ja"", ""en"")"),"It can not be equipped because there is no right.")</f>
        <v>It can not be equipped because there is no right.</v>
      </c>
    </row>
    <row r="756" spans="1:3" ht="12.75" x14ac:dyDescent="0.2">
      <c r="A756" s="1" t="s">
        <v>1424</v>
      </c>
      <c r="B756" s="1" t="s">
        <v>1425</v>
      </c>
      <c r="C756" t="str">
        <f ca="1">IFERROR(__xludf.DUMMYFUNCTION("GOOGLETRANSLATE(B756, ""ja"", ""en"")"),"You can not change the equipment.")</f>
        <v>You can not change the equipment.</v>
      </c>
    </row>
    <row r="757" spans="1:3" ht="12.75" x14ac:dyDescent="0.2">
      <c r="A757" s="1" t="s">
        <v>1426</v>
      </c>
      <c r="B757" s="1" t="s">
        <v>1427</v>
      </c>
      <c r="C757" t="str">
        <f ca="1">IFERROR(__xludf.DUMMYFUNCTION("GOOGLETRANSLATE(B757, ""ja"", ""en"")"),"This can not be moved.")</f>
        <v>This can not be moved.</v>
      </c>
    </row>
    <row r="758" spans="1:3" ht="12.75" x14ac:dyDescent="0.2">
      <c r="A758" s="1" t="s">
        <v>1428</v>
      </c>
      <c r="B758" s="1" t="s">
        <v>1429</v>
      </c>
      <c r="C758" t="str">
        <f ca="1">IFERROR(__xludf.DUMMYFUNCTION("GOOGLETRANSLATE(B758, ""ja"", ""en"")"),"Upload has been completed successfully.")</f>
        <v>Upload has been completed successfully.</v>
      </c>
    </row>
    <row r="759" spans="1:3" ht="12.75" x14ac:dyDescent="0.2">
      <c r="A759" s="1" t="s">
        <v>1430</v>
      </c>
      <c r="B759" s="1" t="s">
        <v>1431</v>
      </c>
      <c r="C759" t="str">
        <f ca="1">IFERROR(__xludf.DUMMYFUNCTION("GOOGLETRANSLATE(B759, ""ja"", ""en"")"),"Download has been completed successfully.")</f>
        <v>Download has been completed successfully.</v>
      </c>
    </row>
    <row r="760" spans="1:3" ht="12.75" x14ac:dyDescent="0.2">
      <c r="A760" s="1" t="s">
        <v>1432</v>
      </c>
      <c r="B760" s="1" t="s">
        <v>1433</v>
      </c>
      <c r="C760" t="str">
        <f ca="1">IFERROR(__xludf.DUMMYFUNCTION("GOOGLETRANSLATE(B760, ""ja"", ""en"")"),"I could not download. [N] server to save data is not [n] upload.")</f>
        <v>I could not download. [N] server to save data is not [n] upload.</v>
      </c>
    </row>
    <row r="761" spans="1:3" ht="12.75" x14ac:dyDescent="0.2">
      <c r="A761" s="1" t="s">
        <v>1434</v>
      </c>
      <c r="B761" s="1" t="s">
        <v>1435</v>
      </c>
      <c r="C761" t="str">
        <f ca="1">IFERROR(__xludf.DUMMYFUNCTION("GOOGLETRANSLATE(B761, ""ja"", ""en"")"),"It is during the upload. Please do not turn off the [n] power. [N] data might be damaged.")</f>
        <v>It is during the upload. Please do not turn off the [n] power. [N] data might be damaged.</v>
      </c>
    </row>
    <row r="762" spans="1:3" ht="12.75" x14ac:dyDescent="0.2">
      <c r="A762" s="1" t="s">
        <v>1436</v>
      </c>
      <c r="B762" s="1" t="s">
        <v>1437</v>
      </c>
      <c r="C762" t="str">
        <f ca="1">IFERROR(__xludf.DUMMYFUNCTION("GOOGLETRANSLATE(B762, ""ja"", ""en"")"),"It is being downloaded. Please do not turn off the [n] power. [N] data might be damaged.")</f>
        <v>It is being downloaded. Please do not turn off the [n] power. [N] data might be damaged.</v>
      </c>
    </row>
    <row r="763" spans="1:3" ht="12.75" x14ac:dyDescent="0.2">
      <c r="A763" s="1" t="s">
        <v>1438</v>
      </c>
      <c r="B763" s="1" t="s">
        <v>1439</v>
      </c>
      <c r="C763" t="str">
        <f ca="1">IFERROR(__xludf.DUMMYFUNCTION("GOOGLETRANSLATE(B763, ""ja"", ""en"")"),"It failed to [n] upload because the communication is disconnected.")</f>
        <v>It failed to [n] upload because the communication is disconnected.</v>
      </c>
    </row>
    <row r="764" spans="1:3" ht="12.75" x14ac:dyDescent="0.2">
      <c r="A764" s="1" t="s">
        <v>1440</v>
      </c>
      <c r="B764" s="1" t="s">
        <v>1441</v>
      </c>
      <c r="C764" t="str">
        <f ca="1">IFERROR(__xludf.DUMMYFUNCTION("GOOGLETRANSLATE(B764, ""ja"", ""en"")"),"Failed to [n] download for communication has been disconnected.")</f>
        <v>Failed to [n] download for communication has been disconnected.</v>
      </c>
    </row>
    <row r="765" spans="1:3" ht="12.75" x14ac:dyDescent="0.2">
      <c r="A765" s="1" t="s">
        <v>1442</v>
      </c>
      <c r="B765" s="1" t="s">
        <v>1443</v>
      </c>
      <c r="C765" t="str">
        <f ca="1">IFERROR(__xludf.DUMMYFUNCTION("GOOGLETRANSLATE(B765, ""ja"", ""en"")"),"Point is not enough.")</f>
        <v>Point is not enough.</v>
      </c>
    </row>
    <row r="766" spans="1:3" ht="12.75" x14ac:dyDescent="0.2">
      <c r="A766" s="1" t="s">
        <v>1444</v>
      </c>
      <c r="B766" s="1" t="s">
        <v>1445</v>
      </c>
      <c r="C766" t="str">
        <f ca="1">IFERROR(__xludf.DUMMYFUNCTION("GOOGLETRANSLATE(B766, ""ja"", ""en"")"),"The last time, since you've been disconnected in the middle of the communication competition from ranking score of [n]% s, has been penalized% s points. [N] attention to the following points, be sure to play. Please play with [n] · as much as possible goo"&amp;"d of the communication situation environment. Note the power loss due to [n] · rechargeable battery out or incorrect operation. [N] · intentionally Please do not turn off the power supply and communication.")</f>
        <v>The last time, since you've been disconnected in the middle of the communication competition from ranking score of [n]% s, has been penalized% s points. [N] attention to the following points, be sure to play. Please play with [n] · as much as possible good of the communication situation environment. Note the power loss due to [n] · rechargeable battery out or incorrect operation. [N] · intentionally Please do not turn off the power supply and communication.</v>
      </c>
    </row>
    <row r="767" spans="1:3" ht="12.75" x14ac:dyDescent="0.2">
      <c r="A767" s="1" t="s">
        <v>1446</v>
      </c>
      <c r="B767" s="1" t="s">
        <v>1447</v>
      </c>
      <c r="C767" t="str">
        <f ca="1">IFERROR(__xludf.DUMMYFUNCTION("GOOGLETRANSLATE(B767, ""ja"", ""en"")"),"You have been signed out from the ""PSN"". [N] can not be used to upload.")</f>
        <v>You have been signed out from the "PSN". [N] can not be used to upload.</v>
      </c>
    </row>
    <row r="768" spans="1:3" ht="12.75" x14ac:dyDescent="0.2">
      <c r="A768" s="1" t="s">
        <v>1448</v>
      </c>
      <c r="B768" s="1" t="s">
        <v>1449</v>
      </c>
      <c r="C768" t="str">
        <f ca="1">IFERROR(__xludf.DUMMYFUNCTION("GOOGLETRANSLATE(B768, ""ja"", ""en"")"),"You have been signed out from the ""PSN"". [N] can not be used to download.")</f>
        <v>You have been signed out from the "PSN". [N] can not be used to download.</v>
      </c>
    </row>
    <row r="769" spans="1:3" ht="12.75" x14ac:dyDescent="0.2">
      <c r="A769" s="1" t="s">
        <v>1450</v>
      </c>
      <c r="B769" s="1" t="s">
        <v>1451</v>
      </c>
      <c r="C769" t="str">
        <f ca="1">IFERROR(__xludf.DUMMYFUNCTION("GOOGLETRANSLATE(B769, ""ja"", ""en"")"),"It is in check the server data. Please do not turn off the [n] power. [N] data might be damaged.")</f>
        <v>It is in check the server data. Please do not turn off the [n] power. [N] data might be damaged.</v>
      </c>
    </row>
    <row r="770" spans="1:3" ht="12.75" x14ac:dyDescent="0.2">
      <c r="A770" s="1" t="s">
        <v>1452</v>
      </c>
      <c r="B770" s="1" t="s">
        <v>1453</v>
      </c>
      <c r="C770" t="str">
        <f ca="1">IFERROR(__xludf.DUMMYFUNCTION("GOOGLETRANSLATE(B770, ""ja"", ""en"")"),"It was canceled communication.")</f>
        <v>It was canceled communication.</v>
      </c>
    </row>
    <row r="771" spans="1:3" ht="12.75" x14ac:dyDescent="0.2">
      <c r="A771" s="1" t="s">
        <v>1454</v>
      </c>
      <c r="B771" s="1" t="s">
        <v>1455</v>
      </c>
      <c r="C771" t="str">
        <f ca="1">IFERROR(__xludf.DUMMYFUNCTION("GOOGLETRANSLATE(B771, ""ja"", ""en"")"),"Remuneration")</f>
        <v>Remuneration</v>
      </c>
    </row>
    <row r="772" spans="1:3" ht="12.75" x14ac:dyDescent="0.2">
      <c r="A772" s="1" t="s">
        <v>1456</v>
      </c>
      <c r="B772" s="1" t="s">
        <v>1457</v>
      </c>
      <c r="C772" t="str">
        <f ca="1">IFERROR(__xludf.DUMMYFUNCTION("GOOGLETRANSLATE(B772, ""ja"", ""en"")"),"Loading the attribute bullets")</f>
        <v>Loading the attribute bullets</v>
      </c>
    </row>
    <row r="773" spans="1:3" ht="12.75" x14ac:dyDescent="0.2">
      <c r="A773" s="1" t="s">
        <v>1458</v>
      </c>
      <c r="B773" s="1" t="s">
        <v>1459</v>
      </c>
      <c r="C773" t="str">
        <f ca="1">IFERROR(__xludf.DUMMYFUNCTION("GOOGLETRANSLATE(B773, ""ja"", ""en"")"),"Release")</f>
        <v>Release</v>
      </c>
    </row>
    <row r="774" spans="1:3" ht="12.75" x14ac:dyDescent="0.2">
      <c r="A774" s="1" t="s">
        <v>1460</v>
      </c>
      <c r="B774" s="1" t="s">
        <v>1461</v>
      </c>
      <c r="C774" t="str">
        <f ca="1">IFERROR(__xludf.DUMMYFUNCTION("GOOGLETRANSLATE(B774, ""ja"", ""en"")"),"You will not be able to change the degree of difficulty in the battle.")</f>
        <v>You will not be able to change the degree of difficulty in the battle.</v>
      </c>
    </row>
    <row r="775" spans="1:3" ht="12.75" x14ac:dyDescent="0.2">
      <c r="A775" s="1" t="s">
        <v>1462</v>
      </c>
      <c r="B775" s="1" t="s">
        <v>1463</v>
      </c>
      <c r="C775" t="str">
        <f ca="1">IFERROR(__xludf.DUMMYFUNCTION("GOOGLETRANSLATE(B775, ""ja"", ""en"")"),"The last time, since you've been disconnected in the middle of the communication competition from ranking score of [n]% s, has been penalized% d point. [N] attention to the following points, be sure to play.")</f>
        <v>The last time, since you've been disconnected in the middle of the communication competition from ranking score of [n]% s, has been penalized% d point. [N] attention to the following points, be sure to play.</v>
      </c>
    </row>
    <row r="776" spans="1:3" ht="12.75" x14ac:dyDescent="0.2">
      <c r="A776" s="1" t="s">
        <v>1464</v>
      </c>
      <c r="B776" s="1" t="s">
        <v>1465</v>
      </c>
      <c r="C776" t="str">
        <f ca="1">IFERROR(__xludf.DUMMYFUNCTION("GOOGLETRANSLATE(B776, ""ja"", ""en"")"),"• Do you play as much as possible good of the communication situation environment. [N] · Note to power loss or communication disconnection due to erroneous operation. [N] · intentionally Please do not turn off the power supply and communication.")</f>
        <v>• Do you play as much as possible good of the communication situation environment. [N] · Note to power loss or communication disconnection due to erroneous operation. [N] · intentionally Please do not turn off the power supply and communication.</v>
      </c>
    </row>
    <row r="777" spans="1:3" ht="12.75" x14ac:dyDescent="0.2">
      <c r="A777" s="1" t="s">
        <v>1466</v>
      </c>
      <c r="B777" s="1" t="s">
        <v>1467</v>
      </c>
      <c r="C777" t="str">
        <f ca="1">IFERROR(__xludf.DUMMYFUNCTION("GOOGLETRANSLATE(B777, ""ja"", ""en"")"),"Hey Cho Ltd.")</f>
        <v>Hey Cho Ltd.</v>
      </c>
    </row>
    <row r="778" spans="1:3" ht="12.75" x14ac:dyDescent="0.2">
      <c r="A778" s="1" t="s">
        <v>1468</v>
      </c>
      <c r="B778" s="1" t="s">
        <v>1469</v>
      </c>
      <c r="C778" t="str">
        <f ca="1">IFERROR(__xludf.DUMMYFUNCTION("GOOGLETRANSLATE(B778, ""ja"", ""en"")"),"It will also found hiding now!")</f>
        <v>It will also found hiding now!</v>
      </c>
    </row>
    <row r="779" spans="1:3" ht="12.75" x14ac:dyDescent="0.2">
      <c r="A779" s="1" t="s">
        <v>1470</v>
      </c>
      <c r="B779" s="1" t="s">
        <v>1471</v>
      </c>
      <c r="C779" t="str">
        <f ca="1">IFERROR(__xludf.DUMMYFUNCTION("GOOGLETRANSLATE(B779, ""ja"", ""en"")"),"Another Life")</f>
        <v>Another Life</v>
      </c>
    </row>
    <row r="780" spans="1:3" ht="12.75" x14ac:dyDescent="0.2">
      <c r="A780" s="1" t="s">
        <v>1472</v>
      </c>
      <c r="B780" s="1" t="s">
        <v>1473</v>
      </c>
      <c r="C780" t="str">
        <f ca="1">IFERROR(__xludf.DUMMYFUNCTION("GOOGLETRANSLATE(B780, ""ja"", ""en"")"),"START button")</f>
        <v>START button</v>
      </c>
    </row>
    <row r="781" spans="1:3" ht="12.75" x14ac:dyDescent="0.2">
      <c r="A781" s="1" t="s">
        <v>1474</v>
      </c>
      <c r="C781" t="str">
        <f ca="1">IFERROR(__xludf.DUMMYFUNCTION("GOOGLETRANSLATE(B781, ""ja"", ""en"")"),"#VALUE!")</f>
        <v>#VALUE!</v>
      </c>
    </row>
    <row r="782" spans="1:3" ht="12.75" x14ac:dyDescent="0.2">
      <c r="A782" s="1" t="s">
        <v>1475</v>
      </c>
      <c r="B782" s="1" t="s">
        <v>1321</v>
      </c>
      <c r="C782" t="str">
        <f ca="1">IFERROR(__xludf.DUMMYFUNCTION("GOOGLETRANSLATE(B782, ""ja"", ""en"")"),"Down")</f>
        <v>Down</v>
      </c>
    </row>
    <row r="783" spans="1:3" ht="12.75" x14ac:dyDescent="0.2">
      <c r="A783" s="1" t="s">
        <v>1476</v>
      </c>
      <c r="B783" s="1" t="s">
        <v>1477</v>
      </c>
      <c r="C783" t="str">
        <f ca="1">IFERROR(__xludf.DUMMYFUNCTION("GOOGLETRANSLATE(B783, ""ja"", ""en"")"),"Make a planting plan")</f>
        <v>Make a planting plan</v>
      </c>
    </row>
    <row r="784" spans="1:3" ht="12.75" x14ac:dyDescent="0.2">
      <c r="A784" s="1" t="s">
        <v>1478</v>
      </c>
      <c r="B784" s="1" t="s">
        <v>1479</v>
      </c>
      <c r="C784" t="str">
        <f ca="1">IFERROR(__xludf.DUMMYFUNCTION("GOOGLETRANSLATE(B784, ""ja"", ""en"")"),"Collectively harvest")</f>
        <v>Collectively harvest</v>
      </c>
    </row>
    <row r="785" spans="1:3" ht="12.75" x14ac:dyDescent="0.2">
      <c r="A785" s="1" t="s">
        <v>1480</v>
      </c>
      <c r="B785" s="1" t="s">
        <v>1481</v>
      </c>
      <c r="C785" t="str">
        <f ca="1">IFERROR(__xludf.DUMMYFUNCTION("GOOGLETRANSLATE(B785, ""ja"", ""en"")"),"Sprinkle manure")</f>
        <v>Sprinkle manure</v>
      </c>
    </row>
    <row r="786" spans="1:3" ht="12.75" x14ac:dyDescent="0.2">
      <c r="A786" s="1" t="s">
        <v>1482</v>
      </c>
      <c r="B786" s="1" t="s">
        <v>1483</v>
      </c>
      <c r="C786" t="str">
        <f ca="1">IFERROR(__xludf.DUMMYFUNCTION("GOOGLETRANSLATE(B786, ""ja"", ""en"")"),"Planting plan reset")</f>
        <v>Planting plan reset</v>
      </c>
    </row>
    <row r="787" spans="1:3" ht="12.75" x14ac:dyDescent="0.2">
      <c r="A787" s="1" t="s">
        <v>1484</v>
      </c>
      <c r="B787" s="1" t="s">
        <v>1485</v>
      </c>
      <c r="C787" t="str">
        <f ca="1">IFERROR(__xludf.DUMMYFUNCTION("GOOGLETRANSLATE(B787, ""ja"", ""en"")"),"Are you sure you want to reset the planting plan?")</f>
        <v>Are you sure you want to reset the planting plan?</v>
      </c>
    </row>
    <row r="788" spans="1:3" ht="12.75" x14ac:dyDescent="0.2">
      <c r="A788" s="1" t="s">
        <v>1486</v>
      </c>
      <c r="B788" s="1" t="s">
        <v>1487</v>
      </c>
      <c r="C788" t="str">
        <f ca="1">IFERROR(__xludf.DUMMYFUNCTION("GOOGLETRANSLATE(B788, ""ja"", ""en"")"),"Planting plan will be reset, but you sure?")</f>
        <v>Planting plan will be reset, but you sure?</v>
      </c>
    </row>
    <row r="789" spans="1:3" ht="12.75" x14ac:dyDescent="0.2">
      <c r="A789" s="1" t="s">
        <v>1488</v>
      </c>
      <c r="B789" s="1" t="s">
        <v>332</v>
      </c>
      <c r="C789" t="str">
        <f ca="1">IFERROR(__xludf.DUMMYFUNCTION("GOOGLETRANSLATE(B789, ""ja"", ""en"")"),"Tooth")</f>
        <v>Tooth</v>
      </c>
    </row>
    <row r="790" spans="1:3" ht="12.75" x14ac:dyDescent="0.2">
      <c r="A790" s="1" t="s">
        <v>1489</v>
      </c>
      <c r="B790" s="1" t="s">
        <v>1490</v>
      </c>
      <c r="C790" t="str">
        <f ca="1">IFERROR(__xludf.DUMMYFUNCTION("GOOGLETRANSLATE(B790, ""ja"", ""en"")"),"Hawkshaw scarecrows")</f>
        <v>Hawkshaw scarecrows</v>
      </c>
    </row>
    <row r="791" spans="1:3" ht="12.75" x14ac:dyDescent="0.2">
      <c r="A791" s="1" t="s">
        <v>1491</v>
      </c>
      <c r="B791" s="1" t="s">
        <v>1492</v>
      </c>
      <c r="C791" t="str">
        <f ca="1">IFERROR(__xludf.DUMMYFUNCTION("GOOGLETRANSLATE(B791, ""ja"", ""en"")"),"Magistrate scarecrows")</f>
        <v>Magistrate scarecrows</v>
      </c>
    </row>
    <row r="792" spans="1:3" ht="12.75" x14ac:dyDescent="0.2">
      <c r="A792" s="1" t="s">
        <v>1493</v>
      </c>
      <c r="B792" s="1" t="s">
        <v>1494</v>
      </c>
      <c r="C792" t="str">
        <f ca="1">IFERROR(__xludf.DUMMYFUNCTION("GOOGLETRANSLATE(B792, ""ja"", ""en"")"),"Councilor scarecrows")</f>
        <v>Councilor scarecrows</v>
      </c>
    </row>
    <row r="793" spans="1:3" ht="12.75" x14ac:dyDescent="0.2">
      <c r="A793" s="1" t="s">
        <v>1495</v>
      </c>
      <c r="B793" s="1" t="s">
        <v>1496</v>
      </c>
      <c r="C793" t="str">
        <f ca="1">IFERROR(__xludf.DUMMYFUNCTION("GOOGLETRANSLATE(B793, ""ja"", ""en"")"),"Shogun scarecrows")</f>
        <v>Shogun scarecrows</v>
      </c>
    </row>
    <row r="794" spans="1:3" ht="12.75" x14ac:dyDescent="0.2">
      <c r="A794" s="1" t="s">
        <v>1497</v>
      </c>
      <c r="B794" s="1" t="s">
        <v>1498</v>
      </c>
      <c r="C794" t="str">
        <f ca="1">IFERROR(__xludf.DUMMYFUNCTION("GOOGLETRANSLATE(B794, ""ja"", ""en"")"),"Scarecrows to prevent insect damage a little bit.")</f>
        <v>Scarecrows to prevent insect damage a little bit.</v>
      </c>
    </row>
    <row r="795" spans="1:3" ht="12.75" x14ac:dyDescent="0.2">
      <c r="A795" s="1" t="s">
        <v>1499</v>
      </c>
      <c r="B795" s="1" t="s">
        <v>1500</v>
      </c>
      <c r="C795" t="str">
        <f ca="1">IFERROR(__xludf.DUMMYFUNCTION("GOOGLETRANSLATE(B795, ""ja"", ""en"")"),"Scarecrows to prevent insect damage just a little bit.")</f>
        <v>Scarecrows to prevent insect damage just a little bit.</v>
      </c>
    </row>
    <row r="796" spans="1:3" ht="12.75" x14ac:dyDescent="0.2">
      <c r="A796" s="1" t="s">
        <v>1501</v>
      </c>
      <c r="B796" s="1" t="s">
        <v>1502</v>
      </c>
      <c r="C796" t="str">
        <f ca="1">IFERROR(__xludf.DUMMYFUNCTION("GOOGLETRANSLATE(B796, ""ja"", ""en"")"),"Scarecrow prevent some insect damage.")</f>
        <v>Scarecrow prevent some insect damage.</v>
      </c>
    </row>
    <row r="797" spans="1:3" ht="12.75" x14ac:dyDescent="0.2">
      <c r="A797" s="1" t="s">
        <v>1503</v>
      </c>
      <c r="B797" s="1" t="s">
        <v>1504</v>
      </c>
      <c r="C797" t="str">
        <f ca="1">IFERROR(__xludf.DUMMYFUNCTION("GOOGLETRANSLATE(B797, ""ja"", ""en"")"),"It prevents quite a feeding damage [n] scarecrows.")</f>
        <v>It prevents quite a feeding damage [n] scarecrows.</v>
      </c>
    </row>
    <row r="798" spans="1:3" ht="12.75" x14ac:dyDescent="0.2">
      <c r="A798" s="1" t="s">
        <v>1505</v>
      </c>
      <c r="B798" s="1" t="s">
        <v>1506</v>
      </c>
      <c r="C798" t="str">
        <f ca="1">IFERROR(__xludf.DUMMYFUNCTION("GOOGLETRANSLATE(B798, ""ja"", ""en"")"),"Strongest prevent the perfect feeding damage scarecrows.")</f>
        <v>Strongest prevent the perfect feeding damage scarecrows.</v>
      </c>
    </row>
    <row r="799" spans="1:3" ht="12.75" x14ac:dyDescent="0.2">
      <c r="A799" s="1" t="s">
        <v>1507</v>
      </c>
      <c r="B799" s="1" t="s">
        <v>1508</v>
      </c>
      <c r="C799" t="str">
        <f ca="1">IFERROR(__xludf.DUMMYFUNCTION("GOOGLETRANSLATE(B799, ""ja"", ""en"")"),"Acreage")</f>
        <v>Acreage</v>
      </c>
    </row>
    <row r="800" spans="1:3" ht="12.75" x14ac:dyDescent="0.2">
      <c r="A800" s="1" t="s">
        <v>1509</v>
      </c>
      <c r="B800" s="1" t="s">
        <v>1510</v>
      </c>
      <c r="C800" t="str">
        <f ca="1">IFERROR(__xludf.DUMMYFUNCTION("GOOGLETRANSLATE(B800, ""ja"", ""en"")"),"Cultivation rate")</f>
        <v>Cultivation rate</v>
      </c>
    </row>
    <row r="801" spans="1:3" ht="12.75" x14ac:dyDescent="0.2">
      <c r="A801" s="1" t="s">
        <v>1511</v>
      </c>
      <c r="B801" s="1" t="s">
        <v>1512</v>
      </c>
      <c r="C801" t="str">
        <f ca="1">IFERROR(__xludf.DUMMYFUNCTION("GOOGLETRANSLATE(B801, ""ja"", ""en"")"),"Good harvest probability")</f>
        <v>Good harvest probability</v>
      </c>
    </row>
    <row r="802" spans="1:3" ht="12.75" x14ac:dyDescent="0.2">
      <c r="A802" s="1" t="s">
        <v>1513</v>
      </c>
      <c r="B802" s="1" t="s">
        <v>1514</v>
      </c>
      <c r="C802" t="str">
        <f ca="1">IFERROR(__xludf.DUMMYFUNCTION("GOOGLETRANSLATE(B802, ""ja"", ""en"")"),"Planting")</f>
        <v>Planting</v>
      </c>
    </row>
    <row r="803" spans="1:3" ht="12.75" x14ac:dyDescent="0.2">
      <c r="A803" s="1" t="s">
        <v>1515</v>
      </c>
      <c r="B803" s="1" t="s">
        <v>1516</v>
      </c>
      <c r="C803" t="str">
        <f ca="1">IFERROR(__xludf.DUMMYFUNCTION("GOOGLETRANSLATE(B803, ""ja"", ""en"")"),"Put")</f>
        <v>Put</v>
      </c>
    </row>
    <row r="804" spans="1:3" ht="12.75" x14ac:dyDescent="0.2">
      <c r="A804" s="1" t="s">
        <v>1517</v>
      </c>
      <c r="B804" s="1" t="s">
        <v>1518</v>
      </c>
      <c r="C804" t="str">
        <f ca="1">IFERROR(__xludf.DUMMYFUNCTION("GOOGLETRANSLATE(B804, ""ja"", ""en"")"),"To")</f>
        <v>To</v>
      </c>
    </row>
    <row r="805" spans="1:3" ht="12.75" x14ac:dyDescent="0.2">
      <c r="A805" s="1" t="s">
        <v>1519</v>
      </c>
      <c r="B805" s="1" t="s">
        <v>1520</v>
      </c>
      <c r="C805" t="str">
        <f ca="1">IFERROR(__xludf.DUMMYFUNCTION("GOOGLETRANSLATE(B805, ""ja"", ""en"")"),"Delete")</f>
        <v>Delete</v>
      </c>
    </row>
    <row r="806" spans="1:3" ht="12.75" x14ac:dyDescent="0.2">
      <c r="A806" s="1" t="s">
        <v>1521</v>
      </c>
      <c r="B806" s="1" t="s">
        <v>1522</v>
      </c>
      <c r="C806" t="str">
        <f ca="1">IFERROR(__xludf.DUMMYFUNCTION("GOOGLETRANSLATE(B806, ""ja"", ""en"")"),"return")</f>
        <v>return</v>
      </c>
    </row>
    <row r="807" spans="1:3" ht="12.75" x14ac:dyDescent="0.2">
      <c r="A807" s="1" t="s">
        <v>1523</v>
      </c>
      <c r="B807" s="1" t="s">
        <v>1524</v>
      </c>
      <c r="C807" t="str">
        <f ca="1">IFERROR(__xludf.DUMMYFUNCTION("GOOGLETRANSLATE(B807, ""ja"", ""en"")"),"Ramblings")</f>
        <v>Ramblings</v>
      </c>
    </row>
    <row r="808" spans="1:3" ht="12.75" x14ac:dyDescent="0.2">
      <c r="A808" s="1" t="s">
        <v>1525</v>
      </c>
      <c r="B808" s="1" t="s">
        <v>1526</v>
      </c>
      <c r="C808" t="str">
        <f ca="1">IFERROR(__xludf.DUMMYFUNCTION("GOOGLETRANSLATE(B808, ""ja"", ""en"")"),"Need compartment")</f>
        <v>Need compartment</v>
      </c>
    </row>
    <row r="809" spans="1:3" ht="12.75" x14ac:dyDescent="0.2">
      <c r="A809" s="1" t="s">
        <v>1527</v>
      </c>
      <c r="B809" s="1" t="s">
        <v>1528</v>
      </c>
      <c r="C809" t="str">
        <f ca="1">IFERROR(__xludf.DUMMYFUNCTION("GOOGLETRANSLATE(B809, ""ja"", ""en"")"),"Harvest expected number")</f>
        <v>Harvest expected number</v>
      </c>
    </row>
    <row r="810" spans="1:3" ht="12.75" x14ac:dyDescent="0.2">
      <c r="A810" s="1" t="s">
        <v>1529</v>
      </c>
      <c r="B810" s="1" t="s">
        <v>1530</v>
      </c>
      <c r="C810" t="str">
        <f ca="1">IFERROR(__xludf.DUMMYFUNCTION("GOOGLETRANSLATE(B810, ""ja"", ""en"")"),"usually")</f>
        <v>usually</v>
      </c>
    </row>
    <row r="811" spans="1:3" ht="12.75" x14ac:dyDescent="0.2">
      <c r="A811" s="1" t="s">
        <v>1531</v>
      </c>
      <c r="B811" s="1" t="s">
        <v>1532</v>
      </c>
      <c r="C811" t="str">
        <f ca="1">IFERROR(__xludf.DUMMYFUNCTION("GOOGLETRANSLATE(B811, ""ja"", ""en"")"),"fast")</f>
        <v>fast</v>
      </c>
    </row>
    <row r="812" spans="1:3" ht="12.75" x14ac:dyDescent="0.2">
      <c r="A812" s="1" t="s">
        <v>1533</v>
      </c>
      <c r="B812" s="1" t="s">
        <v>1534</v>
      </c>
      <c r="C812" t="str">
        <f ca="1">IFERROR(__xludf.DUMMYFUNCTION("GOOGLETRANSLATE(B812, ""ja"", ""en"")"),"slow")</f>
        <v>slow</v>
      </c>
    </row>
    <row r="813" spans="1:3" ht="12.75" x14ac:dyDescent="0.2">
      <c r="A813" s="1" t="s">
        <v>1535</v>
      </c>
      <c r="B813" s="1" t="s">
        <v>1536</v>
      </c>
      <c r="C813" t="str">
        <f ca="1">IFERROR(__xludf.DUMMYFUNCTION("GOOGLETRANSLATE(B813, ""ja"", ""en"")"),"It was a victim of vermin ...")</f>
        <v>It was a victim of vermin ...</v>
      </c>
    </row>
    <row r="814" spans="1:3" ht="12.75" x14ac:dyDescent="0.2">
      <c r="A814" s="1" t="s">
        <v>1537</v>
      </c>
      <c r="B814" s="1" t="s">
        <v>1538</v>
      </c>
      <c r="C814" t="str">
        <f ca="1">IFERROR(__xludf.DUMMYFUNCTION("GOOGLETRANSLATE(B814, ""ja"", ""en"")"),"There is no harvest can be crops.")</f>
        <v>There is no harvest can be crops.</v>
      </c>
    </row>
    <row r="815" spans="1:3" ht="12.75" x14ac:dyDescent="0.2">
      <c r="A815" s="1" t="s">
        <v>1539</v>
      </c>
      <c r="B815" s="1" t="s">
        <v>1540</v>
      </c>
      <c r="C815" t="str">
        <f ca="1">IFERROR(__xludf.DUMMYFUNCTION("GOOGLETRANSLATE(B815, ""ja"", ""en"")"),"% S% and d% s harvest!")</f>
        <v>% S% and d% s harvest!</v>
      </c>
    </row>
    <row r="816" spans="1:3" ht="12.75" x14ac:dyDescent="0.2">
      <c r="A816" s="1" t="s">
        <v>1541</v>
      </c>
      <c r="B816" s="1" t="s">
        <v>1542</v>
      </c>
      <c r="C816" t="str">
        <f ca="1">IFERROR(__xludf.DUMMYFUNCTION("GOOGLETRANSLATE(B816, ""ja"", ""en"")"),"% S% d% s or ...... [n]% d% s eaten been gone the Do ......")</f>
        <v>% S% d% s or ...... [n]% d% s eaten been gone the Do ......</v>
      </c>
    </row>
    <row r="817" spans="1:3" ht="12.75" x14ac:dyDescent="0.2">
      <c r="A817" s="1" t="s">
        <v>1543</v>
      </c>
      <c r="B817" s="1" t="s">
        <v>1544</v>
      </c>
      <c r="C817" t="str">
        <f ca="1">IFERROR(__xludf.DUMMYFUNCTION("GOOGLETRANSLATE(B817, ""ja"", ""en"")"),"Or% s% d% s, Do's passable ......")</f>
        <v>Or% s% d% s, Do's passable ......</v>
      </c>
    </row>
    <row r="818" spans="1:3" ht="12.75" x14ac:dyDescent="0.2">
      <c r="A818" s="1" t="s">
        <v>1545</v>
      </c>
      <c r="B818" s="1" t="s">
        <v>1546</v>
      </c>
      <c r="C818" t="str">
        <f ca="1">IFERROR(__xludf.DUMMYFUNCTION("GOOGLETRANSLATE(B818, ""ja"", ""en"")"),"% S% d% s! That's good harvest.")</f>
        <v>% S% d% s! That's good harvest.</v>
      </c>
    </row>
    <row r="819" spans="1:3" ht="12.75" x14ac:dyDescent="0.2">
      <c r="A819" s="1" t="s">
        <v>1547</v>
      </c>
      <c r="B819" s="1" t="s">
        <v>1548</v>
      </c>
      <c r="C819" t="str">
        <f ca="1">IFERROR(__xludf.DUMMYFUNCTION("GOOGLETRANSLATE(B819, ""ja"", ""en"")"),"What% s% d% s! It's a big bumper crop.")</f>
        <v>What% s% d% s! It's a big bumper crop.</v>
      </c>
    </row>
    <row r="820" spans="1:3" ht="12.75" x14ac:dyDescent="0.2">
      <c r="A820" s="1" t="s">
        <v>1549</v>
      </c>
      <c r="B820" s="1" t="s">
        <v>1550</v>
      </c>
      <c r="C820" t="str">
        <f ca="1">IFERROR(__xludf.DUMMYFUNCTION("GOOGLETRANSLATE(B820, ""ja"", ""en"")"),"Do you seeded% s? [N] (possession number% d% s)")</f>
        <v>Do you seeded% s? [N] (possession number% d% s)</v>
      </c>
    </row>
    <row r="821" spans="1:3" ht="12.75" x14ac:dyDescent="0.2">
      <c r="A821" s="1" t="s">
        <v>1551</v>
      </c>
      <c r="B821" s="1" t="s">
        <v>1552</v>
      </c>
      <c r="C821" t="str">
        <f ca="1">IFERROR(__xludf.DUMMYFUNCTION("GOOGLETRANSLATE(B821, ""ja"", ""en"")"),"% S is not.")</f>
        <v>% S is not.</v>
      </c>
    </row>
    <row r="822" spans="1:3" ht="12.75" x14ac:dyDescent="0.2">
      <c r="A822" s="1" t="s">
        <v>1553</v>
      </c>
      <c r="B822" s="1" t="s">
        <v>1554</v>
      </c>
      <c r="C822" t="str">
        <f ca="1">IFERROR(__xludf.DUMMYFUNCTION("GOOGLETRANSLATE(B822, ""ja"", ""en"")"),"Since just were seeded it does not work now.")</f>
        <v>Since just were seeded it does not work now.</v>
      </c>
    </row>
    <row r="823" spans="1:3" ht="12.75" x14ac:dyDescent="0.2">
      <c r="A823" s="1" t="s">
        <v>1555</v>
      </c>
      <c r="B823" s="1" t="s">
        <v>1556</v>
      </c>
      <c r="C823" t="str">
        <f ca="1">IFERROR(__xludf.DUMMYFUNCTION("GOOGLETRANSLATE(B823, ""ja"", ""en"")"),"Capricious planting")</f>
        <v>Capricious planting</v>
      </c>
    </row>
    <row r="824" spans="1:3" ht="12.75" x14ac:dyDescent="0.2">
      <c r="A824" s="1" t="s">
        <v>1557</v>
      </c>
      <c r="B824" s="1" t="s">
        <v>1558</v>
      </c>
      <c r="C824" t="str">
        <f ca="1">IFERROR(__xludf.DUMMYFUNCTION("GOOGLETRANSLATE(B824, ""ja"", ""en"")"),"100%")</f>
        <v>100%</v>
      </c>
    </row>
    <row r="825" spans="1:3" ht="12.75" x14ac:dyDescent="0.2">
      <c r="A825" s="1" t="s">
        <v>1559</v>
      </c>
      <c r="B825" s="1" t="s">
        <v>1560</v>
      </c>
      <c r="C825" t="str">
        <f ca="1">IFERROR(__xludf.DUMMYFUNCTION("GOOGLETRANSLATE(B825, ""ja"", ""en"")"),"110%")</f>
        <v>110%</v>
      </c>
    </row>
    <row r="826" spans="1:3" ht="12.75" x14ac:dyDescent="0.2">
      <c r="A826" s="1" t="s">
        <v>1561</v>
      </c>
      <c r="B826" s="1" t="s">
        <v>1562</v>
      </c>
      <c r="C826" t="str">
        <f ca="1">IFERROR(__xludf.DUMMYFUNCTION("GOOGLETRANSLATE(B826, ""ja"", ""en"")"),"120%")</f>
        <v>120%</v>
      </c>
    </row>
    <row r="827" spans="1:3" ht="12.75" x14ac:dyDescent="0.2">
      <c r="A827" s="1" t="s">
        <v>1563</v>
      </c>
      <c r="B827" s="1" t="s">
        <v>1564</v>
      </c>
      <c r="C827" t="str">
        <f ca="1">IFERROR(__xludf.DUMMYFUNCTION("GOOGLETRANSLATE(B827, ""ja"", ""en"")"),"130%")</f>
        <v>130%</v>
      </c>
    </row>
    <row r="828" spans="1:3" ht="12.75" x14ac:dyDescent="0.2">
      <c r="A828" s="1" t="s">
        <v>1565</v>
      </c>
      <c r="B828" s="1" t="s">
        <v>1566</v>
      </c>
      <c r="C828" t="str">
        <f ca="1">IFERROR(__xludf.DUMMYFUNCTION("GOOGLETRANSLATE(B828, ""ja"", ""en"")"),"150%")</f>
        <v>150%</v>
      </c>
    </row>
    <row r="829" spans="1:3" ht="12.75" x14ac:dyDescent="0.2">
      <c r="A829" s="1" t="s">
        <v>1567</v>
      </c>
      <c r="B829" s="1" t="s">
        <v>1568</v>
      </c>
      <c r="C829" t="str">
        <f ca="1">IFERROR(__xludf.DUMMYFUNCTION("GOOGLETRANSLATE(B829, ""ja"", ""en"")"),"+ 5%")</f>
        <v>+ 5%</v>
      </c>
    </row>
    <row r="830" spans="1:3" ht="12.75" x14ac:dyDescent="0.2">
      <c r="A830" s="1" t="s">
        <v>1569</v>
      </c>
      <c r="B830" s="1" t="s">
        <v>1570</v>
      </c>
      <c r="C830" t="str">
        <f ca="1">IFERROR(__xludf.DUMMYFUNCTION("GOOGLETRANSLATE(B830, ""ja"", ""en"")"),"+ 10%")</f>
        <v>+ 10%</v>
      </c>
    </row>
    <row r="831" spans="1:3" ht="12.75" x14ac:dyDescent="0.2">
      <c r="A831" s="1" t="s">
        <v>1571</v>
      </c>
      <c r="B831" s="1" t="s">
        <v>1572</v>
      </c>
      <c r="C831" t="str">
        <f ca="1">IFERROR(__xludf.DUMMYFUNCTION("GOOGLETRANSLATE(B831, ""ja"", ""en"")"),"+ 15%")</f>
        <v>+ 15%</v>
      </c>
    </row>
    <row r="832" spans="1:3" ht="12.75" x14ac:dyDescent="0.2">
      <c r="A832" s="1" t="s">
        <v>1573</v>
      </c>
      <c r="B832" s="1" t="s">
        <v>1574</v>
      </c>
      <c r="C832" t="str">
        <f ca="1">IFERROR(__xludf.DUMMYFUNCTION("GOOGLETRANSLATE(B832, ""ja"", ""en"")"),"+ 20%")</f>
        <v>+ 20%</v>
      </c>
    </row>
    <row r="833" spans="1:3" ht="12.75" x14ac:dyDescent="0.2">
      <c r="A833" s="1" t="s">
        <v>1575</v>
      </c>
      <c r="B833" s="1" t="s">
        <v>1576</v>
      </c>
      <c r="C833" t="str">
        <f ca="1">IFERROR(__xludf.DUMMYFUNCTION("GOOGLETRANSLATE(B833, ""ja"", ""en"")"),"+ 30%")</f>
        <v>+ 30%</v>
      </c>
    </row>
    <row r="834" spans="1:3" ht="12.75" x14ac:dyDescent="0.2">
      <c r="A834" s="1" t="s">
        <v>1577</v>
      </c>
      <c r="B834" s="1" t="s">
        <v>1578</v>
      </c>
      <c r="C834" t="str">
        <f ca="1">IFERROR(__xludf.DUMMYFUNCTION("GOOGLETRANSLATE(B834, ""ja"", ""en"")"),"5 × 2")</f>
        <v>5 × 2</v>
      </c>
    </row>
    <row r="835" spans="1:3" ht="12.75" x14ac:dyDescent="0.2">
      <c r="A835" s="1" t="s">
        <v>1579</v>
      </c>
      <c r="B835" s="1" t="s">
        <v>1580</v>
      </c>
      <c r="C835" t="str">
        <f ca="1">IFERROR(__xludf.DUMMYFUNCTION("GOOGLETRANSLATE(B835, ""ja"", ""en"")"),"5 × 4")</f>
        <v>5 × 4</v>
      </c>
    </row>
    <row r="836" spans="1:3" ht="12.75" x14ac:dyDescent="0.2">
      <c r="A836" s="1" t="s">
        <v>1581</v>
      </c>
      <c r="B836" s="1" t="s">
        <v>1582</v>
      </c>
      <c r="C836" t="str">
        <f ca="1">IFERROR(__xludf.DUMMYFUNCTION("GOOGLETRANSLATE(B836, ""ja"", ""en"")"),"5 × 6")</f>
        <v>5 × 6</v>
      </c>
    </row>
    <row r="837" spans="1:3" ht="12.75" x14ac:dyDescent="0.2">
      <c r="A837" s="1" t="s">
        <v>1583</v>
      </c>
      <c r="B837" s="1" t="s">
        <v>1584</v>
      </c>
      <c r="C837" t="str">
        <f ca="1">IFERROR(__xludf.DUMMYFUNCTION("GOOGLETRANSLATE(B837, ""ja"", ""en"")"),"5 × 8")</f>
        <v>5 × 8</v>
      </c>
    </row>
    <row r="838" spans="1:3" ht="12.75" x14ac:dyDescent="0.2">
      <c r="A838" s="1" t="s">
        <v>1585</v>
      </c>
      <c r="B838" s="1" t="s">
        <v>1586</v>
      </c>
      <c r="C838" t="str">
        <f ca="1">IFERROR(__xludf.DUMMYFUNCTION("GOOGLETRANSLATE(B838, ""ja"", ""en"")"),"5 × 10")</f>
        <v>5 × 10</v>
      </c>
    </row>
    <row r="839" spans="1:3" ht="12.75" x14ac:dyDescent="0.2">
      <c r="A839" s="1" t="s">
        <v>1587</v>
      </c>
      <c r="B839" s="1" t="s">
        <v>1588</v>
      </c>
      <c r="C839" t="str">
        <f ca="1">IFERROR(__xludf.DUMMYFUNCTION("GOOGLETRANSLATE(B839, ""ja"", ""en"")"),"save")</f>
        <v>save</v>
      </c>
    </row>
    <row r="840" spans="1:3" ht="12.75" x14ac:dyDescent="0.2">
      <c r="A840" s="1" t="s">
        <v>1589</v>
      </c>
      <c r="B840" s="1" t="s">
        <v>1590</v>
      </c>
      <c r="C840" t="str">
        <f ca="1">IFERROR(__xludf.DUMMYFUNCTION("GOOGLETRANSLATE(B840, ""ja"", ""en"")"),"Motion")</f>
        <v>Motion</v>
      </c>
    </row>
    <row r="841" spans="1:3" ht="12.75" x14ac:dyDescent="0.2">
      <c r="A841" s="1" t="s">
        <v>1591</v>
      </c>
      <c r="B841" s="1" t="s">
        <v>79</v>
      </c>
      <c r="C841" t="str">
        <f ca="1">IFERROR(__xludf.DUMMYFUNCTION("GOOGLETRANSLATE(B841, ""ja"", ""en"")"),"Door")</f>
        <v>Door</v>
      </c>
    </row>
    <row r="842" spans="1:3" ht="12.75" x14ac:dyDescent="0.2">
      <c r="A842" s="1" t="s">
        <v>1592</v>
      </c>
      <c r="B842" s="1" t="s">
        <v>5</v>
      </c>
      <c r="C842" t="str">
        <f ca="1">IFERROR(__xludf.DUMMYFUNCTION("GOOGLETRANSLATE(B842, ""ja"", ""en"")"),"e")</f>
        <v>e</v>
      </c>
    </row>
    <row r="843" spans="1:3" ht="12.75" x14ac:dyDescent="0.2">
      <c r="A843" s="1" t="s">
        <v>1593</v>
      </c>
      <c r="B843" s="1" t="s">
        <v>1594</v>
      </c>
      <c r="C843" t="str">
        <f ca="1">IFERROR(__xludf.DUMMYFUNCTION("GOOGLETRANSLATE(B843, ""ja"", ""en"")"),"Grayed")</f>
        <v>Grayed</v>
      </c>
    </row>
    <row r="844" spans="1:3" ht="12.75" x14ac:dyDescent="0.2">
      <c r="A844" s="1" t="s">
        <v>1595</v>
      </c>
      <c r="B844" s="1" t="s">
        <v>247</v>
      </c>
      <c r="C844" t="str">
        <f ca="1">IFERROR(__xludf.DUMMYFUNCTION("GOOGLETRANSLATE(B844, ""ja"", ""en"")"),".")</f>
        <v>.</v>
      </c>
    </row>
    <row r="845" spans="1:3" ht="12.75" x14ac:dyDescent="0.2">
      <c r="A845" s="1" t="s">
        <v>1596</v>
      </c>
      <c r="B845" s="1" t="s">
        <v>1019</v>
      </c>
      <c r="C845" t="str">
        <f ca="1">IFERROR(__xludf.DUMMYFUNCTION("GOOGLETRANSLATE(B845, ""ja"", ""en"")"),"B")</f>
        <v>B</v>
      </c>
    </row>
    <row r="846" spans="1:3" ht="12.75" x14ac:dyDescent="0.2">
      <c r="A846" s="1" t="s">
        <v>1597</v>
      </c>
      <c r="B846" s="1" t="s">
        <v>247</v>
      </c>
      <c r="C846" t="str">
        <f ca="1">IFERROR(__xludf.DUMMYFUNCTION("GOOGLETRANSLATE(B846, ""ja"", ""en"")"),".")</f>
        <v>.</v>
      </c>
    </row>
    <row r="847" spans="1:3" ht="12.75" x14ac:dyDescent="0.2">
      <c r="A847" s="1" t="s">
        <v>1598</v>
      </c>
      <c r="B847" s="1" t="s">
        <v>1019</v>
      </c>
      <c r="C847" t="str">
        <f ca="1">IFERROR(__xludf.DUMMYFUNCTION("GOOGLETRANSLATE(B847, ""ja"", ""en"")"),"B")</f>
        <v>B</v>
      </c>
    </row>
    <row r="848" spans="1:3" ht="12.75" x14ac:dyDescent="0.2">
      <c r="A848" s="1" t="s">
        <v>1599</v>
      </c>
      <c r="B848" s="1" t="s">
        <v>247</v>
      </c>
      <c r="C848" t="str">
        <f ca="1">IFERROR(__xludf.DUMMYFUNCTION("GOOGLETRANSLATE(B848, ""ja"", ""en"")"),".")</f>
        <v>.</v>
      </c>
    </row>
    <row r="849" spans="1:3" ht="12.75" x14ac:dyDescent="0.2">
      <c r="A849" s="1" t="s">
        <v>1600</v>
      </c>
      <c r="B849" s="1" t="s">
        <v>247</v>
      </c>
      <c r="C849" t="str">
        <f ca="1">IFERROR(__xludf.DUMMYFUNCTION("GOOGLETRANSLATE(B849, ""ja"", ""en"")"),".")</f>
        <v>.</v>
      </c>
    </row>
    <row r="850" spans="1:3" ht="12.75" x14ac:dyDescent="0.2">
      <c r="A850" s="1" t="s">
        <v>1601</v>
      </c>
      <c r="B850" s="1" t="s">
        <v>247</v>
      </c>
      <c r="C850" t="str">
        <f ca="1">IFERROR(__xludf.DUMMYFUNCTION("GOOGLETRANSLATE(B850, ""ja"", ""en"")"),".")</f>
        <v>.</v>
      </c>
    </row>
    <row r="851" spans="1:3" ht="12.75" x14ac:dyDescent="0.2">
      <c r="A851" s="1" t="s">
        <v>1602</v>
      </c>
      <c r="B851" s="1" t="s">
        <v>1603</v>
      </c>
      <c r="C851" t="str">
        <f ca="1">IFERROR(__xludf.DUMMYFUNCTION("GOOGLETRANSLATE(B851, ""ja"", ""en"")"),"+")</f>
        <v>+</v>
      </c>
    </row>
    <row r="852" spans="1:3" ht="12.75" x14ac:dyDescent="0.2">
      <c r="A852" s="1" t="s">
        <v>1604</v>
      </c>
      <c r="B852" s="1" t="s">
        <v>1605</v>
      </c>
      <c r="C852" t="str">
        <f ca="1">IFERROR(__xludf.DUMMYFUNCTION("GOOGLETRANSLATE(B852, ""ja"", ""en"")"),"=")</f>
        <v>=</v>
      </c>
    </row>
    <row r="853" spans="1:3" ht="12.75" x14ac:dyDescent="0.2">
      <c r="A853" s="1" t="s">
        <v>1606</v>
      </c>
      <c r="B853" s="1" t="s">
        <v>1607</v>
      </c>
      <c r="C853" t="str">
        <f ca="1">IFERROR(__xludf.DUMMYFUNCTION("GOOGLETRANSLATE(B853, ""ja"", ""en"")"),"J")</f>
        <v>J</v>
      </c>
    </row>
    <row r="854" spans="1:3" ht="12.75" x14ac:dyDescent="0.2">
      <c r="A854" s="1" t="s">
        <v>1608</v>
      </c>
      <c r="B854" s="1" t="s">
        <v>1609</v>
      </c>
      <c r="C854" t="str">
        <f ca="1">IFERROR(__xludf.DUMMYFUNCTION("GOOGLETRANSLATE(B854, ""ja"", ""en"")"),"Q")</f>
        <v>Q</v>
      </c>
    </row>
    <row r="855" spans="1:3" ht="12.75" x14ac:dyDescent="0.2">
      <c r="A855" s="1" t="s">
        <v>1610</v>
      </c>
      <c r="B855" s="1" t="s">
        <v>1611</v>
      </c>
      <c r="C855" t="str">
        <f ca="1">IFERROR(__xludf.DUMMYFUNCTION("GOOGLETRANSLATE(B855, ""ja"", ""en"")"),"K")</f>
        <v>K</v>
      </c>
    </row>
    <row r="856" spans="1:3" ht="12.75" x14ac:dyDescent="0.2">
      <c r="A856" s="1" t="s">
        <v>1612</v>
      </c>
      <c r="B856" s="1" t="s">
        <v>1613</v>
      </c>
      <c r="C856" t="str">
        <f ca="1">IFERROR(__xludf.DUMMYFUNCTION("GOOGLETRANSLATE(B856, ""ja"", ""en"")"),"total")</f>
        <v>total</v>
      </c>
    </row>
    <row r="857" spans="1:3" ht="12.75" x14ac:dyDescent="0.2">
      <c r="A857" s="1" t="s">
        <v>1614</v>
      </c>
      <c r="B857" s="1" t="s">
        <v>1615</v>
      </c>
      <c r="C857" t="str">
        <f ca="1">IFERROR(__xludf.DUMMYFUNCTION("GOOGLETRANSLATE(B857, ""ja"", ""en"")"),"Baba")</f>
        <v>Baba</v>
      </c>
    </row>
    <row r="858" spans="1:3" ht="12.75" x14ac:dyDescent="0.2">
      <c r="A858" s="1" t="s">
        <v>1616</v>
      </c>
      <c r="B858" s="1" t="s">
        <v>1617</v>
      </c>
      <c r="C858" t="str">
        <f ca="1">IFERROR(__xludf.DUMMYFUNCTION("GOOGLETRANSLATE(B858, ""ja"", ""en"")"),"Today even me playing, thank you very much. [N] Let the betting point of reward to get!")</f>
        <v>Today even me playing, thank you very much. [N] Let the betting point of reward to get!</v>
      </c>
    </row>
    <row r="859" spans="1:3" ht="12.75" x14ac:dyDescent="0.2">
      <c r="A859" s="1" t="s">
        <v>1618</v>
      </c>
      <c r="B859" s="1" t="s">
        <v>1619</v>
      </c>
      <c r="C859" t="str">
        <f ca="1">IFERROR(__xludf.DUMMYFUNCTION("GOOGLETRANSLATE(B859, ""ja"", ""en"")"),"Choose your favorite tag, please go flipping through. And it would turn the [n] Baba, where is the end of the game.")</f>
        <v>Choose your favorite tag, please go flipping through. And it would turn the [n] Baba, where is the end of the game.</v>
      </c>
    </row>
    <row r="860" spans="1:3" ht="12.75" x14ac:dyDescent="0.2">
      <c r="A860" s="1" t="s">
        <v>1620</v>
      </c>
      <c r="B860" s="1" t="s">
        <v>1621</v>
      </c>
      <c r="C860" t="str">
        <f ca="1">IFERROR(__xludf.DUMMYFUNCTION("GOOGLETRANSLATE(B860, ""ja"", ""en"")"),"Because it was tag of ""% s"", it is% d point addition. [N] Please choose the following tag.")</f>
        <v>Because it was tag of "% s", it is% d point addition. [N] Please choose the following tag.</v>
      </c>
    </row>
    <row r="861" spans="1:3" ht="12.75" x14ac:dyDescent="0.2">
      <c r="A861" s="1" t="s">
        <v>1622</v>
      </c>
      <c r="B861" s="1" t="s">
        <v>1623</v>
      </c>
      <c r="C861" t="str">
        <f ca="1">IFERROR(__xludf.DUMMYFUNCTION("GOOGLETRANSLATE(B861, ""ja"", ""en"")"),"I have turned over a suddenly Baba! [N] I'm sorry, but it is the end of the game in the first sheet.")</f>
        <v>I have turned over a suddenly Baba! [N] I'm sorry, but it is the end of the game in the first sheet.</v>
      </c>
    </row>
    <row r="862" spans="1:3" ht="12.75" x14ac:dyDescent="0.2">
      <c r="A862" s="1" t="s">
        <v>1624</v>
      </c>
      <c r="B862" s="1" t="s">
        <v>1625</v>
      </c>
      <c r="C862" t="str">
        <f ca="1">IFERROR(__xludf.DUMMYFUNCTION("GOOGLETRANSLATE(B862, ""ja"", ""en"")"),"That's too bad. Since turned over the [n] Baba, is the end of the game here.")</f>
        <v>That's too bad. Since turned over the [n] Baba, is the end of the game here.</v>
      </c>
    </row>
    <row r="863" spans="1:3" ht="12.75" x14ac:dyDescent="0.2">
      <c r="A863" s="1" t="s">
        <v>1626</v>
      </c>
      <c r="B863" s="1" t="s">
        <v>1627</v>
      </c>
      <c r="C863" t="str">
        <f ca="1">IFERROR(__xludf.DUMMYFUNCTION("GOOGLETRANSLATE(B863, ""ja"", ""en"")"),"Congratulations! Until [n] last came to an end without blind Baba!")</f>
        <v>Congratulations! Until [n] last came to an end without blind Baba!</v>
      </c>
    </row>
    <row r="864" spans="1:3" ht="12.75" x14ac:dyDescent="0.2">
      <c r="A864" s="1" t="s">
        <v>1628</v>
      </c>
      <c r="B864" s="1" t="s">
        <v>1629</v>
      </c>
      <c r="C864" t="str">
        <f ca="1">IFERROR(__xludf.DUMMYFUNCTION("GOOGLETRANSLATE(B864, ""ja"", ""en"")"),"Unfortunately chagrin reward")</f>
        <v>Unfortunately chagrin reward</v>
      </c>
    </row>
    <row r="865" spans="1:3" ht="12.75" x14ac:dyDescent="0.2">
      <c r="A865" s="1" t="s">
        <v>1630</v>
      </c>
      <c r="B865" s="1" t="s">
        <v>1631</v>
      </c>
      <c r="C865" t="str">
        <f ca="1">IFERROR(__xludf.DUMMYFUNCTION("GOOGLETRANSLATE(B865, ""ja"", ""en"")"),"% D sheets success fee")</f>
        <v>% D sheets success fee</v>
      </c>
    </row>
    <row r="866" spans="1:3" ht="12.75" x14ac:dyDescent="0.2">
      <c r="A866" s="1" t="s">
        <v>1632</v>
      </c>
      <c r="B866" s="1" t="s">
        <v>1633</v>
      </c>
      <c r="C866" t="str">
        <f ca="1">IFERROR(__xludf.DUMMYFUNCTION("GOOGLETRANSLATE(B866, ""ja"", ""en"")"),"Perfect achievement reward")</f>
        <v>Perfect achievement reward</v>
      </c>
    </row>
    <row r="867" spans="1:3" ht="12.75" x14ac:dyDescent="0.2">
      <c r="A867" s="1" t="s">
        <v>1634</v>
      </c>
      <c r="B867" s="1" t="s">
        <v>1635</v>
      </c>
      <c r="C867" t="str">
        <f ca="1">IFERROR(__xludf.DUMMYFUNCTION("GOOGLETRANSLATE(B867, ""ja"", ""en"")"),"% Turning up the d-th!")</f>
        <v>% Turning up the d-th!</v>
      </c>
    </row>
    <row r="868" spans="1:3" ht="12.75" x14ac:dyDescent="0.2">
      <c r="A868" s="1" t="s">
        <v>1636</v>
      </c>
      <c r="B868" s="1" t="s">
        <v>1637</v>
      </c>
      <c r="C868" t="str">
        <f ca="1">IFERROR(__xludf.DUMMYFUNCTION("GOOGLETRANSLATE(B868, ""ja"", ""en"")"),"% Fail ...... in the d-th")</f>
        <v>% Fail ...... in the d-th</v>
      </c>
    </row>
    <row r="869" spans="1:3" ht="12.75" x14ac:dyDescent="0.2">
      <c r="A869" s="1" t="s">
        <v>1638</v>
      </c>
      <c r="B869" s="1" t="s">
        <v>1639</v>
      </c>
      <c r="C869" t="str">
        <f ca="1">IFERROR(__xludf.DUMMYFUNCTION("GOOGLETRANSLATE(B869, ""ja"", ""en"")"),"Great success!")</f>
        <v>Great success!</v>
      </c>
    </row>
    <row r="870" spans="1:3" ht="12.75" x14ac:dyDescent="0.2">
      <c r="A870" s="1" t="s">
        <v>1640</v>
      </c>
      <c r="B870" s="1" t="s">
        <v>1641</v>
      </c>
      <c r="C870" t="str">
        <f ca="1">IFERROR(__xludf.DUMMYFUNCTION("GOOGLETRANSLATE(B870, ""ja"", ""en"")"),"book")</f>
        <v>book</v>
      </c>
    </row>
    <row r="871" spans="1:3" ht="12.75" x14ac:dyDescent="0.2">
      <c r="A871" s="1" t="s">
        <v>1642</v>
      </c>
      <c r="B871" s="1" t="s">
        <v>1643</v>
      </c>
      <c r="C871" t="str">
        <f ca="1">IFERROR(__xludf.DUMMYFUNCTION("GOOGLETRANSLATE(B871, ""ja"", ""en"")"),"Money")</f>
        <v>Money</v>
      </c>
    </row>
    <row r="872" spans="1:3" ht="12.75" x14ac:dyDescent="0.2">
      <c r="A872" s="1" t="s">
        <v>1644</v>
      </c>
      <c r="B872" s="1" t="s">
        <v>1645</v>
      </c>
      <c r="C872" t="str">
        <f ca="1">IFERROR(__xludf.DUMMYFUNCTION("GOOGLETRANSLATE(B872, ""ja"", ""en"")"),"~)")</f>
        <v>~)</v>
      </c>
    </row>
    <row r="873" spans="1:3" ht="12.75" x14ac:dyDescent="0.2">
      <c r="A873" s="1" t="s">
        <v>1646</v>
      </c>
      <c r="B873" s="1" t="s">
        <v>354</v>
      </c>
      <c r="C873" t="str">
        <f ca="1">IFERROR(__xludf.DUMMYFUNCTION("GOOGLETRANSLATE(B873, ""ja"", ""en"")"),"That")</f>
        <v>That</v>
      </c>
    </row>
    <row r="874" spans="1:3" ht="12.75" x14ac:dyDescent="0.2">
      <c r="A874" s="1" t="s">
        <v>1647</v>
      </c>
      <c r="B874" s="1" t="s">
        <v>354</v>
      </c>
      <c r="C874" t="str">
        <f ca="1">IFERROR(__xludf.DUMMYFUNCTION("GOOGLETRANSLATE(B874, ""ja"", ""en"")"),"That")</f>
        <v>That</v>
      </c>
    </row>
    <row r="875" spans="1:3" ht="12.75" x14ac:dyDescent="0.2">
      <c r="A875" s="1" t="s">
        <v>1648</v>
      </c>
      <c r="B875" s="1" t="s">
        <v>1649</v>
      </c>
      <c r="C875" t="str">
        <f ca="1">IFERROR(__xludf.DUMMYFUNCTION("GOOGLETRANSLATE(B875, ""ja"", ""en"")"),"No")</f>
        <v>No</v>
      </c>
    </row>
    <row r="876" spans="1:3" ht="12.75" x14ac:dyDescent="0.2">
      <c r="A876" s="1" t="s">
        <v>1650</v>
      </c>
      <c r="B876" s="1" t="s">
        <v>1651</v>
      </c>
      <c r="C876" t="str">
        <f ca="1">IFERROR(__xludf.DUMMYFUNCTION("GOOGLETRANSLATE(B876, ""ja"", ""en"")"),"Cormorant")</f>
        <v>Cormorant</v>
      </c>
    </row>
    <row r="877" spans="1:3" ht="12.75" x14ac:dyDescent="0.2">
      <c r="A877" s="1" t="s">
        <v>1652</v>
      </c>
      <c r="B877" s="1" t="s">
        <v>1653</v>
      </c>
      <c r="C877" t="str">
        <f ca="1">IFERROR(__xludf.DUMMYFUNCTION("GOOGLETRANSLATE(B877, ""ja"", ""en"")"),"Flop")</f>
        <v>Flop</v>
      </c>
    </row>
    <row r="878" spans="1:3" ht="12.75" x14ac:dyDescent="0.2">
      <c r="A878" s="1" t="s">
        <v>1654</v>
      </c>
      <c r="B878" s="1" t="s">
        <v>1653</v>
      </c>
      <c r="C878" t="str">
        <f ca="1">IFERROR(__xludf.DUMMYFUNCTION("GOOGLETRANSLATE(B878, ""ja"", ""en"")"),"Flop")</f>
        <v>Flop</v>
      </c>
    </row>
    <row r="879" spans="1:3" ht="12.75" x14ac:dyDescent="0.2">
      <c r="A879" s="1" t="s">
        <v>1655</v>
      </c>
      <c r="B879" s="1" t="s">
        <v>250</v>
      </c>
      <c r="C879" t="str">
        <f ca="1">IFERROR(__xludf.DUMMYFUNCTION("GOOGLETRANSLATE(B879, ""ja"", ""en"")"),"?")</f>
        <v>?</v>
      </c>
    </row>
    <row r="880" spans="1:3" ht="12.75" x14ac:dyDescent="0.2">
      <c r="A880" s="1" t="s">
        <v>1656</v>
      </c>
      <c r="B880" s="1" t="s">
        <v>1019</v>
      </c>
      <c r="C880" t="str">
        <f ca="1">IFERROR(__xludf.DUMMYFUNCTION("GOOGLETRANSLATE(B880, ""ja"", ""en"")"),"B")</f>
        <v>B</v>
      </c>
    </row>
    <row r="881" spans="1:3" ht="12.75" x14ac:dyDescent="0.2">
      <c r="A881" s="1" t="s">
        <v>1657</v>
      </c>
      <c r="C881" t="str">
        <f ca="1">IFERROR(__xludf.DUMMYFUNCTION("GOOGLETRANSLATE(B881, ""ja"", ""en"")"),"#VALUE!")</f>
        <v>#VALUE!</v>
      </c>
    </row>
    <row r="882" spans="1:3" ht="12.75" x14ac:dyDescent="0.2">
      <c r="A882" s="1" t="s">
        <v>1658</v>
      </c>
      <c r="B882" s="1" t="s">
        <v>1659</v>
      </c>
      <c r="C882" t="str">
        <f ca="1">IFERROR(__xludf.DUMMYFUNCTION("GOOGLETRANSLATE(B882, ""ja"", ""en"")"),"Act")</f>
        <v>Act</v>
      </c>
    </row>
    <row r="883" spans="1:3" ht="12.75" x14ac:dyDescent="0.2">
      <c r="A883" s="1" t="s">
        <v>1660</v>
      </c>
      <c r="B883" s="1" t="s">
        <v>250</v>
      </c>
      <c r="C883" t="str">
        <f ca="1">IFERROR(__xludf.DUMMYFUNCTION("GOOGLETRANSLATE(B883, ""ja"", ""en"")"),"?")</f>
        <v>?</v>
      </c>
    </row>
    <row r="884" spans="1:3" ht="12.75" x14ac:dyDescent="0.2">
      <c r="A884" s="1" t="s">
        <v>1661</v>
      </c>
      <c r="B884" s="1" t="s">
        <v>1662</v>
      </c>
      <c r="C884" t="str">
        <f ca="1">IFERROR(__xludf.DUMMYFUNCTION("GOOGLETRANSLATE(B884, ""ja"", ""en"")"),"BET")</f>
        <v>BET</v>
      </c>
    </row>
    <row r="885" spans="1:3" ht="12.75" x14ac:dyDescent="0.2">
      <c r="A885" s="1" t="s">
        <v>1663</v>
      </c>
      <c r="B885" s="1" t="s">
        <v>1664</v>
      </c>
      <c r="C885" t="str">
        <f ca="1">IFERROR(__xludf.DUMMYFUNCTION("GOOGLETRANSLATE(B885, ""ja"", ""en"")"),"T")</f>
        <v>T</v>
      </c>
    </row>
    <row r="886" spans="1:3" ht="12.75" x14ac:dyDescent="0.2">
      <c r="A886" s="1" t="s">
        <v>1665</v>
      </c>
      <c r="B886" s="1" t="s">
        <v>1666</v>
      </c>
      <c r="C886" t="str">
        <f ca="1">IFERROR(__xludf.DUMMYFUNCTION("GOOGLETRANSLATE(B886, ""ja"", ""en"")"),"D")</f>
        <v>D</v>
      </c>
    </row>
    <row r="887" spans="1:3" ht="12.75" x14ac:dyDescent="0.2">
      <c r="A887" s="1" t="s">
        <v>1667</v>
      </c>
      <c r="B887" s="1" t="s">
        <v>1668</v>
      </c>
      <c r="C887" t="str">
        <f ca="1">IFERROR(__xludf.DUMMYFUNCTION("GOOGLETRANSLATE(B887, ""ja"", ""en"")"),"WN")</f>
        <v>WN</v>
      </c>
    </row>
    <row r="888" spans="1:3" ht="12.75" x14ac:dyDescent="0.2">
      <c r="A888" s="1" t="s">
        <v>1669</v>
      </c>
      <c r="B888" s="1" t="s">
        <v>1664</v>
      </c>
      <c r="C888" t="str">
        <f ca="1">IFERROR(__xludf.DUMMYFUNCTION("GOOGLETRANSLATE(B888, ""ja"", ""en"")"),"T")</f>
        <v>T</v>
      </c>
    </row>
    <row r="889" spans="1:3" ht="12.75" x14ac:dyDescent="0.2">
      <c r="A889" s="1" t="s">
        <v>1670</v>
      </c>
      <c r="B889" s="1" t="s">
        <v>1671</v>
      </c>
      <c r="C889" t="str">
        <f ca="1">IFERROR(__xludf.DUMMYFUNCTION("GOOGLETRANSLATE(B889, ""ja"", ""en"")"),"R")</f>
        <v>R</v>
      </c>
    </row>
    <row r="890" spans="1:3" ht="12.75" x14ac:dyDescent="0.2">
      <c r="A890" s="1" t="s">
        <v>1672</v>
      </c>
      <c r="B890" s="1" t="s">
        <v>1673</v>
      </c>
      <c r="C890" t="str">
        <f ca="1">IFERROR(__xludf.DUMMYFUNCTION("GOOGLETRANSLATE(B890, ""ja"", ""en"")"),"Oh")</f>
        <v>Oh</v>
      </c>
    </row>
    <row r="891" spans="1:3" ht="12.75" x14ac:dyDescent="0.2">
      <c r="A891" s="1" t="s">
        <v>1674</v>
      </c>
      <c r="B891" s="1" t="s">
        <v>1673</v>
      </c>
      <c r="C891" t="str">
        <f ca="1">IFERROR(__xludf.DUMMYFUNCTION("GOOGLETRANSLATE(B891, ""ja"", ""en"")"),"Oh")</f>
        <v>Oh</v>
      </c>
    </row>
    <row r="892" spans="1:3" ht="12.75" x14ac:dyDescent="0.2">
      <c r="A892" s="1" t="s">
        <v>1675</v>
      </c>
      <c r="B892" s="1" t="s">
        <v>1673</v>
      </c>
      <c r="C892" t="str">
        <f ca="1">IFERROR(__xludf.DUMMYFUNCTION("GOOGLETRANSLATE(B892, ""ja"", ""en"")"),"Oh")</f>
        <v>Oh</v>
      </c>
    </row>
    <row r="893" spans="1:3" ht="12.75" x14ac:dyDescent="0.2">
      <c r="A893" s="1" t="s">
        <v>1676</v>
      </c>
      <c r="B893" s="1" t="s">
        <v>267</v>
      </c>
      <c r="C893" t="str">
        <f ca="1">IFERROR(__xludf.DUMMYFUNCTION("GOOGLETRANSLATE(B893, ""ja"", ""en"")"),"0)")</f>
        <v>0)</v>
      </c>
    </row>
    <row r="894" spans="1:3" ht="12.75" x14ac:dyDescent="0.2">
      <c r="A894" s="1" t="s">
        <v>1677</v>
      </c>
      <c r="B894" s="1" t="s">
        <v>354</v>
      </c>
      <c r="C894" t="str">
        <f ca="1">IFERROR(__xludf.DUMMYFUNCTION("GOOGLETRANSLATE(B894, ""ja"", ""en"")"),"That")</f>
        <v>That</v>
      </c>
    </row>
    <row r="895" spans="1:3" ht="12.75" x14ac:dyDescent="0.2">
      <c r="A895" s="1" t="s">
        <v>1678</v>
      </c>
      <c r="B895" s="1" t="s">
        <v>1679</v>
      </c>
      <c r="C895" t="str">
        <f ca="1">IFERROR(__xludf.DUMMYFUNCTION("GOOGLETRANSLATE(B895, ""ja"", ""en"")"),"Stop")</f>
        <v>Stop</v>
      </c>
    </row>
    <row r="896" spans="1:3" ht="12.75" x14ac:dyDescent="0.2">
      <c r="A896" s="1" t="s">
        <v>1680</v>
      </c>
      <c r="B896" s="1" t="s">
        <v>354</v>
      </c>
      <c r="C896" t="str">
        <f ca="1">IFERROR(__xludf.DUMMYFUNCTION("GOOGLETRANSLATE(B896, ""ja"", ""en"")"),"That")</f>
        <v>That</v>
      </c>
    </row>
    <row r="897" spans="1:3" ht="12.75" x14ac:dyDescent="0.2">
      <c r="A897" s="1" t="s">
        <v>1681</v>
      </c>
      <c r="B897" s="1" t="s">
        <v>1682</v>
      </c>
      <c r="C897" t="str">
        <f ca="1">IFERROR(__xludf.DUMMYFUNCTION("GOOGLETRANSLATE(B897, ""ja"", ""en"")"),"dividend")</f>
        <v>dividend</v>
      </c>
    </row>
    <row r="898" spans="1:3" ht="12.75" x14ac:dyDescent="0.2">
      <c r="A898" s="1" t="s">
        <v>1683</v>
      </c>
      <c r="B898" s="1" t="s">
        <v>1684</v>
      </c>
      <c r="C898" t="str">
        <f ca="1">IFERROR(__xludf.DUMMYFUNCTION("GOOGLETRANSLATE(B898, ""ja"", ""en"")"),"Acquisition")</f>
        <v>Acquisition</v>
      </c>
    </row>
    <row r="899" spans="1:3" ht="12.75" x14ac:dyDescent="0.2">
      <c r="A899" s="1" t="s">
        <v>1685</v>
      </c>
      <c r="B899" s="1" t="s">
        <v>1518</v>
      </c>
      <c r="C899" t="str">
        <f ca="1">IFERROR(__xludf.DUMMYFUNCTION("GOOGLETRANSLATE(B899, ""ja"", ""en"")"),"To")</f>
        <v>To</v>
      </c>
    </row>
    <row r="900" spans="1:3" ht="12.75" x14ac:dyDescent="0.2">
      <c r="A900" s="1" t="s">
        <v>1686</v>
      </c>
      <c r="B900" s="1" t="s">
        <v>1518</v>
      </c>
      <c r="C900" t="str">
        <f ca="1">IFERROR(__xludf.DUMMYFUNCTION("GOOGLETRANSLATE(B900, ""ja"", ""en"")"),"To")</f>
        <v>To</v>
      </c>
    </row>
    <row r="901" spans="1:3" ht="12.75" x14ac:dyDescent="0.2">
      <c r="A901" s="1" t="s">
        <v>1687</v>
      </c>
      <c r="B901" s="1" t="s">
        <v>1518</v>
      </c>
      <c r="C901" t="str">
        <f ca="1">IFERROR(__xludf.DUMMYFUNCTION("GOOGLETRANSLATE(B901, ""ja"", ""en"")"),"To")</f>
        <v>To</v>
      </c>
    </row>
    <row r="902" spans="1:3" ht="12.75" x14ac:dyDescent="0.2">
      <c r="A902" s="1" t="s">
        <v>1688</v>
      </c>
      <c r="B902" s="1">
        <v>0</v>
      </c>
      <c r="C902" t="str">
        <f ca="1">IFERROR(__xludf.DUMMYFUNCTION("GOOGLETRANSLATE(B902, ""ja"", ""en"")"),"0")</f>
        <v>0</v>
      </c>
    </row>
    <row r="903" spans="1:3" ht="12.75" x14ac:dyDescent="0.2">
      <c r="A903" s="1" t="s">
        <v>1689</v>
      </c>
      <c r="B903" s="1" t="s">
        <v>252</v>
      </c>
      <c r="C903" t="str">
        <f ca="1">IFERROR(__xludf.DUMMYFUNCTION("GOOGLETRANSLATE(B903, ""ja"", ""en"")"),"Le")</f>
        <v>Le</v>
      </c>
    </row>
    <row r="904" spans="1:3" ht="12.75" x14ac:dyDescent="0.2">
      <c r="A904" s="1" t="s">
        <v>1690</v>
      </c>
      <c r="B904" s="1" t="s">
        <v>1691</v>
      </c>
      <c r="C904" t="str">
        <f ca="1">IFERROR(__xludf.DUMMYFUNCTION("GOOGLETRANSLATE(B904, ""ja"", ""en"")"),"List")</f>
        <v>List</v>
      </c>
    </row>
    <row r="905" spans="1:3" ht="12.75" x14ac:dyDescent="0.2">
      <c r="A905" s="1" t="s">
        <v>1692</v>
      </c>
      <c r="B905" s="1" t="s">
        <v>1693</v>
      </c>
      <c r="C905" t="str">
        <f ca="1">IFERROR(__xludf.DUMMYFUNCTION("GOOGLETRANSLATE(B905, ""ja"", ""en"")"),"Ha")</f>
        <v>Ha</v>
      </c>
    </row>
    <row r="906" spans="1:3" ht="12.75" x14ac:dyDescent="0.2">
      <c r="A906" s="1" t="s">
        <v>1694</v>
      </c>
      <c r="B906" s="1" t="s">
        <v>1695</v>
      </c>
      <c r="C906" t="str">
        <f ca="1">IFERROR(__xludf.DUMMYFUNCTION("GOOGLETRANSLATE(B906, ""ja"", ""en"")"),"Beam")</f>
        <v>Beam</v>
      </c>
    </row>
    <row r="907" spans="1:3" ht="12.75" x14ac:dyDescent="0.2">
      <c r="A907" s="1" t="s">
        <v>1696</v>
      </c>
      <c r="B907" s="1" t="s">
        <v>252</v>
      </c>
      <c r="C907" t="str">
        <f ca="1">IFERROR(__xludf.DUMMYFUNCTION("GOOGLETRANSLATE(B907, ""ja"", ""en"")"),"Le")</f>
        <v>Le</v>
      </c>
    </row>
    <row r="908" spans="1:3" ht="12.75" x14ac:dyDescent="0.2">
      <c r="A908" s="1" t="s">
        <v>1697</v>
      </c>
      <c r="B908" s="1" t="s">
        <v>1698</v>
      </c>
      <c r="C908" t="str">
        <f ca="1">IFERROR(__xludf.DUMMYFUNCTION("GOOGLETRANSLATE(B908, ""ja"", ""en"")"),"Texas hold'em")</f>
        <v>Texas hold'em</v>
      </c>
    </row>
    <row r="909" spans="1:3" ht="12.75" x14ac:dyDescent="0.2">
      <c r="A909" s="1" t="s">
        <v>1699</v>
      </c>
      <c r="B909" s="1" t="s">
        <v>1700</v>
      </c>
      <c r="C909" t="str">
        <f ca="1">IFERROR(__xludf.DUMMYFUNCTION("GOOGLETRANSLATE(B909, ""ja"", ""en"")"),"Pineapple Hold'em")</f>
        <v>Pineapple Hold'em</v>
      </c>
    </row>
    <row r="910" spans="1:3" ht="12.75" x14ac:dyDescent="0.2">
      <c r="A910" s="1" t="s">
        <v>1701</v>
      </c>
      <c r="B910" s="1" t="s">
        <v>1702</v>
      </c>
      <c r="C910" t="str">
        <f ca="1">IFERROR(__xludf.DUMMYFUNCTION("GOOGLETRANSLATE(B910, ""ja"", ""en"")"),"Omaha Hold'em")</f>
        <v>Omaha Hold'em</v>
      </c>
    </row>
    <row r="911" spans="1:3" ht="12.75" x14ac:dyDescent="0.2">
      <c r="A911" s="1" t="s">
        <v>1703</v>
      </c>
      <c r="B911" s="1" t="s">
        <v>1704</v>
      </c>
      <c r="C911" t="str">
        <f ca="1">IFERROR(__xludf.DUMMYFUNCTION("GOOGLETRANSLATE(B911, ""ja"", ""en"")"),"Trial play practice")</f>
        <v>Trial play practice</v>
      </c>
    </row>
    <row r="912" spans="1:3" ht="12.75" x14ac:dyDescent="0.2">
      <c r="A912" s="1" t="s">
        <v>1705</v>
      </c>
      <c r="B912" s="1" t="s">
        <v>1706</v>
      </c>
      <c r="C912" t="str">
        <f ca="1">IFERROR(__xludf.DUMMYFUNCTION("GOOGLETRANSLATE(B912, ""ja"", ""en"")"),"First, from a shared bill five and two two dealt with [n] hand using any of the five [n], to create a role, and game.")</f>
        <v>First, from a shared bill five and two two dealt with [n] hand using any of the five [n], to create a role, and game.</v>
      </c>
    </row>
    <row r="913" spans="1:3" ht="12.75" x14ac:dyDescent="0.2">
      <c r="A913" s="1" t="s">
        <v>1707</v>
      </c>
      <c r="B913" s="1" t="s">
        <v>1708</v>
      </c>
      <c r="C913" t="str">
        <f ca="1">IFERROR(__xludf.DUMMYFUNCTION("GOOGLETRANSLATE(B913, ""ja"", ""en"")"),"It is dealt first three, using any of the five [n] from the shared bill five and two unnecessary one piece of discarded [n] hand from there, create a role, and game.")</f>
        <v>It is dealt first three, using any of the five [n] from the shared bill five and two unnecessary one piece of discarded [n] hand from there, create a role, and game.</v>
      </c>
    </row>
    <row r="914" spans="1:3" ht="12.75" x14ac:dyDescent="0.2">
      <c r="A914" s="1" t="s">
        <v>1709</v>
      </c>
      <c r="B914" s="1" t="s">
        <v>1710</v>
      </c>
      <c r="C914" t="str">
        <f ca="1">IFERROR(__xludf.DUMMYFUNCTION("GOOGLETRANSLATE(B914, ""ja"", ""en"")"),"It has been dealt first four, using a shared bill three from the shared bill five and hand 4 bill [n] and the two any of your hand to make a [n] role, and game.")</f>
        <v>It has been dealt first four, using a shared bill three from the shared bill five and hand 4 bill [n] and the two any of your hand to make a [n] role, and game.</v>
      </c>
    </row>
    <row r="915" spans="1:3" ht="12.75" x14ac:dyDescent="0.2">
      <c r="A915" s="1" t="s">
        <v>1711</v>
      </c>
      <c r="B915" s="1" t="s">
        <v>1712</v>
      </c>
      <c r="C915" t="str">
        <f ca="1">IFERROR(__xludf.DUMMYFUNCTION("GOOGLETRANSLATE(B915, ""ja"", ""en"")"),"How to play each poker game [n] also sprinkled actual play, and practice.")</f>
        <v>How to play each poker game [n] also sprinkled actual play, and practice.</v>
      </c>
    </row>
    <row r="916" spans="1:3" ht="12.75" x14ac:dyDescent="0.2">
      <c r="A916" s="1" t="s">
        <v>1713</v>
      </c>
      <c r="B916" s="1" t="s">
        <v>1714</v>
      </c>
      <c r="C916" t="str">
        <f ca="1">IFERROR(__xludf.DUMMYFUNCTION("GOOGLETRANSLATE(B916, ""ja"", ""en"")"),"Texas trial play practice")</f>
        <v>Texas trial play practice</v>
      </c>
    </row>
    <row r="917" spans="1:3" ht="12.75" x14ac:dyDescent="0.2">
      <c r="A917" s="1" t="s">
        <v>1715</v>
      </c>
      <c r="B917" s="1" t="s">
        <v>1716</v>
      </c>
      <c r="C917" t="str">
        <f ca="1">IFERROR(__xludf.DUMMYFUNCTION("GOOGLETRANSLATE(B917, ""ja"", ""en"")"),"Pineapple trial play practice")</f>
        <v>Pineapple trial play practice</v>
      </c>
    </row>
    <row r="918" spans="1:3" ht="12.75" x14ac:dyDescent="0.2">
      <c r="A918" s="1" t="s">
        <v>1717</v>
      </c>
      <c r="B918" s="1" t="s">
        <v>1718</v>
      </c>
      <c r="C918" t="str">
        <f ca="1">IFERROR(__xludf.DUMMYFUNCTION("GOOGLETRANSLATE(B918, ""ja"", ""en"")"),"Omaha trial play practice")</f>
        <v>Omaha trial play practice</v>
      </c>
    </row>
    <row r="919" spans="1:3" ht="12.75" x14ac:dyDescent="0.2">
      <c r="A919" s="1" t="s">
        <v>1719</v>
      </c>
      <c r="B919" s="1" t="s">
        <v>1720</v>
      </c>
      <c r="C919" t="str">
        <f ca="1">IFERROR(__xludf.DUMMYFUNCTION("GOOGLETRANSLATE(B919, ""ja"", ""en"")"),"How to play Texas Hold'em [n] also sprinkled actual play, and practice.")</f>
        <v>How to play Texas Hold'em [n] also sprinkled actual play, and practice.</v>
      </c>
    </row>
    <row r="920" spans="1:3" ht="12.75" x14ac:dyDescent="0.2">
      <c r="A920" s="1" t="s">
        <v>1721</v>
      </c>
      <c r="B920" s="1" t="s">
        <v>1722</v>
      </c>
      <c r="C920" t="str">
        <f ca="1">IFERROR(__xludf.DUMMYFUNCTION("GOOGLETRANSLATE(B920, ""ja"", ""en"")"),"How to play Pineapple Hold'em [n] also sprinkled actual play, and practice.")</f>
        <v>How to play Pineapple Hold'em [n] also sprinkled actual play, and practice.</v>
      </c>
    </row>
    <row r="921" spans="1:3" ht="12.75" x14ac:dyDescent="0.2">
      <c r="A921" s="1" t="s">
        <v>1723</v>
      </c>
      <c r="B921" s="1" t="s">
        <v>1724</v>
      </c>
      <c r="C921" t="str">
        <f ca="1">IFERROR(__xludf.DUMMYFUNCTION("GOOGLETRANSLATE(B921, ""ja"", ""en"")"),"How to play Omaha Hold'em [n] also sprinkled actual play, and practice.")</f>
        <v>How to play Omaha Hold'em [n] also sprinkled actual play, and practice.</v>
      </c>
    </row>
    <row r="922" spans="1:3" ht="12.75" x14ac:dyDescent="0.2">
      <c r="A922" s="1" t="s">
        <v>1725</v>
      </c>
      <c r="B922" s="1" t="s">
        <v>1726</v>
      </c>
      <c r="C922" t="str">
        <f ca="1">IFERROR(__xludf.DUMMYFUNCTION("GOOGLETRANSLATE(B922, ""ja"", ""en"")"),"It hardball!")</f>
        <v>It hardball!</v>
      </c>
    </row>
    <row r="923" spans="1:3" ht="12.75" x14ac:dyDescent="0.2">
      <c r="A923" s="1" t="s">
        <v>1727</v>
      </c>
      <c r="B923" s="1" t="s">
        <v>1728</v>
      </c>
      <c r="C923" t="str">
        <f ca="1">IFERROR(__xludf.DUMMYFUNCTION("GOOGLETRANSLATE(B923, ""ja"", ""en"")"),"It would be a good luck")</f>
        <v>It would be a good luck</v>
      </c>
    </row>
    <row r="924" spans="1:3" ht="12.75" x14ac:dyDescent="0.2">
      <c r="A924" s="1" t="s">
        <v>1729</v>
      </c>
      <c r="B924" s="1" t="s">
        <v>1730</v>
      </c>
      <c r="C924" t="str">
        <f ca="1">IFERROR(__xludf.DUMMYFUNCTION("GOOGLETRANSLATE(B924, ""ja"", ""en"")"),"And early")</f>
        <v>And early</v>
      </c>
    </row>
    <row r="925" spans="1:3" ht="12.75" x14ac:dyDescent="0.2">
      <c r="A925" s="1" t="s">
        <v>1731</v>
      </c>
      <c r="B925" s="1" t="s">
        <v>1732</v>
      </c>
      <c r="C925" t="str">
        <f ca="1">IFERROR(__xludf.DUMMYFUNCTION("GOOGLETRANSLATE(B925, ""ja"", ""en"")"),"Disappointed ...")</f>
        <v>Disappointed ...</v>
      </c>
    </row>
    <row r="926" spans="1:3" ht="12.75" x14ac:dyDescent="0.2">
      <c r="A926" s="1" t="s">
        <v>1733</v>
      </c>
      <c r="B926" s="1" t="s">
        <v>1734</v>
      </c>
      <c r="C926" t="str">
        <f ca="1">IFERROR(__xludf.DUMMYFUNCTION("GOOGLETRANSLATE(B926, ""ja"", ""en"")"),"No way ... !?")</f>
        <v>No way ... !?</v>
      </c>
    </row>
    <row r="927" spans="1:3" ht="12.75" x14ac:dyDescent="0.2">
      <c r="A927" s="1" t="s">
        <v>1735</v>
      </c>
      <c r="B927" s="1" t="s">
        <v>1736</v>
      </c>
      <c r="C927" t="str">
        <f ca="1">IFERROR(__xludf.DUMMYFUNCTION("GOOGLETRANSLATE(B927, ""ja"", ""en"")"),"Useless, when absorbing it!")</f>
        <v>Useless, when absorbing it!</v>
      </c>
    </row>
    <row r="928" spans="1:3" ht="12.75" x14ac:dyDescent="0.2">
      <c r="A928" s="1" t="s">
        <v>1737</v>
      </c>
      <c r="B928" s="1" t="s">
        <v>1738</v>
      </c>
      <c r="C928" t="str">
        <f ca="1">IFERROR(__xludf.DUMMYFUNCTION("GOOGLETRANSLATE(B928, ""ja"", ""en"")"),"It is falling apart ...")</f>
        <v>It is falling apart ...</v>
      </c>
    </row>
    <row r="929" spans="1:3" ht="12.75" x14ac:dyDescent="0.2">
      <c r="A929" s="1" t="s">
        <v>1739</v>
      </c>
      <c r="B929" s="1" t="s">
        <v>1740</v>
      </c>
      <c r="C929" t="str">
        <f ca="1">IFERROR(__xludf.DUMMYFUNCTION("GOOGLETRANSLATE(B929, ""ja"", ""en"")"),"Do not win 's this ...")</f>
        <v>Do not win 's this ...</v>
      </c>
    </row>
    <row r="930" spans="1:3" ht="12.75" x14ac:dyDescent="0.2">
      <c r="A930" s="1" t="s">
        <v>1741</v>
      </c>
      <c r="B930" s="1" t="s">
        <v>1742</v>
      </c>
      <c r="C930" t="str">
        <f ca="1">IFERROR(__xludf.DUMMYFUNCTION("GOOGLETRANSLATE(B930, ""ja"", ""en"")"),"Be This win confirmed ...")</f>
        <v>Be This win confirmed ...</v>
      </c>
    </row>
    <row r="931" spans="1:3" ht="12.75" x14ac:dyDescent="0.2">
      <c r="A931" s="1" t="s">
        <v>1743</v>
      </c>
      <c r="B931" s="1" t="s">
        <v>1744</v>
      </c>
      <c r="C931" t="str">
        <f ca="1">IFERROR(__xludf.DUMMYFUNCTION("GOOGLETRANSLATE(B931, ""ja"", ""en"")"),"Raise more!")</f>
        <v>Raise more!</v>
      </c>
    </row>
    <row r="932" spans="1:3" ht="12.75" x14ac:dyDescent="0.2">
      <c r="A932" s="1" t="s">
        <v>1745</v>
      </c>
      <c r="B932" s="1" t="s">
        <v>1746</v>
      </c>
      <c r="C932" t="str">
        <f ca="1">IFERROR(__xludf.DUMMYFUNCTION("GOOGLETRANSLATE(B932, ""ja"", ""en"")"),"Or try going out ...")</f>
        <v>Or try going out ...</v>
      </c>
    </row>
    <row r="933" spans="1:3" ht="12.75" x14ac:dyDescent="0.2">
      <c r="A933" s="1" t="s">
        <v>1747</v>
      </c>
      <c r="B933" s="1" t="s">
        <v>1748</v>
      </c>
      <c r="C933" t="str">
        <f ca="1">IFERROR(__xludf.DUMMYFUNCTION("GOOGLETRANSLATE(B933, ""ja"", ""en"")"),"We should descend ...")</f>
        <v>We should descend ...</v>
      </c>
    </row>
    <row r="934" spans="1:3" ht="12.75" x14ac:dyDescent="0.2">
      <c r="A934" s="1" t="s">
        <v>1749</v>
      </c>
      <c r="B934" s="1" t="s">
        <v>1750</v>
      </c>
      <c r="C934" t="str">
        <f ca="1">IFERROR(__xludf.DUMMYFUNCTION("GOOGLETRANSLATE(B934, ""ja"", ""en"")"),"This game is get off ...")</f>
        <v>This game is get off ...</v>
      </c>
    </row>
    <row r="935" spans="1:3" ht="12.75" x14ac:dyDescent="0.2">
      <c r="A935" s="1" t="s">
        <v>1751</v>
      </c>
      <c r="B935" s="1" t="s">
        <v>1752</v>
      </c>
      <c r="C935" t="str">
        <f ca="1">IFERROR(__xludf.DUMMYFUNCTION("GOOGLETRANSLATE(B935, ""ja"", ""en"")"),"The Ahahahaha!")</f>
        <v>The Ahahahaha!</v>
      </c>
    </row>
    <row r="936" spans="1:3" ht="12.75" x14ac:dyDescent="0.2">
      <c r="A936" s="1" t="s">
        <v>1753</v>
      </c>
      <c r="B936" s="1" t="s">
        <v>1754</v>
      </c>
      <c r="C936" t="str">
        <f ca="1">IFERROR(__xludf.DUMMYFUNCTION("GOOGLETRANSLATE(B936, ""ja"", ""en"")"),"Meramera! (Angry)")</f>
        <v>Meramera! (Angry)</v>
      </c>
    </row>
    <row r="937" spans="1:3" ht="12.75" x14ac:dyDescent="0.2">
      <c r="A937" s="1" t="s">
        <v>1755</v>
      </c>
      <c r="B937" s="1" t="s">
        <v>1756</v>
      </c>
      <c r="C937" t="str">
        <f ca="1">IFERROR(__xludf.DUMMYFUNCTION("GOOGLETRANSLATE(B937, ""ja"", ""en"")"),"Griping ... (tears)")</f>
        <v>Griping ... (tears)</v>
      </c>
    </row>
    <row r="938" spans="1:3" ht="12.75" x14ac:dyDescent="0.2">
      <c r="A938" s="1" t="s">
        <v>1757</v>
      </c>
      <c r="B938" s="1" t="s">
        <v>1758</v>
      </c>
      <c r="C938" t="str">
        <f ca="1">IFERROR(__xludf.DUMMYFUNCTION("GOOGLETRANSLATE(B938, ""ja"", ""en"")"),"Throb…")</f>
        <v>Throb…</v>
      </c>
    </row>
    <row r="939" spans="1:3" ht="12.75" x14ac:dyDescent="0.2">
      <c r="A939" s="1" t="s">
        <v>1759</v>
      </c>
      <c r="B939" s="1" t="s">
        <v>1760</v>
      </c>
      <c r="C939" t="str">
        <f ca="1">IFERROR(__xludf.DUMMYFUNCTION("GOOGLETRANSLATE(B939, ""ja"", ""en"")"),"Yay ♪")</f>
        <v>Yay ♪</v>
      </c>
    </row>
    <row r="940" spans="1:3" ht="12.75" x14ac:dyDescent="0.2">
      <c r="A940" s="1" t="s">
        <v>1761</v>
      </c>
      <c r="B940" s="1" t="s">
        <v>1762</v>
      </c>
      <c r="C940" t="str">
        <f ca="1">IFERROR(__xludf.DUMMYFUNCTION("GOOGLETRANSLATE(B940, ""ja"", ""en"")"),"They got me!")</f>
        <v>They got me!</v>
      </c>
    </row>
    <row r="941" spans="1:3" ht="12.75" x14ac:dyDescent="0.2">
      <c r="A941" s="1" t="s">
        <v>1763</v>
      </c>
      <c r="B941" s="1" t="s">
        <v>1764</v>
      </c>
      <c r="C941" t="str">
        <f ca="1">IFERROR(__xludf.DUMMYFUNCTION("GOOGLETRANSLATE(B941, ""ja"", ""en"")"),"Top form!")</f>
        <v>Top form!</v>
      </c>
    </row>
    <row r="942" spans="1:3" ht="12.75" x14ac:dyDescent="0.2">
      <c r="A942" s="1" t="s">
        <v>1765</v>
      </c>
      <c r="B942" s="1" t="s">
        <v>1766</v>
      </c>
      <c r="C942" t="str">
        <f ca="1">IFERROR(__xludf.DUMMYFUNCTION("GOOGLETRANSLATE(B942, ""ja"", ""en"")"),"Failed Naa was ...")</f>
        <v>Failed Naa was ...</v>
      </c>
    </row>
    <row r="943" spans="1:3" ht="12.75" x14ac:dyDescent="0.2">
      <c r="A943" s="1" t="s">
        <v>1767</v>
      </c>
      <c r="B943" s="1" t="s">
        <v>1768</v>
      </c>
      <c r="C943" t="str">
        <f ca="1">IFERROR(__xludf.DUMMYFUNCTION("GOOGLETRANSLATE(B943, ""ja"", ""en"")"),"Cheers for good work!")</f>
        <v>Cheers for good work!</v>
      </c>
    </row>
    <row r="944" spans="1:3" ht="12.75" x14ac:dyDescent="0.2">
      <c r="A944" s="1" t="s">
        <v>1769</v>
      </c>
      <c r="B944" s="1" t="s">
        <v>1770</v>
      </c>
      <c r="C944" t="str">
        <f ca="1">IFERROR(__xludf.DUMMYFUNCTION("GOOGLETRANSLATE(B944, ""ja"", ""en"")"),"was fun~!")</f>
        <v>was fun~!</v>
      </c>
    </row>
    <row r="945" spans="1:3" ht="12.75" x14ac:dyDescent="0.2">
      <c r="A945" s="1" t="s">
        <v>1771</v>
      </c>
      <c r="B945" s="1" t="s">
        <v>1772</v>
      </c>
      <c r="C945" t="str">
        <f ca="1">IFERROR(__xludf.DUMMYFUNCTION("GOOGLETRANSLATE(B945, ""ja"", ""en"")"),"Naa mortifying ...")</f>
        <v>Naa mortifying ...</v>
      </c>
    </row>
    <row r="946" spans="1:3" ht="12.75" x14ac:dyDescent="0.2">
      <c r="A946" s="1" t="s">
        <v>1773</v>
      </c>
      <c r="B946" s="1" t="s">
        <v>1774</v>
      </c>
      <c r="C946" t="str">
        <f ca="1">IFERROR(__xludf.DUMMYFUNCTION("GOOGLETRANSLATE(B946, ""ja"", ""en"")"),"Following what is win!")</f>
        <v>Following what is win!</v>
      </c>
    </row>
    <row r="947" spans="1:3" ht="12.75" x14ac:dyDescent="0.2">
      <c r="A947" s="1" t="s">
        <v>1775</v>
      </c>
      <c r="B947" s="1" t="s">
        <v>1776</v>
      </c>
      <c r="C947" t="str">
        <f ca="1">IFERROR(__xludf.DUMMYFUNCTION("GOOGLETRANSLATE(B947, ""ja"", ""en"")"),"after")</f>
        <v>after</v>
      </c>
    </row>
    <row r="948" spans="1:3" ht="12.75" x14ac:dyDescent="0.2">
      <c r="A948" s="1" t="s">
        <v>1777</v>
      </c>
      <c r="B948" s="1">
        <v>0</v>
      </c>
      <c r="C948" t="str">
        <f ca="1">IFERROR(__xludf.DUMMYFUNCTION("GOOGLETRANSLATE(B948, ""ja"", ""en"")"),"0")</f>
        <v>0</v>
      </c>
    </row>
    <row r="949" spans="1:3" ht="12.75" x14ac:dyDescent="0.2">
      <c r="A949" s="1" t="s">
        <v>1778</v>
      </c>
      <c r="B949" s="1" t="s">
        <v>1779</v>
      </c>
      <c r="C949" t="str">
        <f ca="1">IFERROR(__xludf.DUMMYFUNCTION("GOOGLETRANSLATE(B949, ""ja"", ""en"")"),"1")</f>
        <v>1</v>
      </c>
    </row>
    <row r="950" spans="1:3" ht="12.75" x14ac:dyDescent="0.2">
      <c r="A950" s="1" t="s">
        <v>1780</v>
      </c>
      <c r="B950" s="1" t="s">
        <v>1781</v>
      </c>
      <c r="C950" t="str">
        <f ca="1">IFERROR(__xludf.DUMMYFUNCTION("GOOGLETRANSLATE(B950, ""ja"", ""en"")"),"2")</f>
        <v>2</v>
      </c>
    </row>
    <row r="951" spans="1:3" ht="12.75" x14ac:dyDescent="0.2">
      <c r="A951" s="1" t="s">
        <v>1782</v>
      </c>
      <c r="B951" s="1" t="s">
        <v>1783</v>
      </c>
      <c r="C951" t="str">
        <f ca="1">IFERROR(__xludf.DUMMYFUNCTION("GOOGLETRANSLATE(B951, ""ja"", ""en"")"),"3")</f>
        <v>3</v>
      </c>
    </row>
    <row r="952" spans="1:3" ht="12.75" x14ac:dyDescent="0.2">
      <c r="A952" s="1" t="s">
        <v>1784</v>
      </c>
      <c r="B952" s="1" t="s">
        <v>1785</v>
      </c>
      <c r="C952" t="str">
        <f ca="1">IFERROR(__xludf.DUMMYFUNCTION("GOOGLETRANSLATE(B952, ""ja"", ""en"")"),"4")</f>
        <v>4</v>
      </c>
    </row>
    <row r="953" spans="1:3" ht="12.75" x14ac:dyDescent="0.2">
      <c r="A953" s="1" t="s">
        <v>1786</v>
      </c>
      <c r="B953" s="1" t="s">
        <v>1787</v>
      </c>
      <c r="C953" t="str">
        <f ca="1">IFERROR(__xludf.DUMMYFUNCTION("GOOGLETRANSLATE(B953, ""ja"", ""en"")"),"5")</f>
        <v>5</v>
      </c>
    </row>
    <row r="954" spans="1:3" ht="12.75" x14ac:dyDescent="0.2">
      <c r="A954" s="1" t="s">
        <v>1788</v>
      </c>
      <c r="B954" s="1" t="s">
        <v>1789</v>
      </c>
      <c r="C954" t="str">
        <f ca="1">IFERROR(__xludf.DUMMYFUNCTION("GOOGLETRANSLATE(B954, ""ja"", ""en"")"),"6")</f>
        <v>6</v>
      </c>
    </row>
    <row r="955" spans="1:3" ht="12.75" x14ac:dyDescent="0.2">
      <c r="A955" s="1" t="s">
        <v>1790</v>
      </c>
      <c r="B955" s="1" t="s">
        <v>1791</v>
      </c>
      <c r="C955" t="str">
        <f ca="1">IFERROR(__xludf.DUMMYFUNCTION("GOOGLETRANSLATE(B955, ""ja"", ""en"")"),"7")</f>
        <v>7</v>
      </c>
    </row>
    <row r="956" spans="1:3" ht="12.75" x14ac:dyDescent="0.2">
      <c r="A956" s="1" t="s">
        <v>1792</v>
      </c>
      <c r="B956" s="1" t="s">
        <v>1793</v>
      </c>
      <c r="C956" t="str">
        <f ca="1">IFERROR(__xludf.DUMMYFUNCTION("GOOGLETRANSLATE(B956, ""ja"", ""en"")"),"8")</f>
        <v>8</v>
      </c>
    </row>
    <row r="957" spans="1:3" ht="12.75" x14ac:dyDescent="0.2">
      <c r="A957" s="1" t="s">
        <v>1794</v>
      </c>
      <c r="B957" s="1" t="s">
        <v>1795</v>
      </c>
      <c r="C957" t="str">
        <f ca="1">IFERROR(__xludf.DUMMYFUNCTION("GOOGLETRANSLATE(B957, ""ja"", ""en"")"),"9")</f>
        <v>9</v>
      </c>
    </row>
    <row r="958" spans="1:3" ht="12.75" x14ac:dyDescent="0.2">
      <c r="A958" s="1" t="s">
        <v>1796</v>
      </c>
      <c r="B958" s="1" t="s">
        <v>250</v>
      </c>
      <c r="C958" t="str">
        <f ca="1">IFERROR(__xludf.DUMMYFUNCTION("GOOGLETRANSLATE(B958, ""ja"", ""en"")"),"?")</f>
        <v>?</v>
      </c>
    </row>
    <row r="959" spans="1:3" ht="12.75" x14ac:dyDescent="0.2">
      <c r="A959" s="1" t="s">
        <v>1797</v>
      </c>
      <c r="B959" s="1" t="s">
        <v>1798</v>
      </c>
      <c r="C959" t="str">
        <f ca="1">IFERROR(__xludf.DUMMYFUNCTION("GOOGLETRANSLATE(B959, ""ja"", ""en"")"),"Not victory")</f>
        <v>Not victory</v>
      </c>
    </row>
    <row r="960" spans="1:3" ht="12.75" x14ac:dyDescent="0.2">
      <c r="A960" s="1" t="s">
        <v>1799</v>
      </c>
      <c r="B960" s="1" t="s">
        <v>1800</v>
      </c>
      <c r="C960" t="str">
        <f ca="1">IFERROR(__xludf.DUMMYFUNCTION("GOOGLETRANSLATE(B960, ""ja"", ""en"")"),"victory")</f>
        <v>victory</v>
      </c>
    </row>
    <row r="961" spans="1:3" ht="12.75" x14ac:dyDescent="0.2">
      <c r="A961" s="1" t="s">
        <v>1801</v>
      </c>
      <c r="B961" s="1" t="s">
        <v>1802</v>
      </c>
      <c r="C961" t="str">
        <f ca="1">IFERROR(__xludf.DUMMYFUNCTION("GOOGLETRANSLATE(B961, ""ja"", ""en"")"),"Electric catfish")</f>
        <v>Electric catfish</v>
      </c>
    </row>
    <row r="962" spans="1:3" ht="12.75" x14ac:dyDescent="0.2">
      <c r="A962" s="1" t="s">
        <v>1803</v>
      </c>
      <c r="B962" s="1" t="s">
        <v>1804</v>
      </c>
      <c r="C962" t="str">
        <f ca="1">IFERROR(__xludf.DUMMYFUNCTION("GOOGLETRANSLATE(B962, ""ja"", ""en"")"),"salmon")</f>
        <v>salmon</v>
      </c>
    </row>
    <row r="963" spans="1:3" ht="12.75" x14ac:dyDescent="0.2">
      <c r="A963" s="1" t="s">
        <v>1805</v>
      </c>
      <c r="B963" s="1" t="s">
        <v>1806</v>
      </c>
      <c r="C963" t="str">
        <f ca="1">IFERROR(__xludf.DUMMYFUNCTION("GOOGLETRANSLATE(B963, ""ja"", ""en"")"),"Soft-shelled turtle")</f>
        <v>Soft-shelled turtle</v>
      </c>
    </row>
    <row r="964" spans="1:3" ht="12.75" x14ac:dyDescent="0.2">
      <c r="A964" s="1" t="s">
        <v>1807</v>
      </c>
      <c r="B964" s="1" t="s">
        <v>1808</v>
      </c>
      <c r="C964" t="str">
        <f ca="1">IFERROR(__xludf.DUMMYFUNCTION("GOOGLETRANSLATE(B964, ""ja"", ""en"")"),"eel")</f>
        <v>eel</v>
      </c>
    </row>
    <row r="965" spans="1:3" ht="12.75" x14ac:dyDescent="0.2">
      <c r="A965" s="1" t="s">
        <v>1809</v>
      </c>
      <c r="B965" s="1" t="s">
        <v>1810</v>
      </c>
      <c r="C965" t="str">
        <f ca="1">IFERROR(__xludf.DUMMYFUNCTION("GOOGLETRANSLATE(B965, ""ja"", ""en"")"),"Ayu")</f>
        <v>Ayu</v>
      </c>
    </row>
    <row r="966" spans="1:3" ht="12.75" x14ac:dyDescent="0.2">
      <c r="A966" s="1" t="s">
        <v>1811</v>
      </c>
      <c r="B966" s="1" t="s">
        <v>1812</v>
      </c>
      <c r="C966" t="str">
        <f ca="1">IFERROR(__xludf.DUMMYFUNCTION("GOOGLETRANSLATE(B966, ""ja"", ""en"")"),"Red sea bream")</f>
        <v>Red sea bream</v>
      </c>
    </row>
    <row r="967" spans="1:3" ht="12.75" x14ac:dyDescent="0.2">
      <c r="A967" s="1" t="s">
        <v>1813</v>
      </c>
      <c r="B967" s="1" t="s">
        <v>1814</v>
      </c>
      <c r="C967" t="str">
        <f ca="1">IFERROR(__xludf.DUMMYFUNCTION("GOOGLETRANSLATE(B967, ""ja"", ""en"")"),"Prawn")</f>
        <v>Prawn</v>
      </c>
    </row>
    <row r="968" spans="1:3" ht="12.75" x14ac:dyDescent="0.2">
      <c r="A968" s="1" t="s">
        <v>1815</v>
      </c>
      <c r="B968" s="1" t="s">
        <v>257</v>
      </c>
      <c r="C968" t="str">
        <f ca="1">IFERROR(__xludf.DUMMYFUNCTION("GOOGLETRANSLATE(B968, ""ja"", ""en"")"),"Have")</f>
        <v>Have</v>
      </c>
    </row>
    <row r="969" spans="1:3" ht="12.75" x14ac:dyDescent="0.2">
      <c r="A969" s="1" t="s">
        <v>1816</v>
      </c>
      <c r="B969" s="1" t="s">
        <v>1817</v>
      </c>
      <c r="C969" t="str">
        <f ca="1">IFERROR(__xludf.DUMMYFUNCTION("GOOGLETRANSLATE(B969, ""ja"", ""en"")"),"Fugu")</f>
        <v>Fugu</v>
      </c>
    </row>
    <row r="970" spans="1:3" ht="12.75" x14ac:dyDescent="0.2">
      <c r="A970" s="1" t="s">
        <v>1818</v>
      </c>
      <c r="B970" s="1" t="s">
        <v>1819</v>
      </c>
      <c r="C970" t="str">
        <f ca="1">IFERROR(__xludf.DUMMYFUNCTION("GOOGLETRANSLATE(B970, ""ja"", ""en"")"),"Shirasu")</f>
        <v>Shirasu</v>
      </c>
    </row>
    <row r="971" spans="1:3" ht="12.75" x14ac:dyDescent="0.2">
      <c r="A971" s="1" t="s">
        <v>1820</v>
      </c>
      <c r="B971" s="1" t="s">
        <v>1821</v>
      </c>
      <c r="C971" t="str">
        <f ca="1">IFERROR(__xludf.DUMMYFUNCTION("GOOGLETRANSLATE(B971, ""ja"", ""en"")"),"Hatsutsurimaru")</f>
        <v>Hatsutsurimaru</v>
      </c>
    </row>
    <row r="972" spans="1:3" ht="12.75" x14ac:dyDescent="0.2">
      <c r="A972" s="1" t="s">
        <v>1822</v>
      </c>
      <c r="B972" s="1" t="s">
        <v>1823</v>
      </c>
      <c r="C972" t="str">
        <f ca="1">IFERROR(__xludf.DUMMYFUNCTION("GOOGLETRANSLATE(B972, ""ja"", ""en"")"),"Freshwater round")</f>
        <v>Freshwater round</v>
      </c>
    </row>
    <row r="973" spans="1:3" ht="12.75" x14ac:dyDescent="0.2">
      <c r="A973" s="1" t="s">
        <v>1824</v>
      </c>
      <c r="B973" s="1" t="s">
        <v>1825</v>
      </c>
      <c r="C973" t="str">
        <f ca="1">IFERROR(__xludf.DUMMYFUNCTION("GOOGLETRANSLATE(B973, ""ja"", ""en"")"),"Fishing river")</f>
        <v>Fishing river</v>
      </c>
    </row>
    <row r="974" spans="1:3" ht="12.75" x14ac:dyDescent="0.2">
      <c r="A974" s="1" t="s">
        <v>1826</v>
      </c>
      <c r="B974" s="1" t="s">
        <v>1827</v>
      </c>
      <c r="C974" t="str">
        <f ca="1">IFERROR(__xludf.DUMMYFUNCTION("GOOGLETRANSLATE(B974, ""ja"", ""en"")"),"Umimaru")</f>
        <v>Umimaru</v>
      </c>
    </row>
    <row r="975" spans="1:3" ht="12.75" x14ac:dyDescent="0.2">
      <c r="A975" s="1" t="s">
        <v>1828</v>
      </c>
      <c r="B975" s="1" t="s">
        <v>1829</v>
      </c>
      <c r="C975" t="str">
        <f ca="1">IFERROR(__xludf.DUMMYFUNCTION("GOOGLETRANSLATE(B975, ""ja"", ""en"")"),"Great Sea King")</f>
        <v>Great Sea King</v>
      </c>
    </row>
    <row r="976" spans="1:3" ht="12.75" x14ac:dyDescent="0.2">
      <c r="A976" s="1" t="s">
        <v>1830</v>
      </c>
      <c r="B976" s="1" t="s">
        <v>1831</v>
      </c>
      <c r="C976" t="str">
        <f ca="1">IFERROR(__xludf.DUMMYFUNCTION("GOOGLETRANSLATE(B976, ""ja"", ""en"")"),"Ultra-Fishing God")</f>
        <v>Ultra-Fishing God</v>
      </c>
    </row>
    <row r="977" spans="1:3" ht="12.75" x14ac:dyDescent="0.2">
      <c r="A977" s="1" t="s">
        <v>1832</v>
      </c>
      <c r="B977" s="1" t="s">
        <v>1833</v>
      </c>
      <c r="C977" t="str">
        <f ca="1">IFERROR(__xludf.DUMMYFUNCTION("GOOGLETRANSLATE(B977, ""ja"", ""en"")"),"Ujigawa")</f>
        <v>Ujigawa</v>
      </c>
    </row>
    <row r="978" spans="1:3" ht="12.75" x14ac:dyDescent="0.2">
      <c r="A978" s="1" t="s">
        <v>1834</v>
      </c>
      <c r="B978" s="1" t="s">
        <v>1835</v>
      </c>
      <c r="C978" t="str">
        <f ca="1">IFERROR(__xludf.DUMMYFUNCTION("GOOGLETRANSLATE(B978, ""ja"", ""en"")"),"Kamogawa")</f>
        <v>Kamogawa</v>
      </c>
    </row>
    <row r="979" spans="1:3" ht="12.75" x14ac:dyDescent="0.2">
      <c r="A979" s="1" t="s">
        <v>1836</v>
      </c>
      <c r="B979" s="1" t="s">
        <v>1837</v>
      </c>
      <c r="C979" t="str">
        <f ca="1">IFERROR(__xludf.DUMMYFUNCTION("GOOGLETRANSLATE(B979, ""ja"", ""en"")"),"Iso of reefs")</f>
        <v>Iso of reefs</v>
      </c>
    </row>
    <row r="980" spans="1:3" ht="12.75" x14ac:dyDescent="0.2">
      <c r="A980" s="1" t="s">
        <v>1838</v>
      </c>
      <c r="B980" s="1" t="s">
        <v>1839</v>
      </c>
      <c r="C980" t="str">
        <f ca="1">IFERROR(__xludf.DUMMYFUNCTION("GOOGLETRANSLATE(B980, ""ja"", ""en"")"),"Higashioki")</f>
        <v>Higashioki</v>
      </c>
    </row>
    <row r="981" spans="1:3" ht="12.75" x14ac:dyDescent="0.2">
      <c r="A981" s="1" t="s">
        <v>1840</v>
      </c>
      <c r="B981" s="1" t="s">
        <v>1841</v>
      </c>
      <c r="C981" t="str">
        <f ca="1">IFERROR(__xludf.DUMMYFUNCTION("GOOGLETRANSLATE(B981, ""ja"", ""en"")"),"Ground bait")</f>
        <v>Ground bait</v>
      </c>
    </row>
    <row r="982" spans="1:3" ht="12.75" x14ac:dyDescent="0.2">
      <c r="A982" s="1" t="s">
        <v>1842</v>
      </c>
      <c r="B982" s="1" t="s">
        <v>1843</v>
      </c>
      <c r="C982" t="str">
        <f ca="1">IFERROR(__xludf.DUMMYFUNCTION("GOOGLETRANSLATE(B982, ""ja"", ""en"")"),"Turned")</f>
        <v>Turned</v>
      </c>
    </row>
    <row r="983" spans="1:3" ht="12.75" x14ac:dyDescent="0.2">
      <c r="A983" s="1" t="s">
        <v>1844</v>
      </c>
      <c r="B983" s="1" t="s">
        <v>1845</v>
      </c>
      <c r="C983" t="str">
        <f ca="1">IFERROR(__xludf.DUMMYFUNCTION("GOOGLETRANSLATE(B983, ""ja"", ""en"")"),"Fishing tackle")</f>
        <v>Fishing tackle</v>
      </c>
    </row>
    <row r="984" spans="1:3" ht="12.75" x14ac:dyDescent="0.2">
      <c r="A984" s="1" t="s">
        <v>1846</v>
      </c>
      <c r="B984" s="1" t="s">
        <v>1847</v>
      </c>
      <c r="C984" t="str">
        <f ca="1">IFERROR(__xludf.DUMMYFUNCTION("GOOGLETRANSLATE(B984, ""ja"", ""en"")"),"Freshwater fish bite")</f>
        <v>Freshwater fish bite</v>
      </c>
    </row>
    <row r="985" spans="1:3" ht="12.75" x14ac:dyDescent="0.2">
      <c r="A985" s="1" t="s">
        <v>1848</v>
      </c>
      <c r="B985" s="1" t="s">
        <v>1849</v>
      </c>
      <c r="C985" t="str">
        <f ca="1">IFERROR(__xludf.DUMMYFUNCTION("GOOGLETRANSLATE(B985, ""ja"", ""en"")"),"Bite saltwater fish")</f>
        <v>Bite saltwater fish</v>
      </c>
    </row>
    <row r="986" spans="1:3" ht="12.75" x14ac:dyDescent="0.2">
      <c r="A986" s="1" t="s">
        <v>1850</v>
      </c>
      <c r="B986" s="1" t="s">
        <v>1851</v>
      </c>
      <c r="C986" t="str">
        <f ca="1">IFERROR(__xludf.DUMMYFUNCTION("GOOGLETRANSLATE(B986, ""ja"", ""en"")"),"Flying distance")</f>
        <v>Flying distance</v>
      </c>
    </row>
    <row r="987" spans="1:3" ht="12.75" x14ac:dyDescent="0.2">
      <c r="A987" s="1" t="s">
        <v>1852</v>
      </c>
      <c r="B987" s="1" t="s">
        <v>1853</v>
      </c>
      <c r="C987" t="str">
        <f ca="1">IFERROR(__xludf.DUMMYFUNCTION("GOOGLETRANSLATE(B987, ""ja"", ""en"")"),"Atari sensitivity")</f>
        <v>Atari sensitivity</v>
      </c>
    </row>
    <row r="988" spans="1:3" ht="12.75" x14ac:dyDescent="0.2">
      <c r="A988" s="1" t="s">
        <v>1854</v>
      </c>
      <c r="B988" s="1" t="s">
        <v>1855</v>
      </c>
      <c r="C988" t="str">
        <f ca="1">IFERROR(__xludf.DUMMYFUNCTION("GOOGLETRANSLATE(B988, ""ja"", ""en"")"),"It can also be used in the river in the sea, fishing for beginners. [N] performance is not so good.")</f>
        <v>It can also be used in the river in the sea, fishing for beginners. [N] performance is not so good.</v>
      </c>
    </row>
    <row r="989" spans="1:3" ht="12.75" x14ac:dyDescent="0.2">
      <c r="A989" s="1" t="s">
        <v>1856</v>
      </c>
      <c r="B989" s="1" t="s">
        <v>1857</v>
      </c>
      <c r="C989" t="str">
        <f ca="1">IFERROR(__xludf.DUMMYFUNCTION("GOOGLETRANSLATE(B989, ""ja"", ""en"")"),"Fishing equipment suitable for river fishing. [N] river fish of Atari is easy to take, may be reaction.")</f>
        <v>Fishing equipment suitable for river fishing. [N] river fish of Atari is easy to take, may be reaction.</v>
      </c>
    </row>
    <row r="990" spans="1:3" ht="12.75" x14ac:dyDescent="0.2">
      <c r="A990" s="1" t="s">
        <v>1858</v>
      </c>
      <c r="B990" s="1" t="s">
        <v>1859</v>
      </c>
      <c r="C990" t="str">
        <f ca="1">IFERROR(__xludf.DUMMYFUNCTION("GOOGLETRANSLATE(B990, ""ja"", ""en"")"),"The most suitable fishing tackle in the river fishing. [N] river fish of the reaction is also excellent, easy to match. [N] also thrown far.")</f>
        <v>The most suitable fishing tackle in the river fishing. [N] river fish of the reaction is also excellent, easy to match. [N] also thrown far.</v>
      </c>
    </row>
    <row r="991" spans="1:3" ht="12.75" x14ac:dyDescent="0.2">
      <c r="A991" s="1" t="s">
        <v>1860</v>
      </c>
      <c r="B991" s="1" t="s">
        <v>1861</v>
      </c>
      <c r="C991" t="str">
        <f ca="1">IFERROR(__xludf.DUMMYFUNCTION("GOOGLETRANSLATE(B991, ""ja"", ""en"")"),"Fishing equipment that is suitable for sea fishing. [N] Atari is likely to take the fish the sea, may be reaction.")</f>
        <v>Fishing equipment that is suitable for sea fishing. [N] Atari is likely to take the fish the sea, may be reaction.</v>
      </c>
    </row>
    <row r="992" spans="1:3" ht="12.75" x14ac:dyDescent="0.2">
      <c r="A992" s="1" t="s">
        <v>1862</v>
      </c>
      <c r="B992" s="1" t="s">
        <v>1863</v>
      </c>
      <c r="C992" t="str">
        <f ca="1">IFERROR(__xludf.DUMMYFUNCTION("GOOGLETRANSLATE(B992, ""ja"", ""en"")"),"The most suitable fishing tool to sea fishing. [N] reaction of Umigyo excellent, easy to match. [N] also thrown far.")</f>
        <v>The most suitable fishing tool to sea fishing. [N] reaction of Umigyo excellent, easy to match. [N] also thrown far.</v>
      </c>
    </row>
    <row r="993" spans="1:3" ht="12.75" x14ac:dyDescent="0.2">
      <c r="A993" s="1" t="s">
        <v>1864</v>
      </c>
      <c r="B993" s="1" t="s">
        <v>1865</v>
      </c>
      <c r="C993" t="str">
        <f ca="1">IFERROR(__xludf.DUMMYFUNCTION("GOOGLETRANSLATE(B993, ""ja"", ""en"")"),"Fishing tackle of the highest performance can also be used in a river in the sea. [N] be the best Atari of the sensitivity of the fish. [N] distance also be thrown to the most distant.")</f>
        <v>Fishing tackle of the highest performance can also be used in a river in the sea. [N] be the best Atari of the sensitivity of the fish. [N] distance also be thrown to the most distant.</v>
      </c>
    </row>
    <row r="994" spans="1:3" ht="12.75" x14ac:dyDescent="0.2">
      <c r="A994" s="1" t="s">
        <v>1866</v>
      </c>
      <c r="B994" s="1" t="s">
        <v>1867</v>
      </c>
      <c r="C994" t="str">
        <f ca="1">IFERROR(__xludf.DUMMYFUNCTION("GOOGLETRANSLATE(B994, ""ja"", ""en"")"),"Raise the rod")</f>
        <v>Raise the rod</v>
      </c>
    </row>
    <row r="995" spans="1:3" ht="12.75" x14ac:dyDescent="0.2">
      <c r="A995" s="1" t="s">
        <v>1868</v>
      </c>
      <c r="B995" s="1" t="s">
        <v>1869</v>
      </c>
      <c r="C995" t="str">
        <f ca="1">IFERROR(__xludf.DUMMYFUNCTION("GOOGLETRANSLATE(B995, ""ja"", ""en"")"),"Match")</f>
        <v>Match</v>
      </c>
    </row>
    <row r="996" spans="1:3" ht="12.75" x14ac:dyDescent="0.2">
      <c r="A996" s="1" t="s">
        <v>1870</v>
      </c>
      <c r="B996" s="1" t="s">
        <v>1871</v>
      </c>
      <c r="C996" t="str">
        <f ca="1">IFERROR(__xludf.DUMMYFUNCTION("GOOGLETRANSLATE(B996, ""ja"", ""en"")"),"% D scale% d dimensions")</f>
        <v>% D scale% d dimensions</v>
      </c>
    </row>
    <row r="997" spans="1:3" ht="12.75" x14ac:dyDescent="0.2">
      <c r="A997" s="1" t="s">
        <v>1872</v>
      </c>
      <c r="B997" s="1" t="s">
        <v>1873</v>
      </c>
      <c r="C997" t="str">
        <f ca="1">IFERROR(__xludf.DUMMYFUNCTION("GOOGLETRANSLATE(B997, ""ja"", ""en"")"),"Luxury ground bait")</f>
        <v>Luxury ground bait</v>
      </c>
    </row>
    <row r="998" spans="1:3" ht="12.75" x14ac:dyDescent="0.2">
      <c r="A998" s="1" t="s">
        <v>1874</v>
      </c>
      <c r="B998" s="1" t="s">
        <v>1875</v>
      </c>
      <c r="C998" t="str">
        <f ca="1">IFERROR(__xludf.DUMMYFUNCTION("GOOGLETRANSLATE(B998, ""ja"", ""en"")"),"Specialties ground bait")</f>
        <v>Specialties ground bait</v>
      </c>
    </row>
    <row r="999" spans="1:3" ht="12.75" x14ac:dyDescent="0.2">
      <c r="A999" s="1" t="s">
        <v>1876</v>
      </c>
      <c r="B999" s="1" t="s">
        <v>1877</v>
      </c>
      <c r="C999" t="str">
        <f ca="1">IFERROR(__xludf.DUMMYFUNCTION("GOOGLETRANSLATE(B999, ""ja"", ""en"")"),"The ultimate ground bait")</f>
        <v>The ultimate ground bait</v>
      </c>
    </row>
    <row r="1000" spans="1:3" ht="12.75" x14ac:dyDescent="0.2">
      <c r="A1000" s="1" t="s">
        <v>1878</v>
      </c>
      <c r="B1000" s="1" t="s">
        <v>1879</v>
      </c>
      <c r="C1000" t="str">
        <f ca="1">IFERROR(__xludf.DUMMYFUNCTION("GOOGLETRANSLATE(B1000, ""ja"", ""en"")"),"And the premonition of the melee.")</f>
        <v>And the premonition of the melee.</v>
      </c>
    </row>
    <row r="1001" spans="1:3" ht="12.75" x14ac:dyDescent="0.2">
      <c r="A1001" s="1" t="s">
        <v>1880</v>
      </c>
      <c r="B1001" s="1" t="s">
        <v>1881</v>
      </c>
      <c r="C1001" t="str">
        <f ca="1">IFERROR(__xludf.DUMMYFUNCTION("GOOGLETRANSLATE(B1001, ""ja"", ""en"")"),"It is going to be a battle of 2 strong.")</f>
        <v>It is going to be a battle of 2 strong.</v>
      </c>
    </row>
    <row r="1002" spans="1:3" ht="12.75" x14ac:dyDescent="0.2">
      <c r="A1002" s="1" t="s">
        <v>1882</v>
      </c>
      <c r="B1002" s="1" t="s">
        <v>1883</v>
      </c>
      <c r="C1002" t="str">
        <f ca="1">IFERROR(__xludf.DUMMYFUNCTION("GOOGLETRANSLATE(B1002, ""ja"", ""en"")"),"Now do will be what kind of consequences?")</f>
        <v>Now do will be what kind of consequences?</v>
      </c>
    </row>
    <row r="1003" spans="1:3" ht="12.75" x14ac:dyDescent="0.2">
      <c r="A1003" s="1" t="s">
        <v>1884</v>
      </c>
      <c r="B1003" s="1" t="s">
        <v>1885</v>
      </c>
      <c r="C1003" t="str">
        <f ca="1">IFERROR(__xludf.DUMMYFUNCTION("GOOGLETRANSLATE(B1003, ""ja"", ""en"")"),"Short distance champion is determined finally.")</f>
        <v>Short distance champion is determined finally.</v>
      </c>
    </row>
    <row r="1004" spans="1:3" ht="12.75" x14ac:dyDescent="0.2">
      <c r="A1004" s="1" t="s">
        <v>1886</v>
      </c>
      <c r="B1004" s="1" t="s">
        <v>1887</v>
      </c>
      <c r="C1004" t="str">
        <f ca="1">IFERROR(__xludf.DUMMYFUNCTION("GOOGLETRANSLATE(B1004, ""ja"", ""en"")"),"Now, here it will determine the medium-range strongest.")</f>
        <v>Now, here it will determine the medium-range strongest.</v>
      </c>
    </row>
    <row r="1005" spans="1:3" ht="12.75" x14ac:dyDescent="0.2">
      <c r="A1005" s="1" t="s">
        <v>1888</v>
      </c>
      <c r="B1005" s="1" t="s">
        <v>1889</v>
      </c>
      <c r="C1005" t="str">
        <f ca="1">IFERROR(__xludf.DUMMYFUNCTION("GOOGLETRANSLATE(B1005, ""ja"", ""en"")"),"Which bird strongest bird in the long distance?")</f>
        <v>Which bird strongest bird in the long distance?</v>
      </c>
    </row>
    <row r="1006" spans="1:3" ht="12.75" x14ac:dyDescent="0.2">
      <c r="A1006" s="1" t="s">
        <v>1890</v>
      </c>
      <c r="B1006" s="1" t="s">
        <v>1891</v>
      </c>
      <c r="C1006" t="str">
        <f ca="1">IFERROR(__xludf.DUMMYFUNCTION("GOOGLETRANSLATE(B1006, ""ja"", ""en"")"),"Won birds in this competition is given the crest of glory.")</f>
        <v>Won birds in this competition is given the crest of glory.</v>
      </c>
    </row>
    <row r="1007" spans="1:3" ht="12.75" x14ac:dyDescent="0.2">
      <c r="A1007" s="1" t="s">
        <v>1892</v>
      </c>
      <c r="B1007" s="1" t="s">
        <v>1893</v>
      </c>
      <c r="C1007" t="str">
        <f ca="1">IFERROR(__xludf.DUMMYFUNCTION("GOOGLETRANSLATE(B1007, ""ja"", ""en"")"),"Won birds in this competition is called the Phoenix.")</f>
        <v>Won birds in this competition is called the Phoenix.</v>
      </c>
    </row>
    <row r="1008" spans="1:3" ht="12.75" x14ac:dyDescent="0.2">
      <c r="A1008" s="1" t="s">
        <v>1894</v>
      </c>
      <c r="B1008" s="1" t="s">
        <v>1895</v>
      </c>
      <c r="C1008" t="str">
        <f ca="1">IFERROR(__xludf.DUMMYFUNCTION("GOOGLETRANSLATE(B1008, ""ja"", ""en"")"),"Whether Japan's laurels is to shine in what bird? [N] finally determined birds in the bird.")</f>
        <v>Whether Japan's laurels is to shine in what bird? [N] finally determined birds in the bird.</v>
      </c>
    </row>
    <row r="1009" spans="1:3" ht="12.75" x14ac:dyDescent="0.2">
      <c r="A1009" s="1" t="s">
        <v>1896</v>
      </c>
      <c r="B1009" s="1" t="s">
        <v>1897</v>
      </c>
      <c r="C1009" t="str">
        <f ca="1">IFERROR(__xludf.DUMMYFUNCTION("GOOGLETRANSLATE(B1009, ""ja"", ""en"")"),"Hurriedly you a special race is held. [N] is the single combat warfare by two birds that were selected.")</f>
        <v>Hurriedly you a special race is held. [N] is the single combat warfare by two birds that were selected.</v>
      </c>
    </row>
    <row r="1010" spans="1:3" ht="12.75" x14ac:dyDescent="0.2">
      <c r="A1010" s="1" t="s">
        <v>1898</v>
      </c>
      <c r="B1010" s="1" t="s">
        <v>1899</v>
      </c>
      <c r="C1010" t="str">
        <f ca="1">IFERROR(__xludf.DUMMYFUNCTION("GOOGLETRANSLATE(B1010, ""ja"", ""en"")"),"Short-range general competition")</f>
        <v>Short-range general competition</v>
      </c>
    </row>
    <row r="1011" spans="1:3" ht="12.75" x14ac:dyDescent="0.2">
      <c r="A1011" s="1" t="s">
        <v>1900</v>
      </c>
      <c r="B1011" s="1" t="s">
        <v>1901</v>
      </c>
      <c r="C1011" t="str">
        <f ca="1">IFERROR(__xludf.DUMMYFUNCTION("GOOGLETRANSLATE(B1011, ""ja"", ""en"")"),"Middle-distance general competition")</f>
        <v>Middle-distance general competition</v>
      </c>
    </row>
    <row r="1012" spans="1:3" ht="12.75" x14ac:dyDescent="0.2">
      <c r="A1012" s="1" t="s">
        <v>1902</v>
      </c>
      <c r="B1012" s="1" t="s">
        <v>1903</v>
      </c>
      <c r="C1012" t="str">
        <f ca="1">IFERROR(__xludf.DUMMYFUNCTION("GOOGLETRANSLATE(B1012, ""ja"", ""en"")"),"Long-distance general competition")</f>
        <v>Long-distance general competition</v>
      </c>
    </row>
    <row r="1013" spans="1:3" ht="12.75" x14ac:dyDescent="0.2">
      <c r="A1013" s="1" t="s">
        <v>1904</v>
      </c>
      <c r="B1013" s="1" t="s">
        <v>1905</v>
      </c>
      <c r="C1013" t="str">
        <f ca="1">IFERROR(__xludf.DUMMYFUNCTION("GOOGLETRANSLATE(B1013, ""ja"", ""en"")"),"Short distance [n] general competitive")</f>
        <v>Short distance [n] general competitive</v>
      </c>
    </row>
    <row r="1014" spans="1:3" ht="12.75" x14ac:dyDescent="0.2">
      <c r="A1014" s="1" t="s">
        <v>1906</v>
      </c>
      <c r="B1014" s="1" t="s">
        <v>1907</v>
      </c>
      <c r="C1014" t="str">
        <f ca="1">IFERROR(__xludf.DUMMYFUNCTION("GOOGLETRANSLATE(B1014, ""ja"", ""en"")"),"Middle distance [n] general competitive")</f>
        <v>Middle distance [n] general competitive</v>
      </c>
    </row>
    <row r="1015" spans="1:3" ht="12.75" x14ac:dyDescent="0.2">
      <c r="A1015" s="1" t="s">
        <v>1908</v>
      </c>
      <c r="B1015" s="1" t="s">
        <v>1909</v>
      </c>
      <c r="C1015" t="str">
        <f ca="1">IFERROR(__xludf.DUMMYFUNCTION("GOOGLETRANSLATE(B1015, ""ja"", ""en"")"),"Long-distance [n] general competitive")</f>
        <v>Long-distance [n] general competitive</v>
      </c>
    </row>
    <row r="1016" spans="1:3" ht="12.75" x14ac:dyDescent="0.2">
      <c r="A1016" s="1" t="s">
        <v>1910</v>
      </c>
      <c r="B1016" s="1" t="s">
        <v>1911</v>
      </c>
      <c r="C1016" t="str">
        <f ca="1">IFERROR(__xludf.DUMMYFUNCTION("GOOGLETRANSLATE(B1016, ""ja"", ""en"")"),"% S vs.% s")</f>
        <v>% S vs.% s</v>
      </c>
    </row>
    <row r="1017" spans="1:3" ht="12.75" x14ac:dyDescent="0.2">
      <c r="A1017" s="1" t="s">
        <v>1912</v>
      </c>
      <c r="B1017" s="1" t="s">
        <v>1913</v>
      </c>
      <c r="C1017" t="str">
        <f ca="1">IFERROR(__xludf.DUMMYFUNCTION("GOOGLETRANSLATE(B1017, ""ja"", ""en"")"),"Mukuro short distance crown skirmish")</f>
        <v>Mukuro short distance crown skirmish</v>
      </c>
    </row>
    <row r="1018" spans="1:3" ht="12.75" x14ac:dyDescent="0.2">
      <c r="A1018" s="1" t="s">
        <v>1914</v>
      </c>
      <c r="B1018" s="1" t="s">
        <v>1915</v>
      </c>
      <c r="C1018" t="str">
        <f ca="1">IFERROR(__xludf.DUMMYFUNCTION("GOOGLETRANSLATE(B1018, ""ja"", ""en"")"),"Mukuro middle distance crown skirmish")</f>
        <v>Mukuro middle distance crown skirmish</v>
      </c>
    </row>
    <row r="1019" spans="1:3" ht="12.75" x14ac:dyDescent="0.2">
      <c r="A1019" s="1" t="s">
        <v>1916</v>
      </c>
      <c r="B1019" s="1" t="s">
        <v>1917</v>
      </c>
      <c r="C1019" t="str">
        <f ca="1">IFERROR(__xludf.DUMMYFUNCTION("GOOGLETRANSLATE(B1019, ""ja"", ""en"")"),"Mukuro long distance crown skirmish")</f>
        <v>Mukuro long distance crown skirmish</v>
      </c>
    </row>
    <row r="1020" spans="1:3" ht="12.75" x14ac:dyDescent="0.2">
      <c r="A1020" s="1" t="s">
        <v>1918</v>
      </c>
      <c r="B1020" s="1" t="s">
        <v>1919</v>
      </c>
      <c r="C1020" t="str">
        <f ca="1">IFERROR(__xludf.DUMMYFUNCTION("GOOGLETRANSLATE(B1020, ""ja"", ""en"")"),"Gin'niwatorihai")</f>
        <v>Gin'niwatorihai</v>
      </c>
    </row>
    <row r="1021" spans="1:3" ht="12.75" x14ac:dyDescent="0.2">
      <c r="A1021" s="1" t="s">
        <v>1920</v>
      </c>
      <c r="B1021" s="1" t="s">
        <v>1921</v>
      </c>
      <c r="C1021" t="str">
        <f ca="1">IFERROR(__xludf.DUMMYFUNCTION("GOOGLETRANSLATE(B1021, ""ja"", ""en"")"),"Jinji Cup")</f>
        <v>Jinji Cup</v>
      </c>
    </row>
    <row r="1022" spans="1:3" ht="12.75" x14ac:dyDescent="0.2">
      <c r="A1022" s="1" t="s">
        <v>1922</v>
      </c>
      <c r="B1022" s="1" t="s">
        <v>1923</v>
      </c>
      <c r="C1022" t="str">
        <f ca="1">IFERROR(__xludf.DUMMYFUNCTION("GOOGLETRANSLATE(B1022, ""ja"", ""en"")"),"Kamogawa Memorial")</f>
        <v>Kamogawa Memorial</v>
      </c>
    </row>
    <row r="1023" spans="1:3" ht="12.75" x14ac:dyDescent="0.2">
      <c r="A1023" s="1" t="s">
        <v>1924</v>
      </c>
      <c r="B1023" s="1" t="s">
        <v>1925</v>
      </c>
      <c r="C1023" t="str">
        <f ca="1">IFERROR(__xludf.DUMMYFUNCTION("GOOGLETRANSLATE(B1023, ""ja"", ""en"")"),"Mukuro Memorial")</f>
        <v>Mukuro Memorial</v>
      </c>
    </row>
    <row r="1024" spans="1:3" ht="12.75" x14ac:dyDescent="0.2">
      <c r="A1024" s="1" t="s">
        <v>1926</v>
      </c>
      <c r="B1024" s="1" t="s">
        <v>1927</v>
      </c>
      <c r="C1024" t="str">
        <f ca="1">IFERROR(__xludf.DUMMYFUNCTION("GOOGLETRANSLATE(B1024, ""ja"", ""en"")"),"Mukuro short distance crown")</f>
        <v>Mukuro short distance crown</v>
      </c>
    </row>
    <row r="1025" spans="1:3" ht="12.75" x14ac:dyDescent="0.2">
      <c r="A1025" s="1" t="s">
        <v>1928</v>
      </c>
      <c r="B1025" s="1" t="s">
        <v>1929</v>
      </c>
      <c r="C1025" t="str">
        <f ca="1">IFERROR(__xludf.DUMMYFUNCTION("GOOGLETRANSLATE(B1025, ""ja"", ""en"")"),"Mukuro middle distance crown")</f>
        <v>Mukuro middle distance crown</v>
      </c>
    </row>
    <row r="1026" spans="1:3" ht="12.75" x14ac:dyDescent="0.2">
      <c r="A1026" s="1" t="s">
        <v>1930</v>
      </c>
      <c r="B1026" s="1" t="s">
        <v>1931</v>
      </c>
      <c r="C1026" t="str">
        <f ca="1">IFERROR(__xludf.DUMMYFUNCTION("GOOGLETRANSLATE(B1026, ""ja"", ""en"")"),"Mukuro long distance crown")</f>
        <v>Mukuro long distance crown</v>
      </c>
    </row>
    <row r="1027" spans="1:3" ht="12.75" x14ac:dyDescent="0.2">
      <c r="A1027" s="1" t="s">
        <v>1932</v>
      </c>
      <c r="B1027" s="1" t="s">
        <v>1933</v>
      </c>
      <c r="C1027" t="str">
        <f ca="1">IFERROR(__xludf.DUMMYFUNCTION("GOOGLETRANSLATE(B1027, ""ja"", ""en"")"),"Mukuro large cockscomb")</f>
        <v>Mukuro large cockscomb</v>
      </c>
    </row>
    <row r="1028" spans="1:3" ht="12.75" x14ac:dyDescent="0.2">
      <c r="A1028" s="1" t="s">
        <v>1934</v>
      </c>
      <c r="B1028" s="1" t="s">
        <v>1935</v>
      </c>
      <c r="C1028" t="str">
        <f ca="1">IFERROR(__xludf.DUMMYFUNCTION("GOOGLETRANSLATE(B1028, ""ja"", ""en"")"),"Phoenix Award")</f>
        <v>Phoenix Award</v>
      </c>
    </row>
    <row r="1029" spans="1:3" ht="12.75" x14ac:dyDescent="0.2">
      <c r="A1029" s="1" t="s">
        <v>1936</v>
      </c>
      <c r="B1029" s="1" t="s">
        <v>1937</v>
      </c>
      <c r="C1029" t="str">
        <f ca="1">IFERROR(__xludf.DUMMYFUNCTION("GOOGLETRANSLATE(B1029, ""ja"", ""en"")"),"Japan Yuniwatori")</f>
        <v>Japan Yuniwatori</v>
      </c>
    </row>
    <row r="1030" spans="1:3" ht="12.75" x14ac:dyDescent="0.2">
      <c r="A1030" s="1" t="s">
        <v>1938</v>
      </c>
      <c r="B1030" s="1" t="s">
        <v>1939</v>
      </c>
      <c r="C1030" t="str">
        <f ca="1">IFERROR(__xludf.DUMMYFUNCTION("GOOGLETRANSLATE(B1030, ""ja"", ""en"")"),"Duel against")</f>
        <v>Duel against</v>
      </c>
    </row>
    <row r="1031" spans="1:3" ht="12.75" x14ac:dyDescent="0.2">
      <c r="A1031" s="1" t="s">
        <v>1940</v>
      </c>
      <c r="B1031" s="1" t="s">
        <v>1941</v>
      </c>
      <c r="C1031" t="str">
        <f ca="1">IFERROR(__xludf.DUMMYFUNCTION("GOOGLETRANSLATE(B1031, ""ja"", ""en"")"),"Mukuro short distance [n] crown skirmish")</f>
        <v>Mukuro short distance [n] crown skirmish</v>
      </c>
    </row>
    <row r="1032" spans="1:3" ht="12.75" x14ac:dyDescent="0.2">
      <c r="A1032" s="1" t="s">
        <v>1942</v>
      </c>
      <c r="B1032" s="1" t="s">
        <v>1943</v>
      </c>
      <c r="C1032" t="str">
        <f ca="1">IFERROR(__xludf.DUMMYFUNCTION("GOOGLETRANSLATE(B1032, ""ja"", ""en"")"),"Mukuro middle distance [n] crown skirmish")</f>
        <v>Mukuro middle distance [n] crown skirmish</v>
      </c>
    </row>
    <row r="1033" spans="1:3" ht="12.75" x14ac:dyDescent="0.2">
      <c r="A1033" s="1" t="s">
        <v>1944</v>
      </c>
      <c r="B1033" s="1" t="s">
        <v>1945</v>
      </c>
      <c r="C1033" t="str">
        <f ca="1">IFERROR(__xludf.DUMMYFUNCTION("GOOGLETRANSLATE(B1033, ""ja"", ""en"")"),"Mukuro long-distance king [n] crown skirmish")</f>
        <v>Mukuro long-distance king [n] crown skirmish</v>
      </c>
    </row>
    <row r="1034" spans="1:3" ht="12.75" x14ac:dyDescent="0.2">
      <c r="A1034" s="1" t="s">
        <v>1946</v>
      </c>
      <c r="B1034" s="1" t="s">
        <v>1947</v>
      </c>
      <c r="C1034" t="str">
        <f ca="1">IFERROR(__xludf.DUMMYFUNCTION("GOOGLETRANSLATE(B1034, ""ja"", ""en"")"),"Mukuro short distance [n] crown")</f>
        <v>Mukuro short distance [n] crown</v>
      </c>
    </row>
    <row r="1035" spans="1:3" ht="12.75" x14ac:dyDescent="0.2">
      <c r="A1035" s="1" t="s">
        <v>1948</v>
      </c>
      <c r="B1035" s="1" t="s">
        <v>1949</v>
      </c>
      <c r="C1035" t="str">
        <f ca="1">IFERROR(__xludf.DUMMYFUNCTION("GOOGLETRANSLATE(B1035, ""ja"", ""en"")"),"Mukuro middle distance [n] crown")</f>
        <v>Mukuro middle distance [n] crown</v>
      </c>
    </row>
    <row r="1036" spans="1:3" ht="12.75" x14ac:dyDescent="0.2">
      <c r="A1036" s="1" t="s">
        <v>1950</v>
      </c>
      <c r="B1036" s="1" t="s">
        <v>1951</v>
      </c>
      <c r="C1036" t="str">
        <f ca="1">IFERROR(__xludf.DUMMYFUNCTION("GOOGLETRANSLATE(B1036, ""ja"", ""en"")"),"Mukuro long distance [n] crown")</f>
        <v>Mukuro long distance [n] crown</v>
      </c>
    </row>
    <row r="1037" spans="1:3" ht="12.75" x14ac:dyDescent="0.2">
      <c r="A1037" s="1" t="s">
        <v>1952</v>
      </c>
      <c r="B1037" s="1" t="s">
        <v>1953</v>
      </c>
      <c r="C1037" t="str">
        <f ca="1">IFERROR(__xludf.DUMMYFUNCTION("GOOGLETRANSLATE(B1037, ""ja"", ""en"")"),"Each feather, we're poised.")</f>
        <v>Each feather, we're poised.</v>
      </c>
    </row>
    <row r="1038" spans="1:3" ht="12.75" x14ac:dyDescent="0.2">
      <c r="A1038" s="1" t="s">
        <v>1954</v>
      </c>
      <c r="B1038" s="1" t="s">
        <v>1955</v>
      </c>
      <c r="C1038" t="str">
        <f ca="1">IFERROR(__xludf.DUMMYFUNCTION("GOOGLETRANSLATE(B1038, ""ja"", ""en"")"),"Ready.")</f>
        <v>Ready.</v>
      </c>
    </row>
    <row r="1039" spans="1:3" ht="12.75" x14ac:dyDescent="0.2">
      <c r="A1039" s="1" t="s">
        <v>1956</v>
      </c>
      <c r="B1039" s="1" t="s">
        <v>1957</v>
      </c>
      <c r="C1039" t="str">
        <f ca="1">IFERROR(__xludf.DUMMYFUNCTION("GOOGLETRANSLATE(B1039, ""ja"", ""en"")"),"Each feather beautiful turnout!")</f>
        <v>Each feather beautiful turnout!</v>
      </c>
    </row>
    <row r="1040" spans="1:3" ht="12.75" x14ac:dyDescent="0.2">
      <c r="A1040" s="1" t="s">
        <v>1958</v>
      </c>
      <c r="B1040" s="1" t="s">
        <v>1959</v>
      </c>
      <c r="C1040" t="str">
        <f ca="1">IFERROR(__xludf.DUMMYFUNCTION("GOOGLETRANSLATE(B1040, ""ja"", ""en"")"),"Late it was! % S")</f>
        <v>Late it was! % S</v>
      </c>
    </row>
    <row r="1041" spans="1:3" ht="12.75" x14ac:dyDescent="0.2">
      <c r="A1041" s="1" t="s">
        <v>1960</v>
      </c>
      <c r="B1041" s="1" t="s">
        <v>1961</v>
      </c>
      <c r="C1041" t="str">
        <f ca="1">IFERROR(__xludf.DUMMYFUNCTION("GOOGLETRANSLATE(B1041, ""ja"", ""en"")"),"Good turnout! % S")</f>
        <v>Good turnout! % S</v>
      </c>
    </row>
    <row r="1042" spans="1:3" ht="12.75" x14ac:dyDescent="0.2">
      <c r="A1042" s="1" t="s">
        <v>1962</v>
      </c>
      <c r="B1042" s="1" t="s">
        <v>1963</v>
      </c>
      <c r="C1042" t="str">
        <f ca="1">IFERROR(__xludf.DUMMYFUNCTION("GOOGLETRANSLATE(B1042, ""ja"", ""en"")"),"Current top% s")</f>
        <v>Current top% s</v>
      </c>
    </row>
    <row r="1043" spans="1:3" ht="12.75" x14ac:dyDescent="0.2">
      <c r="A1043" s="1" t="s">
        <v>1964</v>
      </c>
      <c r="B1043" s="1" t="s">
        <v>1965</v>
      </c>
      <c r="C1043" t="str">
        <f ca="1">IFERROR(__xludf.DUMMYFUNCTION("GOOGLETRANSLATE(B1043, ""ja"", ""en"")"),"Top horizontal clear distinction!")</f>
        <v>Top horizontal clear distinction!</v>
      </c>
    </row>
    <row r="1044" spans="1:3" ht="12.75" x14ac:dyDescent="0.2">
      <c r="A1044" s="1" t="s">
        <v>1966</v>
      </c>
      <c r="B1044" s="1" t="s">
        <v>1967</v>
      </c>
      <c r="C1044" t="str">
        <f ca="1">IFERROR(__xludf.DUMMYFUNCTION("GOOGLETRANSLATE(B1044, ""ja"", ""en"")"),"At once it came out! % S")</f>
        <v>At once it came out! % S</v>
      </c>
    </row>
    <row r="1045" spans="1:3" ht="12.75" x14ac:dyDescent="0.2">
      <c r="A1045" s="1" t="s">
        <v>1968</v>
      </c>
      <c r="B1045" s="1" t="s">
        <v>1969</v>
      </c>
      <c r="C1045" t="str">
        <f ca="1">IFERROR(__xludf.DUMMYFUNCTION("GOOGLETRANSLATE(B1045, ""ja"", ""en"")"),"% S one step ahead")</f>
        <v>% S one step ahead</v>
      </c>
    </row>
    <row r="1046" spans="1:3" ht="12.75" x14ac:dyDescent="0.2">
      <c r="A1046" s="1" t="s">
        <v>1970</v>
      </c>
      <c r="B1046" s="1" t="s">
        <v>1971</v>
      </c>
      <c r="C1046" t="str">
        <f ca="1">IFERROR(__xludf.DUMMYFUNCTION("GOOGLETRANSLATE(B1046, ""ja"", ""en"")"),"At once it came over from% s behind!")</f>
        <v>At once it came over from% s behind!</v>
      </c>
    </row>
    <row r="1047" spans="1:3" ht="12.75" x14ac:dyDescent="0.2">
      <c r="A1047" s="1" t="s">
        <v>1972</v>
      </c>
      <c r="B1047" s="1" t="s">
        <v>1973</v>
      </c>
      <c r="C1047" t="str">
        <f ca="1">IFERROR(__xludf.DUMMYFUNCTION("GOOGLETRANSLATE(B1047, ""ja"", ""en"")"),"% S running away!")</f>
        <v>% S running away!</v>
      </c>
    </row>
    <row r="1048" spans="1:3" ht="12.75" x14ac:dyDescent="0.2">
      <c r="A1048" s="1" t="s">
        <v>1974</v>
      </c>
      <c r="B1048" s="1" t="s">
        <v>1975</v>
      </c>
      <c r="C1048" t="str">
        <f ca="1">IFERROR(__xludf.DUMMYFUNCTION("GOOGLETRANSLATE(B1048, ""ja"", ""en"")"),"Over which it ran into the end point in each wing all at once")</f>
        <v>Over which it ran into the end point in each wing all at once</v>
      </c>
    </row>
    <row r="1049" spans="1:3" ht="12.75" x14ac:dyDescent="0.2">
      <c r="A1049" s="1" t="s">
        <v>1976</v>
      </c>
      <c r="B1049" s="1" t="s">
        <v>1977</v>
      </c>
      <c r="C1049" t="str">
        <f ca="1">IFERROR(__xludf.DUMMYFUNCTION("GOOGLETRANSLATE(B1049, ""ja"", ""en"")"),"It's pretty melee!")</f>
        <v>It's pretty melee!</v>
      </c>
    </row>
    <row r="1050" spans="1:3" ht="12.75" x14ac:dyDescent="0.2">
      <c r="A1050" s="1" t="s">
        <v>1978</v>
      </c>
      <c r="B1050" s="1" t="s">
        <v>1979</v>
      </c>
      <c r="C1050" t="str">
        <f ca="1">IFERROR(__xludf.DUMMYFUNCTION("GOOGLETRANSLATE(B1050, ""ja"", ""en"")"),"Large good fight! % S")</f>
        <v>Large good fight! % S</v>
      </c>
    </row>
    <row r="1051" spans="1:3" ht="12.75" x14ac:dyDescent="0.2">
      <c r="A1051" s="1" t="s">
        <v>1980</v>
      </c>
      <c r="B1051" s="1" t="s">
        <v>1981</v>
      </c>
      <c r="C1051" t="str">
        <f ca="1">IFERROR(__xludf.DUMMYFUNCTION("GOOGLETRANSLATE(B1051, ""ja"", ""en"")"),"It is expected! % S")</f>
        <v>It is expected! % S</v>
      </c>
    </row>
    <row r="1052" spans="1:3" ht="12.75" x14ac:dyDescent="0.2">
      <c r="A1052" s="1" t="s">
        <v>1982</v>
      </c>
      <c r="B1052" s="1" t="s">
        <v>1983</v>
      </c>
      <c r="C1052" t="str">
        <f ca="1">IFERROR(__xludf.DUMMYFUNCTION("GOOGLETRANSLATE(B1052, ""ja"", ""en"")"),"This is unexpected! % S")</f>
        <v>This is unexpected! % S</v>
      </c>
    </row>
    <row r="1053" spans="1:3" ht="12.75" x14ac:dyDescent="0.2">
      <c r="A1053" s="1" t="s">
        <v>1984</v>
      </c>
      <c r="B1053" s="1" t="s">
        <v>1985</v>
      </c>
      <c r="C1053" t="str">
        <f ca="1">IFERROR(__xludf.DUMMYFUNCTION("GOOGLETRANSLATE(B1053, ""ja"", ""en"")"),"Still strong! % S")</f>
        <v>Still strong! % S</v>
      </c>
    </row>
    <row r="1054" spans="1:3" ht="12.75" x14ac:dyDescent="0.2">
      <c r="A1054" s="1" t="s">
        <v>1986</v>
      </c>
      <c r="B1054" s="1" t="s">
        <v>1987</v>
      </c>
      <c r="C1054" t="str">
        <f ca="1">IFERROR(__xludf.DUMMYFUNCTION("GOOGLETRANSLATE(B1054, ""ja"", ""en"")"),"One outfit% s [n] 2 pieces% s")</f>
        <v>One outfit% s [n] 2 pieces% s</v>
      </c>
    </row>
    <row r="1055" spans="1:3" ht="12.75" x14ac:dyDescent="0.2">
      <c r="A1055" s="1" t="s">
        <v>1988</v>
      </c>
      <c r="B1055" s="1" t="s">
        <v>1989</v>
      </c>
      <c r="C1055" t="str">
        <f ca="1">IFERROR(__xludf.DUMMYFUNCTION("GOOGLETRANSLATE(B1055, ""ja"", ""en"")"),"Bird ticket purchase")</f>
        <v>Bird ticket purchase</v>
      </c>
    </row>
    <row r="1056" spans="1:3" ht="12.75" x14ac:dyDescent="0.2">
      <c r="A1056" s="1" t="s">
        <v>1990</v>
      </c>
      <c r="B1056" s="1" t="s">
        <v>1991</v>
      </c>
      <c r="C1056" t="str">
        <f ca="1">IFERROR(__xludf.DUMMYFUNCTION("GOOGLETRANSLATE(B1056, ""ja"", ""en"")"),"Start competition")</f>
        <v>Start competition</v>
      </c>
    </row>
    <row r="1057" spans="1:3" ht="12.75" x14ac:dyDescent="0.2">
      <c r="A1057" s="1" t="s">
        <v>1992</v>
      </c>
      <c r="B1057" s="1" t="s">
        <v>1993</v>
      </c>
      <c r="C1057" t="str">
        <f ca="1">IFERROR(__xludf.DUMMYFUNCTION("GOOGLETRANSLATE(B1057, ""ja"", ""en"")"),"View the competition schedule")</f>
        <v>View the competition schedule</v>
      </c>
    </row>
    <row r="1058" spans="1:3" ht="12.75" x14ac:dyDescent="0.2">
      <c r="A1058" s="1" t="s">
        <v>1994</v>
      </c>
      <c r="B1058" s="1" t="s">
        <v>1995</v>
      </c>
      <c r="C1058" t="str">
        <f ca="1">IFERROR(__xludf.DUMMYFUNCTION("GOOGLETRANSLATE(B1058, ""ja"", ""en"")"),"Stop Keiniwatori")</f>
        <v>Stop Keiniwatori</v>
      </c>
    </row>
    <row r="1059" spans="1:3" ht="12.75" x14ac:dyDescent="0.2">
      <c r="A1059" s="1" t="s">
        <v>1996</v>
      </c>
      <c r="B1059" s="1" t="s">
        <v>1997</v>
      </c>
      <c r="C1059" t="str">
        <f ca="1">IFERROR(__xludf.DUMMYFUNCTION("GOOGLETRANSLATE(B1059, ""ja"", ""en"")"),"Win Purchase")</f>
        <v>Win Purchase</v>
      </c>
    </row>
    <row r="1060" spans="1:3" ht="12.75" x14ac:dyDescent="0.2">
      <c r="A1060" s="1" t="s">
        <v>1998</v>
      </c>
      <c r="B1060" s="1" t="s">
        <v>1999</v>
      </c>
      <c r="C1060" t="str">
        <f ca="1">IFERROR(__xludf.DUMMYFUNCTION("GOOGLETRANSLATE(B1060, ""ja"", ""en"")"),"Tolylene purchase")</f>
        <v>Tolylene purchase</v>
      </c>
    </row>
    <row r="1061" spans="1:3" ht="12.75" x14ac:dyDescent="0.2">
      <c r="A1061" s="1" t="s">
        <v>2000</v>
      </c>
      <c r="B1061" s="1" t="s">
        <v>2001</v>
      </c>
      <c r="C1061" t="str">
        <f ca="1">IFERROR(__xludf.DUMMYFUNCTION("GOOGLETRANSLATE(B1061, ""ja"", ""en"")"),"Birds single purchase")</f>
        <v>Birds single purchase</v>
      </c>
    </row>
    <row r="1062" spans="1:3" ht="12.75" x14ac:dyDescent="0.2">
      <c r="A1062" s="1" t="s">
        <v>2002</v>
      </c>
      <c r="B1062" s="1" t="s">
        <v>2003</v>
      </c>
      <c r="C1062" t="str">
        <f ca="1">IFERROR(__xludf.DUMMYFUNCTION("GOOGLETRANSLATE(B1062, ""ja"", ""en"")"),"Purchased from dividend List")</f>
        <v>Purchased from dividend List</v>
      </c>
    </row>
    <row r="1063" spans="1:3" ht="12.75" x14ac:dyDescent="0.2">
      <c r="A1063" s="1" t="s">
        <v>2004</v>
      </c>
      <c r="B1063" s="1" t="s">
        <v>2005</v>
      </c>
      <c r="C1063" t="str">
        <f ca="1">IFERROR(__xludf.DUMMYFUNCTION("GOOGLETRANSLATE(B1063, ""ja"", ""en"")"),"Purchase bird ticket confirmation")</f>
        <v>Purchase bird ticket confirmation</v>
      </c>
    </row>
    <row r="1064" spans="1:3" ht="12.75" x14ac:dyDescent="0.2">
      <c r="A1064" s="1" t="s">
        <v>2006</v>
      </c>
      <c r="B1064" s="1" t="s">
        <v>2007</v>
      </c>
      <c r="C1064" t="str">
        <f ca="1">IFERROR(__xludf.DUMMYFUNCTION("GOOGLETRANSLATE(B1064, ""ja"", ""en"")"),"Buy Exit")</f>
        <v>Buy Exit</v>
      </c>
    </row>
    <row r="1065" spans="1:3" ht="12.75" x14ac:dyDescent="0.2">
      <c r="A1065" s="1" t="s">
        <v>2008</v>
      </c>
      <c r="B1065" s="1" t="s">
        <v>2009</v>
      </c>
      <c r="C1065" t="str">
        <f ca="1">IFERROR(__xludf.DUMMYFUNCTION("GOOGLETRANSLATE(B1065, ""ja"", ""en"")"),"Until the competition starts")</f>
        <v>Until the competition starts</v>
      </c>
    </row>
    <row r="1066" spans="1:3" ht="12.75" x14ac:dyDescent="0.2">
      <c r="A1066" s="1" t="s">
        <v>2010</v>
      </c>
      <c r="B1066" s="1" t="s">
        <v>2011</v>
      </c>
      <c r="C1066" t="str">
        <f ca="1">IFERROR(__xludf.DUMMYFUNCTION("GOOGLETRANSLATE(B1066, ""ja"", ""en"")"),"Second")</f>
        <v>Second</v>
      </c>
    </row>
    <row r="1067" spans="1:3" ht="12.75" x14ac:dyDescent="0.2">
      <c r="A1067" s="1" t="s">
        <v>2012</v>
      </c>
      <c r="B1067" s="1" t="s">
        <v>2013</v>
      </c>
      <c r="C1067" t="str">
        <f ca="1">IFERROR(__xludf.DUMMYFUNCTION("GOOGLETRANSLATE(B1067, ""ja"", ""en"")"),"one")</f>
        <v>one</v>
      </c>
    </row>
    <row r="1068" spans="1:3" ht="12.75" x14ac:dyDescent="0.2">
      <c r="A1068" s="1" t="s">
        <v>2014</v>
      </c>
      <c r="B1068" s="1" t="s">
        <v>2015</v>
      </c>
      <c r="C1068" t="str">
        <f ca="1">IFERROR(__xludf.DUMMYFUNCTION("GOOGLETRANSLATE(B1068, ""ja"", ""en"")"),"two")</f>
        <v>two</v>
      </c>
    </row>
    <row r="1069" spans="1:3" ht="12.75" x14ac:dyDescent="0.2">
      <c r="A1069" s="1" t="s">
        <v>2016</v>
      </c>
      <c r="B1069" s="1" t="s">
        <v>2017</v>
      </c>
      <c r="C1069" t="str">
        <f ca="1">IFERROR(__xludf.DUMMYFUNCTION("GOOGLETRANSLATE(B1069, ""ja"", ""en"")"),"three")</f>
        <v>three</v>
      </c>
    </row>
    <row r="1070" spans="1:3" ht="12.75" x14ac:dyDescent="0.2">
      <c r="A1070" s="1" t="s">
        <v>2018</v>
      </c>
      <c r="B1070" s="1" t="s">
        <v>2019</v>
      </c>
      <c r="C1070" t="str">
        <f ca="1">IFERROR(__xludf.DUMMYFUNCTION("GOOGLETRANSLATE(B1070, ""ja"", ""en"")"),"four")</f>
        <v>four</v>
      </c>
    </row>
    <row r="1071" spans="1:3" ht="12.75" x14ac:dyDescent="0.2">
      <c r="A1071" s="1" t="s">
        <v>2020</v>
      </c>
      <c r="B1071" s="1" t="s">
        <v>2021</v>
      </c>
      <c r="C1071" t="str">
        <f ca="1">IFERROR(__xludf.DUMMYFUNCTION("GOOGLETRANSLATE(B1071, ""ja"", ""en"")"),"Five")</f>
        <v>Five</v>
      </c>
    </row>
    <row r="1072" spans="1:3" ht="12.75" x14ac:dyDescent="0.2">
      <c r="A1072" s="1" t="s">
        <v>2022</v>
      </c>
      <c r="C1072" t="str">
        <f ca="1">IFERROR(__xludf.DUMMYFUNCTION("GOOGLETRANSLATE(B1072, ""ja"", ""en"")"),"#VALUE!")</f>
        <v>#VALUE!</v>
      </c>
    </row>
    <row r="1073" spans="1:3" ht="12.75" x14ac:dyDescent="0.2">
      <c r="A1073" s="1" t="s">
        <v>2023</v>
      </c>
      <c r="B1073" s="1" t="s">
        <v>2024</v>
      </c>
      <c r="C1073" t="str">
        <f ca="1">IFERROR(__xludf.DUMMYFUNCTION("GOOGLETRANSLATE(B1073, ""ja"", ""en"")"),"◎")</f>
        <v>◎</v>
      </c>
    </row>
    <row r="1074" spans="1:3" ht="12.75" x14ac:dyDescent="0.2">
      <c r="A1074" s="1" t="s">
        <v>2025</v>
      </c>
      <c r="B1074" s="1" t="s">
        <v>2026</v>
      </c>
      <c r="C1074" t="str">
        <f ca="1">IFERROR(__xludf.DUMMYFUNCTION("GOOGLETRANSLATE(B1074, ""ja"", ""en"")"),"○")</f>
        <v>○</v>
      </c>
    </row>
    <row r="1075" spans="1:3" ht="12.75" x14ac:dyDescent="0.2">
      <c r="A1075" s="1" t="s">
        <v>2027</v>
      </c>
      <c r="B1075" s="1" t="s">
        <v>2028</v>
      </c>
      <c r="C1075" t="str">
        <f ca="1">IFERROR(__xludf.DUMMYFUNCTION("GOOGLETRANSLATE(B1075, ""ja"", ""en"")"),"△")</f>
        <v>△</v>
      </c>
    </row>
    <row r="1076" spans="1:3" ht="12.75" x14ac:dyDescent="0.2">
      <c r="A1076" s="1" t="s">
        <v>2029</v>
      </c>
      <c r="B1076" s="1" t="s">
        <v>2030</v>
      </c>
      <c r="C1076" t="str">
        <f ca="1">IFERROR(__xludf.DUMMYFUNCTION("GOOGLETRANSLATE(B1076, ""ja"", ""en"")"),"×")</f>
        <v>×</v>
      </c>
    </row>
    <row r="1077" spans="1:3" ht="12.75" x14ac:dyDescent="0.2">
      <c r="A1077" s="1" t="s">
        <v>2031</v>
      </c>
      <c r="B1077" s="1" t="s">
        <v>2032</v>
      </c>
      <c r="C1077" t="str">
        <f ca="1">IFERROR(__xludf.DUMMYFUNCTION("GOOGLETRANSLATE(B1077, ""ja"", ""en"")"),"----")</f>
        <v>----</v>
      </c>
    </row>
    <row r="1078" spans="1:3" ht="12.75" x14ac:dyDescent="0.2">
      <c r="A1078" s="1" t="s">
        <v>2033</v>
      </c>
      <c r="B1078" s="1" t="s">
        <v>2034</v>
      </c>
      <c r="C1078" t="str">
        <f ca="1">IFERROR(__xludf.DUMMYFUNCTION("GOOGLETRANSLATE(B1078, ""ja"", ""en"")"),"Buy the bird tickets Kifuda.")</f>
        <v>Buy the bird tickets Kifuda.</v>
      </c>
    </row>
    <row r="1079" spans="1:3" ht="12.75" x14ac:dyDescent="0.2">
      <c r="A1079" s="1" t="s">
        <v>2035</v>
      </c>
      <c r="B1079" s="1" t="s">
        <v>2036</v>
      </c>
      <c r="C1079" t="str">
        <f ca="1">IFERROR(__xludf.DUMMYFUNCTION("GOOGLETRANSLATE(B1079, ""ja"", ""en"")"),"To start the competition.")</f>
        <v>To start the competition.</v>
      </c>
    </row>
    <row r="1080" spans="1:3" ht="12.75" x14ac:dyDescent="0.2">
      <c r="A1080" s="1" t="s">
        <v>2037</v>
      </c>
      <c r="B1080" s="1" t="s">
        <v>2038</v>
      </c>
      <c r="C1080" t="str">
        <f ca="1">IFERROR(__xludf.DUMMYFUNCTION("GOOGLETRANSLATE(B1080, ""ja"", ""en"")"),"You can see the schedule of the competition to be held in the future.")</f>
        <v>You can see the schedule of the competition to be held in the future.</v>
      </c>
    </row>
    <row r="1081" spans="1:3" ht="12.75" x14ac:dyDescent="0.2">
      <c r="A1081" s="1" t="s">
        <v>2039</v>
      </c>
      <c r="B1081" s="1" t="s">
        <v>2040</v>
      </c>
      <c r="C1081" t="str">
        <f ca="1">IFERROR(__xludf.DUMMYFUNCTION("GOOGLETRANSLATE(B1081, ""ja"", ""en"")"),"Exit the Keiniwatori.")</f>
        <v>Exit the Keiniwatori.</v>
      </c>
    </row>
    <row r="1082" spans="1:3" ht="12.75" x14ac:dyDescent="0.2">
      <c r="A1082" s="1" t="s">
        <v>2041</v>
      </c>
      <c r="B1082" s="1" t="s">
        <v>2042</v>
      </c>
      <c r="C1082" t="str">
        <f ca="1">IFERROR(__xludf.DUMMYFUNCTION("GOOGLETRANSLATE(B1082, ""ja"", ""en"")"),"Buy a bird tickets to predict the 1 wearing a chicken.")</f>
        <v>Buy a bird tickets to predict the 1 wearing a chicken.</v>
      </c>
    </row>
    <row r="1083" spans="1:3" ht="12.75" x14ac:dyDescent="0.2">
      <c r="A1083" s="1" t="s">
        <v>2043</v>
      </c>
      <c r="B1083" s="1" t="s">
        <v>2044</v>
      </c>
      <c r="C1083" t="str">
        <f ca="1">IFERROR(__xludf.DUMMYFUNCTION("GOOGLETRANSLATE(B1083, ""ja"", ""en"")"),"Buy a bird tickets to predict the 1 wearing two pieces, regardless of the order of finish.")</f>
        <v>Buy a bird tickets to predict the 1 wearing two pieces, regardless of the order of finish.</v>
      </c>
    </row>
    <row r="1084" spans="1:3" ht="12.75" x14ac:dyDescent="0.2">
      <c r="A1084" s="1" t="s">
        <v>2045</v>
      </c>
      <c r="B1084" s="1" t="s">
        <v>2046</v>
      </c>
      <c r="C1084" t="str">
        <f ca="1">IFERROR(__xludf.DUMMYFUNCTION("GOOGLETRANSLATE(B1084, ""ja"", ""en"")"),"Buy a bird tickets to predict the order of finish. [N] can be expected up to a maximum of 5 pieces.")</f>
        <v>Buy a bird tickets to predict the order of finish. [N] can be expected up to a maximum of 5 pieces.</v>
      </c>
    </row>
    <row r="1085" spans="1:3" ht="12.75" x14ac:dyDescent="0.2">
      <c r="A1085" s="1" t="s">
        <v>2047</v>
      </c>
      <c r="B1085" s="1" t="s">
        <v>2048</v>
      </c>
      <c r="C1085" t="str">
        <f ca="1">IFERROR(__xludf.DUMMYFUNCTION("GOOGLETRANSLATE(B1085, ""ja"", ""en"")"),"Buy the bird tickets from the dividend list.")</f>
        <v>Buy the bird tickets from the dividend list.</v>
      </c>
    </row>
    <row r="1086" spans="1:3" ht="12.75" x14ac:dyDescent="0.2">
      <c r="A1086" s="1" t="s">
        <v>2049</v>
      </c>
      <c r="B1086" s="1" t="s">
        <v>2050</v>
      </c>
      <c r="C1086" t="str">
        <f ca="1">IFERROR(__xludf.DUMMYFUNCTION("GOOGLETRANSLATE(B1086, ""ja"", ""en"")"),"You can see the purchased bird tickets.")</f>
        <v>You can see the purchased bird tickets.</v>
      </c>
    </row>
    <row r="1087" spans="1:3" ht="12.75" x14ac:dyDescent="0.2">
      <c r="A1087" s="1" t="s">
        <v>2051</v>
      </c>
      <c r="B1087" s="1" t="s">
        <v>2052</v>
      </c>
      <c r="C1087" t="str">
        <f ca="1">IFERROR(__xludf.DUMMYFUNCTION("GOOGLETRANSLATE(B1087, ""ja"", ""en"")"),"Exit the purchase of bird tickets.")</f>
        <v>Exit the purchase of bird tickets.</v>
      </c>
    </row>
    <row r="1088" spans="1:3" ht="12.75" x14ac:dyDescent="0.2">
      <c r="A1088" s="1" t="s">
        <v>2053</v>
      </c>
      <c r="B1088" s="1" t="s">
        <v>2054</v>
      </c>
      <c r="C1088" t="str">
        <f ca="1">IFERROR(__xludf.DUMMYFUNCTION("GOOGLETRANSLATE(B1088, ""ja"", ""en"")"),"We expect only one wearing a chicken. [N] to increase or decrease the betting points on the left and right to choose the chicken to buy. [N] purchased in `` final '',: cancel at &lt;Sign C&gt; button.")</f>
        <v>We expect only one wearing a chicken. [N] to increase or decrease the betting points on the left and right to choose the chicken to buy. [N] purchased in `` final '',: cancel at &lt;Sign C&gt; button.</v>
      </c>
    </row>
    <row r="1089" spans="1:3" ht="12.75" x14ac:dyDescent="0.2">
      <c r="A1089" s="1" t="s">
        <v>2055</v>
      </c>
      <c r="B1089" s="1" t="s">
        <v>2056</v>
      </c>
      <c r="C1089" t="str">
        <f ca="1">IFERROR(__xludf.DUMMYFUNCTION("GOOGLETRANSLATE(B1089, ""ja"", ""en"")"),"You expect one wearing two pieces, regardless of the order of finish. [N] 1 wind up of the chicken: Please choose at &lt;Sign D&gt; button.")</f>
        <v>You expect one wearing two pieces, regardless of the order of finish. [N] 1 wind up of the chicken: Please choose at &lt;Sign D&gt; button.</v>
      </c>
    </row>
    <row r="1090" spans="1:3" ht="12.75" x14ac:dyDescent="0.2">
      <c r="A1090" s="1" t="s">
        <v>2057</v>
      </c>
      <c r="B1090" s="1" t="s">
        <v>2058</v>
      </c>
      <c r="C1090" t="str">
        <f ca="1">IFERROR(__xludf.DUMMYFUNCTION("GOOGLETRANSLATE(B1090, ""ja"", ""en"")"),"To increase or decrease the betting points on the left and right to choose the 2 siding of chicken. [N] purchased in `` final '',: cancel at &lt;Sign C&gt; button.")</f>
        <v>To increase or decrease the betting points on the left and right to choose the 2 siding of chicken. [N] purchased in `` final '',: cancel at &lt;Sign C&gt; button.</v>
      </c>
    </row>
    <row r="1091" spans="1:3" ht="12.75" x14ac:dyDescent="0.2">
      <c r="A1091" s="1" t="s">
        <v>2059</v>
      </c>
      <c r="B1091" s="1" t="s">
        <v>2060</v>
      </c>
      <c r="C1091" t="str">
        <f ca="1">IFERROR(__xludf.DUMMYFUNCTION("GOOGLETRANSLATE(B1091, ""ja"", ""en"")"),"Buy a bird tickets to predict the order of finish. [N] 1 wearing expected of a chicken: Please choose at &lt;Sign D&gt; button.")</f>
        <v>Buy a bird tickets to predict the order of finish. [N] 1 wearing expected of a chicken: Please choose at &lt;Sign D&gt; button.</v>
      </c>
    </row>
    <row r="1092" spans="1:3" ht="12.75" x14ac:dyDescent="0.2">
      <c r="A1092" s="1" t="s">
        <v>2061</v>
      </c>
      <c r="B1092" s="1" t="s">
        <v>2062</v>
      </c>
      <c r="C1092" t="str">
        <f ca="1">IFERROR(__xludf.DUMMYFUNCTION("GOOGLETRANSLATE(B1092, ""ja"", ""en"")"),"To increase or decrease the betting points on the left and right to choose the two pieces expected of chicken. [N] &lt;Sign: D&gt; You can expect more of the order wear buttons. [N] purchased in `` final '',: cancel at &lt;Sign C&gt; button.")</f>
        <v>To increase or decrease the betting points on the left and right to choose the two pieces expected of chicken. [N] &lt;Sign: D&gt; You can expect more of the order wear buttons. [N] purchased in `` final '',: cancel at &lt;Sign C&gt; button.</v>
      </c>
    </row>
    <row r="1093" spans="1:3" ht="12.75" x14ac:dyDescent="0.2">
      <c r="A1093" s="1" t="s">
        <v>2063</v>
      </c>
      <c r="B1093" s="1" t="s">
        <v>2064</v>
      </c>
      <c r="C1093" t="str">
        <f ca="1">IFERROR(__xludf.DUMMYFUNCTION("GOOGLETRANSLATE(B1093, ""ja"", ""en"")"),"3 Select the wearing expected of chicken to increase or decrease the betting points on the left and right. [N] &lt;Sign: D&gt; You can expect more of the order wear buttons. [N] purchased in `` final '',: cancel at &lt;Sign C&gt; button.")</f>
        <v>3 Select the wearing expected of chicken to increase or decrease the betting points on the left and right. [N] &lt;Sign: D&gt; You can expect more of the order wear buttons. [N] purchased in `` final '',: cancel at &lt;Sign C&gt; button.</v>
      </c>
    </row>
    <row r="1094" spans="1:3" ht="12.75" x14ac:dyDescent="0.2">
      <c r="A1094" s="1" t="s">
        <v>2065</v>
      </c>
      <c r="B1094" s="1" t="s">
        <v>2066</v>
      </c>
      <c r="C1094" t="str">
        <f ca="1">IFERROR(__xludf.DUMMYFUNCTION("GOOGLETRANSLATE(B1094, ""ja"", ""en"")"),"4 Select wearing expected of chicken to increase or decrease the betting points on the left and right. [N] &lt;Sign: D&gt; You can expect more of the order wear buttons. [N] purchased in `` final '',: cancel at &lt;Sign C&gt; button.")</f>
        <v>4 Select wearing expected of chicken to increase or decrease the betting points on the left and right. [N] &lt;Sign: D&gt; You can expect more of the order wear buttons. [N] purchased in `` final '',: cancel at &lt;Sign C&gt; button.</v>
      </c>
    </row>
    <row r="1095" spans="1:3" ht="12.75" x14ac:dyDescent="0.2">
      <c r="A1095" s="1" t="s">
        <v>2067</v>
      </c>
      <c r="B1095" s="1" t="s">
        <v>2068</v>
      </c>
      <c r="C1095" t="str">
        <f ca="1">IFERROR(__xludf.DUMMYFUNCTION("GOOGLETRANSLATE(B1095, ""ja"", ""en"")"),"To increase or decrease the betting points on the left and right. Buy `` final '',: cancel at &lt;Sign C&gt; button.")</f>
        <v>To increase or decrease the betting points on the left and right. Buy `` final '',: cancel at &lt;Sign C&gt; button.</v>
      </c>
    </row>
    <row r="1096" spans="1:3" ht="12.75" x14ac:dyDescent="0.2">
      <c r="A1096" s="1" t="s">
        <v>2069</v>
      </c>
      <c r="B1096" s="1" t="s">
        <v>2070</v>
      </c>
      <c r="C1096" t="str">
        <f ca="1">IFERROR(__xludf.DUMMYFUNCTION("GOOGLETRANSLATE(B1096, ""ja"", ""en"")"),"Select the dividend you want to buy: Please press the &lt;Sign D&gt; button. [N] ◎ is already purchased. &lt;Sign: 6&gt;,: Switches the display in the &lt;Sign 4&gt; button.")</f>
        <v>Select the dividend you want to buy: Please press the &lt;Sign D&gt; button. [N] ◎ is already purchased. &lt;Sign: 6&gt;,: Switches the display in the &lt;Sign 4&gt; button.</v>
      </c>
    </row>
    <row r="1097" spans="1:3" ht="12.75" x14ac:dyDescent="0.2">
      <c r="A1097" s="1" t="s">
        <v>2071</v>
      </c>
      <c r="B1097" s="1" t="s">
        <v>2072</v>
      </c>
      <c r="C1097" t="str">
        <f ca="1">IFERROR(__xludf.DUMMYFUNCTION("GOOGLETRANSLATE(B1097, ""ja"", ""en"")"),"To increase or decrease the betting points on the left and right. [N] &lt;Sign: D&gt; Buy button,: cancel at &lt;Sign C&gt; button.")</f>
        <v>To increase or decrease the betting points on the left and right. [N] &lt;Sign: D&gt; Buy button,: cancel at &lt;Sign C&gt; button.</v>
      </c>
    </row>
    <row r="1098" spans="1:3" ht="12.75" x14ac:dyDescent="0.2">
      <c r="A1098" s="1" t="s">
        <v>2073</v>
      </c>
      <c r="B1098" s="1" t="s">
        <v>2074</v>
      </c>
      <c r="C1098" t="str">
        <f ca="1">IFERROR(__xludf.DUMMYFUNCTION("GOOGLETRANSLATE(B1098, ""ja"", ""en"")"),"Purchased bird tickets.")</f>
        <v>Purchased bird tickets.</v>
      </c>
    </row>
    <row r="1099" spans="1:3" ht="12.75" x14ac:dyDescent="0.2">
      <c r="A1099" s="1" t="s">
        <v>2075</v>
      </c>
      <c r="B1099" s="1" t="s">
        <v>2076</v>
      </c>
      <c r="C1099" t="str">
        <f ca="1">IFERROR(__xludf.DUMMYFUNCTION("GOOGLETRANSLATE(B1099, ""ja"", ""en"")"),"Currently being held, the competition of the race bird decision, [n]: You can see the details in the &lt;Sign 1&gt; button.")</f>
        <v>Currently being held, the competition of the race bird decision, [n]: You can see the details in the &lt;Sign 1&gt; button.</v>
      </c>
    </row>
    <row r="1100" spans="1:3" ht="12.75" x14ac:dyDescent="0.2">
      <c r="A1100" s="1" t="s">
        <v>2077</v>
      </c>
      <c r="B1100" s="1" t="s">
        <v>2078</v>
      </c>
      <c r="C1100" t="str">
        <f ca="1">IFERROR(__xludf.DUMMYFUNCTION("GOOGLETRANSLATE(B1100, ""ja"", ""en"")"),"It is raced bird current competitions now.")</f>
        <v>It is raced bird current competitions now.</v>
      </c>
    </row>
    <row r="1101" spans="1:3" ht="12.75" x14ac:dyDescent="0.2">
      <c r="A1101" s="1" t="s">
        <v>2079</v>
      </c>
      <c r="B1101" s="1" t="s">
        <v>2080</v>
      </c>
      <c r="C1101" t="str">
        <f ca="1">IFERROR(__xludf.DUMMYFUNCTION("GOOGLETRANSLATE(B1101, ""ja"", ""en"")"),"This race birds for the next race")</f>
        <v>This race birds for the next race</v>
      </c>
    </row>
    <row r="1102" spans="1:3" ht="12.75" x14ac:dyDescent="0.2">
      <c r="A1102" s="1" t="s">
        <v>2081</v>
      </c>
      <c r="B1102" s="1" t="s">
        <v>2082</v>
      </c>
      <c r="C1102" t="str">
        <f ca="1">IFERROR(__xludf.DUMMYFUNCTION("GOOGLETRANSLATE(B1102, ""ja"", ""en"")"),"After next is raced bird race.")</f>
        <v>After next is raced bird race.</v>
      </c>
    </row>
    <row r="1103" spans="1:3" ht="12.75" x14ac:dyDescent="0.2">
      <c r="A1103" s="1" t="s">
        <v>2083</v>
      </c>
      <c r="B1103" s="1" t="s">
        <v>2084</v>
      </c>
      <c r="C1103" t="str">
        <f ca="1">IFERROR(__xludf.DUMMYFUNCTION("GOOGLETRANSLATE(B1103, ""ja"", ""en"")"),"Hurriedly you a special race is held. [N] is the single combat warfare by two birds that were selected.")</f>
        <v>Hurriedly you a special race is held. [N] is the single combat warfare by two birds that were selected.</v>
      </c>
    </row>
    <row r="1104" spans="1:3" ht="12.75" x14ac:dyDescent="0.2">
      <c r="A1104" s="1" t="s">
        <v>2085</v>
      </c>
      <c r="B1104" s="1" t="s">
        <v>2086</v>
      </c>
      <c r="C1104" t="str">
        <f ca="1">IFERROR(__xludf.DUMMYFUNCTION("GOOGLETRANSLATE(B1104, ""ja"", ""en"")"),"Detail View")</f>
        <v>Detail View</v>
      </c>
    </row>
    <row r="1105" spans="1:3" ht="12.75" x14ac:dyDescent="0.2">
      <c r="A1105" s="1" t="s">
        <v>2087</v>
      </c>
      <c r="B1105" s="1" t="s">
        <v>2088</v>
      </c>
      <c r="C1105" t="str">
        <f ca="1">IFERROR(__xludf.DUMMYFUNCTION("GOOGLETRANSLATE(B1105, ""ja"", ""en"")"),"Display switching")</f>
        <v>Display switching</v>
      </c>
    </row>
    <row r="1106" spans="1:3" ht="12.75" x14ac:dyDescent="0.2">
      <c r="A1106" s="1" t="s">
        <v>2089</v>
      </c>
      <c r="B1106" s="1" t="s">
        <v>2090</v>
      </c>
      <c r="C1106" t="str">
        <f ca="1">IFERROR(__xludf.DUMMYFUNCTION("GOOGLETRANSLATE(B1106, ""ja"", ""en"")"),"Point of view switching")</f>
        <v>Point of view switching</v>
      </c>
    </row>
    <row r="1107" spans="1:3" ht="12.75" x14ac:dyDescent="0.2">
      <c r="A1107" s="1" t="s">
        <v>2091</v>
      </c>
      <c r="B1107" s="1" t="s">
        <v>2092</v>
      </c>
      <c r="C1107" t="str">
        <f ca="1">IFERROR(__xludf.DUMMYFUNCTION("GOOGLETRANSLATE(B1107, ""ja"", ""en"")"),"飜")</f>
        <v>飜</v>
      </c>
    </row>
    <row r="1108" spans="1:3" ht="12.75" x14ac:dyDescent="0.2">
      <c r="A1108" s="1" t="s">
        <v>2093</v>
      </c>
      <c r="B1108" s="1" t="s">
        <v>2094</v>
      </c>
      <c r="C1108" t="str">
        <f ca="1">IFERROR(__xludf.DUMMYFUNCTION("GOOGLETRANSLATE(B1108, ""ja"", ""en"")"),"Marks")</f>
        <v>Marks</v>
      </c>
    </row>
    <row r="1109" spans="1:3" ht="12.75" x14ac:dyDescent="0.2">
      <c r="A1109" s="1" t="s">
        <v>2095</v>
      </c>
      <c r="B1109" s="1" t="s">
        <v>2096</v>
      </c>
      <c r="C1109" t="str">
        <f ca="1">IFERROR(__xludf.DUMMYFUNCTION("GOOGLETRANSLATE(B1109, ""ja"", ""en"")"),"La")</f>
        <v>La</v>
      </c>
    </row>
    <row r="1110" spans="1:3" ht="12.75" x14ac:dyDescent="0.2">
      <c r="A1110" s="1" t="s">
        <v>2097</v>
      </c>
      <c r="B1110" s="1" t="s">
        <v>2098</v>
      </c>
      <c r="C1110" t="str">
        <f ca="1">IFERROR(__xludf.DUMMYFUNCTION("GOOGLETRANSLATE(B1110, ""ja"", ""en"")"),"rod")</f>
        <v>rod</v>
      </c>
    </row>
    <row r="1111" spans="1:3" ht="12.75" x14ac:dyDescent="0.2">
      <c r="A1111" s="1" t="s">
        <v>2099</v>
      </c>
      <c r="B1111" s="1" t="s">
        <v>250</v>
      </c>
      <c r="C1111" t="str">
        <f ca="1">IFERROR(__xludf.DUMMYFUNCTION("GOOGLETRANSLATE(B1111, ""ja"", ""en"")"),"?")</f>
        <v>?</v>
      </c>
    </row>
    <row r="1112" spans="1:3" ht="12.75" x14ac:dyDescent="0.2">
      <c r="A1112" s="1" t="s">
        <v>2100</v>
      </c>
      <c r="B1112" s="1" t="s">
        <v>354</v>
      </c>
      <c r="C1112" t="str">
        <f ca="1">IFERROR(__xludf.DUMMYFUNCTION("GOOGLETRANSLATE(B1112, ""ja"", ""en"")"),"That")</f>
        <v>That</v>
      </c>
    </row>
    <row r="1113" spans="1:3" ht="12.75" x14ac:dyDescent="0.2">
      <c r="A1113" s="1" t="s">
        <v>2101</v>
      </c>
      <c r="B1113" s="1" t="s">
        <v>354</v>
      </c>
      <c r="C1113" t="str">
        <f ca="1">IFERROR(__xludf.DUMMYFUNCTION("GOOGLETRANSLATE(B1113, ""ja"", ""en"")"),"That")</f>
        <v>That</v>
      </c>
    </row>
    <row r="1114" spans="1:3" ht="12.75" x14ac:dyDescent="0.2">
      <c r="A1114" s="1" t="s">
        <v>2102</v>
      </c>
      <c r="B1114" s="1" t="s">
        <v>2103</v>
      </c>
      <c r="C1114" t="str">
        <f ca="1">IFERROR(__xludf.DUMMYFUNCTION("GOOGLETRANSLATE(B1114, ""ja"", ""en"")"),"Identified")</f>
        <v>Identified</v>
      </c>
    </row>
    <row r="1115" spans="1:3" ht="12.75" x14ac:dyDescent="0.2">
      <c r="A1115" s="1" t="s">
        <v>2104</v>
      </c>
      <c r="B1115" s="1" t="s">
        <v>354</v>
      </c>
      <c r="C1115" t="str">
        <f ca="1">IFERROR(__xludf.DUMMYFUNCTION("GOOGLETRANSLATE(B1115, ""ja"", ""en"")"),"That")</f>
        <v>That</v>
      </c>
    </row>
    <row r="1116" spans="1:3" ht="12.75" x14ac:dyDescent="0.2">
      <c r="A1116" s="1" t="s">
        <v>2105</v>
      </c>
      <c r="B1116" s="1" t="s">
        <v>2106</v>
      </c>
      <c r="C1116" t="str">
        <f ca="1">IFERROR(__xludf.DUMMYFUNCTION("GOOGLETRANSLATE(B1116, ""ja"", ""en"")"),"Game in a weak desk")</f>
        <v>Game in a weak desk</v>
      </c>
    </row>
    <row r="1117" spans="1:3" ht="12.75" x14ac:dyDescent="0.2">
      <c r="A1117" s="1" t="s">
        <v>2107</v>
      </c>
      <c r="B1117" s="1" t="s">
        <v>2108</v>
      </c>
      <c r="C1117" t="str">
        <f ca="1">IFERROR(__xludf.DUMMYFUNCTION("GOOGLETRANSLATE(B1117, ""ja"", ""en"")"),"Game in mid-table")</f>
        <v>Game in mid-table</v>
      </c>
    </row>
    <row r="1118" spans="1:3" ht="12.75" x14ac:dyDescent="0.2">
      <c r="A1118" s="1" t="s">
        <v>2109</v>
      </c>
      <c r="B1118" s="1" t="s">
        <v>2110</v>
      </c>
      <c r="C1118" t="str">
        <f ca="1">IFERROR(__xludf.DUMMYFUNCTION("GOOGLETRANSLATE(B1118, ""ja"", ""en"")"),"Game with a strong desk")</f>
        <v>Game with a strong desk</v>
      </c>
    </row>
    <row r="1119" spans="1:3" ht="12.75" x14ac:dyDescent="0.2">
      <c r="A1119" s="1" t="s">
        <v>2111</v>
      </c>
      <c r="B1119" s="1" t="s">
        <v>2112</v>
      </c>
      <c r="C1119" t="str">
        <f ca="1">IFERROR(__xludf.DUMMYFUNCTION("GOOGLETRANSLATE(B1119, ""ja"", ""en"")"),"Challenge to Keio Mahjong Cup Noboru Ryusen")</f>
        <v>Challenge to Keio Mahjong Cup Noboru Ryusen</v>
      </c>
    </row>
    <row r="1120" spans="1:3" ht="12.75" x14ac:dyDescent="0.2">
      <c r="A1120" s="1" t="s">
        <v>2113</v>
      </c>
      <c r="B1120" s="1" t="s">
        <v>2114</v>
      </c>
      <c r="C1120" t="str">
        <f ca="1">IFERROR(__xludf.DUMMYFUNCTION("GOOGLETRANSLATE(B1120, ""ja"", ""en"")"),"Please choose an opponent. [N] to compete with the weak opponent us.")</f>
        <v>Please choose an opponent. [N] to compete with the weak opponent us.</v>
      </c>
    </row>
    <row r="1121" spans="1:3" ht="12.75" x14ac:dyDescent="0.2">
      <c r="A1121" s="1" t="s">
        <v>2115</v>
      </c>
      <c r="B1121" s="1" t="s">
        <v>2116</v>
      </c>
      <c r="C1121" t="str">
        <f ca="1">IFERROR(__xludf.DUMMYFUNCTION("GOOGLETRANSLATE(B1121, ""ja"", ""en"")"),"Please choose an opponent. [N] to match and the opponent our normal strength.")</f>
        <v>Please choose an opponent. [N] to match and the opponent our normal strength.</v>
      </c>
    </row>
    <row r="1122" spans="1:3" ht="12.75" x14ac:dyDescent="0.2">
      <c r="A1122" s="1" t="s">
        <v>2117</v>
      </c>
      <c r="B1122" s="1" t="s">
        <v>2118</v>
      </c>
      <c r="C1122" t="str">
        <f ca="1">IFERROR(__xludf.DUMMYFUNCTION("GOOGLETRANSLATE(B1122, ""ja"", ""en"")"),"Please choose an opponent. We fight with the [n] strong opponent us.")</f>
        <v>Please choose an opponent. We fight with the [n] strong opponent us.</v>
      </c>
    </row>
    <row r="1123" spans="1:3" ht="12.75" x14ac:dyDescent="0.2">
      <c r="A1123" s="1" t="s">
        <v>2119</v>
      </c>
      <c r="B1123" s="1" t="s">
        <v>2120</v>
      </c>
      <c r="C1123" t="str">
        <f ca="1">IFERROR(__xludf.DUMMYFUNCTION("GOOGLETRANSLATE(B1123, ""ja"", ""en"")"),"Please aim to vertex of [n] NoboriRyusen to compete with a variety of opponents. If you pay [n] entry fee once at 500 points, is free from the next time.")</f>
        <v>Please aim to vertex of [n] NoboriRyusen to compete with a variety of opponents. If you pay [n] entry fee once at 500 points, is free from the next time.</v>
      </c>
    </row>
    <row r="1124" spans="1:3" ht="12.75" x14ac:dyDescent="0.2">
      <c r="A1124" s="1" t="s">
        <v>2121</v>
      </c>
      <c r="B1124" s="1" t="s">
        <v>2122</v>
      </c>
      <c r="C1124" t="str">
        <f ca="1">IFERROR(__xludf.DUMMYFUNCTION("GOOGLETRANSLATE(B1124, ""ja"", ""en"")"),"Please aim to vertex of [n] NoboriRyusen to compete with a variety of opponents. [N] Please have accumulated more than 500 points.")</f>
        <v>Please aim to vertex of [n] NoboriRyusen to compete with a variety of opponents. [N] Please have accumulated more than 500 points.</v>
      </c>
    </row>
    <row r="1125" spans="1:3" ht="12.75" x14ac:dyDescent="0.2">
      <c r="A1125" s="1" t="s">
        <v>2123</v>
      </c>
      <c r="B1125" s="1" t="s">
        <v>2124</v>
      </c>
      <c r="C1125" t="str">
        <f ca="1">IFERROR(__xludf.DUMMYFUNCTION("GOOGLETRANSLATE(B1125, ""ja"", ""en"")"),"Please aim to vertex of [n] NoboriRyusen to compete with a variety of opponents.")</f>
        <v>Please aim to vertex of [n] NoboriRyusen to compete with a variety of opponents.</v>
      </c>
    </row>
    <row r="1126" spans="1:3" ht="12.75" x14ac:dyDescent="0.2">
      <c r="A1126" s="1" t="s">
        <v>2125</v>
      </c>
      <c r="B1126" s="1" t="s">
        <v>2096</v>
      </c>
      <c r="C1126" t="str">
        <f ca="1">IFERROR(__xludf.DUMMYFUNCTION("GOOGLETRANSLATE(B1126, ""ja"", ""en"")"),"La")</f>
        <v>La</v>
      </c>
    </row>
    <row r="1127" spans="1:3" ht="12.75" x14ac:dyDescent="0.2">
      <c r="A1127" s="1" t="s">
        <v>2126</v>
      </c>
      <c r="B1127" s="1" t="s">
        <v>2127</v>
      </c>
      <c r="C1127" t="str">
        <f ca="1">IFERROR(__xludf.DUMMYFUNCTION("GOOGLETRANSLATE(B1127, ""ja"", ""en"")"),"槓")</f>
        <v>槓</v>
      </c>
    </row>
    <row r="1128" spans="1:3" ht="12.75" x14ac:dyDescent="0.2">
      <c r="A1128" s="1" t="s">
        <v>2128</v>
      </c>
      <c r="B1128" s="1" t="s">
        <v>2129</v>
      </c>
      <c r="C1128" t="str">
        <f ca="1">IFERROR(__xludf.DUMMYFUNCTION("GOOGLETRANSLATE(B1128, ""ja"", ""en"")"),"sum")</f>
        <v>sum</v>
      </c>
    </row>
    <row r="1129" spans="1:3" ht="12.75" x14ac:dyDescent="0.2">
      <c r="A1129" s="1" t="s">
        <v>2130</v>
      </c>
      <c r="B1129" s="1" t="s">
        <v>2131</v>
      </c>
      <c r="C1129" t="str">
        <f ca="1">IFERROR(__xludf.DUMMYFUNCTION("GOOGLETRANSLATE(B1129, ""ja"", ""en"")"),"Hit")</f>
        <v>Hit</v>
      </c>
    </row>
    <row r="1130" spans="1:3" ht="12.75" x14ac:dyDescent="0.2">
      <c r="A1130" s="1" t="s">
        <v>2132</v>
      </c>
      <c r="B1130" s="1" t="s">
        <v>2133</v>
      </c>
      <c r="C1130" t="str">
        <f ca="1">IFERROR(__xludf.DUMMYFUNCTION("GOOGLETRANSLATE(B1130, ""ja"", ""en"")"),"Bureau")</f>
        <v>Bureau</v>
      </c>
    </row>
    <row r="1131" spans="1:3" ht="12.75" x14ac:dyDescent="0.2">
      <c r="A1131" s="1" t="s">
        <v>2134</v>
      </c>
      <c r="B1131" s="1" t="s">
        <v>2133</v>
      </c>
      <c r="C1131" t="str">
        <f ca="1">IFERROR(__xludf.DUMMYFUNCTION("GOOGLETRANSLATE(B1131, ""ja"", ""en"")"),"Bureau")</f>
        <v>Bureau</v>
      </c>
    </row>
    <row r="1132" spans="1:3" ht="12.75" x14ac:dyDescent="0.2">
      <c r="A1132" s="1" t="s">
        <v>2135</v>
      </c>
      <c r="B1132" s="1" t="s">
        <v>2133</v>
      </c>
      <c r="C1132" t="str">
        <f ca="1">IFERROR(__xludf.DUMMYFUNCTION("GOOGLETRANSLATE(B1132, ""ja"", ""en"")"),"Bureau")</f>
        <v>Bureau</v>
      </c>
    </row>
    <row r="1133" spans="1:3" ht="12.75" x14ac:dyDescent="0.2">
      <c r="A1133" s="1" t="s">
        <v>2136</v>
      </c>
      <c r="B1133" s="1" t="s">
        <v>2133</v>
      </c>
      <c r="C1133" t="str">
        <f ca="1">IFERROR(__xludf.DUMMYFUNCTION("GOOGLETRANSLATE(B1133, ""ja"", ""en"")"),"Bureau")</f>
        <v>Bureau</v>
      </c>
    </row>
    <row r="1134" spans="1:3" ht="12.75" x14ac:dyDescent="0.2">
      <c r="A1134" s="1" t="s">
        <v>2137</v>
      </c>
      <c r="B1134" s="1" t="s">
        <v>2133</v>
      </c>
      <c r="C1134" t="str">
        <f ca="1">IFERROR(__xludf.DUMMYFUNCTION("GOOGLETRANSLATE(B1134, ""ja"", ""en"")"),"Bureau")</f>
        <v>Bureau</v>
      </c>
    </row>
    <row r="1135" spans="1:3" ht="12.75" x14ac:dyDescent="0.2">
      <c r="A1135" s="1" t="s">
        <v>2138</v>
      </c>
      <c r="B1135" s="1" t="s">
        <v>2133</v>
      </c>
      <c r="C1135" t="str">
        <f ca="1">IFERROR(__xludf.DUMMYFUNCTION("GOOGLETRANSLATE(B1135, ""ja"", ""en"")"),"Bureau")</f>
        <v>Bureau</v>
      </c>
    </row>
    <row r="1136" spans="1:3" ht="12.75" x14ac:dyDescent="0.2">
      <c r="A1136" s="1" t="s">
        <v>2139</v>
      </c>
      <c r="B1136" s="1" t="s">
        <v>2133</v>
      </c>
      <c r="C1136" t="str">
        <f ca="1">IFERROR(__xludf.DUMMYFUNCTION("GOOGLETRANSLATE(B1136, ""ja"", ""en"")"),"Bureau")</f>
        <v>Bureau</v>
      </c>
    </row>
    <row r="1137" spans="1:3" ht="12.75" x14ac:dyDescent="0.2">
      <c r="A1137" s="1" t="s">
        <v>2140</v>
      </c>
      <c r="B1137" s="1" t="s">
        <v>2133</v>
      </c>
      <c r="C1137" t="str">
        <f ca="1">IFERROR(__xludf.DUMMYFUNCTION("GOOGLETRANSLATE(B1137, ""ja"", ""en"")"),"Bureau")</f>
        <v>Bureau</v>
      </c>
    </row>
    <row r="1138" spans="1:3" ht="12.75" x14ac:dyDescent="0.2">
      <c r="A1138" s="1" t="s">
        <v>2141</v>
      </c>
      <c r="B1138" s="1" t="s">
        <v>2133</v>
      </c>
      <c r="C1138" t="str">
        <f ca="1">IFERROR(__xludf.DUMMYFUNCTION("GOOGLETRANSLATE(B1138, ""ja"", ""en"")"),"Bureau")</f>
        <v>Bureau</v>
      </c>
    </row>
    <row r="1139" spans="1:3" ht="12.75" x14ac:dyDescent="0.2">
      <c r="A1139" s="1" t="s">
        <v>2142</v>
      </c>
      <c r="B1139" s="1" t="s">
        <v>2133</v>
      </c>
      <c r="C1139" t="str">
        <f ca="1">IFERROR(__xludf.DUMMYFUNCTION("GOOGLETRANSLATE(B1139, ""ja"", ""en"")"),"Bureau")</f>
        <v>Bureau</v>
      </c>
    </row>
    <row r="1140" spans="1:3" ht="12.75" x14ac:dyDescent="0.2">
      <c r="A1140" s="1" t="s">
        <v>2143</v>
      </c>
      <c r="B1140" s="1" t="s">
        <v>2133</v>
      </c>
      <c r="C1140" t="str">
        <f ca="1">IFERROR(__xludf.DUMMYFUNCTION("GOOGLETRANSLATE(B1140, ""ja"", ""en"")"),"Bureau")</f>
        <v>Bureau</v>
      </c>
    </row>
    <row r="1141" spans="1:3" ht="12.75" x14ac:dyDescent="0.2">
      <c r="A1141" s="1" t="s">
        <v>2144</v>
      </c>
      <c r="B1141" s="1" t="s">
        <v>2133</v>
      </c>
      <c r="C1141" t="str">
        <f ca="1">IFERROR(__xludf.DUMMYFUNCTION("GOOGLETRANSLATE(B1141, ""ja"", ""en"")"),"Bureau")</f>
        <v>Bureau</v>
      </c>
    </row>
    <row r="1142" spans="1:3" ht="12.75" x14ac:dyDescent="0.2">
      <c r="A1142" s="1" t="s">
        <v>2145</v>
      </c>
      <c r="B1142" s="1" t="s">
        <v>2133</v>
      </c>
      <c r="C1142" t="str">
        <f ca="1">IFERROR(__xludf.DUMMYFUNCTION("GOOGLETRANSLATE(B1142, ""ja"", ""en"")"),"Bureau")</f>
        <v>Bureau</v>
      </c>
    </row>
    <row r="1143" spans="1:3" ht="12.75" x14ac:dyDescent="0.2">
      <c r="A1143" s="1" t="s">
        <v>2146</v>
      </c>
      <c r="B1143" s="1" t="s">
        <v>2133</v>
      </c>
      <c r="C1143" t="str">
        <f ca="1">IFERROR(__xludf.DUMMYFUNCTION("GOOGLETRANSLATE(B1143, ""ja"", ""en"")"),"Bureau")</f>
        <v>Bureau</v>
      </c>
    </row>
    <row r="1144" spans="1:3" ht="12.75" x14ac:dyDescent="0.2">
      <c r="A1144" s="1" t="s">
        <v>2147</v>
      </c>
      <c r="B1144" s="1" t="s">
        <v>2133</v>
      </c>
      <c r="C1144" t="str">
        <f ca="1">IFERROR(__xludf.DUMMYFUNCTION("GOOGLETRANSLATE(B1144, ""ja"", ""en"")"),"Bureau")</f>
        <v>Bureau</v>
      </c>
    </row>
    <row r="1145" spans="1:3" ht="12.75" x14ac:dyDescent="0.2">
      <c r="A1145" s="1" t="s">
        <v>2148</v>
      </c>
      <c r="B1145" s="1" t="s">
        <v>2133</v>
      </c>
      <c r="C1145" t="str">
        <f ca="1">IFERROR(__xludf.DUMMYFUNCTION("GOOGLETRANSLATE(B1145, ""ja"", ""en"")"),"Bureau")</f>
        <v>Bureau</v>
      </c>
    </row>
    <row r="1146" spans="1:3" ht="12.75" x14ac:dyDescent="0.2">
      <c r="A1146" s="1" t="s">
        <v>2149</v>
      </c>
      <c r="B1146" s="1" t="s">
        <v>2150</v>
      </c>
      <c r="C1146" t="str">
        <f ca="1">IFERROR(__xludf.DUMMYFUNCTION("GOOGLETRANSLATE(B1146, ""ja"", ""en"")"),"Mitsuru")</f>
        <v>Mitsuru</v>
      </c>
    </row>
    <row r="1147" spans="1:3" ht="12.75" x14ac:dyDescent="0.2">
      <c r="A1147" s="1" t="s">
        <v>2151</v>
      </c>
      <c r="B1147" s="1" t="s">
        <v>2150</v>
      </c>
      <c r="C1147" t="str">
        <f ca="1">IFERROR(__xludf.DUMMYFUNCTION("GOOGLETRANSLATE(B1147, ""ja"", ""en"")"),"Mitsuru")</f>
        <v>Mitsuru</v>
      </c>
    </row>
    <row r="1148" spans="1:3" ht="12.75" x14ac:dyDescent="0.2">
      <c r="A1148" s="1" t="s">
        <v>2152</v>
      </c>
      <c r="B1148" s="1" t="s">
        <v>2150</v>
      </c>
      <c r="C1148" t="str">
        <f ca="1">IFERROR(__xludf.DUMMYFUNCTION("GOOGLETRANSLATE(B1148, ""ja"", ""en"")"),"Mitsuru")</f>
        <v>Mitsuru</v>
      </c>
    </row>
    <row r="1149" spans="1:3" ht="12.75" x14ac:dyDescent="0.2">
      <c r="A1149" s="1" t="s">
        <v>2153</v>
      </c>
      <c r="B1149" s="1" t="s">
        <v>599</v>
      </c>
      <c r="C1149" t="str">
        <f ca="1">IFERROR(__xludf.DUMMYFUNCTION("GOOGLETRANSLATE(B1149, ""ja"", ""en"")"),"east")</f>
        <v>east</v>
      </c>
    </row>
    <row r="1150" spans="1:3" ht="12.75" x14ac:dyDescent="0.2">
      <c r="A1150" s="1" t="s">
        <v>2154</v>
      </c>
      <c r="B1150" s="1" t="s">
        <v>320</v>
      </c>
      <c r="C1150" t="str">
        <f ca="1">IFERROR(__xludf.DUMMYFUNCTION("GOOGLETRANSLATE(B1150, ""ja"", ""en"")"),"South")</f>
        <v>South</v>
      </c>
    </row>
    <row r="1151" spans="1:3" ht="12.75" x14ac:dyDescent="0.2">
      <c r="A1151" s="1" t="s">
        <v>2155</v>
      </c>
      <c r="B1151" s="1" t="s">
        <v>601</v>
      </c>
      <c r="C1151" t="str">
        <f ca="1">IFERROR(__xludf.DUMMYFUNCTION("GOOGLETRANSLATE(B1151, ""ja"", ""en"")"),"West")</f>
        <v>West</v>
      </c>
    </row>
    <row r="1152" spans="1:3" ht="12.75" x14ac:dyDescent="0.2">
      <c r="A1152" s="1" t="s">
        <v>2156</v>
      </c>
      <c r="B1152" s="1" t="s">
        <v>603</v>
      </c>
      <c r="C1152" t="str">
        <f ca="1">IFERROR(__xludf.DUMMYFUNCTION("GOOGLETRANSLATE(B1152, ""ja"", ""en"")"),"North")</f>
        <v>North</v>
      </c>
    </row>
    <row r="1153" spans="1:3" ht="12.75" x14ac:dyDescent="0.2">
      <c r="A1153" s="1" t="s">
        <v>2157</v>
      </c>
      <c r="B1153" s="1" t="s">
        <v>2158</v>
      </c>
      <c r="C1153" t="str">
        <f ca="1">IFERROR(__xludf.DUMMYFUNCTION("GOOGLETRANSLATE(B1153, ""ja"", ""en"")"),"White")</f>
        <v>White</v>
      </c>
    </row>
    <row r="1154" spans="1:3" ht="12.75" x14ac:dyDescent="0.2">
      <c r="A1154" s="1" t="s">
        <v>2159</v>
      </c>
      <c r="B1154" s="1" t="s">
        <v>2160</v>
      </c>
      <c r="C1154" t="str">
        <f ca="1">IFERROR(__xludf.DUMMYFUNCTION("GOOGLETRANSLATE(B1154, ""ja"", ""en"")"),"發")</f>
        <v>發</v>
      </c>
    </row>
    <row r="1155" spans="1:3" ht="12.75" x14ac:dyDescent="0.2">
      <c r="A1155" s="1" t="s">
        <v>2161</v>
      </c>
      <c r="B1155" s="1" t="s">
        <v>2162</v>
      </c>
      <c r="C1155" t="str">
        <f ca="1">IFERROR(__xludf.DUMMYFUNCTION("GOOGLETRANSLATE(B1155, ""ja"", ""en"")"),"During ~")</f>
        <v>During ~</v>
      </c>
    </row>
    <row r="1156" spans="1:3" ht="12.75" x14ac:dyDescent="0.2">
      <c r="A1156" s="1" t="s">
        <v>2163</v>
      </c>
      <c r="B1156" s="1" t="s">
        <v>2164</v>
      </c>
      <c r="C1156" t="str">
        <f ca="1">IFERROR(__xludf.DUMMYFUNCTION("GOOGLETRANSLATE(B1156, ""ja"", ""en"")"),"mouth")</f>
        <v>mouth</v>
      </c>
    </row>
    <row r="1157" spans="1:3" ht="12.75" x14ac:dyDescent="0.2">
      <c r="A1157" s="1" t="s">
        <v>2165</v>
      </c>
      <c r="B1157" s="1" t="s">
        <v>2166</v>
      </c>
      <c r="C1157" t="str">
        <f ca="1">IFERROR(__xludf.DUMMYFUNCTION("GOOGLETRANSLATE(B1157, ""ja"", ""en"")"),"Head")</f>
        <v>Head</v>
      </c>
    </row>
    <row r="1158" spans="1:3" ht="12.75" x14ac:dyDescent="0.2">
      <c r="A1158" s="1" t="s">
        <v>2167</v>
      </c>
      <c r="B1158" s="1" t="s">
        <v>2129</v>
      </c>
      <c r="C1158" t="str">
        <f ca="1">IFERROR(__xludf.DUMMYFUNCTION("GOOGLETRANSLATE(B1158, ""ja"", ""en"")"),"sum")</f>
        <v>sum</v>
      </c>
    </row>
    <row r="1159" spans="1:3" ht="12.75" x14ac:dyDescent="0.2">
      <c r="A1159" s="1" t="s">
        <v>2168</v>
      </c>
      <c r="B1159" s="1" t="s">
        <v>2169</v>
      </c>
      <c r="C1159" t="str">
        <f ca="1">IFERROR(__xludf.DUMMYFUNCTION("GOOGLETRANSLATE(B1159, ""ja"", ""en"")"),"Time")</f>
        <v>Time</v>
      </c>
    </row>
    <row r="1160" spans="1:3" ht="12.75" x14ac:dyDescent="0.2">
      <c r="A1160" s="1" t="s">
        <v>2170</v>
      </c>
      <c r="B1160" s="1" t="s">
        <v>2169</v>
      </c>
      <c r="C1160" t="str">
        <f ca="1">IFERROR(__xludf.DUMMYFUNCTION("GOOGLETRANSLATE(B1160, ""ja"", ""en"")"),"Time")</f>
        <v>Time</v>
      </c>
    </row>
    <row r="1161" spans="1:3" ht="12.75" x14ac:dyDescent="0.2">
      <c r="A1161" s="1" t="s">
        <v>2171</v>
      </c>
      <c r="B1161" s="1" t="s">
        <v>2172</v>
      </c>
      <c r="C1161" t="str">
        <f ca="1">IFERROR(__xludf.DUMMYFUNCTION("GOOGLETRANSLATE(B1161, ""ja"", ""en"")"),"Child")</f>
        <v>Child</v>
      </c>
    </row>
    <row r="1162" spans="1:3" ht="12.75" x14ac:dyDescent="0.2">
      <c r="A1162" s="1" t="s">
        <v>2173</v>
      </c>
      <c r="B1162" s="1" t="s">
        <v>2172</v>
      </c>
      <c r="C1162" t="str">
        <f ca="1">IFERROR(__xludf.DUMMYFUNCTION("GOOGLETRANSLATE(B1162, ""ja"", ""en"")"),"Child")</f>
        <v>Child</v>
      </c>
    </row>
    <row r="1163" spans="1:3" ht="12.75" x14ac:dyDescent="0.2">
      <c r="A1163" s="1" t="s">
        <v>2174</v>
      </c>
      <c r="B1163" s="1" t="s">
        <v>2175</v>
      </c>
      <c r="C1163" t="str">
        <f ca="1">IFERROR(__xludf.DUMMYFUNCTION("GOOGLETRANSLATE(B1163, ""ja"", ""en"")"),"Origin")</f>
        <v>Origin</v>
      </c>
    </row>
    <row r="1164" spans="1:3" ht="12.75" x14ac:dyDescent="0.2">
      <c r="A1164" s="1" t="s">
        <v>2176</v>
      </c>
      <c r="B1164" s="1" t="s">
        <v>2177</v>
      </c>
      <c r="C1164" t="str">
        <f ca="1">IFERROR(__xludf.DUMMYFUNCTION("GOOGLETRANSLATE(B1164, ""ja"", ""en"")"),"straight")</f>
        <v>straight</v>
      </c>
    </row>
    <row r="1165" spans="1:3" ht="12.75" x14ac:dyDescent="0.2">
      <c r="A1165" s="1" t="s">
        <v>2178</v>
      </c>
      <c r="B1165" s="1" t="s">
        <v>2179</v>
      </c>
      <c r="C1165" t="str">
        <f ca="1">IFERROR(__xludf.DUMMYFUNCTION("GOOGLETRANSLATE(B1165, ""ja"", ""en"")"),"color")</f>
        <v>color</v>
      </c>
    </row>
    <row r="1166" spans="1:3" ht="12.75" x14ac:dyDescent="0.2">
      <c r="A1166" s="1" t="s">
        <v>2180</v>
      </c>
      <c r="B1166" s="1" t="s">
        <v>2164</v>
      </c>
      <c r="C1166" t="str">
        <f ca="1">IFERROR(__xludf.DUMMYFUNCTION("GOOGLETRANSLATE(B1166, ""ja"", ""en"")"),"mouth")</f>
        <v>mouth</v>
      </c>
    </row>
    <row r="1167" spans="1:3" ht="12.75" x14ac:dyDescent="0.2">
      <c r="A1167" s="1" t="s">
        <v>2181</v>
      </c>
      <c r="B1167" s="1" t="s">
        <v>2179</v>
      </c>
      <c r="C1167" t="str">
        <f ca="1">IFERROR(__xludf.DUMMYFUNCTION("GOOGLETRANSLATE(B1167, ""ja"", ""en"")"),"color")</f>
        <v>color</v>
      </c>
    </row>
    <row r="1168" spans="1:3" ht="12.75" x14ac:dyDescent="0.2">
      <c r="A1168" s="1" t="s">
        <v>2182</v>
      </c>
      <c r="B1168" s="1" t="s">
        <v>2179</v>
      </c>
      <c r="C1168" t="str">
        <f ca="1">IFERROR(__xludf.DUMMYFUNCTION("GOOGLETRANSLATE(B1168, ""ja"", ""en"")"),"color")</f>
        <v>color</v>
      </c>
    </row>
    <row r="1169" spans="1:3" ht="12.75" x14ac:dyDescent="0.2">
      <c r="A1169" s="1" t="s">
        <v>2183</v>
      </c>
      <c r="B1169" s="1" t="s">
        <v>2179</v>
      </c>
      <c r="C1169" t="str">
        <f ca="1">IFERROR(__xludf.DUMMYFUNCTION("GOOGLETRANSLATE(B1169, ""ja"", ""en"")"),"color")</f>
        <v>color</v>
      </c>
    </row>
    <row r="1170" spans="1:3" ht="12.75" x14ac:dyDescent="0.2">
      <c r="A1170" s="1" t="s">
        <v>2184</v>
      </c>
      <c r="B1170" s="1" t="s">
        <v>2169</v>
      </c>
      <c r="C1170" t="str">
        <f ca="1">IFERROR(__xludf.DUMMYFUNCTION("GOOGLETRANSLATE(B1170, ""ja"", ""en"")"),"Time")</f>
        <v>Time</v>
      </c>
    </row>
    <row r="1171" spans="1:3" ht="12.75" x14ac:dyDescent="0.2">
      <c r="A1171" s="1" t="s">
        <v>2185</v>
      </c>
      <c r="B1171" s="1" t="s">
        <v>2186</v>
      </c>
      <c r="C1171" t="str">
        <f ca="1">IFERROR(__xludf.DUMMYFUNCTION("GOOGLETRANSLATE(B1171, ""ja"", ""en"")"),"Cavalry")</f>
        <v>Cavalry</v>
      </c>
    </row>
    <row r="1172" spans="1:3" ht="12.75" x14ac:dyDescent="0.2">
      <c r="A1172" s="1" t="s">
        <v>2187</v>
      </c>
      <c r="B1172" s="1" t="s">
        <v>2172</v>
      </c>
      <c r="C1172" t="str">
        <f ca="1">IFERROR(__xludf.DUMMYFUNCTION("GOOGLETRANSLATE(B1172, ""ja"", ""en"")"),"Child")</f>
        <v>Child</v>
      </c>
    </row>
    <row r="1173" spans="1:3" ht="12.75" x14ac:dyDescent="0.2">
      <c r="A1173" s="1" t="s">
        <v>2188</v>
      </c>
      <c r="B1173" s="1" t="s">
        <v>2175</v>
      </c>
      <c r="C1173" t="str">
        <f ca="1">IFERROR(__xludf.DUMMYFUNCTION("GOOGLETRANSLATE(B1173, ""ja"", ""en"")"),"Origin")</f>
        <v>Origin</v>
      </c>
    </row>
    <row r="1174" spans="1:3" ht="12.75" x14ac:dyDescent="0.2">
      <c r="A1174" s="1" t="s">
        <v>2189</v>
      </c>
      <c r="B1174" s="1" t="s">
        <v>2190</v>
      </c>
      <c r="C1174" t="str">
        <f ca="1">IFERROR(__xludf.DUMMYFUNCTION("GOOGLETRANSLATE(B1174, ""ja"", ""en"")"),"Hee")</f>
        <v>Hee</v>
      </c>
    </row>
    <row r="1175" spans="1:3" ht="12.75" x14ac:dyDescent="0.2">
      <c r="A1175" s="1" t="s">
        <v>2191</v>
      </c>
      <c r="B1175" s="1" t="s">
        <v>2190</v>
      </c>
      <c r="C1175" t="str">
        <f ca="1">IFERROR(__xludf.DUMMYFUNCTION("GOOGLETRANSLATE(B1175, ""ja"", ""en"")"),"Hee")</f>
        <v>Hee</v>
      </c>
    </row>
    <row r="1176" spans="1:3" ht="12.75" x14ac:dyDescent="0.2">
      <c r="A1176" s="1" t="s">
        <v>2192</v>
      </c>
      <c r="B1176" s="1" t="s">
        <v>2166</v>
      </c>
      <c r="C1176" t="str">
        <f ca="1">IFERROR(__xludf.DUMMYFUNCTION("GOOGLETRANSLATE(B1176, ""ja"", ""en"")"),"Head")</f>
        <v>Head</v>
      </c>
    </row>
    <row r="1177" spans="1:3" ht="12.75" x14ac:dyDescent="0.2">
      <c r="A1177" s="1" t="s">
        <v>2193</v>
      </c>
      <c r="B1177" s="1" t="s">
        <v>2194</v>
      </c>
      <c r="C1177" t="str">
        <f ca="1">IFERROR(__xludf.DUMMYFUNCTION("GOOGLETRANSLATE(B1177, ""ja"", ""en"")"),"ring")</f>
        <v>ring</v>
      </c>
    </row>
    <row r="1178" spans="1:3" ht="12.75" x14ac:dyDescent="0.2">
      <c r="A1178" s="1" t="s">
        <v>2195</v>
      </c>
      <c r="B1178" s="1" t="s">
        <v>2162</v>
      </c>
      <c r="C1178" t="str">
        <f ca="1">IFERROR(__xludf.DUMMYFUNCTION("GOOGLETRANSLATE(B1178, ""ja"", ""en"")"),"During ~")</f>
        <v>During ~</v>
      </c>
    </row>
    <row r="1179" spans="1:3" ht="12.75" x14ac:dyDescent="0.2">
      <c r="A1179" s="1" t="s">
        <v>2196</v>
      </c>
      <c r="B1179" s="1" t="s">
        <v>101</v>
      </c>
      <c r="C1179" t="str">
        <f ca="1">IFERROR(__xludf.DUMMYFUNCTION("GOOGLETRANSLATE(B1179, ""ja"", ""en"")"),"Or")</f>
        <v>Or</v>
      </c>
    </row>
    <row r="1180" spans="1:3" ht="12.75" x14ac:dyDescent="0.2">
      <c r="A1180" s="1" t="s">
        <v>2197</v>
      </c>
      <c r="B1180" s="1" t="s">
        <v>2198</v>
      </c>
      <c r="C1180" t="str">
        <f ca="1">IFERROR(__xludf.DUMMYFUNCTION("GOOGLETRANSLATE(B1180, ""ja"", ""en"")"),"§")</f>
        <v>§</v>
      </c>
    </row>
    <row r="1181" spans="1:3" ht="12.75" x14ac:dyDescent="0.2">
      <c r="A1181" s="1" t="s">
        <v>2199</v>
      </c>
      <c r="B1181" s="1" t="s">
        <v>250</v>
      </c>
      <c r="C1181" t="str">
        <f ca="1">IFERROR(__xludf.DUMMYFUNCTION("GOOGLETRANSLATE(B1181, ""ja"", ""en"")"),"?")</f>
        <v>?</v>
      </c>
    </row>
    <row r="1182" spans="1:3" ht="12.75" x14ac:dyDescent="0.2">
      <c r="A1182" s="1" t="s">
        <v>2200</v>
      </c>
      <c r="B1182" s="1" t="s">
        <v>457</v>
      </c>
      <c r="C1182" t="str">
        <f ca="1">IFERROR(__xludf.DUMMYFUNCTION("GOOGLETRANSLATE(B1182, ""ja"", ""en"")"),"so")</f>
        <v>so</v>
      </c>
    </row>
    <row r="1183" spans="1:3" ht="12.75" x14ac:dyDescent="0.2">
      <c r="A1183" s="1" t="s">
        <v>2201</v>
      </c>
      <c r="B1183" s="1" t="s">
        <v>2202</v>
      </c>
      <c r="C1183" t="str">
        <f ca="1">IFERROR(__xludf.DUMMYFUNCTION("GOOGLETRANSLATE(B1183, ""ja"", ""en"")"),"!")</f>
        <v>!</v>
      </c>
    </row>
    <row r="1184" spans="1:3" ht="12.75" x14ac:dyDescent="0.2">
      <c r="A1184" s="1" t="s">
        <v>2203</v>
      </c>
      <c r="B1184" s="1" t="s">
        <v>250</v>
      </c>
      <c r="C1184" t="str">
        <f ca="1">IFERROR(__xludf.DUMMYFUNCTION("GOOGLETRANSLATE(B1184, ""ja"", ""en"")"),"?")</f>
        <v>?</v>
      </c>
    </row>
    <row r="1185" spans="1:3" ht="12.75" x14ac:dyDescent="0.2">
      <c r="A1185" s="1" t="s">
        <v>2204</v>
      </c>
      <c r="B1185" s="1" t="s">
        <v>2202</v>
      </c>
      <c r="C1185" t="str">
        <f ca="1">IFERROR(__xludf.DUMMYFUNCTION("GOOGLETRANSLATE(B1185, ""ja"", ""en"")"),"!")</f>
        <v>!</v>
      </c>
    </row>
    <row r="1186" spans="1:3" ht="12.75" x14ac:dyDescent="0.2">
      <c r="A1186" s="1" t="s">
        <v>2205</v>
      </c>
      <c r="B1186" s="1" t="s">
        <v>2202</v>
      </c>
      <c r="C1186" t="str">
        <f ca="1">IFERROR(__xludf.DUMMYFUNCTION("GOOGLETRANSLATE(B1186, ""ja"", ""en"")"),"!")</f>
        <v>!</v>
      </c>
    </row>
    <row r="1187" spans="1:3" ht="12.75" x14ac:dyDescent="0.2">
      <c r="A1187" s="1" t="s">
        <v>2206</v>
      </c>
      <c r="B1187" s="1" t="s">
        <v>289</v>
      </c>
      <c r="C1187" t="str">
        <f ca="1">IFERROR(__xludf.DUMMYFUNCTION("GOOGLETRANSLATE(B1187, ""ja"", ""en"")"),"...")</f>
        <v>...</v>
      </c>
    </row>
    <row r="1188" spans="1:3" ht="12.75" x14ac:dyDescent="0.2">
      <c r="A1188" s="1" t="s">
        <v>2207</v>
      </c>
      <c r="B1188" s="1" t="s">
        <v>2208</v>
      </c>
      <c r="C1188" t="str">
        <f ca="1">IFERROR(__xludf.DUMMYFUNCTION("GOOGLETRANSLATE(B1188, ""ja"", ""en"")"),"!!")</f>
        <v>!!</v>
      </c>
    </row>
    <row r="1189" spans="1:3" ht="12.75" x14ac:dyDescent="0.2">
      <c r="A1189" s="1" t="s">
        <v>2209</v>
      </c>
      <c r="B1189" s="1" t="s">
        <v>2202</v>
      </c>
      <c r="C1189" t="str">
        <f ca="1">IFERROR(__xludf.DUMMYFUNCTION("GOOGLETRANSLATE(B1189, ""ja"", ""en"")"),"!")</f>
        <v>!</v>
      </c>
    </row>
    <row r="1190" spans="1:3" ht="12.75" x14ac:dyDescent="0.2">
      <c r="A1190" s="1" t="s">
        <v>2210</v>
      </c>
      <c r="B1190" s="1" t="s">
        <v>289</v>
      </c>
      <c r="C1190" t="str">
        <f ca="1">IFERROR(__xludf.DUMMYFUNCTION("GOOGLETRANSLATE(B1190, ""ja"", ""en"")"),"...")</f>
        <v>...</v>
      </c>
    </row>
    <row r="1191" spans="1:3" ht="12.75" x14ac:dyDescent="0.2">
      <c r="A1191" s="1" t="s">
        <v>2211</v>
      </c>
      <c r="B1191" s="1" t="s">
        <v>2208</v>
      </c>
      <c r="C1191" t="str">
        <f ca="1">IFERROR(__xludf.DUMMYFUNCTION("GOOGLETRANSLATE(B1191, ""ja"", ""en"")"),"!!")</f>
        <v>!!</v>
      </c>
    </row>
    <row r="1192" spans="1:3" ht="12.75" x14ac:dyDescent="0.2">
      <c r="A1192" s="1" t="s">
        <v>2212</v>
      </c>
      <c r="B1192" s="1" t="s">
        <v>524</v>
      </c>
      <c r="C1192" t="str">
        <f ca="1">IFERROR(__xludf.DUMMYFUNCTION("GOOGLETRANSLATE(B1192, ""ja"", ""en"")"),"I")</f>
        <v>I</v>
      </c>
    </row>
    <row r="1193" spans="1:3" ht="12.75" x14ac:dyDescent="0.2">
      <c r="A1193" s="1" t="s">
        <v>2213</v>
      </c>
      <c r="B1193" s="1" t="s">
        <v>535</v>
      </c>
      <c r="C1193" t="str">
        <f ca="1">IFERROR(__xludf.DUMMYFUNCTION("GOOGLETRANSLATE(B1193, ""ja"", ""en"")"),"Ya")</f>
        <v>Ya</v>
      </c>
    </row>
    <row r="1194" spans="1:3" ht="12.75" x14ac:dyDescent="0.2">
      <c r="A1194" s="1" t="s">
        <v>2214</v>
      </c>
      <c r="B1194" s="1" t="s">
        <v>2215</v>
      </c>
      <c r="C1194" t="str">
        <f ca="1">IFERROR(__xludf.DUMMYFUNCTION("GOOGLETRANSLATE(B1194, ""ja"", ""en"")"),"Tut")</f>
        <v>Tut</v>
      </c>
    </row>
    <row r="1195" spans="1:3" ht="12.75" x14ac:dyDescent="0.2">
      <c r="A1195" s="1" t="s">
        <v>2216</v>
      </c>
      <c r="B1195" s="1" t="s">
        <v>465</v>
      </c>
      <c r="C1195" t="str">
        <f ca="1">IFERROR(__xludf.DUMMYFUNCTION("GOOGLETRANSLATE(B1195, ""ja"", ""en"")"),"")</f>
        <v/>
      </c>
    </row>
    <row r="1196" spans="1:3" ht="12.75" x14ac:dyDescent="0.2">
      <c r="A1196" s="1" t="s">
        <v>2217</v>
      </c>
      <c r="B1196" s="1" t="s">
        <v>2215</v>
      </c>
      <c r="C1196" t="str">
        <f ca="1">IFERROR(__xludf.DUMMYFUNCTION("GOOGLETRANSLATE(B1196, ""ja"", ""en"")"),"Tut")</f>
        <v>Tut</v>
      </c>
    </row>
    <row r="1197" spans="1:3" ht="12.75" x14ac:dyDescent="0.2">
      <c r="A1197" s="1" t="s">
        <v>2218</v>
      </c>
      <c r="B1197" s="1" t="s">
        <v>2219</v>
      </c>
      <c r="C1197" t="str">
        <f ca="1">IFERROR(__xludf.DUMMYFUNCTION("GOOGLETRANSLATE(B1197, ""ja"", ""en"")"),"!?")</f>
        <v>!?</v>
      </c>
    </row>
    <row r="1198" spans="1:3" ht="12.75" x14ac:dyDescent="0.2">
      <c r="A1198" s="1" t="s">
        <v>2220</v>
      </c>
      <c r="B1198" s="1" t="s">
        <v>2208</v>
      </c>
      <c r="C1198" t="str">
        <f ca="1">IFERROR(__xludf.DUMMYFUNCTION("GOOGLETRANSLATE(B1198, ""ja"", ""en"")"),"!!")</f>
        <v>!!</v>
      </c>
    </row>
    <row r="1199" spans="1:3" ht="12.75" x14ac:dyDescent="0.2">
      <c r="A1199" s="1" t="s">
        <v>2221</v>
      </c>
      <c r="B1199" s="1" t="s">
        <v>470</v>
      </c>
      <c r="C1199" t="str">
        <f ca="1">IFERROR(__xludf.DUMMYFUNCTION("GOOGLETRANSLATE(B1199, ""ja"", ""en"")"),"Over")</f>
        <v>Over</v>
      </c>
    </row>
    <row r="1200" spans="1:3" ht="12.75" x14ac:dyDescent="0.2">
      <c r="A1200" s="1" t="s">
        <v>2222</v>
      </c>
      <c r="B1200" s="1" t="s">
        <v>2223</v>
      </c>
      <c r="C1200" t="str">
        <f ca="1">IFERROR(__xludf.DUMMYFUNCTION("GOOGLETRANSLATE(B1200, ""ja"", ""en"")"),"")</f>
        <v/>
      </c>
    </row>
    <row r="1201" spans="1:3" ht="12.75" x14ac:dyDescent="0.2">
      <c r="A1201" s="1" t="s">
        <v>2224</v>
      </c>
      <c r="B1201" s="1" t="s">
        <v>498</v>
      </c>
      <c r="C1201" t="str">
        <f ca="1">IFERROR(__xludf.DUMMYFUNCTION("GOOGLETRANSLATE(B1201, ""ja"", ""en"")"),"The filtrate")</f>
        <v>The filtrate</v>
      </c>
    </row>
    <row r="1202" spans="1:3" ht="12.75" x14ac:dyDescent="0.2">
      <c r="A1202" s="1" t="s">
        <v>2225</v>
      </c>
      <c r="B1202" s="1" t="s">
        <v>2202</v>
      </c>
      <c r="C1202" t="str">
        <f ca="1">IFERROR(__xludf.DUMMYFUNCTION("GOOGLETRANSLATE(B1202, ""ja"", ""en"")"),"!")</f>
        <v>!</v>
      </c>
    </row>
    <row r="1203" spans="1:3" ht="12.75" x14ac:dyDescent="0.2">
      <c r="A1203" s="1" t="s">
        <v>2226</v>
      </c>
      <c r="B1203" s="1" t="s">
        <v>2202</v>
      </c>
      <c r="C1203" t="str">
        <f ca="1">IFERROR(__xludf.DUMMYFUNCTION("GOOGLETRANSLATE(B1203, ""ja"", ""en"")"),"!")</f>
        <v>!</v>
      </c>
    </row>
    <row r="1204" spans="1:3" ht="12.75" x14ac:dyDescent="0.2">
      <c r="A1204" s="1" t="s">
        <v>2227</v>
      </c>
      <c r="B1204" s="1" t="s">
        <v>2223</v>
      </c>
      <c r="C1204" t="str">
        <f ca="1">IFERROR(__xludf.DUMMYFUNCTION("GOOGLETRANSLATE(B1204, ""ja"", ""en"")"),"")</f>
        <v/>
      </c>
    </row>
    <row r="1205" spans="1:3" ht="12.75" x14ac:dyDescent="0.2">
      <c r="A1205" s="1" t="s">
        <v>2228</v>
      </c>
      <c r="B1205" s="1" t="s">
        <v>457</v>
      </c>
      <c r="C1205" t="str">
        <f ca="1">IFERROR(__xludf.DUMMYFUNCTION("GOOGLETRANSLATE(B1205, ""ja"", ""en"")"),"so")</f>
        <v>so</v>
      </c>
    </row>
    <row r="1206" spans="1:3" ht="12.75" x14ac:dyDescent="0.2">
      <c r="A1206" s="1" t="s">
        <v>2229</v>
      </c>
      <c r="B1206" s="1" t="s">
        <v>2202</v>
      </c>
      <c r="C1206" t="str">
        <f ca="1">IFERROR(__xludf.DUMMYFUNCTION("GOOGLETRANSLATE(B1206, ""ja"", ""en"")"),"!")</f>
        <v>!</v>
      </c>
    </row>
    <row r="1207" spans="1:3" ht="12.75" x14ac:dyDescent="0.2">
      <c r="A1207" s="1" t="s">
        <v>2230</v>
      </c>
      <c r="B1207" s="1" t="s">
        <v>2231</v>
      </c>
      <c r="C1207" t="str">
        <f ca="1">IFERROR(__xludf.DUMMYFUNCTION("GOOGLETRANSLATE(B1207, ""ja"", ""en"")"),"~")</f>
        <v>~</v>
      </c>
    </row>
    <row r="1208" spans="1:3" ht="12.75" x14ac:dyDescent="0.2">
      <c r="A1208" s="1" t="s">
        <v>2232</v>
      </c>
      <c r="B1208" s="1" t="s">
        <v>2231</v>
      </c>
      <c r="C1208" t="str">
        <f ca="1">IFERROR(__xludf.DUMMYFUNCTION("GOOGLETRANSLATE(B1208, ""ja"", ""en"")"),"~")</f>
        <v>~</v>
      </c>
    </row>
    <row r="1209" spans="1:3" ht="12.75" x14ac:dyDescent="0.2">
      <c r="A1209" s="1" t="s">
        <v>2233</v>
      </c>
      <c r="B1209" s="1" t="s">
        <v>524</v>
      </c>
      <c r="C1209" t="str">
        <f ca="1">IFERROR(__xludf.DUMMYFUNCTION("GOOGLETRANSLATE(B1209, ""ja"", ""en"")"),"I")</f>
        <v>I</v>
      </c>
    </row>
    <row r="1210" spans="1:3" ht="12.75" x14ac:dyDescent="0.2">
      <c r="A1210" s="1" t="s">
        <v>2234</v>
      </c>
      <c r="B1210" s="1" t="s">
        <v>354</v>
      </c>
      <c r="C1210" t="str">
        <f ca="1">IFERROR(__xludf.DUMMYFUNCTION("GOOGLETRANSLATE(B1210, ""ja"", ""en"")"),"That")</f>
        <v>That</v>
      </c>
    </row>
    <row r="1211" spans="1:3" ht="12.75" x14ac:dyDescent="0.2">
      <c r="A1211" s="1" t="s">
        <v>2235</v>
      </c>
      <c r="B1211" s="1" t="s">
        <v>354</v>
      </c>
      <c r="C1211" t="str">
        <f ca="1">IFERROR(__xludf.DUMMYFUNCTION("GOOGLETRANSLATE(B1211, ""ja"", ""en"")"),"That")</f>
        <v>That</v>
      </c>
    </row>
    <row r="1212" spans="1:3" ht="12.75" x14ac:dyDescent="0.2">
      <c r="A1212" s="1" t="s">
        <v>2236</v>
      </c>
      <c r="B1212" s="1" t="s">
        <v>289</v>
      </c>
      <c r="C1212" t="str">
        <f ca="1">IFERROR(__xludf.DUMMYFUNCTION("GOOGLETRANSLATE(B1212, ""ja"", ""en"")"),"...")</f>
        <v>...</v>
      </c>
    </row>
    <row r="1213" spans="1:3" ht="12.75" x14ac:dyDescent="0.2">
      <c r="A1213" s="1" t="s">
        <v>2237</v>
      </c>
      <c r="B1213" s="1" t="s">
        <v>2215</v>
      </c>
      <c r="C1213" t="str">
        <f ca="1">IFERROR(__xludf.DUMMYFUNCTION("GOOGLETRANSLATE(B1213, ""ja"", ""en"")"),"Tut")</f>
        <v>Tut</v>
      </c>
    </row>
    <row r="1214" spans="1:3" ht="12.75" x14ac:dyDescent="0.2">
      <c r="A1214" s="1" t="s">
        <v>2238</v>
      </c>
      <c r="B1214" s="1" t="s">
        <v>2239</v>
      </c>
      <c r="C1214" t="str">
        <f ca="1">IFERROR(__xludf.DUMMYFUNCTION("GOOGLETRANSLATE(B1214, ""ja"", ""en"")"),"Hiroshi")</f>
        <v>Hiroshi</v>
      </c>
    </row>
    <row r="1215" spans="1:3" ht="12.75" x14ac:dyDescent="0.2">
      <c r="A1215" s="1" t="s">
        <v>2240</v>
      </c>
      <c r="B1215" s="1" t="s">
        <v>524</v>
      </c>
      <c r="C1215" t="str">
        <f ca="1">IFERROR(__xludf.DUMMYFUNCTION("GOOGLETRANSLATE(B1215, ""ja"", ""en"")"),"I")</f>
        <v>I</v>
      </c>
    </row>
    <row r="1216" spans="1:3" ht="12.75" x14ac:dyDescent="0.2">
      <c r="A1216" s="1" t="s">
        <v>2241</v>
      </c>
      <c r="B1216" s="1" t="s">
        <v>498</v>
      </c>
      <c r="C1216" t="str">
        <f ca="1">IFERROR(__xludf.DUMMYFUNCTION("GOOGLETRANSLATE(B1216, ""ja"", ""en"")"),"The filtrate")</f>
        <v>The filtrate</v>
      </c>
    </row>
    <row r="1217" spans="1:3" ht="12.75" x14ac:dyDescent="0.2">
      <c r="A1217" s="1" t="s">
        <v>2242</v>
      </c>
      <c r="B1217" s="1" t="s">
        <v>1133</v>
      </c>
      <c r="C1217" t="str">
        <f ca="1">IFERROR(__xludf.DUMMYFUNCTION("GOOGLETRANSLATE(B1217, ""ja"", ""en"")"),"It was")</f>
        <v>It was</v>
      </c>
    </row>
    <row r="1218" spans="1:3" ht="12.75" x14ac:dyDescent="0.2">
      <c r="A1218" s="1" t="s">
        <v>2243</v>
      </c>
      <c r="B1218" s="1" t="s">
        <v>2198</v>
      </c>
      <c r="C1218" t="str">
        <f ca="1">IFERROR(__xludf.DUMMYFUNCTION("GOOGLETRANSLATE(B1218, ""ja"", ""en"")"),"§")</f>
        <v>§</v>
      </c>
    </row>
    <row r="1219" spans="1:3" ht="12.75" x14ac:dyDescent="0.2">
      <c r="A1219" s="1" t="s">
        <v>2244</v>
      </c>
      <c r="B1219" s="1" t="s">
        <v>250</v>
      </c>
      <c r="C1219" t="str">
        <f ca="1">IFERROR(__xludf.DUMMYFUNCTION("GOOGLETRANSLATE(B1219, ""ja"", ""en"")"),"?")</f>
        <v>?</v>
      </c>
    </row>
    <row r="1220" spans="1:3" ht="12.75" x14ac:dyDescent="0.2">
      <c r="A1220" s="1" t="s">
        <v>2245</v>
      </c>
      <c r="B1220" s="1" t="s">
        <v>2198</v>
      </c>
      <c r="C1220" t="str">
        <f ca="1">IFERROR(__xludf.DUMMYFUNCTION("GOOGLETRANSLATE(B1220, ""ja"", ""en"")"),"§")</f>
        <v>§</v>
      </c>
    </row>
    <row r="1221" spans="1:3" ht="12.75" x14ac:dyDescent="0.2">
      <c r="A1221" s="1" t="s">
        <v>2246</v>
      </c>
      <c r="B1221" s="1" t="s">
        <v>535</v>
      </c>
      <c r="C1221" t="str">
        <f ca="1">IFERROR(__xludf.DUMMYFUNCTION("GOOGLETRANSLATE(B1221, ""ja"", ""en"")"),"Ya")</f>
        <v>Ya</v>
      </c>
    </row>
    <row r="1222" spans="1:3" ht="12.75" x14ac:dyDescent="0.2">
      <c r="A1222" s="1" t="s">
        <v>2247</v>
      </c>
      <c r="B1222" s="1" t="s">
        <v>289</v>
      </c>
      <c r="C1222" t="str">
        <f ca="1">IFERROR(__xludf.DUMMYFUNCTION("GOOGLETRANSLATE(B1222, ""ja"", ""en"")"),"...")</f>
        <v>...</v>
      </c>
    </row>
    <row r="1223" spans="1:3" ht="12.75" x14ac:dyDescent="0.2">
      <c r="A1223" s="1" t="s">
        <v>2248</v>
      </c>
      <c r="B1223" s="1" t="s">
        <v>289</v>
      </c>
      <c r="C1223" t="str">
        <f ca="1">IFERROR(__xludf.DUMMYFUNCTION("GOOGLETRANSLATE(B1223, ""ja"", ""en"")"),"...")</f>
        <v>...</v>
      </c>
    </row>
    <row r="1224" spans="1:3" ht="12.75" x14ac:dyDescent="0.2">
      <c r="A1224" s="1" t="s">
        <v>2249</v>
      </c>
      <c r="B1224" s="1" t="s">
        <v>476</v>
      </c>
      <c r="C1224" t="str">
        <f ca="1">IFERROR(__xludf.DUMMYFUNCTION("GOOGLETRANSLATE(B1224, ""ja"", ""en"")"),"I")</f>
        <v>I</v>
      </c>
    </row>
    <row r="1225" spans="1:3" ht="12.75" x14ac:dyDescent="0.2">
      <c r="A1225" s="1" t="s">
        <v>2250</v>
      </c>
      <c r="B1225" s="1" t="s">
        <v>289</v>
      </c>
      <c r="C1225" t="str">
        <f ca="1">IFERROR(__xludf.DUMMYFUNCTION("GOOGLETRANSLATE(B1225, ""ja"", ""en"")"),"...")</f>
        <v>...</v>
      </c>
    </row>
    <row r="1226" spans="1:3" ht="12.75" x14ac:dyDescent="0.2">
      <c r="A1226" s="1" t="s">
        <v>2251</v>
      </c>
      <c r="B1226" s="1" t="s">
        <v>465</v>
      </c>
      <c r="C1226" t="str">
        <f ca="1">IFERROR(__xludf.DUMMYFUNCTION("GOOGLETRANSLATE(B1226, ""ja"", ""en"")"),"")</f>
        <v/>
      </c>
    </row>
    <row r="1227" spans="1:3" ht="12.75" x14ac:dyDescent="0.2">
      <c r="A1227" s="1" t="s">
        <v>2252</v>
      </c>
      <c r="B1227" s="1" t="s">
        <v>2223</v>
      </c>
      <c r="C1227" t="str">
        <f ca="1">IFERROR(__xludf.DUMMYFUNCTION("GOOGLETRANSLATE(B1227, ""ja"", ""en"")"),"")</f>
        <v/>
      </c>
    </row>
    <row r="1228" spans="1:3" ht="12.75" x14ac:dyDescent="0.2">
      <c r="A1228" s="1" t="s">
        <v>2253</v>
      </c>
      <c r="B1228" s="1" t="s">
        <v>2231</v>
      </c>
      <c r="C1228" t="str">
        <f ca="1">IFERROR(__xludf.DUMMYFUNCTION("GOOGLETRANSLATE(B1228, ""ja"", ""en"")"),"~")</f>
        <v>~</v>
      </c>
    </row>
    <row r="1229" spans="1:3" ht="12.75" x14ac:dyDescent="0.2">
      <c r="A1229" s="1" t="s">
        <v>2254</v>
      </c>
      <c r="B1229" s="1" t="s">
        <v>2202</v>
      </c>
      <c r="C1229" t="str">
        <f ca="1">IFERROR(__xludf.DUMMYFUNCTION("GOOGLETRANSLATE(B1229, ""ja"", ""en"")"),"!")</f>
        <v>!</v>
      </c>
    </row>
    <row r="1230" spans="1:3" ht="12.75" x14ac:dyDescent="0.2">
      <c r="A1230" s="1" t="s">
        <v>2255</v>
      </c>
      <c r="B1230" s="1" t="s">
        <v>250</v>
      </c>
      <c r="C1230" t="str">
        <f ca="1">IFERROR(__xludf.DUMMYFUNCTION("GOOGLETRANSLATE(B1230, ""ja"", ""en"")"),"?")</f>
        <v>?</v>
      </c>
    </row>
    <row r="1231" spans="1:3" ht="12.75" x14ac:dyDescent="0.2">
      <c r="A1231" s="1" t="s">
        <v>2256</v>
      </c>
      <c r="B1231" s="1" t="s">
        <v>289</v>
      </c>
      <c r="C1231" t="str">
        <f ca="1">IFERROR(__xludf.DUMMYFUNCTION("GOOGLETRANSLATE(B1231, ""ja"", ""en"")"),"...")</f>
        <v>...</v>
      </c>
    </row>
    <row r="1232" spans="1:3" ht="12.75" x14ac:dyDescent="0.2">
      <c r="A1232" s="1" t="s">
        <v>2257</v>
      </c>
      <c r="B1232" s="1" t="s">
        <v>457</v>
      </c>
      <c r="C1232" t="str">
        <f ca="1">IFERROR(__xludf.DUMMYFUNCTION("GOOGLETRANSLATE(B1232, ""ja"", ""en"")"),"so")</f>
        <v>so</v>
      </c>
    </row>
    <row r="1233" spans="1:3" ht="12.75" x14ac:dyDescent="0.2">
      <c r="A1233" s="1" t="s">
        <v>2258</v>
      </c>
      <c r="B1233" s="1" t="s">
        <v>2202</v>
      </c>
      <c r="C1233" t="str">
        <f ca="1">IFERROR(__xludf.DUMMYFUNCTION("GOOGLETRANSLATE(B1233, ""ja"", ""en"")"),"!")</f>
        <v>!</v>
      </c>
    </row>
    <row r="1234" spans="1:3" ht="12.75" x14ac:dyDescent="0.2">
      <c r="A1234" s="1" t="s">
        <v>2259</v>
      </c>
      <c r="B1234" s="1" t="s">
        <v>5</v>
      </c>
      <c r="C1234" t="str">
        <f ca="1">IFERROR(__xludf.DUMMYFUNCTION("GOOGLETRANSLATE(B1234, ""ja"", ""en"")"),"e")</f>
        <v>e</v>
      </c>
    </row>
    <row r="1235" spans="1:3" ht="12.75" x14ac:dyDescent="0.2">
      <c r="A1235" s="1" t="s">
        <v>2260</v>
      </c>
      <c r="B1235" s="1" t="s">
        <v>289</v>
      </c>
      <c r="C1235" t="str">
        <f ca="1">IFERROR(__xludf.DUMMYFUNCTION("GOOGLETRANSLATE(B1235, ""ja"", ""en"")"),"...")</f>
        <v>...</v>
      </c>
    </row>
    <row r="1236" spans="1:3" ht="12.75" x14ac:dyDescent="0.2">
      <c r="A1236" s="1" t="s">
        <v>2261</v>
      </c>
      <c r="B1236" s="1" t="s">
        <v>524</v>
      </c>
      <c r="C1236" t="str">
        <f ca="1">IFERROR(__xludf.DUMMYFUNCTION("GOOGLETRANSLATE(B1236, ""ja"", ""en"")"),"I")</f>
        <v>I</v>
      </c>
    </row>
    <row r="1237" spans="1:3" ht="12.75" x14ac:dyDescent="0.2">
      <c r="A1237" s="1" t="s">
        <v>2262</v>
      </c>
      <c r="B1237" s="1" t="s">
        <v>289</v>
      </c>
      <c r="C1237" t="str">
        <f ca="1">IFERROR(__xludf.DUMMYFUNCTION("GOOGLETRANSLATE(B1237, ""ja"", ""en"")"),"...")</f>
        <v>...</v>
      </c>
    </row>
    <row r="1238" spans="1:3" ht="12.75" x14ac:dyDescent="0.2">
      <c r="A1238" s="1" t="s">
        <v>2263</v>
      </c>
      <c r="B1238" s="1" t="s">
        <v>101</v>
      </c>
      <c r="C1238" t="str">
        <f ca="1">IFERROR(__xludf.DUMMYFUNCTION("GOOGLETRANSLATE(B1238, ""ja"", ""en"")"),"Or")</f>
        <v>Or</v>
      </c>
    </row>
    <row r="1239" spans="1:3" ht="12.75" x14ac:dyDescent="0.2">
      <c r="A1239" s="1" t="s">
        <v>2264</v>
      </c>
      <c r="B1239" s="1" t="s">
        <v>535</v>
      </c>
      <c r="C1239" t="str">
        <f ca="1">IFERROR(__xludf.DUMMYFUNCTION("GOOGLETRANSLATE(B1239, ""ja"", ""en"")"),"Ya")</f>
        <v>Ya</v>
      </c>
    </row>
    <row r="1240" spans="1:3" ht="12.75" x14ac:dyDescent="0.2">
      <c r="A1240" s="1" t="s">
        <v>2265</v>
      </c>
      <c r="B1240" s="1" t="s">
        <v>2223</v>
      </c>
      <c r="C1240" t="str">
        <f ca="1">IFERROR(__xludf.DUMMYFUNCTION("GOOGLETRANSLATE(B1240, ""ja"", ""en"")"),"")</f>
        <v/>
      </c>
    </row>
    <row r="1241" spans="1:3" ht="12.75" x14ac:dyDescent="0.2">
      <c r="A1241" s="1" t="s">
        <v>2266</v>
      </c>
      <c r="B1241" s="1" t="s">
        <v>2202</v>
      </c>
      <c r="C1241" t="str">
        <f ca="1">IFERROR(__xludf.DUMMYFUNCTION("GOOGLETRANSLATE(B1241, ""ja"", ""en"")"),"!")</f>
        <v>!</v>
      </c>
    </row>
    <row r="1242" spans="1:3" ht="12.75" x14ac:dyDescent="0.2">
      <c r="A1242" s="1" t="s">
        <v>2267</v>
      </c>
      <c r="B1242" s="1" t="s">
        <v>250</v>
      </c>
      <c r="C1242" t="str">
        <f ca="1">IFERROR(__xludf.DUMMYFUNCTION("GOOGLETRANSLATE(B1242, ""ja"", ""en"")"),"?")</f>
        <v>?</v>
      </c>
    </row>
    <row r="1243" spans="1:3" ht="12.75" x14ac:dyDescent="0.2">
      <c r="A1243" s="1" t="s">
        <v>2268</v>
      </c>
      <c r="B1243" s="1" t="s">
        <v>2231</v>
      </c>
      <c r="C1243" t="str">
        <f ca="1">IFERROR(__xludf.DUMMYFUNCTION("GOOGLETRANSLATE(B1243, ""ja"", ""en"")"),"~")</f>
        <v>~</v>
      </c>
    </row>
    <row r="1244" spans="1:3" ht="12.75" x14ac:dyDescent="0.2">
      <c r="A1244" s="1" t="s">
        <v>2269</v>
      </c>
      <c r="B1244" s="1" t="s">
        <v>250</v>
      </c>
      <c r="C1244" t="str">
        <f ca="1">IFERROR(__xludf.DUMMYFUNCTION("GOOGLETRANSLATE(B1244, ""ja"", ""en"")"),"?")</f>
        <v>?</v>
      </c>
    </row>
    <row r="1245" spans="1:3" ht="12.75" x14ac:dyDescent="0.2">
      <c r="A1245" s="1" t="s">
        <v>2270</v>
      </c>
      <c r="B1245" s="1" t="s">
        <v>478</v>
      </c>
      <c r="C1245" t="str">
        <f ca="1">IFERROR(__xludf.DUMMYFUNCTION("GOOGLETRANSLATE(B1245, ""ja"", ""en"")"),"Hmm")</f>
        <v>Hmm</v>
      </c>
    </row>
    <row r="1246" spans="1:3" ht="12.75" x14ac:dyDescent="0.2">
      <c r="A1246" s="1" t="s">
        <v>2271</v>
      </c>
      <c r="B1246" s="1" t="s">
        <v>519</v>
      </c>
      <c r="C1246" t="str">
        <f ca="1">IFERROR(__xludf.DUMMYFUNCTION("GOOGLETRANSLATE(B1246, ""ja"", ""en"")"),"But")</f>
        <v>But</v>
      </c>
    </row>
    <row r="1247" spans="1:3" ht="12.75" x14ac:dyDescent="0.2">
      <c r="A1247" s="1" t="s">
        <v>2272</v>
      </c>
      <c r="B1247" s="1" t="s">
        <v>478</v>
      </c>
      <c r="C1247" t="str">
        <f ca="1">IFERROR(__xludf.DUMMYFUNCTION("GOOGLETRANSLATE(B1247, ""ja"", ""en"")"),"Hmm")</f>
        <v>Hmm</v>
      </c>
    </row>
    <row r="1248" spans="1:3" ht="12.75" x14ac:dyDescent="0.2">
      <c r="A1248" s="1" t="s">
        <v>2273</v>
      </c>
      <c r="B1248" s="1" t="s">
        <v>101</v>
      </c>
      <c r="C1248" t="str">
        <f ca="1">IFERROR(__xludf.DUMMYFUNCTION("GOOGLETRANSLATE(B1248, ""ja"", ""en"")"),"Or")</f>
        <v>Or</v>
      </c>
    </row>
    <row r="1249" spans="1:3" ht="12.75" x14ac:dyDescent="0.2">
      <c r="A1249" s="1" t="s">
        <v>2274</v>
      </c>
      <c r="B1249" s="1" t="s">
        <v>289</v>
      </c>
      <c r="C1249" t="str">
        <f ca="1">IFERROR(__xludf.DUMMYFUNCTION("GOOGLETRANSLATE(B1249, ""ja"", ""en"")"),"...")</f>
        <v>...</v>
      </c>
    </row>
    <row r="1250" spans="1:3" ht="12.75" x14ac:dyDescent="0.2">
      <c r="A1250" s="1" t="s">
        <v>2275</v>
      </c>
      <c r="B1250" s="1" t="s">
        <v>289</v>
      </c>
      <c r="C1250" t="str">
        <f ca="1">IFERROR(__xludf.DUMMYFUNCTION("GOOGLETRANSLATE(B1250, ""ja"", ""en"")"),"...")</f>
        <v>...</v>
      </c>
    </row>
    <row r="1251" spans="1:3" ht="12.75" x14ac:dyDescent="0.2">
      <c r="A1251" s="1" t="s">
        <v>2276</v>
      </c>
      <c r="B1251" s="1" t="s">
        <v>457</v>
      </c>
      <c r="C1251" t="str">
        <f ca="1">IFERROR(__xludf.DUMMYFUNCTION("GOOGLETRANSLATE(B1251, ""ja"", ""en"")"),"so")</f>
        <v>so</v>
      </c>
    </row>
    <row r="1252" spans="1:3" ht="12.75" x14ac:dyDescent="0.2">
      <c r="A1252" s="1" t="s">
        <v>2277</v>
      </c>
      <c r="B1252" s="1" t="s">
        <v>2202</v>
      </c>
      <c r="C1252" t="str">
        <f ca="1">IFERROR(__xludf.DUMMYFUNCTION("GOOGLETRANSLATE(B1252, ""ja"", ""en"")"),"!")</f>
        <v>!</v>
      </c>
    </row>
    <row r="1253" spans="1:3" ht="12.75" x14ac:dyDescent="0.2">
      <c r="A1253" s="1" t="s">
        <v>2278</v>
      </c>
      <c r="B1253" s="1" t="s">
        <v>289</v>
      </c>
      <c r="C1253" t="str">
        <f ca="1">IFERROR(__xludf.DUMMYFUNCTION("GOOGLETRANSLATE(B1253, ""ja"", ""en"")"),"...")</f>
        <v>...</v>
      </c>
    </row>
    <row r="1254" spans="1:3" ht="12.75" x14ac:dyDescent="0.2">
      <c r="A1254" s="1" t="s">
        <v>2279</v>
      </c>
      <c r="B1254" s="1" t="s">
        <v>257</v>
      </c>
      <c r="C1254" t="str">
        <f ca="1">IFERROR(__xludf.DUMMYFUNCTION("GOOGLETRANSLATE(B1254, ""ja"", ""en"")"),"Have")</f>
        <v>Have</v>
      </c>
    </row>
    <row r="1255" spans="1:3" ht="12.75" x14ac:dyDescent="0.2">
      <c r="A1255" s="1" t="s">
        <v>2280</v>
      </c>
      <c r="B1255" s="1" t="s">
        <v>524</v>
      </c>
      <c r="C1255" t="str">
        <f ca="1">IFERROR(__xludf.DUMMYFUNCTION("GOOGLETRANSLATE(B1255, ""ja"", ""en"")"),"I")</f>
        <v>I</v>
      </c>
    </row>
    <row r="1256" spans="1:3" ht="12.75" x14ac:dyDescent="0.2">
      <c r="A1256" s="1" t="s">
        <v>2281</v>
      </c>
      <c r="B1256" s="1" t="s">
        <v>289</v>
      </c>
      <c r="C1256" t="str">
        <f ca="1">IFERROR(__xludf.DUMMYFUNCTION("GOOGLETRANSLATE(B1256, ""ja"", ""en"")"),"...")</f>
        <v>...</v>
      </c>
    </row>
    <row r="1257" spans="1:3" ht="12.75" x14ac:dyDescent="0.2">
      <c r="A1257" s="1" t="s">
        <v>2282</v>
      </c>
      <c r="B1257" s="1" t="s">
        <v>354</v>
      </c>
      <c r="C1257" t="str">
        <f ca="1">IFERROR(__xludf.DUMMYFUNCTION("GOOGLETRANSLATE(B1257, ""ja"", ""en"")"),"That")</f>
        <v>That</v>
      </c>
    </row>
    <row r="1258" spans="1:3" ht="12.75" x14ac:dyDescent="0.2">
      <c r="A1258" s="1" t="s">
        <v>2283</v>
      </c>
      <c r="B1258" s="1" t="s">
        <v>257</v>
      </c>
      <c r="C1258" t="str">
        <f ca="1">IFERROR(__xludf.DUMMYFUNCTION("GOOGLETRANSLATE(B1258, ""ja"", ""en"")"),"Have")</f>
        <v>Have</v>
      </c>
    </row>
    <row r="1259" spans="1:3" ht="12.75" x14ac:dyDescent="0.2">
      <c r="A1259" s="1" t="s">
        <v>2284</v>
      </c>
      <c r="B1259" s="1" t="s">
        <v>2202</v>
      </c>
      <c r="C1259" t="str">
        <f ca="1">IFERROR(__xludf.DUMMYFUNCTION("GOOGLETRANSLATE(B1259, ""ja"", ""en"")"),"!")</f>
        <v>!</v>
      </c>
    </row>
    <row r="1260" spans="1:3" ht="12.75" x14ac:dyDescent="0.2">
      <c r="A1260" s="1" t="s">
        <v>2285</v>
      </c>
      <c r="B1260" s="1" t="s">
        <v>2198</v>
      </c>
      <c r="C1260" t="str">
        <f ca="1">IFERROR(__xludf.DUMMYFUNCTION("GOOGLETRANSLATE(B1260, ""ja"", ""en"")"),"§")</f>
        <v>§</v>
      </c>
    </row>
    <row r="1261" spans="1:3" ht="12.75" x14ac:dyDescent="0.2">
      <c r="A1261" s="1" t="s">
        <v>2286</v>
      </c>
      <c r="B1261" s="1" t="s">
        <v>2198</v>
      </c>
      <c r="C1261" t="str">
        <f ca="1">IFERROR(__xludf.DUMMYFUNCTION("GOOGLETRANSLATE(B1261, ""ja"", ""en"")"),"§")</f>
        <v>§</v>
      </c>
    </row>
    <row r="1262" spans="1:3" ht="12.75" x14ac:dyDescent="0.2">
      <c r="A1262" s="1" t="s">
        <v>2287</v>
      </c>
      <c r="B1262" s="1" t="s">
        <v>2288</v>
      </c>
      <c r="C1262" t="str">
        <f ca="1">IFERROR(__xludf.DUMMYFUNCTION("GOOGLETRANSLATE(B1262, ""ja"", ""en"")"),"Yo")</f>
        <v>Yo</v>
      </c>
    </row>
    <row r="1263" spans="1:3" ht="12.75" x14ac:dyDescent="0.2">
      <c r="A1263" s="1" t="s">
        <v>2289</v>
      </c>
      <c r="B1263" s="1" t="s">
        <v>2202</v>
      </c>
      <c r="C1263" t="str">
        <f ca="1">IFERROR(__xludf.DUMMYFUNCTION("GOOGLETRANSLATE(B1263, ""ja"", ""en"")"),"!")</f>
        <v>!</v>
      </c>
    </row>
    <row r="1264" spans="1:3" ht="12.75" x14ac:dyDescent="0.2">
      <c r="A1264" s="1" t="s">
        <v>2290</v>
      </c>
      <c r="B1264" s="1" t="s">
        <v>2223</v>
      </c>
      <c r="C1264" t="str">
        <f ca="1">IFERROR(__xludf.DUMMYFUNCTION("GOOGLETRANSLATE(B1264, ""ja"", ""en"")"),"")</f>
        <v/>
      </c>
    </row>
    <row r="1265" spans="1:3" ht="12.75" x14ac:dyDescent="0.2">
      <c r="A1265" s="1" t="s">
        <v>2291</v>
      </c>
      <c r="B1265" s="1" t="s">
        <v>289</v>
      </c>
      <c r="C1265" t="str">
        <f ca="1">IFERROR(__xludf.DUMMYFUNCTION("GOOGLETRANSLATE(B1265, ""ja"", ""en"")"),"...")</f>
        <v>...</v>
      </c>
    </row>
    <row r="1266" spans="1:3" ht="12.75" x14ac:dyDescent="0.2">
      <c r="A1266" s="1" t="s">
        <v>2292</v>
      </c>
      <c r="B1266" s="1" t="s">
        <v>2219</v>
      </c>
      <c r="C1266" t="str">
        <f ca="1">IFERROR(__xludf.DUMMYFUNCTION("GOOGLETRANSLATE(B1266, ""ja"", ""en"")"),"!?")</f>
        <v>!?</v>
      </c>
    </row>
    <row r="1267" spans="1:3" ht="12.75" x14ac:dyDescent="0.2">
      <c r="A1267" s="1" t="s">
        <v>2293</v>
      </c>
      <c r="B1267" s="1" t="s">
        <v>2202</v>
      </c>
      <c r="C1267" t="str">
        <f ca="1">IFERROR(__xludf.DUMMYFUNCTION("GOOGLETRANSLATE(B1267, ""ja"", ""en"")"),"!")</f>
        <v>!</v>
      </c>
    </row>
    <row r="1268" spans="1:3" ht="12.75" x14ac:dyDescent="0.2">
      <c r="A1268" s="1" t="s">
        <v>2294</v>
      </c>
      <c r="B1268" s="1" t="s">
        <v>1651</v>
      </c>
      <c r="C1268" t="str">
        <f ca="1">IFERROR(__xludf.DUMMYFUNCTION("GOOGLETRANSLATE(B1268, ""ja"", ""en"")"),"Cormorant")</f>
        <v>Cormorant</v>
      </c>
    </row>
    <row r="1269" spans="1:3" ht="12.75" x14ac:dyDescent="0.2">
      <c r="A1269" s="1" t="s">
        <v>2295</v>
      </c>
      <c r="B1269" s="1" t="s">
        <v>2208</v>
      </c>
      <c r="C1269" t="str">
        <f ca="1">IFERROR(__xludf.DUMMYFUNCTION("GOOGLETRANSLATE(B1269, ""ja"", ""en"")"),"!!")</f>
        <v>!!</v>
      </c>
    </row>
    <row r="1270" spans="1:3" ht="12.75" x14ac:dyDescent="0.2">
      <c r="A1270" s="1" t="s">
        <v>2296</v>
      </c>
      <c r="B1270" s="1" t="s">
        <v>354</v>
      </c>
      <c r="C1270" t="str">
        <f ca="1">IFERROR(__xludf.DUMMYFUNCTION("GOOGLETRANSLATE(B1270, ""ja"", ""en"")"),"That")</f>
        <v>That</v>
      </c>
    </row>
    <row r="1271" spans="1:3" ht="12.75" x14ac:dyDescent="0.2">
      <c r="A1271" s="1" t="s">
        <v>2297</v>
      </c>
      <c r="B1271" s="1" t="s">
        <v>250</v>
      </c>
      <c r="C1271" t="str">
        <f ca="1">IFERROR(__xludf.DUMMYFUNCTION("GOOGLETRANSLATE(B1271, ""ja"", ""en"")"),"?")</f>
        <v>?</v>
      </c>
    </row>
    <row r="1272" spans="1:3" ht="12.75" x14ac:dyDescent="0.2">
      <c r="A1272" s="1" t="s">
        <v>2298</v>
      </c>
      <c r="B1272" s="1" t="s">
        <v>2299</v>
      </c>
      <c r="C1272" t="str">
        <f ca="1">IFERROR(__xludf.DUMMYFUNCTION("GOOGLETRANSLATE(B1272, ""ja"", ""en"")"),"negative")</f>
        <v>negative</v>
      </c>
    </row>
    <row r="1273" spans="1:3" ht="12.75" x14ac:dyDescent="0.2">
      <c r="A1273" s="1" t="s">
        <v>2300</v>
      </c>
      <c r="B1273" s="1" t="s">
        <v>354</v>
      </c>
      <c r="C1273" t="str">
        <f ca="1">IFERROR(__xludf.DUMMYFUNCTION("GOOGLETRANSLATE(B1273, ""ja"", ""en"")"),"That")</f>
        <v>That</v>
      </c>
    </row>
    <row r="1274" spans="1:3" ht="12.75" x14ac:dyDescent="0.2">
      <c r="A1274" s="1" t="s">
        <v>2301</v>
      </c>
      <c r="B1274" s="1" t="s">
        <v>354</v>
      </c>
      <c r="C1274" t="str">
        <f ca="1">IFERROR(__xludf.DUMMYFUNCTION("GOOGLETRANSLATE(B1274, ""ja"", ""en"")"),"That")</f>
        <v>That</v>
      </c>
    </row>
    <row r="1275" spans="1:3" ht="12.75" x14ac:dyDescent="0.2">
      <c r="A1275" s="1" t="s">
        <v>2302</v>
      </c>
      <c r="B1275" s="1" t="s">
        <v>524</v>
      </c>
      <c r="C1275" t="str">
        <f ca="1">IFERROR(__xludf.DUMMYFUNCTION("GOOGLETRANSLATE(B1275, ""ja"", ""en"")"),"I")</f>
        <v>I</v>
      </c>
    </row>
    <row r="1276" spans="1:3" ht="12.75" x14ac:dyDescent="0.2">
      <c r="A1276" s="1" t="s">
        <v>2303</v>
      </c>
      <c r="B1276" s="1" t="s">
        <v>289</v>
      </c>
      <c r="C1276" t="str">
        <f ca="1">IFERROR(__xludf.DUMMYFUNCTION("GOOGLETRANSLATE(B1276, ""ja"", ""en"")"),"...")</f>
        <v>...</v>
      </c>
    </row>
    <row r="1277" spans="1:3" ht="12.75" x14ac:dyDescent="0.2">
      <c r="A1277" s="1" t="s">
        <v>2304</v>
      </c>
      <c r="B1277" s="1" t="s">
        <v>289</v>
      </c>
      <c r="C1277" t="str">
        <f ca="1">IFERROR(__xludf.DUMMYFUNCTION("GOOGLETRANSLATE(B1277, ""ja"", ""en"")"),"...")</f>
        <v>...</v>
      </c>
    </row>
    <row r="1278" spans="1:3" ht="12.75" x14ac:dyDescent="0.2">
      <c r="A1278" s="1" t="s">
        <v>2305</v>
      </c>
      <c r="B1278" s="1" t="s">
        <v>2306</v>
      </c>
      <c r="C1278" t="str">
        <f ca="1">IFERROR(__xludf.DUMMYFUNCTION("GOOGLETRANSLATE(B1278, ""ja"", ""en"")"),"I")</f>
        <v>I</v>
      </c>
    </row>
    <row r="1279" spans="1:3" ht="12.75" x14ac:dyDescent="0.2">
      <c r="A1279" s="1" t="s">
        <v>2307</v>
      </c>
      <c r="B1279" s="1" t="s">
        <v>289</v>
      </c>
      <c r="C1279" t="str">
        <f ca="1">IFERROR(__xludf.DUMMYFUNCTION("GOOGLETRANSLATE(B1279, ""ja"", ""en"")"),"...")</f>
        <v>...</v>
      </c>
    </row>
    <row r="1280" spans="1:3" ht="12.75" x14ac:dyDescent="0.2">
      <c r="A1280" s="1" t="s">
        <v>2308</v>
      </c>
      <c r="B1280" s="1" t="s">
        <v>101</v>
      </c>
      <c r="C1280" t="str">
        <f ca="1">IFERROR(__xludf.DUMMYFUNCTION("GOOGLETRANSLATE(B1280, ""ja"", ""en"")"),"Or")</f>
        <v>Or</v>
      </c>
    </row>
    <row r="1281" spans="1:3" ht="12.75" x14ac:dyDescent="0.2">
      <c r="A1281" s="1" t="s">
        <v>2309</v>
      </c>
      <c r="B1281" s="1" t="s">
        <v>250</v>
      </c>
      <c r="C1281" t="str">
        <f ca="1">IFERROR(__xludf.DUMMYFUNCTION("GOOGLETRANSLATE(B1281, ""ja"", ""en"")"),"?")</f>
        <v>?</v>
      </c>
    </row>
    <row r="1282" spans="1:3" ht="12.75" x14ac:dyDescent="0.2">
      <c r="A1282" s="1" t="s">
        <v>2310</v>
      </c>
      <c r="B1282" s="1" t="s">
        <v>2202</v>
      </c>
      <c r="C1282" t="str">
        <f ca="1">IFERROR(__xludf.DUMMYFUNCTION("GOOGLETRANSLATE(B1282, ""ja"", ""en"")"),"!")</f>
        <v>!</v>
      </c>
    </row>
    <row r="1283" spans="1:3" ht="12.75" x14ac:dyDescent="0.2">
      <c r="A1283" s="1" t="s">
        <v>2311</v>
      </c>
      <c r="B1283" s="1" t="s">
        <v>524</v>
      </c>
      <c r="C1283" t="str">
        <f ca="1">IFERROR(__xludf.DUMMYFUNCTION("GOOGLETRANSLATE(B1283, ""ja"", ""en"")"),"I")</f>
        <v>I</v>
      </c>
    </row>
    <row r="1284" spans="1:3" ht="12.75" x14ac:dyDescent="0.2">
      <c r="A1284" s="1" t="s">
        <v>2312</v>
      </c>
      <c r="B1284" s="1" t="s">
        <v>2202</v>
      </c>
      <c r="C1284" t="str">
        <f ca="1">IFERROR(__xludf.DUMMYFUNCTION("GOOGLETRANSLATE(B1284, ""ja"", ""en"")"),"!")</f>
        <v>!</v>
      </c>
    </row>
    <row r="1285" spans="1:3" ht="12.75" x14ac:dyDescent="0.2">
      <c r="A1285" s="1" t="s">
        <v>2313</v>
      </c>
      <c r="B1285" s="1" t="s">
        <v>2198</v>
      </c>
      <c r="C1285" t="str">
        <f ca="1">IFERROR(__xludf.DUMMYFUNCTION("GOOGLETRANSLATE(B1285, ""ja"", ""en"")"),"§")</f>
        <v>§</v>
      </c>
    </row>
    <row r="1286" spans="1:3" ht="12.75" x14ac:dyDescent="0.2">
      <c r="A1286" s="1" t="s">
        <v>2314</v>
      </c>
      <c r="B1286" s="1" t="s">
        <v>2223</v>
      </c>
      <c r="C1286" t="str">
        <f ca="1">IFERROR(__xludf.DUMMYFUNCTION("GOOGLETRANSLATE(B1286, ""ja"", ""en"")"),"")</f>
        <v/>
      </c>
    </row>
    <row r="1287" spans="1:3" ht="12.75" x14ac:dyDescent="0.2">
      <c r="A1287" s="1" t="s">
        <v>2315</v>
      </c>
      <c r="B1287" s="1" t="s">
        <v>526</v>
      </c>
      <c r="C1287" t="str">
        <f ca="1">IFERROR(__xludf.DUMMYFUNCTION("GOOGLETRANSLATE(B1287, ""ja"", ""en"")"),"To")</f>
        <v>To</v>
      </c>
    </row>
    <row r="1288" spans="1:3" ht="12.75" x14ac:dyDescent="0.2">
      <c r="A1288" s="1" t="s">
        <v>2316</v>
      </c>
      <c r="B1288" s="1" t="s">
        <v>474</v>
      </c>
      <c r="C1288" t="str">
        <f ca="1">IFERROR(__xludf.DUMMYFUNCTION("GOOGLETRANSLATE(B1288, ""ja"", ""en"")"),"hand")</f>
        <v>hand</v>
      </c>
    </row>
    <row r="1289" spans="1:3" ht="12.75" x14ac:dyDescent="0.2">
      <c r="A1289" s="1" t="s">
        <v>2317</v>
      </c>
      <c r="B1289" s="1" t="s">
        <v>2223</v>
      </c>
      <c r="C1289" t="str">
        <f ca="1">IFERROR(__xludf.DUMMYFUNCTION("GOOGLETRANSLATE(B1289, ""ja"", ""en"")"),"")</f>
        <v/>
      </c>
    </row>
    <row r="1290" spans="1:3" ht="12.75" x14ac:dyDescent="0.2">
      <c r="A1290" s="1" t="s">
        <v>2318</v>
      </c>
      <c r="B1290" s="1" t="s">
        <v>478</v>
      </c>
      <c r="C1290" t="str">
        <f ca="1">IFERROR(__xludf.DUMMYFUNCTION("GOOGLETRANSLATE(B1290, ""ja"", ""en"")"),"Hmm")</f>
        <v>Hmm</v>
      </c>
    </row>
    <row r="1291" spans="1:3" ht="12.75" x14ac:dyDescent="0.2">
      <c r="A1291" s="1" t="s">
        <v>2319</v>
      </c>
      <c r="B1291" s="1" t="s">
        <v>535</v>
      </c>
      <c r="C1291" t="str">
        <f ca="1">IFERROR(__xludf.DUMMYFUNCTION("GOOGLETRANSLATE(B1291, ""ja"", ""en"")"),"Ya")</f>
        <v>Ya</v>
      </c>
    </row>
    <row r="1292" spans="1:3" ht="12.75" x14ac:dyDescent="0.2">
      <c r="A1292" s="1" t="s">
        <v>2320</v>
      </c>
      <c r="B1292" s="1" t="s">
        <v>2223</v>
      </c>
      <c r="C1292" t="str">
        <f ca="1">IFERROR(__xludf.DUMMYFUNCTION("GOOGLETRANSLATE(B1292, ""ja"", ""en"")"),"")</f>
        <v/>
      </c>
    </row>
    <row r="1293" spans="1:3" ht="12.75" x14ac:dyDescent="0.2">
      <c r="A1293" s="1" t="s">
        <v>2321</v>
      </c>
      <c r="B1293" s="1" t="s">
        <v>289</v>
      </c>
      <c r="C1293" t="str">
        <f ca="1">IFERROR(__xludf.DUMMYFUNCTION("GOOGLETRANSLATE(B1293, ""ja"", ""en"")"),"...")</f>
        <v>...</v>
      </c>
    </row>
    <row r="1294" spans="1:3" ht="12.75" x14ac:dyDescent="0.2">
      <c r="A1294" s="1" t="s">
        <v>2322</v>
      </c>
      <c r="B1294" s="1" t="s">
        <v>2202</v>
      </c>
      <c r="C1294" t="str">
        <f ca="1">IFERROR(__xludf.DUMMYFUNCTION("GOOGLETRANSLATE(B1294, ""ja"", ""en"")"),"!")</f>
        <v>!</v>
      </c>
    </row>
    <row r="1295" spans="1:3" ht="12.75" x14ac:dyDescent="0.2">
      <c r="A1295" s="1" t="s">
        <v>2323</v>
      </c>
      <c r="B1295" s="1" t="s">
        <v>2223</v>
      </c>
      <c r="C1295" t="str">
        <f ca="1">IFERROR(__xludf.DUMMYFUNCTION("GOOGLETRANSLATE(B1295, ""ja"", ""en"")"),"")</f>
        <v/>
      </c>
    </row>
    <row r="1296" spans="1:3" ht="12.75" x14ac:dyDescent="0.2">
      <c r="A1296" s="1" t="s">
        <v>2324</v>
      </c>
      <c r="B1296" s="1" t="s">
        <v>2202</v>
      </c>
      <c r="C1296" t="str">
        <f ca="1">IFERROR(__xludf.DUMMYFUNCTION("GOOGLETRANSLATE(B1296, ""ja"", ""en"")"),"!")</f>
        <v>!</v>
      </c>
    </row>
    <row r="1297" spans="1:3" ht="12.75" x14ac:dyDescent="0.2">
      <c r="A1297" s="1" t="s">
        <v>2325</v>
      </c>
      <c r="B1297" s="1" t="s">
        <v>2202</v>
      </c>
      <c r="C1297" t="str">
        <f ca="1">IFERROR(__xludf.DUMMYFUNCTION("GOOGLETRANSLATE(B1297, ""ja"", ""en"")"),"!")</f>
        <v>!</v>
      </c>
    </row>
    <row r="1298" spans="1:3" ht="12.75" x14ac:dyDescent="0.2">
      <c r="A1298" s="1" t="s">
        <v>2326</v>
      </c>
      <c r="B1298" s="1" t="s">
        <v>289</v>
      </c>
      <c r="C1298" t="str">
        <f ca="1">IFERROR(__xludf.DUMMYFUNCTION("GOOGLETRANSLATE(B1298, ""ja"", ""en"")"),"...")</f>
        <v>...</v>
      </c>
    </row>
    <row r="1299" spans="1:3" ht="12.75" x14ac:dyDescent="0.2">
      <c r="A1299" s="1" t="s">
        <v>2327</v>
      </c>
      <c r="B1299" s="1" t="s">
        <v>101</v>
      </c>
      <c r="C1299" t="str">
        <f ca="1">IFERROR(__xludf.DUMMYFUNCTION("GOOGLETRANSLATE(B1299, ""ja"", ""en"")"),"Or")</f>
        <v>Or</v>
      </c>
    </row>
    <row r="1300" spans="1:3" ht="12.75" x14ac:dyDescent="0.2">
      <c r="A1300" s="1" t="s">
        <v>2328</v>
      </c>
      <c r="B1300" s="1" t="s">
        <v>2329</v>
      </c>
      <c r="C1300" t="str">
        <f ca="1">IFERROR(__xludf.DUMMYFUNCTION("GOOGLETRANSLATE(B1300, ""ja"", ""en"")"),"")</f>
        <v/>
      </c>
    </row>
    <row r="1301" spans="1:3" ht="12.75" x14ac:dyDescent="0.2">
      <c r="A1301" s="1" t="s">
        <v>2330</v>
      </c>
      <c r="B1301" s="1" t="s">
        <v>289</v>
      </c>
      <c r="C1301" t="str">
        <f ca="1">IFERROR(__xludf.DUMMYFUNCTION("GOOGLETRANSLATE(B1301, ""ja"", ""en"")"),"...")</f>
        <v>...</v>
      </c>
    </row>
    <row r="1302" spans="1:3" ht="12.75" x14ac:dyDescent="0.2">
      <c r="A1302" s="1" t="s">
        <v>2331</v>
      </c>
      <c r="B1302" s="1" t="s">
        <v>2329</v>
      </c>
      <c r="C1302" t="str">
        <f ca="1">IFERROR(__xludf.DUMMYFUNCTION("GOOGLETRANSLATE(B1302, ""ja"", ""en"")"),"")</f>
        <v/>
      </c>
    </row>
    <row r="1303" spans="1:3" ht="12.75" x14ac:dyDescent="0.2">
      <c r="A1303" s="1" t="s">
        <v>2332</v>
      </c>
      <c r="B1303" s="1" t="s">
        <v>2208</v>
      </c>
      <c r="C1303" t="str">
        <f ca="1">IFERROR(__xludf.DUMMYFUNCTION("GOOGLETRANSLATE(B1303, ""ja"", ""en"")"),"!!")</f>
        <v>!!</v>
      </c>
    </row>
    <row r="1304" spans="1:3" ht="12.75" x14ac:dyDescent="0.2">
      <c r="A1304" s="1" t="s">
        <v>2333</v>
      </c>
      <c r="B1304" s="1" t="s">
        <v>2231</v>
      </c>
      <c r="C1304" t="str">
        <f ca="1">IFERROR(__xludf.DUMMYFUNCTION("GOOGLETRANSLATE(B1304, ""ja"", ""en"")"),"~")</f>
        <v>~</v>
      </c>
    </row>
    <row r="1305" spans="1:3" ht="12.75" x14ac:dyDescent="0.2">
      <c r="A1305" s="1" t="s">
        <v>2334</v>
      </c>
      <c r="B1305" s="1" t="s">
        <v>474</v>
      </c>
      <c r="C1305" t="str">
        <f ca="1">IFERROR(__xludf.DUMMYFUNCTION("GOOGLETRANSLATE(B1305, ""ja"", ""en"")"),"hand")</f>
        <v>hand</v>
      </c>
    </row>
    <row r="1306" spans="1:3" ht="12.75" x14ac:dyDescent="0.2">
      <c r="A1306" s="1" t="s">
        <v>2335</v>
      </c>
      <c r="B1306" s="1" t="s">
        <v>289</v>
      </c>
      <c r="C1306" t="str">
        <f ca="1">IFERROR(__xludf.DUMMYFUNCTION("GOOGLETRANSLATE(B1306, ""ja"", ""en"")"),"...")</f>
        <v>...</v>
      </c>
    </row>
    <row r="1307" spans="1:3" ht="12.75" x14ac:dyDescent="0.2">
      <c r="A1307" s="1" t="s">
        <v>2336</v>
      </c>
      <c r="B1307" s="1" t="s">
        <v>2337</v>
      </c>
      <c r="C1307" t="str">
        <f ca="1">IFERROR(__xludf.DUMMYFUNCTION("GOOGLETRANSLATE(B1307, ""ja"", ""en"")"),"F")</f>
        <v>F</v>
      </c>
    </row>
    <row r="1308" spans="1:3" ht="12.75" x14ac:dyDescent="0.2">
      <c r="A1308" s="1" t="s">
        <v>2338</v>
      </c>
      <c r="B1308" s="1" t="s">
        <v>289</v>
      </c>
      <c r="C1308" t="str">
        <f ca="1">IFERROR(__xludf.DUMMYFUNCTION("GOOGLETRANSLATE(B1308, ""ja"", ""en"")"),"...")</f>
        <v>...</v>
      </c>
    </row>
    <row r="1309" spans="1:3" ht="12.75" x14ac:dyDescent="0.2">
      <c r="A1309" s="1" t="s">
        <v>2339</v>
      </c>
      <c r="B1309" s="1" t="s">
        <v>2208</v>
      </c>
      <c r="C1309" t="str">
        <f ca="1">IFERROR(__xludf.DUMMYFUNCTION("GOOGLETRANSLATE(B1309, ""ja"", ""en"")"),"!!")</f>
        <v>!!</v>
      </c>
    </row>
    <row r="1310" spans="1:3" ht="12.75" x14ac:dyDescent="0.2">
      <c r="A1310" s="1" t="s">
        <v>2340</v>
      </c>
      <c r="B1310" s="1" t="s">
        <v>2341</v>
      </c>
      <c r="C1310" t="str">
        <f ca="1">IFERROR(__xludf.DUMMYFUNCTION("GOOGLETRANSLATE(B1310, ""ja"", ""en"")"),"")</f>
        <v/>
      </c>
    </row>
    <row r="1311" spans="1:3" ht="12.75" x14ac:dyDescent="0.2">
      <c r="A1311" s="1" t="s">
        <v>2342</v>
      </c>
      <c r="B1311" s="1" t="s">
        <v>465</v>
      </c>
      <c r="C1311" t="str">
        <f ca="1">IFERROR(__xludf.DUMMYFUNCTION("GOOGLETRANSLATE(B1311, ""ja"", ""en"")"),"")</f>
        <v/>
      </c>
    </row>
    <row r="1312" spans="1:3" ht="12.75" x14ac:dyDescent="0.2">
      <c r="A1312" s="1" t="s">
        <v>2343</v>
      </c>
      <c r="B1312" s="1" t="s">
        <v>524</v>
      </c>
      <c r="C1312" t="str">
        <f ca="1">IFERROR(__xludf.DUMMYFUNCTION("GOOGLETRANSLATE(B1312, ""ja"", ""en"")"),"I")</f>
        <v>I</v>
      </c>
    </row>
    <row r="1313" spans="1:3" ht="12.75" x14ac:dyDescent="0.2">
      <c r="A1313" s="1" t="s">
        <v>2344</v>
      </c>
      <c r="B1313" s="1" t="s">
        <v>289</v>
      </c>
      <c r="C1313" t="str">
        <f ca="1">IFERROR(__xludf.DUMMYFUNCTION("GOOGLETRANSLATE(B1313, ""ja"", ""en"")"),"...")</f>
        <v>...</v>
      </c>
    </row>
    <row r="1314" spans="1:3" ht="12.75" x14ac:dyDescent="0.2">
      <c r="A1314" s="1" t="s">
        <v>2345</v>
      </c>
      <c r="B1314" s="1" t="s">
        <v>2208</v>
      </c>
      <c r="C1314" t="str">
        <f ca="1">IFERROR(__xludf.DUMMYFUNCTION("GOOGLETRANSLATE(B1314, ""ja"", ""en"")"),"!!")</f>
        <v>!!</v>
      </c>
    </row>
    <row r="1315" spans="1:3" ht="12.75" x14ac:dyDescent="0.2">
      <c r="A1315" s="1" t="s">
        <v>2346</v>
      </c>
      <c r="B1315" s="1" t="s">
        <v>2208</v>
      </c>
      <c r="C1315" t="str">
        <f ca="1">IFERROR(__xludf.DUMMYFUNCTION("GOOGLETRANSLATE(B1315, ""ja"", ""en"")"),"!!")</f>
        <v>!!</v>
      </c>
    </row>
    <row r="1316" spans="1:3" ht="12.75" x14ac:dyDescent="0.2">
      <c r="A1316" s="1" t="s">
        <v>2347</v>
      </c>
      <c r="B1316" s="1" t="s">
        <v>289</v>
      </c>
      <c r="C1316" t="str">
        <f ca="1">IFERROR(__xludf.DUMMYFUNCTION("GOOGLETRANSLATE(B1316, ""ja"", ""en"")"),"...")</f>
        <v>...</v>
      </c>
    </row>
    <row r="1317" spans="1:3" ht="12.75" x14ac:dyDescent="0.2">
      <c r="A1317" s="1" t="s">
        <v>2348</v>
      </c>
      <c r="B1317" s="1" t="s">
        <v>457</v>
      </c>
      <c r="C1317" t="str">
        <f ca="1">IFERROR(__xludf.DUMMYFUNCTION("GOOGLETRANSLATE(B1317, ""ja"", ""en"")"),"so")</f>
        <v>so</v>
      </c>
    </row>
    <row r="1318" spans="1:3" ht="12.75" x14ac:dyDescent="0.2">
      <c r="A1318" s="1" t="s">
        <v>2349</v>
      </c>
      <c r="B1318" s="1" t="s">
        <v>289</v>
      </c>
      <c r="C1318" t="str">
        <f ca="1">IFERROR(__xludf.DUMMYFUNCTION("GOOGLETRANSLATE(B1318, ""ja"", ""en"")"),"...")</f>
        <v>...</v>
      </c>
    </row>
    <row r="1319" spans="1:3" ht="12.75" x14ac:dyDescent="0.2">
      <c r="A1319" s="1" t="s">
        <v>2350</v>
      </c>
      <c r="B1319" s="1" t="s">
        <v>2202</v>
      </c>
      <c r="C1319" t="str">
        <f ca="1">IFERROR(__xludf.DUMMYFUNCTION("GOOGLETRANSLATE(B1319, ""ja"", ""en"")"),"!")</f>
        <v>!</v>
      </c>
    </row>
    <row r="1320" spans="1:3" ht="12.75" x14ac:dyDescent="0.2">
      <c r="A1320" s="1" t="s">
        <v>2351</v>
      </c>
      <c r="B1320" s="1" t="s">
        <v>465</v>
      </c>
      <c r="C1320" t="str">
        <f ca="1">IFERROR(__xludf.DUMMYFUNCTION("GOOGLETRANSLATE(B1320, ""ja"", ""en"")"),"")</f>
        <v/>
      </c>
    </row>
    <row r="1321" spans="1:3" ht="12.75" x14ac:dyDescent="0.2">
      <c r="A1321" s="1" t="s">
        <v>2352</v>
      </c>
      <c r="B1321" s="1" t="s">
        <v>457</v>
      </c>
      <c r="C1321" t="str">
        <f ca="1">IFERROR(__xludf.DUMMYFUNCTION("GOOGLETRANSLATE(B1321, ""ja"", ""en"")"),"so")</f>
        <v>so</v>
      </c>
    </row>
    <row r="1322" spans="1:3" ht="12.75" x14ac:dyDescent="0.2">
      <c r="A1322" s="1" t="s">
        <v>2353</v>
      </c>
      <c r="B1322" s="1" t="s">
        <v>2202</v>
      </c>
      <c r="C1322" t="str">
        <f ca="1">IFERROR(__xludf.DUMMYFUNCTION("GOOGLETRANSLATE(B1322, ""ja"", ""en"")"),"!")</f>
        <v>!</v>
      </c>
    </row>
    <row r="1323" spans="1:3" ht="12.75" x14ac:dyDescent="0.2">
      <c r="A1323" s="1" t="s">
        <v>2354</v>
      </c>
      <c r="B1323" s="1" t="s">
        <v>524</v>
      </c>
      <c r="C1323" t="str">
        <f ca="1">IFERROR(__xludf.DUMMYFUNCTION("GOOGLETRANSLATE(B1323, ""ja"", ""en"")"),"I")</f>
        <v>I</v>
      </c>
    </row>
    <row r="1324" spans="1:3" ht="12.75" x14ac:dyDescent="0.2">
      <c r="A1324" s="1" t="s">
        <v>2355</v>
      </c>
      <c r="B1324" s="1" t="s">
        <v>250</v>
      </c>
      <c r="C1324" t="str">
        <f ca="1">IFERROR(__xludf.DUMMYFUNCTION("GOOGLETRANSLATE(B1324, ""ja"", ""en"")"),"?")</f>
        <v>?</v>
      </c>
    </row>
    <row r="1325" spans="1:3" ht="12.75" x14ac:dyDescent="0.2">
      <c r="A1325" s="1" t="s">
        <v>2356</v>
      </c>
      <c r="B1325" s="1" t="s">
        <v>2208</v>
      </c>
      <c r="C1325" t="str">
        <f ca="1">IFERROR(__xludf.DUMMYFUNCTION("GOOGLETRANSLATE(B1325, ""ja"", ""en"")"),"!!")</f>
        <v>!!</v>
      </c>
    </row>
    <row r="1326" spans="1:3" ht="12.75" x14ac:dyDescent="0.2">
      <c r="A1326" s="1" t="s">
        <v>2357</v>
      </c>
      <c r="B1326" s="1" t="s">
        <v>524</v>
      </c>
      <c r="C1326" t="str">
        <f ca="1">IFERROR(__xludf.DUMMYFUNCTION("GOOGLETRANSLATE(B1326, ""ja"", ""en"")"),"I")</f>
        <v>I</v>
      </c>
    </row>
    <row r="1327" spans="1:3" ht="12.75" x14ac:dyDescent="0.2">
      <c r="A1327" s="1" t="s">
        <v>2358</v>
      </c>
      <c r="B1327" s="1" t="s">
        <v>2359</v>
      </c>
      <c r="C1327" t="str">
        <f ca="1">IFERROR(__xludf.DUMMYFUNCTION("GOOGLETRANSLATE(B1327, ""ja"", ""en"")"),"Et al.")</f>
        <v>Et al.</v>
      </c>
    </row>
    <row r="1328" spans="1:3" ht="12.75" x14ac:dyDescent="0.2">
      <c r="A1328" s="1" t="s">
        <v>2360</v>
      </c>
      <c r="B1328" s="1" t="s">
        <v>524</v>
      </c>
      <c r="C1328" t="str">
        <f ca="1">IFERROR(__xludf.DUMMYFUNCTION("GOOGLETRANSLATE(B1328, ""ja"", ""en"")"),"I")</f>
        <v>I</v>
      </c>
    </row>
    <row r="1329" spans="1:3" ht="12.75" x14ac:dyDescent="0.2">
      <c r="A1329" s="1" t="s">
        <v>2361</v>
      </c>
      <c r="B1329" s="1" t="s">
        <v>2306</v>
      </c>
      <c r="C1329" t="str">
        <f ca="1">IFERROR(__xludf.DUMMYFUNCTION("GOOGLETRANSLATE(B1329, ""ja"", ""en"")"),"I")</f>
        <v>I</v>
      </c>
    </row>
    <row r="1330" spans="1:3" ht="12.75" x14ac:dyDescent="0.2">
      <c r="A1330" s="1" t="s">
        <v>2362</v>
      </c>
      <c r="B1330" s="1" t="s">
        <v>2215</v>
      </c>
      <c r="C1330" t="str">
        <f ca="1">IFERROR(__xludf.DUMMYFUNCTION("GOOGLETRANSLATE(B1330, ""ja"", ""en"")"),"Tut")</f>
        <v>Tut</v>
      </c>
    </row>
    <row r="1331" spans="1:3" ht="12.75" x14ac:dyDescent="0.2">
      <c r="A1331" s="1" t="s">
        <v>2363</v>
      </c>
      <c r="B1331" s="1" t="s">
        <v>524</v>
      </c>
      <c r="C1331" t="str">
        <f ca="1">IFERROR(__xludf.DUMMYFUNCTION("GOOGLETRANSLATE(B1331, ""ja"", ""en"")"),"I")</f>
        <v>I</v>
      </c>
    </row>
    <row r="1332" spans="1:3" ht="12.75" x14ac:dyDescent="0.2">
      <c r="A1332" s="1" t="s">
        <v>2364</v>
      </c>
      <c r="B1332" s="1" t="s">
        <v>524</v>
      </c>
      <c r="C1332" t="str">
        <f ca="1">IFERROR(__xludf.DUMMYFUNCTION("GOOGLETRANSLATE(B1332, ""ja"", ""en"")"),"I")</f>
        <v>I</v>
      </c>
    </row>
    <row r="1333" spans="1:3" ht="12.75" x14ac:dyDescent="0.2">
      <c r="A1333" s="1" t="s">
        <v>2365</v>
      </c>
      <c r="B1333" s="1" t="s">
        <v>2202</v>
      </c>
      <c r="C1333" t="str">
        <f ca="1">IFERROR(__xludf.DUMMYFUNCTION("GOOGLETRANSLATE(B1333, ""ja"", ""en"")"),"!")</f>
        <v>!</v>
      </c>
    </row>
    <row r="1334" spans="1:3" ht="12.75" x14ac:dyDescent="0.2">
      <c r="A1334" s="1" t="s">
        <v>2366</v>
      </c>
      <c r="B1334" s="1" t="s">
        <v>2202</v>
      </c>
      <c r="C1334" t="str">
        <f ca="1">IFERROR(__xludf.DUMMYFUNCTION("GOOGLETRANSLATE(B1334, ""ja"", ""en"")"),"!")</f>
        <v>!</v>
      </c>
    </row>
    <row r="1335" spans="1:3" ht="12.75" x14ac:dyDescent="0.2">
      <c r="A1335" s="1" t="s">
        <v>2367</v>
      </c>
      <c r="B1335" s="1" t="s">
        <v>2202</v>
      </c>
      <c r="C1335" t="str">
        <f ca="1">IFERROR(__xludf.DUMMYFUNCTION("GOOGLETRANSLATE(B1335, ""ja"", ""en"")"),"!")</f>
        <v>!</v>
      </c>
    </row>
    <row r="1336" spans="1:3" ht="12.75" x14ac:dyDescent="0.2">
      <c r="A1336" s="1" t="s">
        <v>2368</v>
      </c>
      <c r="B1336" s="1" t="s">
        <v>289</v>
      </c>
      <c r="C1336" t="str">
        <f ca="1">IFERROR(__xludf.DUMMYFUNCTION("GOOGLETRANSLATE(B1336, ""ja"", ""en"")"),"...")</f>
        <v>...</v>
      </c>
    </row>
    <row r="1337" spans="1:3" ht="12.75" x14ac:dyDescent="0.2">
      <c r="A1337" s="1" t="s">
        <v>2369</v>
      </c>
      <c r="B1337" s="1" t="s">
        <v>478</v>
      </c>
      <c r="C1337" t="str">
        <f ca="1">IFERROR(__xludf.DUMMYFUNCTION("GOOGLETRANSLATE(B1337, ""ja"", ""en"")"),"Hmm")</f>
        <v>Hmm</v>
      </c>
    </row>
    <row r="1338" spans="1:3" ht="12.75" x14ac:dyDescent="0.2">
      <c r="A1338" s="1" t="s">
        <v>2370</v>
      </c>
      <c r="B1338" s="1" t="s">
        <v>101</v>
      </c>
      <c r="C1338" t="str">
        <f ca="1">IFERROR(__xludf.DUMMYFUNCTION("GOOGLETRANSLATE(B1338, ""ja"", ""en"")"),"Or")</f>
        <v>Or</v>
      </c>
    </row>
    <row r="1339" spans="1:3" ht="12.75" x14ac:dyDescent="0.2">
      <c r="A1339" s="1" t="s">
        <v>2371</v>
      </c>
      <c r="B1339" s="1" t="s">
        <v>289</v>
      </c>
      <c r="C1339" t="str">
        <f ca="1">IFERROR(__xludf.DUMMYFUNCTION("GOOGLETRANSLATE(B1339, ""ja"", ""en"")"),"...")</f>
        <v>...</v>
      </c>
    </row>
    <row r="1340" spans="1:3" ht="12.75" x14ac:dyDescent="0.2">
      <c r="A1340" s="1" t="s">
        <v>2372</v>
      </c>
      <c r="B1340" s="1" t="s">
        <v>289</v>
      </c>
      <c r="C1340" t="str">
        <f ca="1">IFERROR(__xludf.DUMMYFUNCTION("GOOGLETRANSLATE(B1340, ""ja"", ""en"")"),"...")</f>
        <v>...</v>
      </c>
    </row>
    <row r="1341" spans="1:3" ht="12.75" x14ac:dyDescent="0.2">
      <c r="A1341" s="1" t="s">
        <v>2373</v>
      </c>
      <c r="B1341" s="1" t="s">
        <v>457</v>
      </c>
      <c r="C1341" t="str">
        <f ca="1">IFERROR(__xludf.DUMMYFUNCTION("GOOGLETRANSLATE(B1341, ""ja"", ""en"")"),"so")</f>
        <v>so</v>
      </c>
    </row>
    <row r="1342" spans="1:3" ht="12.75" x14ac:dyDescent="0.2">
      <c r="A1342" s="1" t="s">
        <v>2374</v>
      </c>
      <c r="B1342" s="1" t="s">
        <v>2223</v>
      </c>
      <c r="C1342" t="str">
        <f ca="1">IFERROR(__xludf.DUMMYFUNCTION("GOOGLETRANSLATE(B1342, ""ja"", ""en"")"),"")</f>
        <v/>
      </c>
    </row>
    <row r="1343" spans="1:3" ht="12.75" x14ac:dyDescent="0.2">
      <c r="A1343" s="1" t="s">
        <v>2375</v>
      </c>
      <c r="B1343" s="1" t="s">
        <v>465</v>
      </c>
      <c r="C1343" t="str">
        <f ca="1">IFERROR(__xludf.DUMMYFUNCTION("GOOGLETRANSLATE(B1343, ""ja"", ""en"")"),"")</f>
        <v/>
      </c>
    </row>
    <row r="1344" spans="1:3" ht="12.75" x14ac:dyDescent="0.2">
      <c r="A1344" s="1" t="s">
        <v>2376</v>
      </c>
      <c r="B1344" s="1" t="s">
        <v>289</v>
      </c>
      <c r="C1344" t="str">
        <f ca="1">IFERROR(__xludf.DUMMYFUNCTION("GOOGLETRANSLATE(B1344, ""ja"", ""en"")"),"...")</f>
        <v>...</v>
      </c>
    </row>
    <row r="1345" spans="1:3" ht="12.75" x14ac:dyDescent="0.2">
      <c r="A1345" s="1" t="s">
        <v>2377</v>
      </c>
      <c r="B1345" s="1" t="s">
        <v>1651</v>
      </c>
      <c r="C1345" t="str">
        <f ca="1">IFERROR(__xludf.DUMMYFUNCTION("GOOGLETRANSLATE(B1345, ""ja"", ""en"")"),"Cormorant")</f>
        <v>Cormorant</v>
      </c>
    </row>
    <row r="1346" spans="1:3" ht="12.75" x14ac:dyDescent="0.2">
      <c r="A1346" s="1" t="s">
        <v>2378</v>
      </c>
      <c r="B1346" s="1" t="s">
        <v>354</v>
      </c>
      <c r="C1346" t="str">
        <f ca="1">IFERROR(__xludf.DUMMYFUNCTION("GOOGLETRANSLATE(B1346, ""ja"", ""en"")"),"That")</f>
        <v>That</v>
      </c>
    </row>
    <row r="1347" spans="1:3" ht="12.75" x14ac:dyDescent="0.2">
      <c r="A1347" s="1" t="s">
        <v>2379</v>
      </c>
      <c r="B1347" s="1" t="s">
        <v>354</v>
      </c>
      <c r="C1347" t="str">
        <f ca="1">IFERROR(__xludf.DUMMYFUNCTION("GOOGLETRANSLATE(B1347, ""ja"", ""en"")"),"That")</f>
        <v>That</v>
      </c>
    </row>
    <row r="1348" spans="1:3" ht="12.75" x14ac:dyDescent="0.2">
      <c r="A1348" s="1" t="s">
        <v>2380</v>
      </c>
      <c r="B1348" s="1" t="s">
        <v>2223</v>
      </c>
      <c r="C1348" t="str">
        <f ca="1">IFERROR(__xludf.DUMMYFUNCTION("GOOGLETRANSLATE(B1348, ""ja"", ""en"")"),"")</f>
        <v/>
      </c>
    </row>
    <row r="1349" spans="1:3" ht="12.75" x14ac:dyDescent="0.2">
      <c r="A1349" s="1" t="s">
        <v>2381</v>
      </c>
      <c r="B1349" s="1" t="s">
        <v>289</v>
      </c>
      <c r="C1349" t="str">
        <f ca="1">IFERROR(__xludf.DUMMYFUNCTION("GOOGLETRANSLATE(B1349, ""ja"", ""en"")"),"...")</f>
        <v>...</v>
      </c>
    </row>
    <row r="1350" spans="1:3" ht="12.75" x14ac:dyDescent="0.2">
      <c r="A1350" s="1" t="s">
        <v>2382</v>
      </c>
      <c r="B1350" s="1" t="s">
        <v>478</v>
      </c>
      <c r="C1350" t="str">
        <f ca="1">IFERROR(__xludf.DUMMYFUNCTION("GOOGLETRANSLATE(B1350, ""ja"", ""en"")"),"Hmm")</f>
        <v>Hmm</v>
      </c>
    </row>
    <row r="1351" spans="1:3" ht="12.75" x14ac:dyDescent="0.2">
      <c r="A1351" s="1" t="s">
        <v>2383</v>
      </c>
      <c r="B1351" s="1" t="s">
        <v>289</v>
      </c>
      <c r="C1351" t="str">
        <f ca="1">IFERROR(__xludf.DUMMYFUNCTION("GOOGLETRANSLATE(B1351, ""ja"", ""en"")"),"...")</f>
        <v>...</v>
      </c>
    </row>
    <row r="1352" spans="1:3" ht="12.75" x14ac:dyDescent="0.2">
      <c r="A1352" s="1" t="s">
        <v>2384</v>
      </c>
      <c r="B1352" s="1" t="s">
        <v>2202</v>
      </c>
      <c r="C1352" t="str">
        <f ca="1">IFERROR(__xludf.DUMMYFUNCTION("GOOGLETRANSLATE(B1352, ""ja"", ""en"")"),"!")</f>
        <v>!</v>
      </c>
    </row>
    <row r="1353" spans="1:3" ht="12.75" x14ac:dyDescent="0.2">
      <c r="A1353" s="1" t="s">
        <v>2385</v>
      </c>
      <c r="B1353" s="1" t="s">
        <v>2231</v>
      </c>
      <c r="C1353" t="str">
        <f ca="1">IFERROR(__xludf.DUMMYFUNCTION("GOOGLETRANSLATE(B1353, ""ja"", ""en"")"),"~")</f>
        <v>~</v>
      </c>
    </row>
    <row r="1354" spans="1:3" ht="12.75" x14ac:dyDescent="0.2">
      <c r="A1354" s="1" t="s">
        <v>2386</v>
      </c>
      <c r="B1354" s="1" t="s">
        <v>2231</v>
      </c>
      <c r="C1354" t="str">
        <f ca="1">IFERROR(__xludf.DUMMYFUNCTION("GOOGLETRANSLATE(B1354, ""ja"", ""en"")"),"~")</f>
        <v>~</v>
      </c>
    </row>
    <row r="1355" spans="1:3" ht="12.75" x14ac:dyDescent="0.2">
      <c r="A1355" s="1" t="s">
        <v>2387</v>
      </c>
      <c r="B1355" s="1" t="s">
        <v>2202</v>
      </c>
      <c r="C1355" t="str">
        <f ca="1">IFERROR(__xludf.DUMMYFUNCTION("GOOGLETRANSLATE(B1355, ""ja"", ""en"")"),"!")</f>
        <v>!</v>
      </c>
    </row>
    <row r="1356" spans="1:3" ht="12.75" x14ac:dyDescent="0.2">
      <c r="A1356" s="1" t="s">
        <v>2388</v>
      </c>
      <c r="B1356" s="1" t="s">
        <v>478</v>
      </c>
      <c r="C1356" t="str">
        <f ca="1">IFERROR(__xludf.DUMMYFUNCTION("GOOGLETRANSLATE(B1356, ""ja"", ""en"")"),"Hmm")</f>
        <v>Hmm</v>
      </c>
    </row>
    <row r="1357" spans="1:3" ht="12.75" x14ac:dyDescent="0.2">
      <c r="A1357" s="1" t="s">
        <v>2389</v>
      </c>
      <c r="B1357" s="1" t="s">
        <v>535</v>
      </c>
      <c r="C1357" t="str">
        <f ca="1">IFERROR(__xludf.DUMMYFUNCTION("GOOGLETRANSLATE(B1357, ""ja"", ""en"")"),"Ya")</f>
        <v>Ya</v>
      </c>
    </row>
    <row r="1358" spans="1:3" ht="12.75" x14ac:dyDescent="0.2">
      <c r="A1358" s="1" t="s">
        <v>2390</v>
      </c>
      <c r="B1358" s="1" t="s">
        <v>457</v>
      </c>
      <c r="C1358" t="str">
        <f ca="1">IFERROR(__xludf.DUMMYFUNCTION("GOOGLETRANSLATE(B1358, ""ja"", ""en"")"),"so")</f>
        <v>so</v>
      </c>
    </row>
    <row r="1359" spans="1:3" ht="12.75" x14ac:dyDescent="0.2">
      <c r="A1359" s="1" t="s">
        <v>2391</v>
      </c>
      <c r="B1359" s="1" t="s">
        <v>457</v>
      </c>
      <c r="C1359" t="str">
        <f ca="1">IFERROR(__xludf.DUMMYFUNCTION("GOOGLETRANSLATE(B1359, ""ja"", ""en"")"),"so")</f>
        <v>so</v>
      </c>
    </row>
    <row r="1360" spans="1:3" ht="12.75" x14ac:dyDescent="0.2">
      <c r="A1360" s="1" t="s">
        <v>2392</v>
      </c>
      <c r="B1360" s="1" t="s">
        <v>101</v>
      </c>
      <c r="C1360" t="str">
        <f ca="1">IFERROR(__xludf.DUMMYFUNCTION("GOOGLETRANSLATE(B1360, ""ja"", ""en"")"),"Or")</f>
        <v>Or</v>
      </c>
    </row>
    <row r="1361" spans="1:3" ht="12.75" x14ac:dyDescent="0.2">
      <c r="A1361" s="1" t="s">
        <v>2393</v>
      </c>
      <c r="B1361" s="1" t="s">
        <v>2198</v>
      </c>
      <c r="C1361" t="str">
        <f ca="1">IFERROR(__xludf.DUMMYFUNCTION("GOOGLETRANSLATE(B1361, ""ja"", ""en"")"),"§")</f>
        <v>§</v>
      </c>
    </row>
    <row r="1362" spans="1:3" ht="12.75" x14ac:dyDescent="0.2">
      <c r="A1362" s="1" t="s">
        <v>2394</v>
      </c>
      <c r="B1362" s="1" t="s">
        <v>457</v>
      </c>
      <c r="C1362" t="str">
        <f ca="1">IFERROR(__xludf.DUMMYFUNCTION("GOOGLETRANSLATE(B1362, ""ja"", ""en"")"),"so")</f>
        <v>so</v>
      </c>
    </row>
    <row r="1363" spans="1:3" ht="12.75" x14ac:dyDescent="0.2">
      <c r="A1363" s="1" t="s">
        <v>2395</v>
      </c>
      <c r="B1363" s="1" t="s">
        <v>478</v>
      </c>
      <c r="C1363" t="str">
        <f ca="1">IFERROR(__xludf.DUMMYFUNCTION("GOOGLETRANSLATE(B1363, ""ja"", ""en"")"),"Hmm")</f>
        <v>Hmm</v>
      </c>
    </row>
    <row r="1364" spans="1:3" ht="12.75" x14ac:dyDescent="0.2">
      <c r="A1364" s="1" t="s">
        <v>2396</v>
      </c>
      <c r="B1364" s="1" t="s">
        <v>2202</v>
      </c>
      <c r="C1364" t="str">
        <f ca="1">IFERROR(__xludf.DUMMYFUNCTION("GOOGLETRANSLATE(B1364, ""ja"", ""en"")"),"!")</f>
        <v>!</v>
      </c>
    </row>
    <row r="1365" spans="1:3" ht="12.75" x14ac:dyDescent="0.2">
      <c r="A1365" s="1" t="s">
        <v>2397</v>
      </c>
      <c r="B1365" s="1" t="s">
        <v>457</v>
      </c>
      <c r="C1365" t="str">
        <f ca="1">IFERROR(__xludf.DUMMYFUNCTION("GOOGLETRANSLATE(B1365, ""ja"", ""en"")"),"so")</f>
        <v>so</v>
      </c>
    </row>
    <row r="1366" spans="1:3" ht="12.75" x14ac:dyDescent="0.2">
      <c r="A1366" s="1" t="s">
        <v>2398</v>
      </c>
      <c r="B1366" s="1" t="s">
        <v>2202</v>
      </c>
      <c r="C1366" t="str">
        <f ca="1">IFERROR(__xludf.DUMMYFUNCTION("GOOGLETRANSLATE(B1366, ""ja"", ""en"")"),"!")</f>
        <v>!</v>
      </c>
    </row>
    <row r="1367" spans="1:3" ht="12.75" x14ac:dyDescent="0.2">
      <c r="A1367" s="1" t="s">
        <v>2399</v>
      </c>
      <c r="B1367" s="1" t="s">
        <v>2223</v>
      </c>
      <c r="C1367" t="str">
        <f ca="1">IFERROR(__xludf.DUMMYFUNCTION("GOOGLETRANSLATE(B1367, ""ja"", ""en"")"),"")</f>
        <v/>
      </c>
    </row>
    <row r="1368" spans="1:3" ht="12.75" x14ac:dyDescent="0.2">
      <c r="A1368" s="1" t="s">
        <v>2400</v>
      </c>
      <c r="B1368" s="1" t="s">
        <v>465</v>
      </c>
      <c r="C1368" t="str">
        <f ca="1">IFERROR(__xludf.DUMMYFUNCTION("GOOGLETRANSLATE(B1368, ""ja"", ""en"")"),"")</f>
        <v/>
      </c>
    </row>
    <row r="1369" spans="1:3" ht="12.75" x14ac:dyDescent="0.2">
      <c r="A1369" s="1" t="s">
        <v>2401</v>
      </c>
      <c r="B1369" s="1" t="s">
        <v>101</v>
      </c>
      <c r="C1369" t="str">
        <f ca="1">IFERROR(__xludf.DUMMYFUNCTION("GOOGLETRANSLATE(B1369, ""ja"", ""en"")"),"Or")</f>
        <v>Or</v>
      </c>
    </row>
    <row r="1370" spans="1:3" ht="12.75" x14ac:dyDescent="0.2">
      <c r="A1370" s="1" t="s">
        <v>2402</v>
      </c>
      <c r="B1370" s="1" t="s">
        <v>2306</v>
      </c>
      <c r="C1370" t="str">
        <f ca="1">IFERROR(__xludf.DUMMYFUNCTION("GOOGLETRANSLATE(B1370, ""ja"", ""en"")"),"I")</f>
        <v>I</v>
      </c>
    </row>
    <row r="1371" spans="1:3" ht="12.75" x14ac:dyDescent="0.2">
      <c r="A1371" s="1" t="s">
        <v>2403</v>
      </c>
      <c r="B1371" s="1" t="s">
        <v>2404</v>
      </c>
      <c r="C1371" t="str">
        <f ca="1">IFERROR(__xludf.DUMMYFUNCTION("GOOGLETRANSLATE(B1371, ""ja"", ""en"")"),"Mm")</f>
        <v>Mm</v>
      </c>
    </row>
    <row r="1372" spans="1:3" ht="12.75" x14ac:dyDescent="0.2">
      <c r="A1372" s="1" t="s">
        <v>2405</v>
      </c>
      <c r="B1372" s="1" t="s">
        <v>289</v>
      </c>
      <c r="C1372" t="str">
        <f ca="1">IFERROR(__xludf.DUMMYFUNCTION("GOOGLETRANSLATE(B1372, ""ja"", ""en"")"),"...")</f>
        <v>...</v>
      </c>
    </row>
    <row r="1373" spans="1:3" ht="12.75" x14ac:dyDescent="0.2">
      <c r="A1373" s="1" t="s">
        <v>2406</v>
      </c>
      <c r="B1373" s="1" t="s">
        <v>465</v>
      </c>
      <c r="C1373" t="str">
        <f ca="1">IFERROR(__xludf.DUMMYFUNCTION("GOOGLETRANSLATE(B1373, ""ja"", ""en"")"),"")</f>
        <v/>
      </c>
    </row>
    <row r="1374" spans="1:3" ht="12.75" x14ac:dyDescent="0.2">
      <c r="A1374" s="1" t="s">
        <v>2407</v>
      </c>
      <c r="B1374" s="1" t="s">
        <v>101</v>
      </c>
      <c r="C1374" t="str">
        <f ca="1">IFERROR(__xludf.DUMMYFUNCTION("GOOGLETRANSLATE(B1374, ""ja"", ""en"")"),"Or")</f>
        <v>Or</v>
      </c>
    </row>
    <row r="1375" spans="1:3" ht="12.75" x14ac:dyDescent="0.2">
      <c r="A1375" s="1" t="s">
        <v>2408</v>
      </c>
      <c r="B1375" s="1" t="s">
        <v>2215</v>
      </c>
      <c r="C1375" t="str">
        <f ca="1">IFERROR(__xludf.DUMMYFUNCTION("GOOGLETRANSLATE(B1375, ""ja"", ""en"")"),"Tut")</f>
        <v>Tut</v>
      </c>
    </row>
    <row r="1376" spans="1:3" ht="12.75" x14ac:dyDescent="0.2">
      <c r="A1376" s="1" t="s">
        <v>2409</v>
      </c>
      <c r="B1376" s="1" t="s">
        <v>2202</v>
      </c>
      <c r="C1376" t="str">
        <f ca="1">IFERROR(__xludf.DUMMYFUNCTION("GOOGLETRANSLATE(B1376, ""ja"", ""en"")"),"!")</f>
        <v>!</v>
      </c>
    </row>
    <row r="1377" spans="1:3" ht="12.75" x14ac:dyDescent="0.2">
      <c r="A1377" s="1" t="s">
        <v>2410</v>
      </c>
      <c r="B1377" s="1" t="s">
        <v>289</v>
      </c>
      <c r="C1377" t="str">
        <f ca="1">IFERROR(__xludf.DUMMYFUNCTION("GOOGLETRANSLATE(B1377, ""ja"", ""en"")"),"...")</f>
        <v>...</v>
      </c>
    </row>
    <row r="1378" spans="1:3" ht="12.75" x14ac:dyDescent="0.2">
      <c r="A1378" s="1" t="s">
        <v>2411</v>
      </c>
      <c r="B1378" s="1" t="s">
        <v>289</v>
      </c>
      <c r="C1378" t="str">
        <f ca="1">IFERROR(__xludf.DUMMYFUNCTION("GOOGLETRANSLATE(B1378, ""ja"", ""en"")"),"...")</f>
        <v>...</v>
      </c>
    </row>
    <row r="1379" spans="1:3" ht="12.75" x14ac:dyDescent="0.2">
      <c r="A1379" s="1" t="s">
        <v>2412</v>
      </c>
      <c r="B1379" s="1" t="s">
        <v>289</v>
      </c>
      <c r="C1379" t="str">
        <f ca="1">IFERROR(__xludf.DUMMYFUNCTION("GOOGLETRANSLATE(B1379, ""ja"", ""en"")"),"...")</f>
        <v>...</v>
      </c>
    </row>
    <row r="1380" spans="1:3" ht="12.75" x14ac:dyDescent="0.2">
      <c r="A1380" s="1" t="s">
        <v>2413</v>
      </c>
      <c r="B1380" s="1" t="s">
        <v>250</v>
      </c>
      <c r="C1380" t="str">
        <f ca="1">IFERROR(__xludf.DUMMYFUNCTION("GOOGLETRANSLATE(B1380, ""ja"", ""en"")"),"?")</f>
        <v>?</v>
      </c>
    </row>
    <row r="1381" spans="1:3" ht="12.75" x14ac:dyDescent="0.2">
      <c r="A1381" s="1" t="s">
        <v>2414</v>
      </c>
      <c r="B1381" s="1" t="s">
        <v>2223</v>
      </c>
      <c r="C1381" t="str">
        <f ca="1">IFERROR(__xludf.DUMMYFUNCTION("GOOGLETRANSLATE(B1381, ""ja"", ""en"")"),"")</f>
        <v/>
      </c>
    </row>
    <row r="1382" spans="1:3" ht="12.75" x14ac:dyDescent="0.2">
      <c r="A1382" s="1" t="s">
        <v>2415</v>
      </c>
      <c r="B1382" s="1" t="s">
        <v>289</v>
      </c>
      <c r="C1382" t="str">
        <f ca="1">IFERROR(__xludf.DUMMYFUNCTION("GOOGLETRANSLATE(B1382, ""ja"", ""en"")"),"...")</f>
        <v>...</v>
      </c>
    </row>
    <row r="1383" spans="1:3" ht="12.75" x14ac:dyDescent="0.2">
      <c r="A1383" s="1" t="s">
        <v>2416</v>
      </c>
      <c r="B1383" s="1" t="s">
        <v>470</v>
      </c>
      <c r="C1383" t="str">
        <f ca="1">IFERROR(__xludf.DUMMYFUNCTION("GOOGLETRANSLATE(B1383, ""ja"", ""en"")"),"Over")</f>
        <v>Over</v>
      </c>
    </row>
    <row r="1384" spans="1:3" ht="12.75" x14ac:dyDescent="0.2">
      <c r="A1384" s="1" t="s">
        <v>2417</v>
      </c>
      <c r="B1384" s="1" t="s">
        <v>2231</v>
      </c>
      <c r="C1384" t="str">
        <f ca="1">IFERROR(__xludf.DUMMYFUNCTION("GOOGLETRANSLATE(B1384, ""ja"", ""en"")"),"~")</f>
        <v>~</v>
      </c>
    </row>
    <row r="1385" spans="1:3" ht="12.75" x14ac:dyDescent="0.2">
      <c r="A1385" s="1" t="s">
        <v>2418</v>
      </c>
      <c r="B1385" s="1" t="s">
        <v>2202</v>
      </c>
      <c r="C1385" t="str">
        <f ca="1">IFERROR(__xludf.DUMMYFUNCTION("GOOGLETRANSLATE(B1385, ""ja"", ""en"")"),"!")</f>
        <v>!</v>
      </c>
    </row>
    <row r="1386" spans="1:3" ht="12.75" x14ac:dyDescent="0.2">
      <c r="A1386" s="1" t="s">
        <v>2419</v>
      </c>
      <c r="B1386" s="1" t="s">
        <v>289</v>
      </c>
      <c r="C1386" t="str">
        <f ca="1">IFERROR(__xludf.DUMMYFUNCTION("GOOGLETRANSLATE(B1386, ""ja"", ""en"")"),"...")</f>
        <v>...</v>
      </c>
    </row>
    <row r="1387" spans="1:3" ht="12.75" x14ac:dyDescent="0.2">
      <c r="A1387" s="1" t="s">
        <v>2420</v>
      </c>
      <c r="B1387" s="1" t="s">
        <v>289</v>
      </c>
      <c r="C1387" t="str">
        <f ca="1">IFERROR(__xludf.DUMMYFUNCTION("GOOGLETRANSLATE(B1387, ""ja"", ""en"")"),"...")</f>
        <v>...</v>
      </c>
    </row>
    <row r="1388" spans="1:3" ht="12.75" x14ac:dyDescent="0.2">
      <c r="A1388" s="1" t="s">
        <v>2421</v>
      </c>
      <c r="B1388" s="1" t="s">
        <v>289</v>
      </c>
      <c r="C1388" t="str">
        <f ca="1">IFERROR(__xludf.DUMMYFUNCTION("GOOGLETRANSLATE(B1388, ""ja"", ""en"")"),"...")</f>
        <v>...</v>
      </c>
    </row>
    <row r="1389" spans="1:3" ht="12.75" x14ac:dyDescent="0.2">
      <c r="A1389" s="1" t="s">
        <v>2422</v>
      </c>
      <c r="B1389" s="1" t="s">
        <v>2329</v>
      </c>
      <c r="C1389" t="str">
        <f ca="1">IFERROR(__xludf.DUMMYFUNCTION("GOOGLETRANSLATE(B1389, ""ja"", ""en"")"),"")</f>
        <v/>
      </c>
    </row>
    <row r="1390" spans="1:3" ht="12.75" x14ac:dyDescent="0.2">
      <c r="A1390" s="1" t="s">
        <v>2423</v>
      </c>
      <c r="B1390" s="1" t="s">
        <v>250</v>
      </c>
      <c r="C1390" t="str">
        <f ca="1">IFERROR(__xludf.DUMMYFUNCTION("GOOGLETRANSLATE(B1390, ""ja"", ""en"")"),"?")</f>
        <v>?</v>
      </c>
    </row>
    <row r="1391" spans="1:3" ht="12.75" x14ac:dyDescent="0.2">
      <c r="A1391" s="1" t="s">
        <v>2424</v>
      </c>
      <c r="B1391" s="1" t="s">
        <v>289</v>
      </c>
      <c r="C1391" t="str">
        <f ca="1">IFERROR(__xludf.DUMMYFUNCTION("GOOGLETRANSLATE(B1391, ""ja"", ""en"")"),"...")</f>
        <v>...</v>
      </c>
    </row>
    <row r="1392" spans="1:3" ht="12.75" x14ac:dyDescent="0.2">
      <c r="A1392" s="1" t="s">
        <v>2425</v>
      </c>
      <c r="B1392" s="1" t="s">
        <v>101</v>
      </c>
      <c r="C1392" t="str">
        <f ca="1">IFERROR(__xludf.DUMMYFUNCTION("GOOGLETRANSLATE(B1392, ""ja"", ""en"")"),"Or")</f>
        <v>Or</v>
      </c>
    </row>
    <row r="1393" spans="1:3" ht="12.75" x14ac:dyDescent="0.2">
      <c r="A1393" s="1" t="s">
        <v>2426</v>
      </c>
      <c r="B1393" s="1" t="s">
        <v>289</v>
      </c>
      <c r="C1393" t="str">
        <f ca="1">IFERROR(__xludf.DUMMYFUNCTION("GOOGLETRANSLATE(B1393, ""ja"", ""en"")"),"...")</f>
        <v>...</v>
      </c>
    </row>
    <row r="1394" spans="1:3" ht="12.75" x14ac:dyDescent="0.2">
      <c r="A1394" s="1" t="s">
        <v>2427</v>
      </c>
      <c r="B1394" s="1" t="s">
        <v>2202</v>
      </c>
      <c r="C1394" t="str">
        <f ca="1">IFERROR(__xludf.DUMMYFUNCTION("GOOGLETRANSLATE(B1394, ""ja"", ""en"")"),"!")</f>
        <v>!</v>
      </c>
    </row>
    <row r="1395" spans="1:3" ht="12.75" x14ac:dyDescent="0.2">
      <c r="A1395" s="1" t="s">
        <v>2428</v>
      </c>
      <c r="B1395" s="1" t="s">
        <v>2202</v>
      </c>
      <c r="C1395" t="str">
        <f ca="1">IFERROR(__xludf.DUMMYFUNCTION("GOOGLETRANSLATE(B1395, ""ja"", ""en"")"),"!")</f>
        <v>!</v>
      </c>
    </row>
    <row r="1396" spans="1:3" ht="12.75" x14ac:dyDescent="0.2">
      <c r="A1396" s="1" t="s">
        <v>2429</v>
      </c>
      <c r="B1396" s="1" t="s">
        <v>535</v>
      </c>
      <c r="C1396" t="str">
        <f ca="1">IFERROR(__xludf.DUMMYFUNCTION("GOOGLETRANSLATE(B1396, ""ja"", ""en"")"),"Ya")</f>
        <v>Ya</v>
      </c>
    </row>
    <row r="1397" spans="1:3" ht="12.75" x14ac:dyDescent="0.2">
      <c r="A1397" s="1" t="s">
        <v>2430</v>
      </c>
      <c r="B1397" s="1" t="s">
        <v>2202</v>
      </c>
      <c r="C1397" t="str">
        <f ca="1">IFERROR(__xludf.DUMMYFUNCTION("GOOGLETRANSLATE(B1397, ""ja"", ""en"")"),"!")</f>
        <v>!</v>
      </c>
    </row>
    <row r="1398" spans="1:3" ht="12.75" x14ac:dyDescent="0.2">
      <c r="A1398" s="1" t="s">
        <v>2431</v>
      </c>
      <c r="B1398" s="1" t="s">
        <v>2202</v>
      </c>
      <c r="C1398" t="str">
        <f ca="1">IFERROR(__xludf.DUMMYFUNCTION("GOOGLETRANSLATE(B1398, ""ja"", ""en"")"),"!")</f>
        <v>!</v>
      </c>
    </row>
    <row r="1399" spans="1:3" ht="12.75" x14ac:dyDescent="0.2">
      <c r="A1399" s="1" t="s">
        <v>2432</v>
      </c>
      <c r="B1399" s="1" t="s">
        <v>289</v>
      </c>
      <c r="C1399" t="str">
        <f ca="1">IFERROR(__xludf.DUMMYFUNCTION("GOOGLETRANSLATE(B1399, ""ja"", ""en"")"),"...")</f>
        <v>...</v>
      </c>
    </row>
    <row r="1400" spans="1:3" ht="12.75" x14ac:dyDescent="0.2">
      <c r="A1400" s="1" t="s">
        <v>2433</v>
      </c>
      <c r="B1400" s="1" t="s">
        <v>250</v>
      </c>
      <c r="C1400" t="str">
        <f ca="1">IFERROR(__xludf.DUMMYFUNCTION("GOOGLETRANSLATE(B1400, ""ja"", ""en"")"),"?")</f>
        <v>?</v>
      </c>
    </row>
    <row r="1401" spans="1:3" ht="12.75" x14ac:dyDescent="0.2">
      <c r="A1401" s="1" t="s">
        <v>2434</v>
      </c>
      <c r="B1401" s="1" t="s">
        <v>2435</v>
      </c>
      <c r="C1401" t="str">
        <f ca="1">IFERROR(__xludf.DUMMYFUNCTION("GOOGLETRANSLATE(B1401, ""ja"", ""en"")"),"c)")</f>
        <v>c)</v>
      </c>
    </row>
    <row r="1402" spans="1:3" ht="12.75" x14ac:dyDescent="0.2">
      <c r="A1402" s="1" t="s">
        <v>2436</v>
      </c>
      <c r="B1402" s="1" t="s">
        <v>2437</v>
      </c>
      <c r="C1402" t="str">
        <f ca="1">IFERROR(__xludf.DUMMYFUNCTION("GOOGLETRANSLATE(B1402, ""ja"", ""en"")"),"")</f>
        <v/>
      </c>
    </row>
    <row r="1403" spans="1:3" ht="12.75" x14ac:dyDescent="0.2">
      <c r="A1403" s="1" t="s">
        <v>2438</v>
      </c>
      <c r="B1403" s="1" t="s">
        <v>2437</v>
      </c>
      <c r="C1403" t="str">
        <f ca="1">IFERROR(__xludf.DUMMYFUNCTION("GOOGLETRANSLATE(B1403, ""ja"", ""en"")"),"")</f>
        <v/>
      </c>
    </row>
    <row r="1404" spans="1:3" ht="12.75" x14ac:dyDescent="0.2">
      <c r="A1404" s="1" t="s">
        <v>2439</v>
      </c>
      <c r="B1404" s="1" t="s">
        <v>2440</v>
      </c>
      <c r="C1404" t="str">
        <f ca="1">IFERROR(__xludf.DUMMYFUNCTION("GOOGLETRANSLATE(B1404, ""ja"", ""en"")"),"!)")</f>
        <v>!)</v>
      </c>
    </row>
    <row r="1405" spans="1:3" ht="12.75" x14ac:dyDescent="0.2">
      <c r="A1405" s="1" t="s">
        <v>2441</v>
      </c>
      <c r="B1405" s="1" t="s">
        <v>2442</v>
      </c>
      <c r="C1405" t="str">
        <f ca="1">IFERROR(__xludf.DUMMYFUNCTION("GOOGLETRANSLATE(B1405, ""ja"", ""en"")"),"I)")</f>
        <v>I)</v>
      </c>
    </row>
    <row r="1406" spans="1:3" ht="12.75" x14ac:dyDescent="0.2">
      <c r="A1406" s="1" t="s">
        <v>2443</v>
      </c>
      <c r="B1406" s="1" t="s">
        <v>470</v>
      </c>
      <c r="C1406" t="str">
        <f ca="1">IFERROR(__xludf.DUMMYFUNCTION("GOOGLETRANSLATE(B1406, ""ja"", ""en"")"),"Over")</f>
        <v>Over</v>
      </c>
    </row>
    <row r="1407" spans="1:3" ht="12.75" x14ac:dyDescent="0.2">
      <c r="A1407" s="1" t="s">
        <v>2444</v>
      </c>
      <c r="B1407" s="1" t="s">
        <v>957</v>
      </c>
      <c r="C1407" t="str">
        <f ca="1">IFERROR(__xludf.DUMMYFUNCTION("GOOGLETRANSLATE(B1407, ""ja"", ""en"")"),"demon")</f>
        <v>demon</v>
      </c>
    </row>
    <row r="1408" spans="1:3" ht="12.75" x14ac:dyDescent="0.2">
      <c r="A1408" s="1" t="s">
        <v>2445</v>
      </c>
      <c r="B1408" s="1" t="s">
        <v>2446</v>
      </c>
      <c r="C1408" t="str">
        <f ca="1">IFERROR(__xludf.DUMMYFUNCTION("GOOGLETRANSLATE(B1408, ""ja"", ""en"")"),"Ichiro")</f>
        <v>Ichiro</v>
      </c>
    </row>
    <row r="1409" spans="1:3" ht="12.75" x14ac:dyDescent="0.2">
      <c r="A1409" s="1" t="s">
        <v>2447</v>
      </c>
      <c r="B1409" s="1" t="s">
        <v>2017</v>
      </c>
      <c r="C1409" t="str">
        <f ca="1">IFERROR(__xludf.DUMMYFUNCTION("GOOGLETRANSLATE(B1409, ""ja"", ""en"")"),"three")</f>
        <v>three</v>
      </c>
    </row>
    <row r="1410" spans="1:3" ht="12.75" x14ac:dyDescent="0.2">
      <c r="A1410" s="1" t="s">
        <v>2448</v>
      </c>
      <c r="B1410" s="1" t="s">
        <v>2449</v>
      </c>
      <c r="C1410" t="str">
        <f ca="1">IFERROR(__xludf.DUMMYFUNCTION("GOOGLETRANSLATE(B1410, ""ja"", ""en"")"),"Weight")</f>
        <v>Weight</v>
      </c>
    </row>
    <row r="1411" spans="1:3" ht="12.75" x14ac:dyDescent="0.2">
      <c r="A1411" s="1" t="s">
        <v>2450</v>
      </c>
      <c r="B1411" s="1" t="s">
        <v>2013</v>
      </c>
      <c r="C1411" t="str">
        <f ca="1">IFERROR(__xludf.DUMMYFUNCTION("GOOGLETRANSLATE(B1411, ""ja"", ""en"")"),"one")</f>
        <v>one</v>
      </c>
    </row>
    <row r="1412" spans="1:3" ht="12.75" x14ac:dyDescent="0.2">
      <c r="A1412" s="1" t="s">
        <v>2451</v>
      </c>
      <c r="B1412" s="1" t="s">
        <v>2452</v>
      </c>
      <c r="C1412" t="str">
        <f ca="1">IFERROR(__xludf.DUMMYFUNCTION("GOOGLETRANSLATE(B1412, ""ja"", ""en"")"),"snow")</f>
        <v>snow</v>
      </c>
    </row>
    <row r="1413" spans="1:3" ht="12.75" x14ac:dyDescent="0.2">
      <c r="A1413" s="1" t="s">
        <v>2453</v>
      </c>
      <c r="B1413" s="1" t="s">
        <v>2454</v>
      </c>
      <c r="C1413" t="str">
        <f ca="1">IFERROR(__xludf.DUMMYFUNCTION("GOOGLETRANSLATE(B1413, ""ja"", ""en"")"),"spring")</f>
        <v>spring</v>
      </c>
    </row>
    <row r="1414" spans="1:3" ht="12.75" x14ac:dyDescent="0.2">
      <c r="A1414" s="1" t="s">
        <v>2455</v>
      </c>
      <c r="B1414" s="1" t="s">
        <v>2456</v>
      </c>
      <c r="C1414" t="str">
        <f ca="1">IFERROR(__xludf.DUMMYFUNCTION("GOOGLETRANSLATE(B1414, ""ja"", ""en"")"),"Hayao")</f>
        <v>Hayao</v>
      </c>
    </row>
    <row r="1415" spans="1:3" ht="12.75" x14ac:dyDescent="0.2">
      <c r="A1415" s="1" t="s">
        <v>2457</v>
      </c>
      <c r="B1415" s="1" t="s">
        <v>2458</v>
      </c>
      <c r="C1415" t="str">
        <f ca="1">IFERROR(__xludf.DUMMYFUNCTION("GOOGLETRANSLATE(B1415, ""ja"", ""en"")"),"Eight")</f>
        <v>Eight</v>
      </c>
    </row>
    <row r="1416" spans="1:3" ht="12.75" x14ac:dyDescent="0.2">
      <c r="A1416" s="1" t="s">
        <v>2459</v>
      </c>
      <c r="B1416" s="1" t="s">
        <v>2460</v>
      </c>
      <c r="C1416" t="str">
        <f ca="1">IFERROR(__xludf.DUMMYFUNCTION("GOOGLETRANSLATE(B1416, ""ja"", ""en"")"),"Toru")</f>
        <v>Toru</v>
      </c>
    </row>
    <row r="1417" spans="1:3" ht="12.75" x14ac:dyDescent="0.2">
      <c r="A1417" s="1" t="s">
        <v>2461</v>
      </c>
      <c r="B1417" s="1" t="s">
        <v>2462</v>
      </c>
      <c r="C1417" t="str">
        <f ca="1">IFERROR(__xludf.DUMMYFUNCTION("GOOGLETRANSLATE(B1417, ""ja"", ""en"")"),"Kiss")</f>
        <v>Kiss</v>
      </c>
    </row>
    <row r="1418" spans="1:3" ht="12.75" x14ac:dyDescent="0.2">
      <c r="A1418" s="1" t="s">
        <v>2463</v>
      </c>
      <c r="B1418" s="1" t="s">
        <v>2464</v>
      </c>
      <c r="C1418" t="str">
        <f ca="1">IFERROR(__xludf.DUMMYFUNCTION("GOOGLETRANSLATE(B1418, ""ja"", ""en"")"),"Kei")</f>
        <v>Kei</v>
      </c>
    </row>
    <row r="1419" spans="1:3" ht="12.75" x14ac:dyDescent="0.2">
      <c r="A1419" s="1" t="s">
        <v>2465</v>
      </c>
      <c r="B1419" s="1" t="s">
        <v>2466</v>
      </c>
      <c r="C1419" t="str">
        <f ca="1">IFERROR(__xludf.DUMMYFUNCTION("GOOGLETRANSLATE(B1419, ""ja"", ""en"")"),"Osamu")</f>
        <v>Osamu</v>
      </c>
    </row>
    <row r="1420" spans="1:3" ht="12.75" x14ac:dyDescent="0.2">
      <c r="A1420" s="1" t="s">
        <v>2467</v>
      </c>
      <c r="B1420" s="1" t="s">
        <v>2468</v>
      </c>
      <c r="C1420" t="str">
        <f ca="1">IFERROR(__xludf.DUMMYFUNCTION("GOOGLETRANSLATE(B1420, ""ja"", ""en"")"),"Yoshihiko")</f>
        <v>Yoshihiko</v>
      </c>
    </row>
    <row r="1421" spans="1:3" ht="12.75" x14ac:dyDescent="0.2">
      <c r="A1421" s="1" t="s">
        <v>2469</v>
      </c>
      <c r="B1421" s="1" t="s">
        <v>2470</v>
      </c>
      <c r="C1421" t="str">
        <f ca="1">IFERROR(__xludf.DUMMYFUNCTION("GOOGLETRANSLATE(B1421, ""ja"", ""en"")"),"Warehouse")</f>
        <v>Warehouse</v>
      </c>
    </row>
    <row r="1422" spans="1:3" ht="12.75" x14ac:dyDescent="0.2">
      <c r="A1422" s="1" t="s">
        <v>2471</v>
      </c>
      <c r="B1422" s="1" t="s">
        <v>2472</v>
      </c>
      <c r="C1422" t="str">
        <f ca="1">IFERROR(__xludf.DUMMYFUNCTION("GOOGLETRANSLATE(B1422, ""ja"", ""en"")"),"Luck")</f>
        <v>Luck</v>
      </c>
    </row>
    <row r="1423" spans="1:3" ht="12.75" x14ac:dyDescent="0.2">
      <c r="A1423" s="1" t="s">
        <v>2473</v>
      </c>
      <c r="B1423" s="1" t="s">
        <v>2474</v>
      </c>
      <c r="C1423" t="str">
        <f ca="1">IFERROR(__xludf.DUMMYFUNCTION("GOOGLETRANSLATE(B1423, ""ja"", ""en"")"),"Soji Okita")</f>
        <v>Soji Okita</v>
      </c>
    </row>
    <row r="1424" spans="1:3" ht="12.75" x14ac:dyDescent="0.2">
      <c r="A1424" s="1" t="s">
        <v>2475</v>
      </c>
      <c r="B1424" s="1" t="s">
        <v>2476</v>
      </c>
      <c r="C1424" t="str">
        <f ca="1">IFERROR(__xludf.DUMMYFUNCTION("GOOGLETRANSLATE(B1424, ""ja"", ""en"")"),"Shinpachi Nagakura")</f>
        <v>Shinpachi Nagakura</v>
      </c>
    </row>
    <row r="1425" spans="1:3" ht="12.75" x14ac:dyDescent="0.2">
      <c r="A1425" s="1" t="s">
        <v>2477</v>
      </c>
      <c r="B1425" s="1" t="s">
        <v>2478</v>
      </c>
      <c r="C1425" t="str">
        <f ca="1">IFERROR(__xludf.DUMMYFUNCTION("GOOGLETRANSLATE(B1425, ""ja"", ""en"")"),"Kogoro Katsura")</f>
        <v>Kogoro Katsura</v>
      </c>
    </row>
    <row r="1426" spans="1:3" ht="12.75" x14ac:dyDescent="0.2">
      <c r="A1426" s="1" t="s">
        <v>2479</v>
      </c>
      <c r="B1426" s="1" t="s">
        <v>2480</v>
      </c>
      <c r="C1426" t="str">
        <f ca="1">IFERROR(__xludf.DUMMYFUNCTION("GOOGLETRANSLATE(B1426, ""ja"", ""en"")"),"Kichinosuke Saigo")</f>
        <v>Kichinosuke Saigo</v>
      </c>
    </row>
    <row r="1427" spans="1:3" ht="12.75" x14ac:dyDescent="0.2">
      <c r="A1427" s="1" t="s">
        <v>2481</v>
      </c>
      <c r="B1427" s="1" t="s">
        <v>2482</v>
      </c>
      <c r="C1427" t="str">
        <f ca="1">IFERROR(__xludf.DUMMYFUNCTION("GOOGLETRANSLATE(B1427, ""ja"", ""en"")"),"Be this was coming!")</f>
        <v>Be this was coming!</v>
      </c>
    </row>
    <row r="1428" spans="1:3" ht="12.75" x14ac:dyDescent="0.2">
      <c r="A1428" s="1" t="s">
        <v>2483</v>
      </c>
      <c r="B1428" s="1" t="s">
        <v>2484</v>
      </c>
      <c r="C1428" t="str">
        <f ca="1">IFERROR(__xludf.DUMMYFUNCTION("GOOGLETRANSLATE(B1428, ""ja"", ""en"")"),"This is I'm not ...")</f>
        <v>This is I'm not ...</v>
      </c>
    </row>
    <row r="1429" spans="1:3" ht="12.75" x14ac:dyDescent="0.2">
      <c r="A1429" s="1" t="s">
        <v>2485</v>
      </c>
      <c r="B1429" s="1" t="s">
        <v>2486</v>
      </c>
      <c r="C1429" t="str">
        <f ca="1">IFERROR(__xludf.DUMMYFUNCTION("GOOGLETRANSLATE(B1429, ""ja"", ""en"")"),"Or rather ...")</f>
        <v>Or rather ...</v>
      </c>
    </row>
    <row r="1430" spans="1:3" ht="12.75" x14ac:dyDescent="0.2">
      <c r="A1430" s="1" t="s">
        <v>2487</v>
      </c>
      <c r="B1430" s="1" t="s">
        <v>2488</v>
      </c>
      <c r="C1430" t="str">
        <f ca="1">IFERROR(__xludf.DUMMYFUNCTION("GOOGLETRANSLATE(B1430, ""ja"", ""en"")"),"I wonder not aligned yet")</f>
        <v>I wonder not aligned yet</v>
      </c>
    </row>
    <row r="1431" spans="1:3" ht="12.75" x14ac:dyDescent="0.2">
      <c r="A1431" s="1" t="s">
        <v>2489</v>
      </c>
      <c r="B1431" s="1" t="s">
        <v>2490</v>
      </c>
      <c r="C1431" t="str">
        <f ca="1">IFERROR(__xludf.DUMMYFUNCTION("GOOGLETRANSLATE(B1431, ""ja"", ""en"")"),"Kana to reach ...")</f>
        <v>Kana to reach ...</v>
      </c>
    </row>
    <row r="1432" spans="1:3" ht="12.75" x14ac:dyDescent="0.2">
      <c r="A1432" s="1" t="s">
        <v>2491</v>
      </c>
      <c r="B1432" s="1" t="s">
        <v>2492</v>
      </c>
      <c r="C1432" t="str">
        <f ca="1">IFERROR(__xludf.DUMMYFUNCTION("GOOGLETRANSLATE(B1432, ""ja"", ""en"")"),"I want to Tsumo ...")</f>
        <v>I want to Tsumo ...</v>
      </c>
    </row>
    <row r="1433" spans="1:3" ht="12.75" x14ac:dyDescent="0.2">
      <c r="A1433" s="1" t="s">
        <v>2493</v>
      </c>
      <c r="B1433" s="1" t="s">
        <v>2494</v>
      </c>
      <c r="C1433" t="str">
        <f ca="1">IFERROR(__xludf.DUMMYFUNCTION("GOOGLETRANSLATE(B1433, ""ja"", ""en"")"),"Chau point of argument!")</f>
        <v>Chau point of argument!</v>
      </c>
    </row>
    <row r="1434" spans="1:3" ht="12.75" x14ac:dyDescent="0.2">
      <c r="A1434" s="1" t="s">
        <v>2495</v>
      </c>
      <c r="B1434" s="1" t="s">
        <v>2496</v>
      </c>
      <c r="C1434" t="str">
        <f ca="1">IFERROR(__xludf.DUMMYFUNCTION("GOOGLETRANSLATE(B1434, ""ja"", ""en"")"),"Musical composition")</f>
        <v>Musical composition</v>
      </c>
    </row>
    <row r="1435" spans="1:3" ht="12.75" x14ac:dyDescent="0.2">
      <c r="A1435" s="1" t="s">
        <v>2497</v>
      </c>
      <c r="B1435" s="1" t="s">
        <v>2498</v>
      </c>
      <c r="C1435" t="str">
        <f ca="1">IFERROR(__xludf.DUMMYFUNCTION("GOOGLETRANSLATE(B1435, ""ja"", ""en"")"),"difficulty")</f>
        <v>difficulty</v>
      </c>
    </row>
    <row r="1436" spans="1:3" ht="12.75" x14ac:dyDescent="0.2">
      <c r="A1436" s="1" t="s">
        <v>2499</v>
      </c>
      <c r="B1436" s="1" t="s">
        <v>2500</v>
      </c>
      <c r="C1436" t="str">
        <f ca="1">IFERROR(__xludf.DUMMYFUNCTION("GOOGLETRANSLATE(B1436, ""ja"", ""en"")"),"highscore")</f>
        <v>highscore</v>
      </c>
    </row>
    <row r="1437" spans="1:3" ht="12.75" x14ac:dyDescent="0.2">
      <c r="A1437" s="1" t="s">
        <v>2501</v>
      </c>
      <c r="B1437" s="1" t="s">
        <v>2502</v>
      </c>
      <c r="C1437" t="str">
        <f ca="1">IFERROR(__xludf.DUMMYFUNCTION("GOOGLETRANSLATE(B1437, ""ja"", ""en"")"),"Most consecutive successful number")</f>
        <v>Most consecutive successful number</v>
      </c>
    </row>
    <row r="1438" spans="1:3" ht="12.75" x14ac:dyDescent="0.2">
      <c r="A1438" s="1" t="s">
        <v>2503</v>
      </c>
      <c r="B1438" s="1" t="s">
        <v>2504</v>
      </c>
      <c r="C1438" t="str">
        <f ca="1">IFERROR(__xludf.DUMMYFUNCTION("GOOGLETRANSLATE(B1438, ""ja"", ""en"")"),"Comprehensive evaluation")</f>
        <v>Comprehensive evaluation</v>
      </c>
    </row>
    <row r="1439" spans="1:3" ht="12.75" x14ac:dyDescent="0.2">
      <c r="A1439" s="1" t="s">
        <v>2505</v>
      </c>
      <c r="B1439" s="1" t="s">
        <v>2506</v>
      </c>
      <c r="C1439" t="str">
        <f ca="1">IFERROR(__xludf.DUMMYFUNCTION("GOOGLETRANSLATE(B1439, ""ja"", ""en"")"),"input")</f>
        <v>input</v>
      </c>
    </row>
    <row r="1440" spans="1:3" ht="12.75" x14ac:dyDescent="0.2">
      <c r="A1440" s="1" t="s">
        <v>2507</v>
      </c>
      <c r="B1440" s="1" t="s">
        <v>2508</v>
      </c>
      <c r="C1440" t="str">
        <f ca="1">IFERROR(__xludf.DUMMYFUNCTION("GOOGLETRANSLATE(B1440, ""ja"", ""en"")"),"Snowstorm ditty")</f>
        <v>Snowstorm ditty</v>
      </c>
    </row>
    <row r="1441" spans="1:3" ht="12.75" x14ac:dyDescent="0.2">
      <c r="A1441" s="1" t="s">
        <v>2509</v>
      </c>
      <c r="B1441" s="1" t="s">
        <v>2510</v>
      </c>
      <c r="C1441" t="str">
        <f ca="1">IFERROR(__xludf.DUMMYFUNCTION("GOOGLETRANSLATE(B1441, ""ja"", ""en"")"),"Samurai dance performance")</f>
        <v>Samurai dance performance</v>
      </c>
    </row>
    <row r="1442" spans="1:3" ht="12.75" x14ac:dyDescent="0.2">
      <c r="A1442" s="1" t="s">
        <v>2511</v>
      </c>
      <c r="B1442" s="1" t="s">
        <v>2512</v>
      </c>
      <c r="C1442" t="str">
        <f ca="1">IFERROR(__xludf.DUMMYFUNCTION("GOOGLETRANSLATE(B1442, ""ja"", ""en"")"),"Beat")</f>
        <v>Beat</v>
      </c>
    </row>
    <row r="1443" spans="1:3" ht="12.75" x14ac:dyDescent="0.2">
      <c r="A1443" s="1" t="s">
        <v>2513</v>
      </c>
      <c r="B1443" s="1" t="s">
        <v>2514</v>
      </c>
      <c r="C1443" t="str">
        <f ca="1">IFERROR(__xludf.DUMMYFUNCTION("GOOGLETRANSLATE(B1443, ""ja"", ""en"")"),"Ditty that banquet, etc. have danced singing for a long time among the common people. [N] enjoy Feel free to adults and children, the music of the entrance presence of dance.")</f>
        <v>Ditty that banquet, etc. have danced singing for a long time among the common people. [N] enjoy Feel free to adults and children, the music of the entrance presence of dance.</v>
      </c>
    </row>
    <row r="1444" spans="1:3" ht="12.75" x14ac:dyDescent="0.2">
      <c r="A1444" s="1" t="s">
        <v>2515</v>
      </c>
      <c r="B1444" s="1" t="s">
        <v>2516</v>
      </c>
      <c r="C1444" t="str">
        <f ca="1">IFERROR(__xludf.DUMMYFUNCTION("GOOGLETRANSLATE(B1444, ""ja"", ""en"")"),"Music was re-tailored for the dance performance to ""Samurai Ondo"" in the epidemic in Kyoto. [N] fun and elegance of the dance of Ondo can enjoy at the same time.")</f>
        <v>Music was re-tailored for the dance performance to "Samurai Ondo" in the epidemic in Kyoto. [N] fun and elegance of the dance of Ondo can enjoy at the same time.</v>
      </c>
    </row>
    <row r="1445" spans="1:3" ht="12.75" x14ac:dyDescent="0.2">
      <c r="A1445" s="1" t="s">
        <v>2517</v>
      </c>
      <c r="B1445" s="1" t="s">
        <v>2518</v>
      </c>
      <c r="C1445" t="str">
        <f ca="1">IFERROR(__xludf.DUMMYFUNCTION("GOOGLETRANSLATE(B1445, ""ja"", ""en"")"),"Music that expresses the brilliance of a man of passion and life to fight. [N] also in the elegance, no other song ""Heat"" is felt by.")</f>
        <v>Music that expresses the brilliance of a man of passion and life to fight. [N] also in the elegance, no other song "Heat" is felt by.</v>
      </c>
    </row>
    <row r="1446" spans="1:3" ht="12.75" x14ac:dyDescent="0.2">
      <c r="A1446" s="1" t="s">
        <v>2519</v>
      </c>
      <c r="B1446" s="1" t="s">
        <v>2520</v>
      </c>
      <c r="C1446" t="str">
        <f ca="1">IFERROR(__xludf.DUMMYFUNCTION("GOOGLETRANSLATE(B1446, ""ja"", ""en"")"),"Beginner")</f>
        <v>Beginner</v>
      </c>
    </row>
    <row r="1447" spans="1:3" ht="12.75" x14ac:dyDescent="0.2">
      <c r="A1447" s="1" t="s">
        <v>2521</v>
      </c>
      <c r="B1447" s="1" t="s">
        <v>2522</v>
      </c>
      <c r="C1447" t="str">
        <f ca="1">IFERROR(__xludf.DUMMYFUNCTION("GOOGLETRANSLATE(B1447, ""ja"", ""en"")"),"Common")</f>
        <v>Common</v>
      </c>
    </row>
    <row r="1448" spans="1:3" ht="12.75" x14ac:dyDescent="0.2">
      <c r="A1448" s="1" t="s">
        <v>2523</v>
      </c>
      <c r="B1448" s="1" t="s">
        <v>2524</v>
      </c>
      <c r="C1448" t="str">
        <f ca="1">IFERROR(__xludf.DUMMYFUNCTION("GOOGLETRANSLATE(B1448, ""ja"", ""en"")"),"Senior")</f>
        <v>Senior</v>
      </c>
    </row>
    <row r="1449" spans="1:3" ht="12.75" x14ac:dyDescent="0.2">
      <c r="A1449" s="1" t="s">
        <v>2525</v>
      </c>
      <c r="B1449" s="1" t="s">
        <v>2526</v>
      </c>
      <c r="C1449" t="str">
        <f ca="1">IFERROR(__xludf.DUMMYFUNCTION("GOOGLETRANSLATE(B1449, ""ja"", ""en"")"),"getting started")</f>
        <v>getting started</v>
      </c>
    </row>
    <row r="1450" spans="1:3" ht="12.75" x14ac:dyDescent="0.2">
      <c r="A1450" s="1" t="s">
        <v>2527</v>
      </c>
      <c r="B1450" s="1" t="s">
        <v>2528</v>
      </c>
      <c r="C1450" t="str">
        <f ca="1">IFERROR(__xludf.DUMMYFUNCTION("GOOGLETRANSLATE(B1450, ""ja"", ""en"")"),"Full-scale")</f>
        <v>Full-scale</v>
      </c>
    </row>
    <row r="1451" spans="1:3" ht="12.75" x14ac:dyDescent="0.2">
      <c r="A1451" s="1" t="s">
        <v>2529</v>
      </c>
      <c r="B1451" s="1" t="s">
        <v>2530</v>
      </c>
      <c r="C1451" t="str">
        <f ca="1">IFERROR(__xludf.DUMMYFUNCTION("GOOGLETRANSLATE(B1451, ""ja"", ""en"")"),"None")</f>
        <v>None</v>
      </c>
    </row>
    <row r="1452" spans="1:3" ht="12.75" x14ac:dyDescent="0.2">
      <c r="A1452" s="1" t="s">
        <v>2531</v>
      </c>
      <c r="B1452" s="1" t="s">
        <v>2532</v>
      </c>
      <c r="C1452" t="str">
        <f ca="1">IFERROR(__xludf.DUMMYFUNCTION("GOOGLETRANSLATE(B1452, ""ja"", ""en"")"),"out of the question")</f>
        <v>out of the question</v>
      </c>
    </row>
    <row r="1453" spans="1:3" ht="12.75" x14ac:dyDescent="0.2">
      <c r="A1453" s="1" t="s">
        <v>2533</v>
      </c>
      <c r="B1453" s="1" t="s">
        <v>2534</v>
      </c>
      <c r="C1453" t="str">
        <f ca="1">IFERROR(__xludf.DUMMYFUNCTION("GOOGLETRANSLATE(B1453, ""ja"", ""en"")"),"Third rate")</f>
        <v>Third rate</v>
      </c>
    </row>
    <row r="1454" spans="1:3" ht="12.75" x14ac:dyDescent="0.2">
      <c r="A1454" s="1" t="s">
        <v>2535</v>
      </c>
      <c r="B1454" s="1" t="s">
        <v>2536</v>
      </c>
      <c r="C1454" t="str">
        <f ca="1">IFERROR(__xludf.DUMMYFUNCTION("GOOGLETRANSLATE(B1454, ""ja"", ""en"")"),"Second rate")</f>
        <v>Second rate</v>
      </c>
    </row>
    <row r="1455" spans="1:3" ht="12.75" x14ac:dyDescent="0.2">
      <c r="A1455" s="1" t="s">
        <v>2537</v>
      </c>
      <c r="B1455" s="1" t="s">
        <v>2538</v>
      </c>
      <c r="C1455" t="str">
        <f ca="1">IFERROR(__xludf.DUMMYFUNCTION("GOOGLETRANSLATE(B1455, ""ja"", ""en"")"),"top notch")</f>
        <v>top notch</v>
      </c>
    </row>
    <row r="1456" spans="1:3" ht="12.75" x14ac:dyDescent="0.2">
      <c r="A1456" s="1" t="s">
        <v>2539</v>
      </c>
      <c r="B1456" s="1" t="s">
        <v>2540</v>
      </c>
      <c r="C1456" t="str">
        <f ca="1">IFERROR(__xludf.DUMMYFUNCTION("GOOGLETRANSLATE(B1456, ""ja"", ""en"")"),"Dance god")</f>
        <v>Dance god</v>
      </c>
    </row>
    <row r="1457" spans="1:3" ht="12.75" x14ac:dyDescent="0.2">
      <c r="A1457" s="1" t="s">
        <v>2541</v>
      </c>
      <c r="B1457" s="1" t="s">
        <v>2542</v>
      </c>
      <c r="C1457" t="str">
        <f ca="1">IFERROR(__xludf.DUMMYFUNCTION("GOOGLETRANSLATE(B1457, ""ja"", ""en"")"),"Ordeal Disrupt 1")</f>
        <v>Ordeal Disrupt 1</v>
      </c>
    </row>
    <row r="1458" spans="1:3" ht="12.75" x14ac:dyDescent="0.2">
      <c r="A1458" s="1" t="s">
        <v>2543</v>
      </c>
      <c r="B1458" s="1" t="s">
        <v>2544</v>
      </c>
      <c r="C1458" t="str">
        <f ca="1">IFERROR(__xludf.DUMMYFUNCTION("GOOGLETRANSLATE(B1458, ""ja"", ""en"")"),"Ordeal Disrupt 2")</f>
        <v>Ordeal Disrupt 2</v>
      </c>
    </row>
    <row r="1459" spans="1:3" ht="12.75" x14ac:dyDescent="0.2">
      <c r="A1459" s="1" t="s">
        <v>2545</v>
      </c>
      <c r="B1459" s="1" t="s">
        <v>2546</v>
      </c>
      <c r="C1459" t="str">
        <f ca="1">IFERROR(__xludf.DUMMYFUNCTION("GOOGLETRANSLATE(B1459, ""ja"", ""en"")"),"Ordeal Disrupt 3")</f>
        <v>Ordeal Disrupt 3</v>
      </c>
    </row>
    <row r="1460" spans="1:3" ht="12.75" x14ac:dyDescent="0.2">
      <c r="A1460" s="1" t="s">
        <v>2547</v>
      </c>
      <c r="B1460" s="1" t="s">
        <v>2548</v>
      </c>
      <c r="C1460" t="str">
        <f ca="1">IFERROR(__xludf.DUMMYFUNCTION("GOOGLETRANSLATE(B1460, ""ja"", ""en"")"),"Ordeal Disrupt 4")</f>
        <v>Ordeal Disrupt 4</v>
      </c>
    </row>
    <row r="1461" spans="1:3" ht="12.75" x14ac:dyDescent="0.2">
      <c r="A1461" s="1" t="s">
        <v>2549</v>
      </c>
      <c r="B1461" s="1" t="s">
        <v>2550</v>
      </c>
      <c r="C1461" t="str">
        <f ca="1">IFERROR(__xludf.DUMMYFUNCTION("GOOGLETRANSLATE(B1461, ""ja"", ""en"")"),"Ordeal Disrupt 5")</f>
        <v>Ordeal Disrupt 5</v>
      </c>
    </row>
    <row r="1462" spans="1:3" ht="12.75" x14ac:dyDescent="0.2">
      <c r="A1462" s="1" t="s">
        <v>2551</v>
      </c>
      <c r="B1462" s="1" t="s">
        <v>2552</v>
      </c>
      <c r="C1462" t="str">
        <f ca="1">IFERROR(__xludf.DUMMYFUNCTION("GOOGLETRANSLATE(B1462, ""ja"", ""en"")"),"Ordeal Disrupt 6")</f>
        <v>Ordeal Disrupt 6</v>
      </c>
    </row>
    <row r="1463" spans="1:3" ht="12.75" x14ac:dyDescent="0.2">
      <c r="A1463" s="1" t="s">
        <v>2553</v>
      </c>
      <c r="B1463" s="1" t="s">
        <v>2554</v>
      </c>
      <c r="C1463" t="str">
        <f ca="1">IFERROR(__xludf.DUMMYFUNCTION("GOOGLETRANSLATE(B1463, ""ja"", ""en"")"),"Ordeal Disrupt 7")</f>
        <v>Ordeal Disrupt 7</v>
      </c>
    </row>
    <row r="1464" spans="1:3" ht="12.75" x14ac:dyDescent="0.2">
      <c r="A1464" s="1" t="s">
        <v>2555</v>
      </c>
      <c r="B1464" s="1" t="s">
        <v>2556</v>
      </c>
      <c r="C1464" t="str">
        <f ca="1">IFERROR(__xludf.DUMMYFUNCTION("GOOGLETRANSLATE(B1464, ""ja"", ""en"")"),"Ordeal Disrupt 8")</f>
        <v>Ordeal Disrupt 8</v>
      </c>
    </row>
    <row r="1465" spans="1:3" ht="12.75" x14ac:dyDescent="0.2">
      <c r="A1465" s="1" t="s">
        <v>2557</v>
      </c>
      <c r="B1465" s="1" t="s">
        <v>2558</v>
      </c>
      <c r="C1465" t="str">
        <f ca="1">IFERROR(__xludf.DUMMYFUNCTION("GOOGLETRANSLATE(B1465, ""ja"", ""en"")"),"Ordeal Disrupt 9")</f>
        <v>Ordeal Disrupt 9</v>
      </c>
    </row>
    <row r="1466" spans="1:3" ht="12.75" x14ac:dyDescent="0.2">
      <c r="A1466" s="1" t="s">
        <v>2559</v>
      </c>
      <c r="B1466" s="1" t="s">
        <v>2560</v>
      </c>
      <c r="C1466" t="str">
        <f ca="1">IFERROR(__xludf.DUMMYFUNCTION("GOOGLETRANSLATE(B1466, ""ja"", ""en"")"),"Ordeal Disrupt 10")</f>
        <v>Ordeal Disrupt 10</v>
      </c>
    </row>
    <row r="1467" spans="1:3" ht="12.75" x14ac:dyDescent="0.2">
      <c r="A1467" s="1" t="s">
        <v>2561</v>
      </c>
      <c r="B1467" s="1" t="s">
        <v>2562</v>
      </c>
      <c r="C1467" t="str">
        <f ca="1">IFERROR(__xludf.DUMMYFUNCTION("GOOGLETRANSLATE(B1467, ""ja"", ""en"")"),"Ordeal Disrupt final")</f>
        <v>Ordeal Disrupt final</v>
      </c>
    </row>
    <row r="1468" spans="1:3" ht="12.75" x14ac:dyDescent="0.2">
      <c r="A1468" s="1" t="s">
        <v>2563</v>
      </c>
      <c r="B1468" s="1" t="s">
        <v>2564</v>
      </c>
      <c r="C1468" t="str">
        <f ca="1">IFERROR(__xludf.DUMMYFUNCTION("GOOGLETRANSLATE(B1468, ""ja"", ""en"")"),"What Please choose whether to challenge the test.")</f>
        <v>What Please choose whether to challenge the test.</v>
      </c>
    </row>
    <row r="1469" spans="1:3" ht="12.75" x14ac:dyDescent="0.2">
      <c r="A1469" s="1" t="s">
        <v>2565</v>
      </c>
      <c r="B1469" s="1" t="s">
        <v>250</v>
      </c>
      <c r="C1469" t="str">
        <f ca="1">IFERROR(__xludf.DUMMYFUNCTION("GOOGLETRANSLATE(B1469, ""ja"", ""en"")"),"?")</f>
        <v>?</v>
      </c>
    </row>
    <row r="1470" spans="1:3" ht="12.75" x14ac:dyDescent="0.2">
      <c r="A1470" s="1" t="s">
        <v>2566</v>
      </c>
      <c r="B1470" s="1" t="s">
        <v>250</v>
      </c>
      <c r="C1470" t="str">
        <f ca="1">IFERROR(__xludf.DUMMYFUNCTION("GOOGLETRANSLATE(B1470, ""ja"", ""en"")"),"?")</f>
        <v>?</v>
      </c>
    </row>
    <row r="1471" spans="1:3" ht="12.75" x14ac:dyDescent="0.2">
      <c r="A1471" s="1" t="s">
        <v>2567</v>
      </c>
      <c r="B1471" s="1" t="s">
        <v>2568</v>
      </c>
      <c r="C1471" t="str">
        <f ca="1">IFERROR(__xludf.DUMMYFUNCTION("GOOGLETRANSLATE(B1471, ""ja"", ""en"")"),"Key")</f>
        <v>Key</v>
      </c>
    </row>
    <row r="1472" spans="1:3" ht="12.75" x14ac:dyDescent="0.2">
      <c r="A1472" s="1" t="s">
        <v>2569</v>
      </c>
      <c r="B1472" s="1" t="s">
        <v>257</v>
      </c>
      <c r="C1472" t="str">
        <f ca="1">IFERROR(__xludf.DUMMYFUNCTION("GOOGLETRANSLATE(B1472, ""ja"", ""en"")"),"Have")</f>
        <v>Have</v>
      </c>
    </row>
    <row r="1473" spans="1:3" ht="12.75" x14ac:dyDescent="0.2">
      <c r="A1473" s="1" t="s">
        <v>2570</v>
      </c>
      <c r="B1473" s="1" t="s">
        <v>1518</v>
      </c>
      <c r="C1473" t="str">
        <f ca="1">IFERROR(__xludf.DUMMYFUNCTION("GOOGLETRANSLATE(B1473, ""ja"", ""en"")"),"To")</f>
        <v>To</v>
      </c>
    </row>
    <row r="1474" spans="1:3" ht="12.75" x14ac:dyDescent="0.2">
      <c r="A1474" s="1" t="s">
        <v>2571</v>
      </c>
      <c r="B1474" s="1" t="s">
        <v>1518</v>
      </c>
      <c r="C1474" t="str">
        <f ca="1">IFERROR(__xludf.DUMMYFUNCTION("GOOGLETRANSLATE(B1474, ""ja"", ""en"")"),"To")</f>
        <v>To</v>
      </c>
    </row>
    <row r="1475" spans="1:3" ht="12.75" x14ac:dyDescent="0.2">
      <c r="A1475" s="1" t="s">
        <v>2572</v>
      </c>
      <c r="B1475" s="1" t="s">
        <v>1518</v>
      </c>
      <c r="C1475" t="str">
        <f ca="1">IFERROR(__xludf.DUMMYFUNCTION("GOOGLETRANSLATE(B1475, ""ja"", ""en"")"),"To")</f>
        <v>To</v>
      </c>
    </row>
    <row r="1476" spans="1:3" ht="12.75" x14ac:dyDescent="0.2">
      <c r="A1476" s="1" t="s">
        <v>2573</v>
      </c>
      <c r="B1476" s="1" t="s">
        <v>2202</v>
      </c>
      <c r="C1476" t="str">
        <f ca="1">IFERROR(__xludf.DUMMYFUNCTION("GOOGLETRANSLATE(B1476, ""ja"", ""en"")"),"!")</f>
        <v>!</v>
      </c>
    </row>
    <row r="1477" spans="1:3" ht="12.75" x14ac:dyDescent="0.2">
      <c r="A1477" s="1" t="s">
        <v>2574</v>
      </c>
      <c r="B1477" s="1" t="s">
        <v>478</v>
      </c>
      <c r="C1477" t="str">
        <f ca="1">IFERROR(__xludf.DUMMYFUNCTION("GOOGLETRANSLATE(B1477, ""ja"", ""en"")"),"Hmm")</f>
        <v>Hmm</v>
      </c>
    </row>
    <row r="1478" spans="1:3" ht="12.75" x14ac:dyDescent="0.2">
      <c r="A1478" s="1" t="s">
        <v>2575</v>
      </c>
      <c r="B1478" s="1" t="s">
        <v>2576</v>
      </c>
      <c r="C1478" t="str">
        <f ca="1">IFERROR(__xludf.DUMMYFUNCTION("GOOGLETRANSLATE(B1478, ""ja"", ""en"")"),"-")</f>
        <v>-</v>
      </c>
    </row>
    <row r="1479" spans="1:3" ht="12.75" x14ac:dyDescent="0.2">
      <c r="A1479" s="1" t="s">
        <v>2577</v>
      </c>
      <c r="B1479" s="1" t="s">
        <v>381</v>
      </c>
      <c r="C1479" t="str">
        <f ca="1">IFERROR(__xludf.DUMMYFUNCTION("GOOGLETRANSLATE(B1479, ""ja"", ""en"")"),"I")</f>
        <v>I</v>
      </c>
    </row>
    <row r="1480" spans="1:3" ht="12.75" x14ac:dyDescent="0.2">
      <c r="A1480" s="1" t="s">
        <v>2578</v>
      </c>
      <c r="B1480" s="1" t="s">
        <v>2576</v>
      </c>
      <c r="C1480" t="str">
        <f ca="1">IFERROR(__xludf.DUMMYFUNCTION("GOOGLETRANSLATE(B1480, ""ja"", ""en"")"),"-")</f>
        <v>-</v>
      </c>
    </row>
    <row r="1481" spans="1:3" ht="12.75" x14ac:dyDescent="0.2">
      <c r="A1481" s="1" t="s">
        <v>2579</v>
      </c>
      <c r="B1481" s="1" t="s">
        <v>2202</v>
      </c>
      <c r="C1481" t="str">
        <f ca="1">IFERROR(__xludf.DUMMYFUNCTION("GOOGLETRANSLATE(B1481, ""ja"", ""en"")"),"!")</f>
        <v>!</v>
      </c>
    </row>
    <row r="1482" spans="1:3" ht="12.75" x14ac:dyDescent="0.2">
      <c r="A1482" s="1" t="s">
        <v>2580</v>
      </c>
      <c r="B1482" s="1" t="s">
        <v>2202</v>
      </c>
      <c r="C1482" t="str">
        <f ca="1">IFERROR(__xludf.DUMMYFUNCTION("GOOGLETRANSLATE(B1482, ""ja"", ""en"")"),"!")</f>
        <v>!</v>
      </c>
    </row>
    <row r="1483" spans="1:3" ht="12.75" x14ac:dyDescent="0.2">
      <c r="A1483" s="1" t="s">
        <v>2581</v>
      </c>
      <c r="B1483" s="1" t="s">
        <v>2576</v>
      </c>
      <c r="C1483" t="str">
        <f ca="1">IFERROR(__xludf.DUMMYFUNCTION("GOOGLETRANSLATE(B1483, ""ja"", ""en"")"),"-")</f>
        <v>-</v>
      </c>
    </row>
    <row r="1484" spans="1:3" ht="12.75" x14ac:dyDescent="0.2">
      <c r="A1484" s="1" t="s">
        <v>2582</v>
      </c>
      <c r="B1484" s="1" t="s">
        <v>2404</v>
      </c>
      <c r="C1484" t="str">
        <f ca="1">IFERROR(__xludf.DUMMYFUNCTION("GOOGLETRANSLATE(B1484, ""ja"", ""en"")"),"Mm")</f>
        <v>Mm</v>
      </c>
    </row>
    <row r="1485" spans="1:3" ht="12.75" x14ac:dyDescent="0.2">
      <c r="A1485" s="1" t="s">
        <v>2583</v>
      </c>
      <c r="B1485" s="1" t="s">
        <v>2202</v>
      </c>
      <c r="C1485" t="str">
        <f ca="1">IFERROR(__xludf.DUMMYFUNCTION("GOOGLETRANSLATE(B1485, ""ja"", ""en"")"),"!")</f>
        <v>!</v>
      </c>
    </row>
    <row r="1486" spans="1:3" ht="12.75" x14ac:dyDescent="0.2">
      <c r="A1486" s="1" t="s">
        <v>2584</v>
      </c>
      <c r="B1486" s="1" t="s">
        <v>470</v>
      </c>
      <c r="C1486" t="str">
        <f ca="1">IFERROR(__xludf.DUMMYFUNCTION("GOOGLETRANSLATE(B1486, ""ja"", ""en"")"),"Over")</f>
        <v>Over</v>
      </c>
    </row>
    <row r="1487" spans="1:3" ht="12.75" x14ac:dyDescent="0.2">
      <c r="A1487" s="1" t="s">
        <v>2585</v>
      </c>
      <c r="B1487" s="1" t="s">
        <v>470</v>
      </c>
      <c r="C1487" t="str">
        <f ca="1">IFERROR(__xludf.DUMMYFUNCTION("GOOGLETRANSLATE(B1487, ""ja"", ""en"")"),"Over")</f>
        <v>Over</v>
      </c>
    </row>
    <row r="1488" spans="1:3" ht="12.75" x14ac:dyDescent="0.2">
      <c r="A1488" s="1" t="s">
        <v>2586</v>
      </c>
      <c r="B1488" s="1" t="s">
        <v>2587</v>
      </c>
      <c r="C1488" t="str">
        <f ca="1">IFERROR(__xludf.DUMMYFUNCTION("GOOGLETRANSLATE(B1488, ""ja"", ""en"")"),"Rule Description")</f>
        <v>Rule Description</v>
      </c>
    </row>
    <row r="1489" spans="1:3" ht="12.75" x14ac:dyDescent="0.2">
      <c r="A1489" s="1" t="s">
        <v>2588</v>
      </c>
      <c r="B1489" s="1" t="s">
        <v>2589</v>
      </c>
      <c r="C1489" t="str">
        <f ca="1">IFERROR(__xludf.DUMMYFUNCTION("GOOGLETRANSLATE(B1489, ""ja"", ""en"")"),"waited")</f>
        <v>waited</v>
      </c>
    </row>
    <row r="1490" spans="1:3" ht="12.75" x14ac:dyDescent="0.2">
      <c r="A1490" s="1" t="s">
        <v>2590</v>
      </c>
      <c r="B1490" s="1" t="s">
        <v>3</v>
      </c>
      <c r="C1490" t="str">
        <f ca="1">IFERROR(__xludf.DUMMYFUNCTION("GOOGLETRANSLATE(B1490, ""ja"", ""en"")"),"% S")</f>
        <v>% S</v>
      </c>
    </row>
    <row r="1491" spans="1:3" ht="12.75" x14ac:dyDescent="0.2">
      <c r="A1491" s="1" t="s">
        <v>2591</v>
      </c>
      <c r="B1491" s="1" t="s">
        <v>2592</v>
      </c>
      <c r="C1491" t="str">
        <f ca="1">IFERROR(__xludf.DUMMYFUNCTION("GOOGLETRANSLATE(B1491, ""ja"", ""en"")"),"hand")</f>
        <v>hand</v>
      </c>
    </row>
    <row r="1492" spans="1:3" ht="12.75" x14ac:dyDescent="0.2">
      <c r="A1492" s="1" t="s">
        <v>2593</v>
      </c>
      <c r="B1492" s="1" t="s">
        <v>2594</v>
      </c>
      <c r="C1492" t="str">
        <f ca="1">IFERROR(__xludf.DUMMYFUNCTION("GOOGLETRANSLATE(B1492, ""ja"", ""en"")"),"Kifu")</f>
        <v>Kifu</v>
      </c>
    </row>
    <row r="1493" spans="1:3" ht="12.75" x14ac:dyDescent="0.2">
      <c r="A1493" s="1" t="s">
        <v>2595</v>
      </c>
      <c r="B1493" s="1" t="s">
        <v>2596</v>
      </c>
      <c r="C1493" t="str">
        <f ca="1">IFERROR(__xludf.DUMMYFUNCTION("GOOGLETRANSLATE(B1493, ""ja"", ""en"")"),"Making an allowance for")</f>
        <v>Making an allowance for</v>
      </c>
    </row>
    <row r="1494" spans="1:3" ht="12.75" x14ac:dyDescent="0.2">
      <c r="A1494" s="1" t="s">
        <v>2597</v>
      </c>
      <c r="B1494" s="1" t="s">
        <v>2598</v>
      </c>
      <c r="C1494" t="str">
        <f ca="1">IFERROR(__xludf.DUMMYFUNCTION("GOOGLETRANSLATE(B1494, ""ja"", ""en"")"),"[N] Who do you and the remote station?")</f>
        <v>[N] Who do you and the remote station?</v>
      </c>
    </row>
    <row r="1495" spans="1:3" ht="12.75" x14ac:dyDescent="0.2">
      <c r="A1495" s="1" t="s">
        <v>2599</v>
      </c>
      <c r="B1495" s="1" t="s">
        <v>2600</v>
      </c>
      <c r="C1495" t="str">
        <f ca="1">IFERROR(__xludf.DUMMYFUNCTION("GOOGLETRANSLATE(B1495, ""ja"", ""en"")"),"Would you choose the [n] Which Disrupt?")</f>
        <v>Would you choose the [n] Which Disrupt?</v>
      </c>
    </row>
    <row r="1496" spans="1:3" ht="12.75" x14ac:dyDescent="0.2">
      <c r="A1496" s="1" t="s">
        <v>2601</v>
      </c>
      <c r="B1496" s="1" t="s">
        <v>2602</v>
      </c>
      <c r="C1496" t="str">
        <f ca="1">IFERROR(__xludf.DUMMYFUNCTION("GOOGLETRANSLATE(B1496, ""ja"", ""en"")"),"[N] Are you sure you want this partner?")</f>
        <v>[N] Are you sure you want this partner?</v>
      </c>
    </row>
    <row r="1497" spans="1:3" ht="12.75" x14ac:dyDescent="0.2">
      <c r="A1497" s="1" t="s">
        <v>2603</v>
      </c>
      <c r="B1497" s="1" t="s">
        <v>2604</v>
      </c>
      <c r="C1497" t="str">
        <f ca="1">IFERROR(__xludf.DUMMYFUNCTION("GOOGLETRANSLATE(B1497, ""ja"", ""en"")"),"Jubei")</f>
        <v>Jubei</v>
      </c>
    </row>
    <row r="1498" spans="1:3" ht="12.75" x14ac:dyDescent="0.2">
      <c r="A1498" s="1" t="s">
        <v>2605</v>
      </c>
      <c r="B1498" s="1" t="s">
        <v>2606</v>
      </c>
      <c r="C1498" t="str">
        <f ca="1">IFERROR(__xludf.DUMMYFUNCTION("GOOGLETRANSLATE(B1498, ""ja"", ""en"")"),"Cultivation")</f>
        <v>Cultivation</v>
      </c>
    </row>
    <row r="1499" spans="1:3" ht="12.75" x14ac:dyDescent="0.2">
      <c r="A1499" s="1" t="s">
        <v>2607</v>
      </c>
      <c r="B1499" s="1" t="s">
        <v>2608</v>
      </c>
      <c r="C1499" t="str">
        <f ca="1">IFERROR(__xludf.DUMMYFUNCTION("GOOGLETRANSLATE(B1499, ""ja"", ""en"")"),"KyuTaro")</f>
        <v>KyuTaro</v>
      </c>
    </row>
    <row r="1500" spans="1:3" ht="12.75" x14ac:dyDescent="0.2">
      <c r="A1500" s="1" t="s">
        <v>2609</v>
      </c>
      <c r="B1500" s="1" t="s">
        <v>2610</v>
      </c>
      <c r="C1500" t="str">
        <f ca="1">IFERROR(__xludf.DUMMYFUNCTION("GOOGLETRANSLATE(B1500, ""ja"", ""en"")"),"Yoichi")</f>
        <v>Yoichi</v>
      </c>
    </row>
    <row r="1501" spans="1:3" ht="12.75" x14ac:dyDescent="0.2">
      <c r="A1501" s="1" t="s">
        <v>2611</v>
      </c>
      <c r="B1501" s="1" t="s">
        <v>2612</v>
      </c>
      <c r="C1501" t="str">
        <f ca="1">IFERROR(__xludf.DUMMYFUNCTION("GOOGLETRANSLATE(B1501, ""ja"", ""en"")"),"Kitahachi")</f>
        <v>Kitahachi</v>
      </c>
    </row>
    <row r="1502" spans="1:3" ht="12.75" x14ac:dyDescent="0.2">
      <c r="A1502" s="1" t="s">
        <v>2613</v>
      </c>
      <c r="B1502" s="1" t="s">
        <v>2614</v>
      </c>
      <c r="C1502" t="str">
        <f ca="1">IFERROR(__xludf.DUMMYFUNCTION("GOOGLETRANSLATE(B1502, ""ja"", ""en"")"),"Masakichi")</f>
        <v>Masakichi</v>
      </c>
    </row>
    <row r="1503" spans="1:3" ht="12.75" x14ac:dyDescent="0.2">
      <c r="A1503" s="1" t="s">
        <v>2615</v>
      </c>
      <c r="B1503" s="1" t="s">
        <v>2616</v>
      </c>
      <c r="C1503" t="str">
        <f ca="1">IFERROR(__xludf.DUMMYFUNCTION("GOOGLETRANSLATE(B1503, ""ja"", ""en"")"),"Denshichi")</f>
        <v>Denshichi</v>
      </c>
    </row>
    <row r="1504" spans="1:3" ht="12.75" x14ac:dyDescent="0.2">
      <c r="A1504" s="1" t="s">
        <v>2617</v>
      </c>
      <c r="B1504" s="1" t="s">
        <v>2618</v>
      </c>
      <c r="C1504" t="str">
        <f ca="1">IFERROR(__xludf.DUMMYFUNCTION("GOOGLETRANSLATE(B1504, ""ja"", ""en"")"),"Saizo")</f>
        <v>Saizo</v>
      </c>
    </row>
    <row r="1505" spans="1:3" ht="12.75" x14ac:dyDescent="0.2">
      <c r="A1505" s="1" t="s">
        <v>2619</v>
      </c>
      <c r="B1505" s="1" t="s">
        <v>2620</v>
      </c>
      <c r="C1505" t="str">
        <f ca="1">IFERROR(__xludf.DUMMYFUNCTION("GOOGLETRANSLATE(B1505, ""ja"", ""en"")"),"Bear six")</f>
        <v>Bear six</v>
      </c>
    </row>
    <row r="1506" spans="1:3" ht="12.75" x14ac:dyDescent="0.2">
      <c r="A1506" s="1" t="s">
        <v>2621</v>
      </c>
      <c r="B1506" s="1" t="s">
        <v>2622</v>
      </c>
      <c r="C1506" t="str">
        <f ca="1">IFERROR(__xludf.DUMMYFUNCTION("GOOGLETRANSLATE(B1506, ""ja"", ""en"")"),"Small Genta")</f>
        <v>Small Genta</v>
      </c>
    </row>
    <row r="1507" spans="1:3" ht="12.75" x14ac:dyDescent="0.2">
      <c r="A1507" s="1" t="s">
        <v>2623</v>
      </c>
      <c r="B1507" s="1" t="s">
        <v>2624</v>
      </c>
      <c r="C1507" t="str">
        <f ca="1">IFERROR(__xludf.DUMMYFUNCTION("GOOGLETRANSLATE(B1507, ""ja"", ""en"")"),"Goemon")</f>
        <v>Goemon</v>
      </c>
    </row>
    <row r="1508" spans="1:3" ht="12.75" x14ac:dyDescent="0.2">
      <c r="A1508" s="1" t="s">
        <v>2625</v>
      </c>
      <c r="B1508" s="1" t="s">
        <v>2626</v>
      </c>
      <c r="C1508" t="str">
        <f ca="1">IFERROR(__xludf.DUMMYFUNCTION("GOOGLETRANSLATE(B1508, ""ja"", ""en"")"),"Sasuke")</f>
        <v>Sasuke</v>
      </c>
    </row>
    <row r="1509" spans="1:3" ht="12.75" x14ac:dyDescent="0.2">
      <c r="A1509" s="1" t="s">
        <v>2627</v>
      </c>
      <c r="B1509" s="1" t="s">
        <v>2628</v>
      </c>
      <c r="C1509" t="str">
        <f ca="1">IFERROR(__xludf.DUMMYFUNCTION("GOOGLETRANSLATE(B1509, ""ja"", ""en"")"),"HikariShiro")</f>
        <v>HikariShiro</v>
      </c>
    </row>
    <row r="1510" spans="1:3" ht="12.75" x14ac:dyDescent="0.2">
      <c r="A1510" s="1" t="s">
        <v>2629</v>
      </c>
      <c r="B1510" s="1" t="s">
        <v>2630</v>
      </c>
      <c r="C1510" t="str">
        <f ca="1">IFERROR(__xludf.DUMMYFUNCTION("GOOGLETRANSLATE(B1510, ""ja"", ""en"")"),"Kenkokoro")</f>
        <v>Kenkokoro</v>
      </c>
    </row>
    <row r="1511" spans="1:3" ht="12.75" x14ac:dyDescent="0.2">
      <c r="A1511" s="1" t="s">
        <v>2631</v>
      </c>
      <c r="B1511" s="1" t="s">
        <v>2632</v>
      </c>
      <c r="C1511" t="str">
        <f ca="1">IFERROR(__xludf.DUMMYFUNCTION("GOOGLETRANSLATE(B1511, ""ja"", ""en"")"),"SaburoFutoshi")</f>
        <v>SaburoFutoshi</v>
      </c>
    </row>
    <row r="1512" spans="1:3" ht="12.75" x14ac:dyDescent="0.2">
      <c r="A1512" s="1" t="s">
        <v>2633</v>
      </c>
      <c r="B1512" s="1" t="s">
        <v>2634</v>
      </c>
      <c r="C1512" t="str">
        <f ca="1">IFERROR(__xludf.DUMMYFUNCTION("GOOGLETRANSLATE(B1512, ""ja"", ""en"")"),"Kunimatsu")</f>
        <v>Kunimatsu</v>
      </c>
    </row>
    <row r="1513" spans="1:3" ht="12.75" x14ac:dyDescent="0.2">
      <c r="A1513" s="1" t="s">
        <v>2635</v>
      </c>
      <c r="B1513" s="1" t="s">
        <v>2636</v>
      </c>
      <c r="C1513" t="str">
        <f ca="1">IFERROR(__xludf.DUMMYFUNCTION("GOOGLETRANSLATE(B1513, ""ja"", ""en"")"),"Anjirō")</f>
        <v>Anjirō</v>
      </c>
    </row>
    <row r="1514" spans="1:3" ht="12.75" x14ac:dyDescent="0.2">
      <c r="A1514" s="1" t="s">
        <v>2637</v>
      </c>
      <c r="B1514" s="1" t="s">
        <v>2638</v>
      </c>
      <c r="C1514" t="str">
        <f ca="1">IFERROR(__xludf.DUMMYFUNCTION("GOOGLETRANSLATE(B1514, ""ja"", ""en"")"),"Tsurutaira")</f>
        <v>Tsurutaira</v>
      </c>
    </row>
    <row r="1515" spans="1:3" ht="12.75" x14ac:dyDescent="0.2">
      <c r="A1515" s="1" t="s">
        <v>2639</v>
      </c>
      <c r="B1515" s="1" t="s">
        <v>2640</v>
      </c>
      <c r="C1515" t="str">
        <f ca="1">IFERROR(__xludf.DUMMYFUNCTION("GOOGLETRANSLATE(B1515, ""ja"", ""en"")"),"Kazuyuki assistant")</f>
        <v>Kazuyuki assistant</v>
      </c>
    </row>
    <row r="1516" spans="1:3" ht="12.75" x14ac:dyDescent="0.2">
      <c r="A1516" s="1" t="s">
        <v>2641</v>
      </c>
      <c r="B1516" s="1" t="s">
        <v>2642</v>
      </c>
      <c r="C1516" t="str">
        <f ca="1">IFERROR(__xludf.DUMMYFUNCTION("GOOGLETRANSLATE(B1516, ""ja"", ""en"")"),"Kamekichi")</f>
        <v>Kamekichi</v>
      </c>
    </row>
    <row r="1517" spans="1:3" ht="12.75" x14ac:dyDescent="0.2">
      <c r="A1517" s="1" t="s">
        <v>2643</v>
      </c>
      <c r="B1517" s="1" t="s">
        <v>2644</v>
      </c>
      <c r="C1517" t="str">
        <f ca="1">IFERROR(__xludf.DUMMYFUNCTION("GOOGLETRANSLATE(B1517, ""ja"", ""en"")"),"KakunoSusumu")</f>
        <v>KakunoSusumu</v>
      </c>
    </row>
    <row r="1518" spans="1:3" ht="12.75" x14ac:dyDescent="0.2">
      <c r="A1518" s="1" t="s">
        <v>2645</v>
      </c>
      <c r="B1518" s="1" t="s">
        <v>2646</v>
      </c>
      <c r="C1518" t="str">
        <f ca="1">IFERROR(__xludf.DUMMYFUNCTION("GOOGLETRANSLATE(B1518, ""ja"", ""en"")"),"Umon")</f>
        <v>Umon</v>
      </c>
    </row>
    <row r="1519" spans="1:3" ht="12.75" x14ac:dyDescent="0.2">
      <c r="A1519" s="1" t="s">
        <v>2647</v>
      </c>
      <c r="B1519" s="1" t="s">
        <v>2648</v>
      </c>
      <c r="C1519" t="str">
        <f ca="1">IFERROR(__xludf.DUMMYFUNCTION("GOOGLETRANSLATE(B1519, ""ja"", ""en"")"),"Muramasa")</f>
        <v>Muramasa</v>
      </c>
    </row>
    <row r="1520" spans="1:3" ht="12.75" x14ac:dyDescent="0.2">
      <c r="A1520" s="1" t="s">
        <v>2649</v>
      </c>
      <c r="B1520" s="1" t="s">
        <v>2650</v>
      </c>
      <c r="C1520" t="str">
        <f ca="1">IFERROR(__xludf.DUMMYFUNCTION("GOOGLETRANSLATE(B1520, ""ja"", ""en"")"),"Sukesaburo")</f>
        <v>Sukesaburo</v>
      </c>
    </row>
    <row r="1521" spans="1:3" ht="12.75" x14ac:dyDescent="0.2">
      <c r="A1521" s="1" t="s">
        <v>2651</v>
      </c>
      <c r="B1521" s="1" t="s">
        <v>2652</v>
      </c>
      <c r="C1521" t="str">
        <f ca="1">IFERROR(__xludf.DUMMYFUNCTION("GOOGLETRANSLATE(B1521, ""ja"", ""en"")"),"Vajra")</f>
        <v>Vajra</v>
      </c>
    </row>
    <row r="1522" spans="1:3" ht="12.75" x14ac:dyDescent="0.2">
      <c r="A1522" s="1" t="s">
        <v>2653</v>
      </c>
      <c r="B1522" s="1" t="s">
        <v>2654</v>
      </c>
      <c r="C1522" t="str">
        <f ca="1">IFERROR(__xludf.DUMMYFUNCTION("GOOGLETRANSLATE(B1522, ""ja"", ""en"")"),"Sakyo")</f>
        <v>Sakyo</v>
      </c>
    </row>
    <row r="1523" spans="1:3" ht="12.75" x14ac:dyDescent="0.2">
      <c r="A1523" s="1" t="s">
        <v>2655</v>
      </c>
      <c r="B1523" s="1" t="s">
        <v>2656</v>
      </c>
      <c r="C1523" t="str">
        <f ca="1">IFERROR(__xludf.DUMMYFUNCTION("GOOGLETRANSLATE(B1523, ""ja"", ""en"")"),"Toratetsu")</f>
        <v>Toratetsu</v>
      </c>
    </row>
    <row r="1524" spans="1:3" ht="12.75" x14ac:dyDescent="0.2">
      <c r="A1524" s="1" t="s">
        <v>2657</v>
      </c>
      <c r="B1524" s="1" t="s">
        <v>2658</v>
      </c>
      <c r="C1524" t="str">
        <f ca="1">IFERROR(__xludf.DUMMYFUNCTION("GOOGLETRANSLATE(B1524, ""ja"", ""en"")"),"Onimaru")</f>
        <v>Onimaru</v>
      </c>
    </row>
    <row r="1525" spans="1:3" ht="12.75" x14ac:dyDescent="0.2">
      <c r="A1525" s="1" t="s">
        <v>2659</v>
      </c>
      <c r="B1525" s="1" t="s">
        <v>2660</v>
      </c>
      <c r="C1525" t="str">
        <f ca="1">IFERROR(__xludf.DUMMYFUNCTION("GOOGLETRANSLATE(B1525, ""ja"", ""en"")"),"Black Unsai")</f>
        <v>Black Unsai</v>
      </c>
    </row>
    <row r="1526" spans="1:3" ht="12.75" x14ac:dyDescent="0.2">
      <c r="A1526" s="1" t="s">
        <v>2661</v>
      </c>
      <c r="B1526" s="1" t="s">
        <v>2662</v>
      </c>
      <c r="C1526" t="str">
        <f ca="1">IFERROR(__xludf.DUMMYFUNCTION("GOOGLETRANSLATE(B1526, ""ja"", ""en"")"),"Crow Tengu")</f>
        <v>Crow Tengu</v>
      </c>
    </row>
    <row r="1527" spans="1:3" ht="12.75" x14ac:dyDescent="0.2">
      <c r="A1527" s="1" t="s">
        <v>2663</v>
      </c>
      <c r="B1527" s="1" t="s">
        <v>2664</v>
      </c>
      <c r="C1527" t="str">
        <f ca="1">IFERROR(__xludf.DUMMYFUNCTION("GOOGLETRANSLATE(B1527, ""ja"", ""en"")"),"Son of God")</f>
        <v>Son of God</v>
      </c>
    </row>
    <row r="1528" spans="1:3" ht="12.75" x14ac:dyDescent="0.2">
      <c r="A1528" s="1" t="s">
        <v>2665</v>
      </c>
      <c r="B1528" s="1" t="s">
        <v>2666</v>
      </c>
      <c r="C1528" t="str">
        <f ca="1">IFERROR(__xludf.DUMMYFUNCTION("GOOGLETRANSLATE(B1528, ""ja"", ""en"")"),"Whimsical beginner")</f>
        <v>Whimsical beginner</v>
      </c>
    </row>
    <row r="1529" spans="1:3" ht="12.75" x14ac:dyDescent="0.2">
      <c r="A1529" s="1" t="s">
        <v>2667</v>
      </c>
      <c r="B1529" s="1" t="s">
        <v>2668</v>
      </c>
      <c r="C1529" t="str">
        <f ca="1">IFERROR(__xludf.DUMMYFUNCTION("GOOGLETRANSLATE(B1529, ""ja"", ""en"")"),"Aggressively attack but weak")</f>
        <v>Aggressively attack but weak</v>
      </c>
    </row>
    <row r="1530" spans="1:3" ht="12.75" x14ac:dyDescent="0.2">
      <c r="A1530" s="1" t="s">
        <v>2669</v>
      </c>
      <c r="B1530" s="1" t="s">
        <v>2670</v>
      </c>
      <c r="C1530" t="str">
        <f ca="1">IFERROR(__xludf.DUMMYFUNCTION("GOOGLETRANSLATE(B1530, ""ja"", ""en"")"),"Solidify the defense, but slow")</f>
        <v>Solidify the defense, but slow</v>
      </c>
    </row>
    <row r="1531" spans="1:3" ht="12.75" x14ac:dyDescent="0.2">
      <c r="A1531" s="1" t="s">
        <v>2671</v>
      </c>
      <c r="B1531" s="1" t="s">
        <v>2672</v>
      </c>
      <c r="C1531" t="str">
        <f ca="1">IFERROR(__xludf.DUMMYFUNCTION("GOOGLETRANSLATE(B1531, ""ja"", ""en"")"),"Come to a brute force attack")</f>
        <v>Come to a brute force attack</v>
      </c>
    </row>
    <row r="1532" spans="1:3" ht="12.75" x14ac:dyDescent="0.2">
      <c r="A1532" s="1" t="s">
        <v>2673</v>
      </c>
      <c r="B1532" s="1" t="s">
        <v>2674</v>
      </c>
      <c r="C1532" t="str">
        <f ca="1">IFERROR(__xludf.DUMMYFUNCTION("GOOGLETRANSLATE(B1532, ""ja"", ""en"")"),"Harmony of offense and defense is good")</f>
        <v>Harmony of offense and defense is good</v>
      </c>
    </row>
    <row r="1533" spans="1:3" ht="12.75" x14ac:dyDescent="0.2">
      <c r="A1533" s="1" t="s">
        <v>2675</v>
      </c>
      <c r="B1533" s="1" t="s">
        <v>2676</v>
      </c>
      <c r="C1533" t="str">
        <f ca="1">IFERROR(__xludf.DUMMYFUNCTION("GOOGLETRANSLATE(B1533, ""ja"", ""en"")"),"Priority to make the enclosure")</f>
        <v>Priority to make the enclosure</v>
      </c>
    </row>
    <row r="1534" spans="1:3" ht="12.75" x14ac:dyDescent="0.2">
      <c r="A1534" s="1" t="s">
        <v>2677</v>
      </c>
      <c r="B1534" s="1" t="s">
        <v>2678</v>
      </c>
      <c r="C1534" t="str">
        <f ca="1">IFERROR(__xludf.DUMMYFUNCTION("GOOGLETRANSLATE(B1534, ""ja"", ""en"")"),"Aiming to break through in the middle")</f>
        <v>Aiming to break through in the middle</v>
      </c>
    </row>
    <row r="1535" spans="1:3" ht="12.75" x14ac:dyDescent="0.2">
      <c r="A1535" s="1" t="s">
        <v>2679</v>
      </c>
      <c r="B1535" s="1" t="s">
        <v>2680</v>
      </c>
      <c r="C1535" t="str">
        <f ca="1">IFERROR(__xludf.DUMMYFUNCTION("GOOGLETRANSLATE(B1535, ""ja"", ""en"")"),"Show a solid defense")</f>
        <v>Show a solid defense</v>
      </c>
    </row>
    <row r="1536" spans="1:3" ht="12.75" x14ac:dyDescent="0.2">
      <c r="A1536" s="1" t="s">
        <v>2681</v>
      </c>
      <c r="B1536" s="1" t="s">
        <v>2682</v>
      </c>
      <c r="C1536" t="str">
        <f ca="1">IFERROR(__xludf.DUMMYFUNCTION("GOOGLETRANSLATE(B1536, ""ja"", ""en"")"),"Ad-hoc refers to muscle")</f>
        <v>Ad-hoc refers to muscle</v>
      </c>
    </row>
    <row r="1537" spans="1:3" ht="12.75" x14ac:dyDescent="0.2">
      <c r="A1537" s="1" t="s">
        <v>2683</v>
      </c>
      <c r="B1537" s="1" t="s">
        <v>2684</v>
      </c>
      <c r="C1537" t="str">
        <f ca="1">IFERROR(__xludf.DUMMYFUNCTION("GOOGLETRANSLATE(B1537, ""ja"", ""en"")"),"To try to bring to the long war")</f>
        <v>To try to bring to the long war</v>
      </c>
    </row>
    <row r="1538" spans="1:3" ht="12.75" x14ac:dyDescent="0.2">
      <c r="A1538" s="1" t="s">
        <v>2685</v>
      </c>
      <c r="B1538" s="1" t="s">
        <v>2686</v>
      </c>
      <c r="C1538" t="str">
        <f ca="1">IFERROR(__xludf.DUMMYFUNCTION("GOOGLETRANSLATE(B1538, ""ja"", ""en"")"),"Often uneven strength")</f>
        <v>Often uneven strength</v>
      </c>
    </row>
    <row r="1539" spans="1:3" ht="12.75" x14ac:dyDescent="0.2">
      <c r="A1539" s="1" t="s">
        <v>2687</v>
      </c>
      <c r="B1539" s="1" t="s">
        <v>2688</v>
      </c>
      <c r="C1539" t="str">
        <f ca="1">IFERROR(__xludf.DUMMYFUNCTION("GOOGLETRANSLATE(B1539, ""ja"", ""en"")"),"Show a calm attack")</f>
        <v>Show a calm attack</v>
      </c>
    </row>
    <row r="1540" spans="1:3" ht="12.75" x14ac:dyDescent="0.2">
      <c r="A1540" s="1" t="s">
        <v>2689</v>
      </c>
      <c r="B1540" s="1" t="s">
        <v>2690</v>
      </c>
      <c r="C1540" t="str">
        <f ca="1">IFERROR(__xludf.DUMMYFUNCTION("GOOGLETRANSLATE(B1540, ""ja"", ""en"")"),"Attack aggressively in large pieces")</f>
        <v>Attack aggressively in large pieces</v>
      </c>
    </row>
    <row r="1541" spans="1:3" ht="12.75" x14ac:dyDescent="0.2">
      <c r="A1541" s="1" t="s">
        <v>2691</v>
      </c>
      <c r="B1541" s="1" t="s">
        <v>2692</v>
      </c>
      <c r="C1541" t="str">
        <f ca="1">IFERROR(__xludf.DUMMYFUNCTION("GOOGLETRANSLATE(B1541, ""ja"", ""en"")"),"Characteristic is how to use the rook")</f>
        <v>Characteristic is how to use the rook</v>
      </c>
    </row>
    <row r="1542" spans="1:3" ht="12.75" x14ac:dyDescent="0.2">
      <c r="A1542" s="1" t="s">
        <v>2693</v>
      </c>
      <c r="B1542" s="1" t="s">
        <v>2694</v>
      </c>
      <c r="C1542" t="str">
        <f ca="1">IFERROR(__xludf.DUMMYFUNCTION("GOOGLETRANSLATE(B1542, ""ja"", ""en"")"),"Offense and defense harmonious of terribly")</f>
        <v>Offense and defense harmonious of terribly</v>
      </c>
    </row>
    <row r="1543" spans="1:3" ht="12.75" x14ac:dyDescent="0.2">
      <c r="A1543" s="1" t="s">
        <v>2695</v>
      </c>
      <c r="B1543" s="1" t="s">
        <v>2696</v>
      </c>
      <c r="C1543" t="str">
        <f ca="1">IFERROR(__xludf.DUMMYFUNCTION("GOOGLETRANSLATE(B1543, ""ja"", ""en"")"),"Takeru to fight back")</f>
        <v>Takeru to fight back</v>
      </c>
    </row>
    <row r="1544" spans="1:3" ht="12.75" x14ac:dyDescent="0.2">
      <c r="A1544" s="1" t="s">
        <v>2697</v>
      </c>
      <c r="B1544" s="1" t="s">
        <v>2698</v>
      </c>
      <c r="C1544" t="str">
        <f ca="1">IFERROR(__xludf.DUMMYFUNCTION("GOOGLETRANSLATE(B1544, ""ja"", ""en"")"),"Manipulate a sharp rook")</f>
        <v>Manipulate a sharp rook</v>
      </c>
    </row>
    <row r="1545" spans="1:3" ht="12.75" x14ac:dyDescent="0.2">
      <c r="A1545" s="1" t="s">
        <v>2699</v>
      </c>
      <c r="B1545" s="1" t="s">
        <v>2700</v>
      </c>
      <c r="C1545" t="str">
        <f ca="1">IFERROR(__xludf.DUMMYFUNCTION("GOOGLETRANSLATE(B1545, ""ja"", ""en"")"),"Ability is there but capricious")</f>
        <v>Ability is there but capricious</v>
      </c>
    </row>
    <row r="1546" spans="1:3" ht="12.75" x14ac:dyDescent="0.2">
      <c r="A1546" s="1" t="s">
        <v>2701</v>
      </c>
      <c r="B1546" s="1" t="s">
        <v>2702</v>
      </c>
      <c r="C1546" t="str">
        <f ca="1">IFERROR(__xludf.DUMMYFUNCTION("GOOGLETRANSLATE(B1546, ""ja"", ""en"")"),"Solidify the carefully protect")</f>
        <v>Solidify the carefully protect</v>
      </c>
    </row>
    <row r="1547" spans="1:3" ht="12.75" x14ac:dyDescent="0.2">
      <c r="A1547" s="1" t="s">
        <v>2703</v>
      </c>
      <c r="B1547" s="1" t="s">
        <v>2704</v>
      </c>
      <c r="C1547" t="str">
        <f ca="1">IFERROR(__xludf.DUMMYFUNCTION("GOOGLETRANSLATE(B1547, ""ja"", ""en"")"),"Takeru to the back entrance")</f>
        <v>Takeru to the back entrance</v>
      </c>
    </row>
    <row r="1548" spans="1:3" ht="12.75" x14ac:dyDescent="0.2">
      <c r="A1548" s="1" t="s">
        <v>2705</v>
      </c>
      <c r="B1548" s="1" t="s">
        <v>2706</v>
      </c>
      <c r="C1548" t="str">
        <f ca="1">IFERROR(__xludf.DUMMYFUNCTION("GOOGLETRANSLATE(B1548, ""ja"", ""en"")"),"Consistently do a offense and defense")</f>
        <v>Consistently do a offense and defense</v>
      </c>
    </row>
    <row r="1549" spans="1:3" ht="12.75" x14ac:dyDescent="0.2">
      <c r="A1549" s="1" t="s">
        <v>2707</v>
      </c>
      <c r="B1549" s="1" t="s">
        <v>2708</v>
      </c>
      <c r="C1549" t="str">
        <f ca="1">IFERROR(__xludf.DUMMYFUNCTION("GOOGLETRANSLATE(B1549, ""ja"", ""en"")"),"Come bombarded the severe")</f>
        <v>Come bombarded the severe</v>
      </c>
    </row>
    <row r="1550" spans="1:3" ht="12.75" x14ac:dyDescent="0.2">
      <c r="A1550" s="1" t="s">
        <v>2709</v>
      </c>
      <c r="B1550" s="1" t="s">
        <v>2710</v>
      </c>
      <c r="C1550" t="str">
        <f ca="1">IFERROR(__xludf.DUMMYFUNCTION("GOOGLETRANSLATE(B1550, ""ja"", ""en"")"),"A reputation for receiving")</f>
        <v>A reputation for receiving</v>
      </c>
    </row>
    <row r="1551" spans="1:3" ht="12.75" x14ac:dyDescent="0.2">
      <c r="A1551" s="1" t="s">
        <v>2711</v>
      </c>
      <c r="B1551" s="1" t="s">
        <v>2712</v>
      </c>
      <c r="C1551" t="str">
        <f ca="1">IFERROR(__xludf.DUMMYFUNCTION("GOOGLETRANSLATE(B1551, ""ja"", ""en"")"),"Wider strategy")</f>
        <v>Wider strategy</v>
      </c>
    </row>
    <row r="1552" spans="1:3" ht="12.75" x14ac:dyDescent="0.2">
      <c r="A1552" s="1" t="s">
        <v>2713</v>
      </c>
      <c r="B1552" s="1" t="s">
        <v>2714</v>
      </c>
      <c r="C1552" t="str">
        <f ca="1">IFERROR(__xludf.DUMMYFUNCTION("GOOGLETRANSLATE(B1552, ""ja"", ""en"")"),"Virtuoso of the attack not to blunder")</f>
        <v>Virtuoso of the attack not to blunder</v>
      </c>
    </row>
    <row r="1553" spans="1:3" ht="12.75" x14ac:dyDescent="0.2">
      <c r="A1553" s="1" t="s">
        <v>2715</v>
      </c>
      <c r="B1553" s="1" t="s">
        <v>2716</v>
      </c>
      <c r="C1553" t="str">
        <f ca="1">IFERROR(__xludf.DUMMYFUNCTION("GOOGLETRANSLATE(B1553, ""ja"", ""en"")"),"Launch a sharp haste")</f>
        <v>Launch a sharp haste</v>
      </c>
    </row>
    <row r="1554" spans="1:3" ht="12.75" x14ac:dyDescent="0.2">
      <c r="A1554" s="1" t="s">
        <v>2717</v>
      </c>
      <c r="B1554" s="1" t="s">
        <v>2718</v>
      </c>
      <c r="C1554" t="str">
        <f ca="1">IFERROR(__xludf.DUMMYFUNCTION("GOOGLETRANSLATE(B1554, ""ja"", ""en"")"),"Type consumer of a wide variety of defense")</f>
        <v>Type consumer of a wide variety of defense</v>
      </c>
    </row>
    <row r="1555" spans="1:3" ht="12.75" x14ac:dyDescent="0.2">
      <c r="A1555" s="1" t="s">
        <v>2719</v>
      </c>
      <c r="B1555" s="1" t="s">
        <v>2720</v>
      </c>
      <c r="C1555" t="str">
        <f ca="1">IFERROR(__xludf.DUMMYFUNCTION("GOOGLETRANSLATE(B1555, ""ja"", ""en"")"),"Loving middle rook old-timer")</f>
        <v>Loving middle rook old-timer</v>
      </c>
    </row>
    <row r="1556" spans="1:3" ht="12.75" x14ac:dyDescent="0.2">
      <c r="A1556" s="1" t="s">
        <v>2721</v>
      </c>
      <c r="B1556" s="1" t="s">
        <v>2722</v>
      </c>
      <c r="C1556" t="str">
        <f ca="1">IFERROR(__xludf.DUMMYFUNCTION("GOOGLETRANSLATE(B1556, ""ja"", ""en"")"),"Show a dense Trombone")</f>
        <v>Show a dense Trombone</v>
      </c>
    </row>
    <row r="1557" spans="1:3" ht="12.75" x14ac:dyDescent="0.2">
      <c r="A1557" s="1" t="s">
        <v>2723</v>
      </c>
      <c r="B1557" s="1" t="s">
        <v>2724</v>
      </c>
      <c r="C1557" t="str">
        <f ca="1">IFERROR(__xludf.DUMMYFUNCTION("GOOGLETRANSLATE(B1557, ""ja"", ""en"")"),"Terribly universal type")</f>
        <v>Terribly universal type</v>
      </c>
    </row>
    <row r="1558" spans="1:3" ht="12.75" x14ac:dyDescent="0.2">
      <c r="A1558" s="1" t="s">
        <v>2725</v>
      </c>
      <c r="B1558" s="1" t="s">
        <v>2726</v>
      </c>
      <c r="C1558" t="str">
        <f ca="1">IFERROR(__xludf.DUMMYFUNCTION("GOOGLETRANSLATE(B1558, ""ja"", ""en"")"),"He devoted his life to Shogi and person")</f>
        <v>He devoted his life to Shogi and person</v>
      </c>
    </row>
    <row r="1559" spans="1:3" ht="12.75" x14ac:dyDescent="0.2">
      <c r="A1559" s="1" t="s">
        <v>2727</v>
      </c>
      <c r="B1559" s="1" t="s">
        <v>2728</v>
      </c>
      <c r="C1559" t="str">
        <f ca="1">IFERROR(__xludf.DUMMYFUNCTION("GOOGLETRANSLATE(B1559, ""ja"", ""en"")"),"Competition point")</f>
        <v>Competition point</v>
      </c>
    </row>
    <row r="1560" spans="1:3" ht="12.75" x14ac:dyDescent="0.2">
      <c r="A1560" s="1" t="s">
        <v>2729</v>
      </c>
      <c r="B1560" s="1" t="s">
        <v>2730</v>
      </c>
      <c r="C1560" t="str">
        <f ca="1">IFERROR(__xludf.DUMMYFUNCTION("GOOGLETRANSLATE(B1560, ""ja"", ""en"")"),"Waiting for the remaining number 50 ×% d")</f>
        <v>Waiting for the remaining number 50 ×% d</v>
      </c>
    </row>
    <row r="1561" spans="1:3" ht="12.75" x14ac:dyDescent="0.2">
      <c r="A1561" s="1" t="s">
        <v>2731</v>
      </c>
      <c r="B1561" s="1" t="s">
        <v>2732</v>
      </c>
      <c r="C1561" t="str">
        <f ca="1">IFERROR(__xludf.DUMMYFUNCTION("GOOGLETRANSLATE(B1561, ""ja"", ""en"")"),"Ultra Matta unused")</f>
        <v>Ultra Matta unused</v>
      </c>
    </row>
    <row r="1562" spans="1:3" ht="12.75" x14ac:dyDescent="0.2">
      <c r="A1562" s="1" t="s">
        <v>2733</v>
      </c>
      <c r="B1562" s="1" t="s">
        <v>2734</v>
      </c>
      <c r="C1562" t="str">
        <f ca="1">IFERROR(__xludf.DUMMYFUNCTION("GOOGLETRANSLATE(B1562, ""ja"", ""en"")"),"Order against")</f>
        <v>Order against</v>
      </c>
    </row>
    <row r="1563" spans="1:3" ht="12.75" x14ac:dyDescent="0.2">
      <c r="A1563" s="1" t="s">
        <v>2735</v>
      </c>
      <c r="B1563" s="1" t="s">
        <v>2736</v>
      </c>
      <c r="C1563" t="str">
        <f ca="1">IFERROR(__xludf.DUMMYFUNCTION("GOOGLETRANSLATE(B1563, ""ja"", ""en"")"),"Ordeal Disrupt")</f>
        <v>Ordeal Disrupt</v>
      </c>
    </row>
    <row r="1564" spans="1:3" ht="12.75" x14ac:dyDescent="0.2">
      <c r="A1564" s="1" t="s">
        <v>2737</v>
      </c>
      <c r="B1564" s="1" t="s">
        <v>2738</v>
      </c>
      <c r="C1564" t="str">
        <f ca="1">IFERROR(__xludf.DUMMYFUNCTION("GOOGLETRANSLATE(B1564, ""ja"", ""en"")"),"Please aim to vertex of [n] rank warfare to compete with a variety of opponents. [N] can play in one game 5 points.")</f>
        <v>Please aim to vertex of [n] rank warfare to compete with a variety of opponents. [N] can play in one game 5 points.</v>
      </c>
    </row>
    <row r="1565" spans="1:3" ht="12.75" x14ac:dyDescent="0.2">
      <c r="A1565" s="1" t="s">
        <v>2739</v>
      </c>
      <c r="B1565" s="1" t="s">
        <v>2740</v>
      </c>
      <c r="C1565" t="str">
        <f ca="1">IFERROR(__xludf.DUMMYFUNCTION("GOOGLETRANSLATE(B1565, ""ja"", ""en"")"),"Please to challenge the ordeal that is initiated from a special aspect took the king of [n] opponent. [N] can play in one game 5 points.")</f>
        <v>Please to challenge the ordeal that is initiated from a special aspect took the king of [n] opponent. [N] can play in one game 5 points.</v>
      </c>
    </row>
    <row r="1566" spans="1:3" ht="12.75" x14ac:dyDescent="0.2">
      <c r="A1566" s="1" t="s">
        <v>2741</v>
      </c>
      <c r="B1566" s="1" t="s">
        <v>2742</v>
      </c>
      <c r="C1566" t="str">
        <f ca="1">IFERROR(__xludf.DUMMYFUNCTION("GOOGLETRANSLATE(B1566, ""ja"", ""en"")"),"Please aim to vertex of [n] rank warfare to compete with a variety of opponents. [N] because you have a new Shogi King, you can play a unnecessary betting point.")</f>
        <v>Please aim to vertex of [n] rank warfare to compete with a variety of opponents. [N] because you have a new Shogi King, you can play a unnecessary betting point.</v>
      </c>
    </row>
    <row r="1567" spans="1:3" ht="12.75" x14ac:dyDescent="0.2">
      <c r="A1567" s="1" t="s">
        <v>2743</v>
      </c>
      <c r="B1567" s="1" t="s">
        <v>2744</v>
      </c>
      <c r="C1567" t="str">
        <f ca="1">IFERROR(__xludf.DUMMYFUNCTION("GOOGLETRANSLATE(B1567, ""ja"", ""en"")"),"Please to challenge the ordeal that is initiated from a special aspect took the king of [n] opponent. [N] because you have a new Shogi King, you can play a unnecessary betting point.")</f>
        <v>Please to challenge the ordeal that is initiated from a special aspect took the king of [n] opponent. [N] because you have a new Shogi King, you can play a unnecessary betting point.</v>
      </c>
    </row>
    <row r="1568" spans="1:3" ht="12.75" x14ac:dyDescent="0.2">
      <c r="A1568" s="1" t="s">
        <v>2745</v>
      </c>
      <c r="B1568" s="1" t="s">
        <v>2746</v>
      </c>
      <c r="C1568" t="str">
        <f ca="1">IFERROR(__xludf.DUMMYFUNCTION("GOOGLETRANSLATE(B1568, ""ja"", ""en"")"),"I can not play because the betting point is not enough. [N] Please have accumulated more than 5 points.")</f>
        <v>I can not play because the betting point is not enough. [N] Please have accumulated more than 5 points.</v>
      </c>
    </row>
    <row r="1569" spans="1:3" ht="12.75" x14ac:dyDescent="0.2">
      <c r="A1569" s="1" t="s">
        <v>2747</v>
      </c>
      <c r="B1569" s="1" t="s">
        <v>247</v>
      </c>
      <c r="C1569" t="str">
        <f ca="1">IFERROR(__xludf.DUMMYFUNCTION("GOOGLETRANSLATE(B1569, ""ja"", ""en"")"),".")</f>
        <v>.</v>
      </c>
    </row>
    <row r="1570" spans="1:3" ht="12.75" x14ac:dyDescent="0.2">
      <c r="A1570" s="1" t="s">
        <v>2748</v>
      </c>
      <c r="B1570" s="1" t="s">
        <v>1518</v>
      </c>
      <c r="C1570" t="str">
        <f ca="1">IFERROR(__xludf.DUMMYFUNCTION("GOOGLETRANSLATE(B1570, ""ja"", ""en"")"),"To")</f>
        <v>To</v>
      </c>
    </row>
    <row r="1571" spans="1:3" ht="12.75" x14ac:dyDescent="0.2">
      <c r="A1571" s="1" t="s">
        <v>2749</v>
      </c>
      <c r="B1571" s="1" t="s">
        <v>2750</v>
      </c>
      <c r="C1571" t="str">
        <f ca="1">IFERROR(__xludf.DUMMYFUNCTION("GOOGLETRANSLATE(B1571, ""ja"", ""en"")"),"I came so!")</f>
        <v>I came so!</v>
      </c>
    </row>
    <row r="1572" spans="1:3" ht="12.75" x14ac:dyDescent="0.2">
      <c r="A1572" s="1" t="s">
        <v>2751</v>
      </c>
      <c r="B1572" s="1" t="s">
        <v>2752</v>
      </c>
      <c r="C1572" t="str">
        <f ca="1">IFERROR(__xludf.DUMMYFUNCTION("GOOGLETRANSLATE(B1572, ""ja"", ""en"")"),"His hands as expected!")</f>
        <v>His hands as expected!</v>
      </c>
    </row>
    <row r="1573" spans="1:3" ht="12.75" x14ac:dyDescent="0.2">
      <c r="A1573" s="1" t="s">
        <v>2753</v>
      </c>
      <c r="B1573" s="1" t="s">
        <v>2754</v>
      </c>
      <c r="C1573" t="str">
        <f ca="1">IFERROR(__xludf.DUMMYFUNCTION("GOOGLETRANSLATE(B1573, ""ja"", ""en"")"),"Naa severe ...")</f>
        <v>Naa severe ...</v>
      </c>
    </row>
    <row r="1574" spans="1:3" ht="12.75" x14ac:dyDescent="0.2">
      <c r="A1574" s="1" t="s">
        <v>2755</v>
      </c>
      <c r="B1574" s="1" t="s">
        <v>2756</v>
      </c>
      <c r="C1574" t="str">
        <f ca="1">IFERROR(__xludf.DUMMYFUNCTION("GOOGLETRANSLATE(B1574, ""ja"", ""en"")"),"I want Tegoma")</f>
        <v>I want Tegoma</v>
      </c>
    </row>
    <row r="1575" spans="1:3" ht="12.75" x14ac:dyDescent="0.2">
      <c r="A1575" s="1" t="s">
        <v>2757</v>
      </c>
      <c r="B1575" s="1" t="s">
        <v>2758</v>
      </c>
      <c r="C1575" t="str">
        <f ca="1">IFERROR(__xludf.DUMMYFUNCTION("GOOGLETRANSLATE(B1575, ""ja"", ""en"")"),"Or refer it!?")</f>
        <v>Or refer it!?</v>
      </c>
    </row>
    <row r="1576" spans="1:3" ht="12.75" x14ac:dyDescent="0.2">
      <c r="A1576" s="1" t="s">
        <v>2759</v>
      </c>
      <c r="B1576" s="1" t="s">
        <v>2760</v>
      </c>
      <c r="C1576" t="str">
        <f ca="1">IFERROR(__xludf.DUMMYFUNCTION("GOOGLETRANSLATE(B1576, ""ja"", ""en"")"),"There on whether the strike!?")</f>
        <v>There on whether the strike!?</v>
      </c>
    </row>
    <row r="1577" spans="1:3" ht="12.75" x14ac:dyDescent="0.2">
      <c r="A1577" s="1" t="s">
        <v>2761</v>
      </c>
      <c r="B1577" s="1" t="s">
        <v>2762</v>
      </c>
      <c r="C1577" t="str">
        <f ca="1">IFERROR(__xludf.DUMMYFUNCTION("GOOGLETRANSLATE(B1577, ""ja"", ""en"")"),"Or Mai made or will be ...")</f>
        <v>Or Mai made or will be ...</v>
      </c>
    </row>
    <row r="1578" spans="1:3" ht="12.75" x14ac:dyDescent="0.2">
      <c r="A1578" s="1" t="s">
        <v>2763</v>
      </c>
      <c r="B1578" s="1" t="s">
        <v>2764</v>
      </c>
      <c r="C1578" t="str">
        <f ca="1">IFERROR(__xludf.DUMMYFUNCTION("GOOGLETRANSLATE(B1578, ""ja"", ""en"")"),"Or defend or attack ...")</f>
        <v>Or defend or attack ...</v>
      </c>
    </row>
    <row r="1579" spans="1:3" ht="12.75" x14ac:dyDescent="0.2">
      <c r="A1579" s="1" t="s">
        <v>2765</v>
      </c>
      <c r="B1579" s="1" t="s">
        <v>2766</v>
      </c>
      <c r="C1579" t="str">
        <f ca="1">IFERROR(__xludf.DUMMYFUNCTION("GOOGLETRANSLATE(B1579, ""ja"", ""en"")"),"Jubei ten Grade")</f>
        <v>Jubei ten Grade</v>
      </c>
    </row>
    <row r="1580" spans="1:3" ht="12.75" x14ac:dyDescent="0.2">
      <c r="A1580" s="1" t="s">
        <v>2767</v>
      </c>
      <c r="B1580" s="1" t="s">
        <v>2768</v>
      </c>
      <c r="C1580" t="str">
        <f ca="1">IFERROR(__xludf.DUMMYFUNCTION("GOOGLETRANSLATE(B1580, ""ja"", ""en"")"),"Cultivation ten Grade")</f>
        <v>Cultivation ten Grade</v>
      </c>
    </row>
    <row r="1581" spans="1:3" ht="12.75" x14ac:dyDescent="0.2">
      <c r="A1581" s="1" t="s">
        <v>2769</v>
      </c>
      <c r="B1581" s="1" t="s">
        <v>2770</v>
      </c>
      <c r="C1581" t="str">
        <f ca="1">IFERROR(__xludf.DUMMYFUNCTION("GOOGLETRANSLATE(B1581, ""ja"", ""en"")"),"KyuTaro nine Grade")</f>
        <v>KyuTaro nine Grade</v>
      </c>
    </row>
    <row r="1582" spans="1:3" ht="12.75" x14ac:dyDescent="0.2">
      <c r="A1582" s="1" t="s">
        <v>2771</v>
      </c>
      <c r="B1582" s="1" t="s">
        <v>2772</v>
      </c>
      <c r="C1582" t="str">
        <f ca="1">IFERROR(__xludf.DUMMYFUNCTION("GOOGLETRANSLATE(B1582, ""ja"", ""en"")"),"Yoichi nine Grade")</f>
        <v>Yoichi nine Grade</v>
      </c>
    </row>
    <row r="1583" spans="1:3" ht="12.75" x14ac:dyDescent="0.2">
      <c r="A1583" s="1" t="s">
        <v>2773</v>
      </c>
      <c r="B1583" s="1" t="s">
        <v>2774</v>
      </c>
      <c r="C1583" t="str">
        <f ca="1">IFERROR(__xludf.DUMMYFUNCTION("GOOGLETRANSLATE(B1583, ""ja"", ""en"")"),"Kita eighty-eight grade")</f>
        <v>Kita eighty-eight grade</v>
      </c>
    </row>
    <row r="1584" spans="1:3" ht="12.75" x14ac:dyDescent="0.2">
      <c r="A1584" s="1" t="s">
        <v>2775</v>
      </c>
      <c r="B1584" s="1" t="s">
        <v>2776</v>
      </c>
      <c r="C1584" t="str">
        <f ca="1">IFERROR(__xludf.DUMMYFUNCTION("GOOGLETRANSLATE(B1584, ""ja"", ""en"")"),"Masakichi eight grade")</f>
        <v>Masakichi eight grade</v>
      </c>
    </row>
    <row r="1585" spans="1:3" ht="12.75" x14ac:dyDescent="0.2">
      <c r="A1585" s="1" t="s">
        <v>2777</v>
      </c>
      <c r="B1585" s="1" t="s">
        <v>2778</v>
      </c>
      <c r="C1585" t="str">
        <f ca="1">IFERROR(__xludf.DUMMYFUNCTION("GOOGLETRANSLATE(B1585, ""ja"", ""en"")"),"Denshichi seven Grade")</f>
        <v>Denshichi seven Grade</v>
      </c>
    </row>
    <row r="1586" spans="1:3" ht="12.75" x14ac:dyDescent="0.2">
      <c r="A1586" s="1" t="s">
        <v>2779</v>
      </c>
      <c r="B1586" s="1" t="s">
        <v>2780</v>
      </c>
      <c r="C1586" t="str">
        <f ca="1">IFERROR(__xludf.DUMMYFUNCTION("GOOGLETRANSLATE(B1586, ""ja"", ""en"")"),"Saizo seven Grade")</f>
        <v>Saizo seven Grade</v>
      </c>
    </row>
    <row r="1587" spans="1:3" ht="12.75" x14ac:dyDescent="0.2">
      <c r="A1587" s="1" t="s">
        <v>2781</v>
      </c>
      <c r="B1587" s="1" t="s">
        <v>2782</v>
      </c>
      <c r="C1587" t="str">
        <f ca="1">IFERROR(__xludf.DUMMYFUNCTION("GOOGLETRANSLATE(B1587, ""ja"", ""en"")"),"Bear sixty-six grade")</f>
        <v>Bear sixty-six grade</v>
      </c>
    </row>
    <row r="1588" spans="1:3" ht="12.75" x14ac:dyDescent="0.2">
      <c r="A1588" s="1" t="s">
        <v>2783</v>
      </c>
      <c r="B1588" s="1" t="s">
        <v>2784</v>
      </c>
      <c r="C1588" t="str">
        <f ca="1">IFERROR(__xludf.DUMMYFUNCTION("GOOGLETRANSLATE(B1588, ""ja"", ""en"")"),"Small Genta six Grade")</f>
        <v>Small Genta six Grade</v>
      </c>
    </row>
    <row r="1589" spans="1:3" ht="12.75" x14ac:dyDescent="0.2">
      <c r="A1589" s="1" t="s">
        <v>2785</v>
      </c>
      <c r="B1589" s="1" t="s">
        <v>2786</v>
      </c>
      <c r="C1589" t="str">
        <f ca="1">IFERROR(__xludf.DUMMYFUNCTION("GOOGLETRANSLATE(B1589, ""ja"", ""en"")"),"Goemon five Grade")</f>
        <v>Goemon five Grade</v>
      </c>
    </row>
    <row r="1590" spans="1:3" ht="12.75" x14ac:dyDescent="0.2">
      <c r="A1590" s="1" t="s">
        <v>2787</v>
      </c>
      <c r="B1590" s="1" t="s">
        <v>2788</v>
      </c>
      <c r="C1590" t="str">
        <f ca="1">IFERROR(__xludf.DUMMYFUNCTION("GOOGLETRANSLATE(B1590, ""ja"", ""en"")"),"Sasuke five Grade")</f>
        <v>Sasuke five Grade</v>
      </c>
    </row>
    <row r="1591" spans="1:3" ht="12.75" x14ac:dyDescent="0.2">
      <c r="A1591" s="1" t="s">
        <v>2789</v>
      </c>
      <c r="B1591" s="1" t="s">
        <v>2790</v>
      </c>
      <c r="C1591" t="str">
        <f ca="1">IFERROR(__xludf.DUMMYFUNCTION("GOOGLETRANSLATE(B1591, ""ja"", ""en"")"),"HikariShiro quaternary")</f>
        <v>HikariShiro quaternary</v>
      </c>
    </row>
    <row r="1592" spans="1:3" ht="12.75" x14ac:dyDescent="0.2">
      <c r="A1592" s="1" t="s">
        <v>2791</v>
      </c>
      <c r="B1592" s="1" t="s">
        <v>2792</v>
      </c>
      <c r="C1592" t="str">
        <f ca="1">IFERROR(__xludf.DUMMYFUNCTION("GOOGLETRANSLATE(B1592, ""ja"", ""en"")"),"Kenkokoro quaternary")</f>
        <v>Kenkokoro quaternary</v>
      </c>
    </row>
    <row r="1593" spans="1:3" ht="12.75" x14ac:dyDescent="0.2">
      <c r="A1593" s="1" t="s">
        <v>2793</v>
      </c>
      <c r="B1593" s="1" t="s">
        <v>2794</v>
      </c>
      <c r="C1593" t="str">
        <f ca="1">IFERROR(__xludf.DUMMYFUNCTION("GOOGLETRANSLATE(B1593, ""ja"", ""en"")"),"SaburoFutoshi tertiary")</f>
        <v>SaburoFutoshi tertiary</v>
      </c>
    </row>
    <row r="1594" spans="1:3" ht="12.75" x14ac:dyDescent="0.2">
      <c r="A1594" s="1" t="s">
        <v>2795</v>
      </c>
      <c r="B1594" s="1" t="s">
        <v>2796</v>
      </c>
      <c r="C1594" t="str">
        <f ca="1">IFERROR(__xludf.DUMMYFUNCTION("GOOGLETRANSLATE(B1594, ""ja"", ""en"")"),"Kunimatsu tertiary")</f>
        <v>Kunimatsu tertiary</v>
      </c>
    </row>
    <row r="1595" spans="1:3" ht="12.75" x14ac:dyDescent="0.2">
      <c r="A1595" s="1" t="s">
        <v>2797</v>
      </c>
      <c r="B1595" s="1" t="s">
        <v>2798</v>
      </c>
      <c r="C1595" t="str">
        <f ca="1">IFERROR(__xludf.DUMMYFUNCTION("GOOGLETRANSLATE(B1595, ""ja"", ""en"")"),"Anjirō secondary")</f>
        <v>Anjirō secondary</v>
      </c>
    </row>
    <row r="1596" spans="1:3" ht="12.75" x14ac:dyDescent="0.2">
      <c r="A1596" s="1" t="s">
        <v>2799</v>
      </c>
      <c r="B1596" s="1" t="s">
        <v>2800</v>
      </c>
      <c r="C1596" t="str">
        <f ca="1">IFERROR(__xludf.DUMMYFUNCTION("GOOGLETRANSLATE(B1596, ""ja"", ""en"")"),"Tsurutaira secondary")</f>
        <v>Tsurutaira secondary</v>
      </c>
    </row>
    <row r="1597" spans="1:3" ht="12.75" x14ac:dyDescent="0.2">
      <c r="A1597" s="1" t="s">
        <v>2801</v>
      </c>
      <c r="B1597" s="1" t="s">
        <v>2802</v>
      </c>
      <c r="C1597" t="str">
        <f ca="1">IFERROR(__xludf.DUMMYFUNCTION("GOOGLETRANSLATE(B1597, ""ja"", ""en"")"),"Kazuyuki assistant primary")</f>
        <v>Kazuyuki assistant primary</v>
      </c>
    </row>
    <row r="1598" spans="1:3" ht="12.75" x14ac:dyDescent="0.2">
      <c r="A1598" s="1" t="s">
        <v>2803</v>
      </c>
      <c r="B1598" s="1" t="s">
        <v>2804</v>
      </c>
      <c r="C1598" t="str">
        <f ca="1">IFERROR(__xludf.DUMMYFUNCTION("GOOGLETRANSLATE(B1598, ""ja"", ""en"")"),"Kamekichi primary")</f>
        <v>Kamekichi primary</v>
      </c>
    </row>
    <row r="1599" spans="1:3" ht="12.75" x14ac:dyDescent="0.2">
      <c r="A1599" s="1" t="s">
        <v>2805</v>
      </c>
      <c r="B1599" s="1" t="s">
        <v>2806</v>
      </c>
      <c r="C1599" t="str">
        <f ca="1">IFERROR(__xludf.DUMMYFUNCTION("GOOGLETRANSLATE(B1599, ""ja"", ""en"")"),"KakunoSusumu first stage")</f>
        <v>KakunoSusumu first stage</v>
      </c>
    </row>
    <row r="1600" spans="1:3" ht="12.75" x14ac:dyDescent="0.2">
      <c r="A1600" s="1" t="s">
        <v>2807</v>
      </c>
      <c r="B1600" s="1" t="s">
        <v>2808</v>
      </c>
      <c r="C1600" t="str">
        <f ca="1">IFERROR(__xludf.DUMMYFUNCTION("GOOGLETRANSLATE(B1600, ""ja"", ""en"")"),"Umon two-stage")</f>
        <v>Umon two-stage</v>
      </c>
    </row>
    <row r="1601" spans="1:3" ht="12.75" x14ac:dyDescent="0.2">
      <c r="A1601" s="1" t="s">
        <v>2809</v>
      </c>
      <c r="B1601" s="1" t="s">
        <v>2810</v>
      </c>
      <c r="C1601" t="str">
        <f ca="1">IFERROR(__xludf.DUMMYFUNCTION("GOOGLETRANSLATE(B1601, ""ja"", ""en"")"),"Muramasa three-stage")</f>
        <v>Muramasa three-stage</v>
      </c>
    </row>
    <row r="1602" spans="1:3" ht="12.75" x14ac:dyDescent="0.2">
      <c r="A1602" s="1" t="s">
        <v>2811</v>
      </c>
      <c r="B1602" s="1" t="s">
        <v>2812</v>
      </c>
      <c r="C1602" t="str">
        <f ca="1">IFERROR(__xludf.DUMMYFUNCTION("GOOGLETRANSLATE(B1602, ""ja"", ""en"")"),"Sukesaburo four-stage")</f>
        <v>Sukesaburo four-stage</v>
      </c>
    </row>
    <row r="1603" spans="1:3" ht="12.75" x14ac:dyDescent="0.2">
      <c r="A1603" s="1" t="s">
        <v>2813</v>
      </c>
      <c r="B1603" s="1" t="s">
        <v>2814</v>
      </c>
      <c r="C1603" t="str">
        <f ca="1">IFERROR(__xludf.DUMMYFUNCTION("GOOGLETRANSLATE(B1603, ""ja"", ""en"")"),"Kongo five-stage")</f>
        <v>Kongo five-stage</v>
      </c>
    </row>
    <row r="1604" spans="1:3" ht="12.75" x14ac:dyDescent="0.2">
      <c r="A1604" s="1" t="s">
        <v>2815</v>
      </c>
      <c r="B1604" s="1" t="s">
        <v>2816</v>
      </c>
      <c r="C1604" t="str">
        <f ca="1">IFERROR(__xludf.DUMMYFUNCTION("GOOGLETRANSLATE(B1604, ""ja"", ""en"")"),"Sakyo 6th dan")</f>
        <v>Sakyo 6th dan</v>
      </c>
    </row>
    <row r="1605" spans="1:3" ht="12.75" x14ac:dyDescent="0.2">
      <c r="A1605" s="1" t="s">
        <v>2817</v>
      </c>
      <c r="B1605" s="1" t="s">
        <v>2818</v>
      </c>
      <c r="C1605" t="str">
        <f ca="1">IFERROR(__xludf.DUMMYFUNCTION("GOOGLETRANSLATE(B1605, ""ja"", ""en"")"),"Toratetsu seven-stage")</f>
        <v>Toratetsu seven-stage</v>
      </c>
    </row>
    <row r="1606" spans="1:3" ht="12.75" x14ac:dyDescent="0.2">
      <c r="A1606" s="1" t="s">
        <v>2819</v>
      </c>
      <c r="B1606" s="1" t="s">
        <v>2820</v>
      </c>
      <c r="C1606" t="str">
        <f ca="1">IFERROR(__xludf.DUMMYFUNCTION("GOOGLETRANSLATE(B1606, ""ja"", ""en"")"),"Onimaru 8th Dan")</f>
        <v>Onimaru 8th Dan</v>
      </c>
    </row>
    <row r="1607" spans="1:3" ht="12.75" x14ac:dyDescent="0.2">
      <c r="A1607" s="1" t="s">
        <v>2821</v>
      </c>
      <c r="B1607" s="1" t="s">
        <v>2822</v>
      </c>
      <c r="C1607" t="str">
        <f ca="1">IFERROR(__xludf.DUMMYFUNCTION("GOOGLETRANSLATE(B1607, ""ja"", ""en"")"),"Black Unsai Kudan")</f>
        <v>Black Unsai Kudan</v>
      </c>
    </row>
    <row r="1608" spans="1:3" ht="12.75" x14ac:dyDescent="0.2">
      <c r="A1608" s="1" t="s">
        <v>2823</v>
      </c>
      <c r="B1608" s="1" t="s">
        <v>2824</v>
      </c>
      <c r="C1608" t="str">
        <f ca="1">IFERROR(__xludf.DUMMYFUNCTION("GOOGLETRANSLATE(B1608, ""ja"", ""en"")"),"Crow Tengu the top")</f>
        <v>Crow Tengu the top</v>
      </c>
    </row>
    <row r="1609" spans="1:3" ht="12.75" x14ac:dyDescent="0.2">
      <c r="A1609" s="1" t="s">
        <v>2825</v>
      </c>
      <c r="B1609" s="1" t="s">
        <v>2826</v>
      </c>
      <c r="C1609" t="str">
        <f ca="1">IFERROR(__xludf.DUMMYFUNCTION("GOOGLETRANSLATE(B1609, ""ja"", ""en"")"),"The Son of God Shogi King")</f>
        <v>The Son of God Shogi King</v>
      </c>
    </row>
    <row r="1610" spans="1:3" ht="12.75" x14ac:dyDescent="0.2">
      <c r="A1610" s="1" t="s">
        <v>2827</v>
      </c>
      <c r="B1610" s="1" t="s">
        <v>2828</v>
      </c>
      <c r="C1610" t="str">
        <f ca="1">IFERROR(__xludf.DUMMYFUNCTION("GOOGLETRANSLATE(B1610, ""ja"", ""en"")"),"Changzhi")</f>
        <v>Changzhi</v>
      </c>
    </row>
    <row r="1611" spans="1:3" ht="12.75" x14ac:dyDescent="0.2">
      <c r="A1611" s="1" t="s">
        <v>2829</v>
      </c>
      <c r="B1611" s="1" t="s">
        <v>2830</v>
      </c>
      <c r="C1611" t="str">
        <f ca="1">IFERROR(__xludf.DUMMYFUNCTION("GOOGLETRANSLATE(B1611, ""ja"", ""en"")"),"Government of vagabond")</f>
        <v>Government of vagabond</v>
      </c>
    </row>
    <row r="1612" spans="1:3" ht="12.75" x14ac:dyDescent="0.2">
      <c r="A1612" s="1" t="s">
        <v>2831</v>
      </c>
      <c r="B1612" s="1" t="s">
        <v>2832</v>
      </c>
      <c r="C1612" t="str">
        <f ca="1">IFERROR(__xludf.DUMMYFUNCTION("GOOGLETRANSLATE(B1612, ""ja"", ""en"")"),"Kintoki of Arashiyama")</f>
        <v>Kintoki of Arashiyama</v>
      </c>
    </row>
    <row r="1613" spans="1:3" ht="12.75" x14ac:dyDescent="0.2">
      <c r="A1613" s="1" t="s">
        <v>2833</v>
      </c>
      <c r="B1613" s="1" t="s">
        <v>2834</v>
      </c>
      <c r="C1613" t="str">
        <f ca="1">IFERROR(__xludf.DUMMYFUNCTION("GOOGLETRANSLATE(B1613, ""ja"", ""en"")"),"Chest heat licorice")</f>
        <v>Chest heat licorice</v>
      </c>
    </row>
    <row r="1614" spans="1:3" ht="12.75" x14ac:dyDescent="0.2">
      <c r="A1614" s="1" t="s">
        <v>2835</v>
      </c>
      <c r="B1614" s="1" t="s">
        <v>2836</v>
      </c>
      <c r="C1614" t="str">
        <f ca="1">IFERROR(__xludf.DUMMYFUNCTION("GOOGLETRANSLATE(B1614, ""ja"", ""en"")"),"Millionaire of Qian eight")</f>
        <v>Millionaire of Qian eight</v>
      </c>
    </row>
    <row r="1615" spans="1:3" ht="12.75" x14ac:dyDescent="0.2">
      <c r="A1615" s="1" t="s">
        <v>2837</v>
      </c>
      <c r="B1615" s="1" t="s">
        <v>2838</v>
      </c>
      <c r="C1615" t="str">
        <f ca="1">IFERROR(__xludf.DUMMYFUNCTION("GOOGLETRANSLATE(B1615, ""ja"", ""en"")"),"City of Death")</f>
        <v>City of Death</v>
      </c>
    </row>
    <row r="1616" spans="1:3" ht="12.75" x14ac:dyDescent="0.2">
      <c r="A1616" s="1" t="s">
        <v>2839</v>
      </c>
      <c r="B1616" s="1" t="s">
        <v>2840</v>
      </c>
      <c r="C1616" t="str">
        <f ca="1">IFERROR(__xludf.DUMMYFUNCTION("GOOGLETRANSLATE(B1616, ""ja"", ""en"")"),"Root dark Do Naosuke")</f>
        <v>Root dark Do Naosuke</v>
      </c>
    </row>
    <row r="1617" spans="1:3" ht="12.75" x14ac:dyDescent="0.2">
      <c r="A1617" s="1" t="s">
        <v>2841</v>
      </c>
      <c r="B1617" s="1" t="s">
        <v>2842</v>
      </c>
      <c r="C1617" t="str">
        <f ca="1">IFERROR(__xludf.DUMMYFUNCTION("GOOGLETRANSLATE(B1617, ""ja"", ""en"")"),"Greedy Goro")</f>
        <v>Greedy Goro</v>
      </c>
    </row>
    <row r="1618" spans="1:3" ht="12.75" x14ac:dyDescent="0.2">
      <c r="A1618" s="1" t="s">
        <v>2843</v>
      </c>
      <c r="B1618" s="1" t="s">
        <v>2844</v>
      </c>
      <c r="C1618" t="str">
        <f ca="1">IFERROR(__xludf.DUMMYFUNCTION("GOOGLETRANSLATE(B1618, ""ja"", ""en"")"),"Of luck Daikichi")</f>
        <v>Of luck Daikichi</v>
      </c>
    </row>
    <row r="1619" spans="1:3" ht="12.75" x14ac:dyDescent="0.2">
      <c r="A1619" s="1" t="s">
        <v>2845</v>
      </c>
      <c r="B1619" s="1" t="s">
        <v>2846</v>
      </c>
      <c r="C1619" t="str">
        <f ca="1">IFERROR(__xludf.DUMMYFUNCTION("GOOGLETRANSLATE(B1619, ""ja"", ""en"")"),"No gold Chuta")</f>
        <v>No gold Chuta</v>
      </c>
    </row>
    <row r="1620" spans="1:3" ht="12.75" x14ac:dyDescent="0.2">
      <c r="A1620" s="1" t="s">
        <v>2847</v>
      </c>
      <c r="B1620" s="1" t="s">
        <v>2848</v>
      </c>
      <c r="C1620" t="str">
        <f ca="1">IFERROR(__xludf.DUMMYFUNCTION("GOOGLETRANSLATE(B1620, ""ja"", ""en"")"),"The mystery of the gambler Ichi")</f>
        <v>The mystery of the gambler Ichi</v>
      </c>
    </row>
    <row r="1621" spans="1:3" ht="12.75" x14ac:dyDescent="0.2">
      <c r="A1621" s="1" t="s">
        <v>2849</v>
      </c>
      <c r="B1621" s="1" t="s">
        <v>2850</v>
      </c>
      <c r="C1621" t="str">
        <f ca="1">IFERROR(__xludf.DUMMYFUNCTION("GOOGLETRANSLATE(B1621, ""ja"", ""en"")"),"The mystery of the gambler Vol.2")</f>
        <v>The mystery of the gambler Vol.2</v>
      </c>
    </row>
    <row r="1622" spans="1:3" ht="12.75" x14ac:dyDescent="0.2">
      <c r="A1622" s="1" t="s">
        <v>2851</v>
      </c>
      <c r="B1622" s="1" t="s">
        <v>2852</v>
      </c>
      <c r="C1622" t="str">
        <f ca="1">IFERROR(__xludf.DUMMYFUNCTION("GOOGLETRANSLATE(B1622, ""ja"", ""en"")"),"Gambler participation of mystery")</f>
        <v>Gambler participation of mystery</v>
      </c>
    </row>
    <row r="1623" spans="1:3" ht="12.75" x14ac:dyDescent="0.2">
      <c r="A1623" s="1" t="s">
        <v>2853</v>
      </c>
      <c r="B1623" s="1" t="s">
        <v>2854</v>
      </c>
      <c r="C1623" t="str">
        <f ca="1">IFERROR(__xludf.DUMMYFUNCTION("GOOGLETRANSLATE(B1623, ""ja"", ""en"")"),"Eye")</f>
        <v>Eye</v>
      </c>
    </row>
    <row r="1624" spans="1:3" ht="12.75" x14ac:dyDescent="0.2">
      <c r="A1624" s="1" t="s">
        <v>2855</v>
      </c>
      <c r="B1624" s="1" t="s">
        <v>2854</v>
      </c>
      <c r="C1624" t="str">
        <f ca="1">IFERROR(__xludf.DUMMYFUNCTION("GOOGLETRANSLATE(B1624, ""ja"", ""en"")"),"Eye")</f>
        <v>Eye</v>
      </c>
    </row>
    <row r="1625" spans="1:3" ht="12.75" x14ac:dyDescent="0.2">
      <c r="A1625" s="1" t="s">
        <v>2856</v>
      </c>
      <c r="B1625" s="1" t="s">
        <v>2854</v>
      </c>
      <c r="C1625" t="str">
        <f ca="1">IFERROR(__xludf.DUMMYFUNCTION("GOOGLETRANSLATE(B1625, ""ja"", ""en"")"),"Eye")</f>
        <v>Eye</v>
      </c>
    </row>
    <row r="1626" spans="1:3" ht="12.75" x14ac:dyDescent="0.2">
      <c r="A1626" s="1" t="s">
        <v>2857</v>
      </c>
      <c r="B1626" s="1" t="s">
        <v>1321</v>
      </c>
      <c r="C1626" t="str">
        <f ca="1">IFERROR(__xludf.DUMMYFUNCTION("GOOGLETRANSLATE(B1626, ""ja"", ""en"")"),"Down")</f>
        <v>Down</v>
      </c>
    </row>
    <row r="1627" spans="1:3" ht="12.75" x14ac:dyDescent="0.2">
      <c r="A1627" s="1" t="s">
        <v>2858</v>
      </c>
      <c r="B1627" s="1" t="s">
        <v>2859</v>
      </c>
      <c r="C1627" t="str">
        <f ca="1">IFERROR(__xludf.DUMMYFUNCTION("GOOGLETRANSLATE(B1627, ""ja"", ""en"")"),"Ding")</f>
        <v>Ding</v>
      </c>
    </row>
    <row r="1628" spans="1:3" ht="12.75" x14ac:dyDescent="0.2">
      <c r="A1628" s="1" t="s">
        <v>2860</v>
      </c>
      <c r="B1628" s="1" t="s">
        <v>2861</v>
      </c>
      <c r="C1628" t="str">
        <f ca="1">IFERROR(__xludf.DUMMYFUNCTION("GOOGLETRANSLATE(B1628, ""ja"", ""en"")"),"half")</f>
        <v>half</v>
      </c>
    </row>
    <row r="1629" spans="1:3" ht="12.75" x14ac:dyDescent="0.2">
      <c r="A1629" s="1" t="s">
        <v>2862</v>
      </c>
      <c r="B1629" s="1" t="s">
        <v>2863</v>
      </c>
      <c r="C1629" t="str">
        <f ca="1">IFERROR(__xludf.DUMMYFUNCTION("GOOGLETRANSLATE(B1629, ""ja"", ""en"")"),"Idea")</f>
        <v>Idea</v>
      </c>
    </row>
    <row r="1630" spans="1:3" ht="12.75" x14ac:dyDescent="0.2">
      <c r="A1630" s="1" t="s">
        <v>2864</v>
      </c>
      <c r="B1630" s="1" t="s">
        <v>2863</v>
      </c>
      <c r="C1630" t="str">
        <f ca="1">IFERROR(__xludf.DUMMYFUNCTION("GOOGLETRANSLATE(B1630, ""ja"", ""en"")"),"Idea")</f>
        <v>Idea</v>
      </c>
    </row>
    <row r="1631" spans="1:3" ht="12.75" x14ac:dyDescent="0.2">
      <c r="A1631" s="1" t="s">
        <v>2865</v>
      </c>
      <c r="B1631" s="1" t="s">
        <v>2866</v>
      </c>
      <c r="C1631" t="str">
        <f ca="1">IFERROR(__xludf.DUMMYFUNCTION("GOOGLETRANSLATE(B1631, ""ja"", ""en"")"),"")</f>
        <v/>
      </c>
    </row>
    <row r="1632" spans="1:3" ht="12.75" x14ac:dyDescent="0.2">
      <c r="A1632" s="1" t="s">
        <v>2867</v>
      </c>
      <c r="B1632" s="1" t="s">
        <v>2868</v>
      </c>
      <c r="C1632" t="str">
        <f ca="1">IFERROR(__xludf.DUMMYFUNCTION("GOOGLETRANSLATE(B1632, ""ja"", ""en"")"),"_")</f>
        <v>_</v>
      </c>
    </row>
    <row r="1633" spans="1:3" ht="12.75" x14ac:dyDescent="0.2">
      <c r="A1633" s="1" t="s">
        <v>2869</v>
      </c>
      <c r="B1633" s="1" t="s">
        <v>2162</v>
      </c>
      <c r="C1633" t="str">
        <f ca="1">IFERROR(__xludf.DUMMYFUNCTION("GOOGLETRANSLATE(B1633, ""ja"", ""en"")"),"During ~")</f>
        <v>During ~</v>
      </c>
    </row>
    <row r="1634" spans="1:3" ht="12.75" x14ac:dyDescent="0.2">
      <c r="A1634" s="1" t="s">
        <v>2870</v>
      </c>
      <c r="B1634" s="1" t="s">
        <v>2871</v>
      </c>
      <c r="C1634" t="str">
        <f ca="1">IFERROR(__xludf.DUMMYFUNCTION("GOOGLETRANSLATE(B1634, ""ja"", ""en"")"),"table")</f>
        <v>table</v>
      </c>
    </row>
    <row r="1635" spans="1:3" ht="12.75" x14ac:dyDescent="0.2">
      <c r="A1635" s="1" t="s">
        <v>2872</v>
      </c>
      <c r="B1635" s="1" t="s">
        <v>2873</v>
      </c>
      <c r="C1635" t="str">
        <f ca="1">IFERROR(__xludf.DUMMYFUNCTION("GOOGLETRANSLATE(B1635, ""ja"", ""en"")"),"Sakichi of moderate")</f>
        <v>Sakichi of moderate</v>
      </c>
    </row>
    <row r="1636" spans="1:3" ht="12.75" x14ac:dyDescent="0.2">
      <c r="A1636" s="1" t="s">
        <v>2874</v>
      </c>
      <c r="B1636" s="1" t="s">
        <v>2875</v>
      </c>
      <c r="C1636" t="str">
        <f ca="1">IFERROR(__xludf.DUMMYFUNCTION("GOOGLETRANSLATE(B1636, ""ja"", ""en"")"),"Bukkomi Toru")</f>
        <v>Bukkomi Toru</v>
      </c>
    </row>
    <row r="1637" spans="1:3" ht="12.75" x14ac:dyDescent="0.2">
      <c r="A1637" s="1" t="s">
        <v>2876</v>
      </c>
      <c r="B1637" s="1" t="s">
        <v>2877</v>
      </c>
      <c r="C1637" t="str">
        <f ca="1">IFERROR(__xludf.DUMMYFUNCTION("GOOGLETRANSLATE(B1637, ""ja"", ""en"")"),"Tatsuzo of silence")</f>
        <v>Tatsuzo of silence</v>
      </c>
    </row>
    <row r="1638" spans="1:3" ht="12.75" x14ac:dyDescent="0.2">
      <c r="A1638" s="1" t="s">
        <v>2878</v>
      </c>
      <c r="B1638" s="1" t="s">
        <v>2879</v>
      </c>
      <c r="C1638" t="str">
        <f ca="1">IFERROR(__xludf.DUMMYFUNCTION("GOOGLETRANSLATE(B1638, ""ja"", ""en"")"),"Kill time runway")</f>
        <v>Kill time runway</v>
      </c>
    </row>
    <row r="1639" spans="1:3" ht="12.75" x14ac:dyDescent="0.2">
      <c r="A1639" s="1" t="s">
        <v>2880</v>
      </c>
      <c r="B1639" s="1" t="s">
        <v>2881</v>
      </c>
      <c r="C1639" t="str">
        <f ca="1">IFERROR(__xludf.DUMMYFUNCTION("GOOGLETRANSLATE(B1639, ""ja"", ""en"")"),"Hachiro of lightning")</f>
        <v>Hachiro of lightning</v>
      </c>
    </row>
    <row r="1640" spans="1:3" ht="12.75" x14ac:dyDescent="0.2">
      <c r="A1640" s="1" t="s">
        <v>2882</v>
      </c>
      <c r="B1640" s="1" t="s">
        <v>2883</v>
      </c>
      <c r="C1640" t="str">
        <f ca="1">IFERROR(__xludf.DUMMYFUNCTION("GOOGLETRANSLATE(B1640, ""ja"", ""en"")"),"Taisei of bad luck")</f>
        <v>Taisei of bad luck</v>
      </c>
    </row>
    <row r="1641" spans="1:3" ht="12.75" x14ac:dyDescent="0.2">
      <c r="A1641" s="1" t="s">
        <v>2884</v>
      </c>
      <c r="B1641" s="1" t="s">
        <v>2885</v>
      </c>
      <c r="C1641" t="str">
        <f ca="1">IFERROR(__xludf.DUMMYFUNCTION("GOOGLETRANSLATE(B1641, ""ja"", ""en"")"),"Male fool")</f>
        <v>Male fool</v>
      </c>
    </row>
    <row r="1642" spans="1:3" ht="12.75" x14ac:dyDescent="0.2">
      <c r="A1642" s="1" t="s">
        <v>2886</v>
      </c>
      <c r="B1642" s="1" t="s">
        <v>2887</v>
      </c>
      <c r="C1642" t="str">
        <f ca="1">IFERROR(__xludf.DUMMYFUNCTION("GOOGLETRANSLATE(B1642, ""ja"", ""en"")"),"Intuition cattle Noriyuki assistant")</f>
        <v>Intuition cattle Noriyuki assistant</v>
      </c>
    </row>
    <row r="1643" spans="1:3" ht="12.75" x14ac:dyDescent="0.2">
      <c r="A1643" s="1" t="s">
        <v>2888</v>
      </c>
      <c r="B1643" s="1" t="s">
        <v>2889</v>
      </c>
      <c r="C1643" t="str">
        <f ca="1">IFERROR(__xludf.DUMMYFUNCTION("GOOGLETRANSLATE(B1643, ""ja"", ""en"")"),"Genius Kenshiro")</f>
        <v>Genius Kenshiro</v>
      </c>
    </row>
    <row r="1644" spans="1:3" ht="12.75" x14ac:dyDescent="0.2">
      <c r="A1644" s="1" t="s">
        <v>2890</v>
      </c>
      <c r="B1644" s="1" t="s">
        <v>2891</v>
      </c>
      <c r="C1644" t="str">
        <f ca="1">IFERROR(__xludf.DUMMYFUNCTION("GOOGLETRANSLATE(B1644, ""ja"", ""en"")"),"Swingers silver")</f>
        <v>Swingers silver</v>
      </c>
    </row>
    <row r="1645" spans="1:3" ht="12.75" x14ac:dyDescent="0.2">
      <c r="A1645" s="1" t="s">
        <v>2892</v>
      </c>
      <c r="B1645" s="1" t="s">
        <v>2893</v>
      </c>
      <c r="C1645" t="str">
        <f ca="1">IFERROR(__xludf.DUMMYFUNCTION("GOOGLETRANSLATE(B1645, ""ja"", ""en"")"),"Greedy Seiji")</f>
        <v>Greedy Seiji</v>
      </c>
    </row>
    <row r="1646" spans="1:3" ht="12.75" x14ac:dyDescent="0.2">
      <c r="A1646" s="1" t="s">
        <v>2894</v>
      </c>
      <c r="B1646" s="1" t="s">
        <v>2446</v>
      </c>
      <c r="C1646" t="str">
        <f ca="1">IFERROR(__xludf.DUMMYFUNCTION("GOOGLETRANSLATE(B1646, ""ja"", ""en"")"),"Ichiro")</f>
        <v>Ichiro</v>
      </c>
    </row>
    <row r="1647" spans="1:3" ht="12.75" x14ac:dyDescent="0.2">
      <c r="A1647" s="1" t="s">
        <v>2895</v>
      </c>
      <c r="B1647" s="1" t="s">
        <v>2896</v>
      </c>
      <c r="C1647" t="str">
        <f ca="1">IFERROR(__xludf.DUMMYFUNCTION("GOOGLETRANSLATE(B1647, ""ja"", ""en"")"),"Liquor")</f>
        <v>Liquor</v>
      </c>
    </row>
    <row r="1648" spans="1:3" ht="12.75" x14ac:dyDescent="0.2">
      <c r="A1648" s="1" t="s">
        <v>2897</v>
      </c>
      <c r="B1648" s="1" t="s">
        <v>2868</v>
      </c>
      <c r="C1648" t="str">
        <f ca="1">IFERROR(__xludf.DUMMYFUNCTION("GOOGLETRANSLATE(B1648, ""ja"", ""en"")"),"_")</f>
        <v>_</v>
      </c>
    </row>
    <row r="1649" spans="1:3" ht="12.75" x14ac:dyDescent="0.2">
      <c r="A1649" s="1" t="s">
        <v>2898</v>
      </c>
      <c r="B1649" s="1" t="s">
        <v>25</v>
      </c>
      <c r="C1649" t="str">
        <f ca="1">IFERROR(__xludf.DUMMYFUNCTION("GOOGLETRANSLATE(B1649, ""ja"", ""en"")"),"point")</f>
        <v>point</v>
      </c>
    </row>
    <row r="1650" spans="1:3" ht="12.75" x14ac:dyDescent="0.2">
      <c r="A1650" s="1" t="s">
        <v>2899</v>
      </c>
      <c r="B1650" s="1" t="s">
        <v>2900</v>
      </c>
      <c r="C1650" t="str">
        <f ca="1">IFERROR(__xludf.DUMMYFUNCTION("GOOGLETRANSLATE(B1650, ""ja"", ""en"")"),"Season")</f>
        <v>Season</v>
      </c>
    </row>
    <row r="1651" spans="1:3" ht="12.75" x14ac:dyDescent="0.2">
      <c r="A1651" s="1" t="s">
        <v>2901</v>
      </c>
      <c r="B1651" s="1" t="s">
        <v>2202</v>
      </c>
      <c r="C1651" t="str">
        <f ca="1">IFERROR(__xludf.DUMMYFUNCTION("GOOGLETRANSLATE(B1651, ""ja"", ""en"")"),"!")</f>
        <v>!</v>
      </c>
    </row>
    <row r="1652" spans="1:3" ht="12.75" x14ac:dyDescent="0.2">
      <c r="A1652" s="1" t="s">
        <v>2902</v>
      </c>
      <c r="B1652" s="1" t="s">
        <v>247</v>
      </c>
      <c r="C1652" t="str">
        <f ca="1">IFERROR(__xludf.DUMMYFUNCTION("GOOGLETRANSLATE(B1652, ""ja"", ""en"")"),".")</f>
        <v>.</v>
      </c>
    </row>
    <row r="1653" spans="1:3" ht="12.75" x14ac:dyDescent="0.2">
      <c r="A1653" s="1" t="s">
        <v>2903</v>
      </c>
      <c r="B1653" s="1" t="s">
        <v>247</v>
      </c>
      <c r="C1653" t="str">
        <f ca="1">IFERROR(__xludf.DUMMYFUNCTION("GOOGLETRANSLATE(B1653, ""ja"", ""en"")"),".")</f>
        <v>.</v>
      </c>
    </row>
    <row r="1654" spans="1:3" ht="12.75" x14ac:dyDescent="0.2">
      <c r="A1654" s="1" t="s">
        <v>2904</v>
      </c>
      <c r="B1654" s="1" t="s">
        <v>247</v>
      </c>
      <c r="C1654" t="str">
        <f ca="1">IFERROR(__xludf.DUMMYFUNCTION("GOOGLETRANSLATE(B1654, ""ja"", ""en"")"),".")</f>
        <v>.</v>
      </c>
    </row>
    <row r="1655" spans="1:3" ht="12.75" x14ac:dyDescent="0.2">
      <c r="A1655" s="1" t="s">
        <v>2905</v>
      </c>
      <c r="B1655" s="1" t="s">
        <v>247</v>
      </c>
      <c r="C1655" t="str">
        <f ca="1">IFERROR(__xludf.DUMMYFUNCTION("GOOGLETRANSLATE(B1655, ""ja"", ""en"")"),".")</f>
        <v>.</v>
      </c>
    </row>
    <row r="1656" spans="1:3" ht="12.75" x14ac:dyDescent="0.2">
      <c r="A1656" s="1" t="s">
        <v>2906</v>
      </c>
      <c r="B1656" s="1" t="s">
        <v>2907</v>
      </c>
      <c r="C1656" t="str">
        <f ca="1">IFERROR(__xludf.DUMMYFUNCTION("GOOGLETRANSLATE(B1656, ""ja"", ""en"")"),"Hajime")</f>
        <v>Hajime</v>
      </c>
    </row>
    <row r="1657" spans="1:3" ht="12.75" x14ac:dyDescent="0.2">
      <c r="A1657" s="1" t="s">
        <v>2908</v>
      </c>
      <c r="B1657" s="1" t="s">
        <v>2909</v>
      </c>
      <c r="C1657" t="str">
        <f ca="1">IFERROR(__xludf.DUMMYFUNCTION("GOOGLETRANSLATE(B1657, ""ja"", ""en"")"),"Change Settings")</f>
        <v>Change Settings</v>
      </c>
    </row>
    <row r="1658" spans="1:3" ht="12.75" x14ac:dyDescent="0.2">
      <c r="A1658" s="1" t="s">
        <v>2910</v>
      </c>
      <c r="B1658" s="1" t="s">
        <v>2911</v>
      </c>
      <c r="C1658" t="str">
        <f ca="1">IFERROR(__xludf.DUMMYFUNCTION("GOOGLETRANSLATE(B1658, ""ja"", ""en"")"),"Sure")</f>
        <v>Sure</v>
      </c>
    </row>
    <row r="1659" spans="1:3" ht="12.75" x14ac:dyDescent="0.2">
      <c r="A1659" s="1" t="s">
        <v>2912</v>
      </c>
      <c r="B1659" s="1" t="s">
        <v>2913</v>
      </c>
      <c r="C1659" t="str">
        <f ca="1">IFERROR(__xludf.DUMMYFUNCTION("GOOGLETRANSLATE(B1659, ""ja"", ""en"")"),"Shows")</f>
        <v>Shows</v>
      </c>
    </row>
    <row r="1660" spans="1:3" ht="12.75" x14ac:dyDescent="0.2">
      <c r="A1660" s="1" t="s">
        <v>2914</v>
      </c>
      <c r="B1660" s="1" t="s">
        <v>257</v>
      </c>
      <c r="C1660" t="str">
        <f ca="1">IFERROR(__xludf.DUMMYFUNCTION("GOOGLETRANSLATE(B1660, ""ja"", ""en"")"),"Have")</f>
        <v>Have</v>
      </c>
    </row>
    <row r="1661" spans="1:3" ht="12.75" x14ac:dyDescent="0.2">
      <c r="A1661" s="1" t="s">
        <v>2915</v>
      </c>
      <c r="B1661" s="1" t="s">
        <v>247</v>
      </c>
      <c r="C1661" t="str">
        <f ca="1">IFERROR(__xludf.DUMMYFUNCTION("GOOGLETRANSLATE(B1661, ""ja"", ""en"")"),".")</f>
        <v>.</v>
      </c>
    </row>
    <row r="1662" spans="1:3" ht="12.75" x14ac:dyDescent="0.2">
      <c r="A1662" s="1" t="s">
        <v>2916</v>
      </c>
      <c r="B1662" s="1" t="s">
        <v>2917</v>
      </c>
      <c r="C1662" t="str">
        <f ca="1">IFERROR(__xludf.DUMMYFUNCTION("GOOGLETRANSLATE(B1662, ""ja"", ""en"")"),"Six")</f>
        <v>Six</v>
      </c>
    </row>
    <row r="1663" spans="1:3" ht="12.75" x14ac:dyDescent="0.2">
      <c r="A1663" s="1" t="s">
        <v>2918</v>
      </c>
      <c r="B1663" s="1" t="s">
        <v>2919</v>
      </c>
      <c r="C1663" t="str">
        <f ca="1">IFERROR(__xludf.DUMMYFUNCTION("GOOGLETRANSLATE(B1663, ""ja"", ""en"")"),"Seven")</f>
        <v>Seven</v>
      </c>
    </row>
    <row r="1664" spans="1:3" ht="12.75" x14ac:dyDescent="0.2">
      <c r="A1664" s="1" t="s">
        <v>2920</v>
      </c>
      <c r="B1664" s="1" t="s">
        <v>2458</v>
      </c>
      <c r="C1664" t="str">
        <f ca="1">IFERROR(__xludf.DUMMYFUNCTION("GOOGLETRANSLATE(B1664, ""ja"", ""en"")"),"Eight")</f>
        <v>Eight</v>
      </c>
    </row>
    <row r="1665" spans="1:3" ht="12.75" x14ac:dyDescent="0.2">
      <c r="A1665" s="1" t="s">
        <v>2921</v>
      </c>
      <c r="B1665" s="1" t="s">
        <v>2922</v>
      </c>
      <c r="C1665" t="str">
        <f ca="1">IFERROR(__xludf.DUMMYFUNCTION("GOOGLETRANSLATE(B1665, ""ja"", ""en"")"),"Nine")</f>
        <v>Nine</v>
      </c>
    </row>
    <row r="1666" spans="1:3" ht="12.75" x14ac:dyDescent="0.2">
      <c r="A1666" s="1" t="s">
        <v>2923</v>
      </c>
      <c r="B1666" s="1" t="s">
        <v>2924</v>
      </c>
      <c r="C1666" t="str">
        <f ca="1">IFERROR(__xludf.DUMMYFUNCTION("GOOGLETRANSLATE(B1666, ""ja"", ""en"")"),"Ten")</f>
        <v>Ten</v>
      </c>
    </row>
    <row r="1667" spans="1:3" ht="12.75" x14ac:dyDescent="0.2">
      <c r="A1667" s="1" t="s">
        <v>2925</v>
      </c>
      <c r="B1667" s="1" t="s">
        <v>247</v>
      </c>
      <c r="C1667" t="str">
        <f ca="1">IFERROR(__xludf.DUMMYFUNCTION("GOOGLETRANSLATE(B1667, ""ja"", ""en"")"),".")</f>
        <v>.</v>
      </c>
    </row>
    <row r="1668" spans="1:3" ht="12.75" x14ac:dyDescent="0.2">
      <c r="A1668" s="1" t="s">
        <v>2926</v>
      </c>
      <c r="B1668" s="1" t="s">
        <v>260</v>
      </c>
      <c r="C1668" t="str">
        <f ca="1">IFERROR(__xludf.DUMMYFUNCTION("GOOGLETRANSLATE(B1668, ""ja"", ""en"")"),"De")</f>
        <v>De</v>
      </c>
    </row>
    <row r="1669" spans="1:3" ht="12.75" x14ac:dyDescent="0.2">
      <c r="A1669" s="1" t="s">
        <v>2927</v>
      </c>
      <c r="B1669" s="1" t="s">
        <v>528</v>
      </c>
      <c r="C1669" t="str">
        <f ca="1">IFERROR(__xludf.DUMMYFUNCTION("GOOGLETRANSLATE(B1669, ""ja"", ""en"")"),"of")</f>
        <v>of</v>
      </c>
    </row>
    <row r="1670" spans="1:3" ht="12.75" x14ac:dyDescent="0.2">
      <c r="A1670" s="1" t="s">
        <v>2928</v>
      </c>
      <c r="B1670" s="1" t="s">
        <v>247</v>
      </c>
      <c r="C1670" t="str">
        <f ca="1">IFERROR(__xludf.DUMMYFUNCTION("GOOGLETRANSLATE(B1670, ""ja"", ""en"")"),".")</f>
        <v>.</v>
      </c>
    </row>
    <row r="1671" spans="1:3" ht="12.75" x14ac:dyDescent="0.2">
      <c r="A1671" s="1" t="s">
        <v>2929</v>
      </c>
      <c r="B1671" s="1" t="s">
        <v>2930</v>
      </c>
      <c r="C1671" t="str">
        <f ca="1">IFERROR(__xludf.DUMMYFUNCTION("GOOGLETRANSLATE(B1671, ""ja"", ""en"")"),"other")</f>
        <v>other</v>
      </c>
    </row>
    <row r="1672" spans="1:3" ht="12.75" x14ac:dyDescent="0.2">
      <c r="A1672" s="1" t="s">
        <v>2931</v>
      </c>
      <c r="B1672" s="1" t="s">
        <v>2932</v>
      </c>
      <c r="C1672" t="str">
        <f ca="1">IFERROR(__xludf.DUMMYFUNCTION("GOOGLETRANSLATE(B1672, ""ja"", ""en"")"),"Yes")</f>
        <v>Yes</v>
      </c>
    </row>
    <row r="1673" spans="1:3" ht="12.75" x14ac:dyDescent="0.2">
      <c r="A1673" s="1" t="s">
        <v>2933</v>
      </c>
      <c r="B1673" s="1" t="s">
        <v>2934</v>
      </c>
      <c r="C1673" t="str">
        <f ca="1">IFERROR(__xludf.DUMMYFUNCTION("GOOGLETRANSLATE(B1673, ""ja"", ""en"")"),"Already")</f>
        <v>Already</v>
      </c>
    </row>
    <row r="1674" spans="1:3" ht="12.75" x14ac:dyDescent="0.2">
      <c r="A1674" s="1" t="s">
        <v>2935</v>
      </c>
      <c r="B1674" s="1" t="s">
        <v>247</v>
      </c>
      <c r="C1674" t="str">
        <f ca="1">IFERROR(__xludf.DUMMYFUNCTION("GOOGLETRANSLATE(B1674, ""ja"", ""en"")"),".")</f>
        <v>.</v>
      </c>
    </row>
    <row r="1675" spans="1:3" ht="12.75" x14ac:dyDescent="0.2">
      <c r="A1675" s="1" t="s">
        <v>2936</v>
      </c>
      <c r="B1675" s="1" t="s">
        <v>247</v>
      </c>
      <c r="C1675" t="str">
        <f ca="1">IFERROR(__xludf.DUMMYFUNCTION("GOOGLETRANSLATE(B1675, ""ja"", ""en"")"),".")</f>
        <v>.</v>
      </c>
    </row>
    <row r="1676" spans="1:3" ht="12.75" x14ac:dyDescent="0.2">
      <c r="A1676" s="1" t="s">
        <v>2937</v>
      </c>
      <c r="B1676" s="1" t="s">
        <v>2938</v>
      </c>
      <c r="C1676" t="str">
        <f ca="1">IFERROR(__xludf.DUMMYFUNCTION("GOOGLETRANSLATE(B1676, ""ja"", ""en"")"),"Make")</f>
        <v>Make</v>
      </c>
    </row>
    <row r="1677" spans="1:3" ht="12.75" x14ac:dyDescent="0.2">
      <c r="A1677" s="1" t="s">
        <v>2939</v>
      </c>
      <c r="B1677" s="1" t="s">
        <v>2940</v>
      </c>
      <c r="C1677" t="str">
        <f ca="1">IFERROR(__xludf.DUMMYFUNCTION("GOOGLETRANSLATE(B1677, ""ja"", ""en"")"),"do not do")</f>
        <v>do not do</v>
      </c>
    </row>
    <row r="1678" spans="1:3" ht="12.75" x14ac:dyDescent="0.2">
      <c r="A1678" s="1" t="s">
        <v>2941</v>
      </c>
      <c r="B1678" s="1" t="s">
        <v>354</v>
      </c>
      <c r="C1678" t="str">
        <f ca="1">IFERROR(__xludf.DUMMYFUNCTION("GOOGLETRANSLATE(B1678, ""ja"", ""en"")"),"That")</f>
        <v>That</v>
      </c>
    </row>
    <row r="1679" spans="1:3" ht="12.75" x14ac:dyDescent="0.2">
      <c r="A1679" s="1" t="s">
        <v>2942</v>
      </c>
      <c r="B1679" s="1" t="s">
        <v>2943</v>
      </c>
      <c r="C1679" t="str">
        <f ca="1">IFERROR(__xludf.DUMMYFUNCTION("GOOGLETRANSLATE(B1679, ""ja"", ""en"")"),"Superlative")</f>
        <v>Superlative</v>
      </c>
    </row>
    <row r="1680" spans="1:3" ht="12.75" x14ac:dyDescent="0.2">
      <c r="A1680" s="1" t="s">
        <v>2944</v>
      </c>
      <c r="B1680" s="1" t="s">
        <v>2945</v>
      </c>
      <c r="C1680" t="str">
        <f ca="1">IFERROR(__xludf.DUMMYFUNCTION("GOOGLETRANSLATE(B1680, ""ja"", ""en"")"),"To play with beginner, you must point at least 200. [N] score difference × 10 points and the opponent will be exchanged.")</f>
        <v>To play with beginner, you must point at least 200. [N] score difference × 10 points and the opponent will be exchanged.</v>
      </c>
    </row>
    <row r="1681" spans="1:3" ht="12.75" x14ac:dyDescent="0.2">
      <c r="A1681" s="1" t="s">
        <v>2946</v>
      </c>
      <c r="B1681" s="1" t="s">
        <v>2947</v>
      </c>
      <c r="C1681" t="str">
        <f ca="1">IFERROR(__xludf.DUMMYFUNCTION("GOOGLETRANSLATE(B1681, ""ja"", ""en"")"),"To play Intermediate, you need at least 800 points. [N] score difference × 10 points and the opponent will be exchanged.")</f>
        <v>To play Intermediate, you need at least 800 points. [N] score difference × 10 points and the opponent will be exchanged.</v>
      </c>
    </row>
    <row r="1682" spans="1:3" ht="12.75" x14ac:dyDescent="0.2">
      <c r="A1682" s="1" t="s">
        <v>2948</v>
      </c>
      <c r="B1682" s="1" t="s">
        <v>2949</v>
      </c>
      <c r="C1682" t="str">
        <f ca="1">IFERROR(__xludf.DUMMYFUNCTION("GOOGLETRANSLATE(B1682, ""ja"", ""en"")"),"To play in the senior, you need at least 1400 points. [N] score difference × 10 points and the opponent will be exchanged.")</f>
        <v>To play in the senior, you need at least 1400 points. [N] score difference × 10 points and the opponent will be exchanged.</v>
      </c>
    </row>
    <row r="1683" spans="1:3" ht="12.75" x14ac:dyDescent="0.2">
      <c r="A1683" s="1" t="s">
        <v>2950</v>
      </c>
      <c r="B1683" s="1" t="s">
        <v>2951</v>
      </c>
      <c r="C1683" t="str">
        <f ca="1">IFERROR(__xludf.DUMMYFUNCTION("GOOGLETRANSLATE(B1683, ""ja"", ""en"")"),"To play with superlative, it must be at least 2000 points. [N] score difference × 100 points and the opponent will be exchanged.")</f>
        <v>To play with superlative, it must be at least 2000 points. [N] score difference × 100 points and the opponent will be exchanged.</v>
      </c>
    </row>
    <row r="1684" spans="1:3" ht="12.75" x14ac:dyDescent="0.2">
      <c r="A1684" s="1" t="s">
        <v>2952</v>
      </c>
      <c r="B1684" s="1" t="s">
        <v>2953</v>
      </c>
      <c r="C1684" t="str">
        <f ca="1">IFERROR(__xludf.DUMMYFUNCTION("GOOGLETRANSLATE(B1684, ""ja"", ""en"")"),"I can not play because the betting point is not enough. Please be accumulated [n] 200 points or more.")</f>
        <v>I can not play because the betting point is not enough. Please be accumulated [n] 200 points or more.</v>
      </c>
    </row>
    <row r="1685" spans="1:3" ht="12.75" x14ac:dyDescent="0.2">
      <c r="A1685" s="1" t="s">
        <v>2954</v>
      </c>
      <c r="B1685" s="1" t="s">
        <v>2955</v>
      </c>
      <c r="C1685" t="str">
        <f ca="1">IFERROR(__xludf.DUMMYFUNCTION("GOOGLETRANSLATE(B1685, ""ja"", ""en"")"),"I can not play because the betting point is not enough. [N] Please have accumulated more than 800 points.")</f>
        <v>I can not play because the betting point is not enough. [N] Please have accumulated more than 800 points.</v>
      </c>
    </row>
    <row r="1686" spans="1:3" ht="12.75" x14ac:dyDescent="0.2">
      <c r="A1686" s="1" t="s">
        <v>2956</v>
      </c>
      <c r="B1686" s="1" t="s">
        <v>2957</v>
      </c>
      <c r="C1686" t="str">
        <f ca="1">IFERROR(__xludf.DUMMYFUNCTION("GOOGLETRANSLATE(B1686, ""ja"", ""en"")"),"I can not play because the betting point is not enough. [N] Please have accumulated more than 1400 points.")</f>
        <v>I can not play because the betting point is not enough. [N] Please have accumulated more than 1400 points.</v>
      </c>
    </row>
    <row r="1687" spans="1:3" ht="12.75" x14ac:dyDescent="0.2">
      <c r="A1687" s="1" t="s">
        <v>2958</v>
      </c>
      <c r="B1687" s="1" t="s">
        <v>2959</v>
      </c>
      <c r="C1687" t="str">
        <f ca="1">IFERROR(__xludf.DUMMYFUNCTION("GOOGLETRANSLATE(B1687, ""ja"", ""en"")"),"I can not play because the betting point is not enough. [N] Please have accumulated more than 2000 points.")</f>
        <v>I can not play because the betting point is not enough. [N] Please have accumulated more than 2000 points.</v>
      </c>
    </row>
    <row r="1688" spans="1:3" ht="12.75" x14ac:dyDescent="0.2">
      <c r="A1688" s="1" t="s">
        <v>2960</v>
      </c>
      <c r="B1688" s="1" t="s">
        <v>247</v>
      </c>
      <c r="C1688" t="str">
        <f ca="1">IFERROR(__xludf.DUMMYFUNCTION("GOOGLETRANSLATE(B1688, ""ja"", ""en"")"),".")</f>
        <v>.</v>
      </c>
    </row>
    <row r="1689" spans="1:3" ht="12.75" x14ac:dyDescent="0.2">
      <c r="A1689" s="1" t="s">
        <v>2961</v>
      </c>
      <c r="B1689" s="1" t="s">
        <v>2962</v>
      </c>
      <c r="C1689" t="str">
        <f ca="1">IFERROR(__xludf.DUMMYFUNCTION("GOOGLETRANSLATE(B1689, ""ja"", ""en"")"),"As you come good bill")</f>
        <v>As you come good bill</v>
      </c>
    </row>
    <row r="1690" spans="1:3" ht="12.75" x14ac:dyDescent="0.2">
      <c r="A1690" s="1" t="s">
        <v>2963</v>
      </c>
      <c r="B1690" s="1" t="s">
        <v>2964</v>
      </c>
      <c r="C1690" t="str">
        <f ca="1">IFERROR(__xludf.DUMMYFUNCTION("GOOGLETRANSLATE(B1690, ""ja"", ""en"")"),"It does not have a good bill ...")</f>
        <v>It does not have a good bill ...</v>
      </c>
    </row>
    <row r="1691" spans="1:3" ht="12.75" x14ac:dyDescent="0.2">
      <c r="A1691" s="1" t="s">
        <v>2965</v>
      </c>
      <c r="B1691" s="1" t="s">
        <v>2966</v>
      </c>
      <c r="C1691" t="str">
        <f ca="1">IFERROR(__xludf.DUMMYFUNCTION("GOOGLETRANSLATE(B1691, ""ja"", ""en"")"),"It could be a good role!")</f>
        <v>It could be a good role!</v>
      </c>
    </row>
    <row r="1692" spans="1:3" ht="12.75" x14ac:dyDescent="0.2">
      <c r="A1692" s="1" t="s">
        <v>2967</v>
      </c>
      <c r="B1692" s="1" t="s">
        <v>2968</v>
      </c>
      <c r="C1692" t="str">
        <f ca="1">IFERROR(__xludf.DUMMYFUNCTION("GOOGLETRANSLATE(B1692, ""ja"", ""en"")"),"It can not be a good role ...")</f>
        <v>It can not be a good role ...</v>
      </c>
    </row>
    <row r="1693" spans="1:3" ht="12.75" x14ac:dyDescent="0.2">
      <c r="A1693" s="1" t="s">
        <v>2969</v>
      </c>
      <c r="B1693" s="1" t="s">
        <v>2970</v>
      </c>
      <c r="C1693" t="str">
        <f ca="1">IFERROR(__xludf.DUMMYFUNCTION("GOOGLETRANSLATE(B1693, ""ja"", ""en"")"),"Koi!")</f>
        <v>Koi!</v>
      </c>
    </row>
    <row r="1694" spans="1:3" ht="12.75" x14ac:dyDescent="0.2">
      <c r="A1694" s="1" t="s">
        <v>2971</v>
      </c>
      <c r="B1694" s="1" t="s">
        <v>2972</v>
      </c>
      <c r="C1694" t="str">
        <f ca="1">IFERROR(__xludf.DUMMYFUNCTION("GOOGLETRANSLATE(B1694, ""ja"", ""en"")"),"It reversal from here!")</f>
        <v>It reversal from here!</v>
      </c>
    </row>
    <row r="1695" spans="1:3" ht="12.75" x14ac:dyDescent="0.2">
      <c r="A1695" s="1" t="s">
        <v>2973</v>
      </c>
      <c r="B1695" s="1" t="s">
        <v>2974</v>
      </c>
      <c r="C1695" t="str">
        <f ca="1">IFERROR(__xludf.DUMMYFUNCTION("GOOGLETRANSLATE(B1695, ""ja"", ""en"")"),"Or love ...")</f>
        <v>Or love ...</v>
      </c>
    </row>
    <row r="1696" spans="1:3" ht="12.75" x14ac:dyDescent="0.2">
      <c r="A1696" s="1" t="s">
        <v>2975</v>
      </c>
      <c r="B1696" s="1" t="s">
        <v>2976</v>
      </c>
      <c r="C1696" t="str">
        <f ca="1">IFERROR(__xludf.DUMMYFUNCTION("GOOGLETRANSLATE(B1696, ""ja"", ""en"")"),"Or quit ...")</f>
        <v>Or quit ...</v>
      </c>
    </row>
    <row r="1697" spans="1:3" ht="12.75" x14ac:dyDescent="0.2">
      <c r="A1697" s="1" t="s">
        <v>2977</v>
      </c>
      <c r="B1697" s="1" t="s">
        <v>2978</v>
      </c>
      <c r="C1697" t="str">
        <f ca="1">IFERROR(__xludf.DUMMYFUNCTION("GOOGLETRANSLATE(B1697, ""ja"", ""en"")"),"Another one")</f>
        <v>Another one</v>
      </c>
    </row>
    <row r="1698" spans="1:3" ht="12.75" x14ac:dyDescent="0.2">
      <c r="A1698" s="1" t="s">
        <v>2979</v>
      </c>
      <c r="B1698" s="1" t="s">
        <v>2980</v>
      </c>
      <c r="C1698" t="str">
        <f ca="1">IFERROR(__xludf.DUMMYFUNCTION("GOOGLETRANSLATE(B1698, ""ja"", ""en"")"),"Another one!")</f>
        <v>Another one!</v>
      </c>
    </row>
    <row r="1699" spans="1:3" ht="12.75" x14ac:dyDescent="0.2">
      <c r="A1699" s="1" t="s">
        <v>2981</v>
      </c>
      <c r="B1699" s="1" t="s">
        <v>2982</v>
      </c>
      <c r="C1699" t="str">
        <f ca="1">IFERROR(__xludf.DUMMYFUNCTION("GOOGLETRANSLATE(B1699, ""ja"", ""en"")"),"Compete on three!")</f>
        <v>Compete on three!</v>
      </c>
    </row>
    <row r="1700" spans="1:3" ht="12.75" x14ac:dyDescent="0.2">
      <c r="A1700" s="1" t="s">
        <v>2983</v>
      </c>
      <c r="B1700" s="1" t="s">
        <v>2984</v>
      </c>
      <c r="C1700" t="str">
        <f ca="1">IFERROR(__xludf.DUMMYFUNCTION("GOOGLETRANSLATE(B1700, ""ja"", ""en"")"),"It is game!")</f>
        <v>It is game!</v>
      </c>
    </row>
    <row r="1701" spans="1:3" ht="12.75" x14ac:dyDescent="0.2">
      <c r="A1701" s="1" t="s">
        <v>2985</v>
      </c>
      <c r="B1701" s="1" t="s">
        <v>2986</v>
      </c>
      <c r="C1701" t="str">
        <f ca="1">IFERROR(__xludf.DUMMYFUNCTION("GOOGLETRANSLATE(B1701, ""ja"", ""en"")"),"Start the game")</f>
        <v>Start the game</v>
      </c>
    </row>
    <row r="1702" spans="1:3" ht="12.75" x14ac:dyDescent="0.2">
      <c r="A1702" s="1" t="s">
        <v>2987</v>
      </c>
      <c r="B1702" s="1" t="s">
        <v>2988</v>
      </c>
      <c r="C1702" t="str">
        <f ca="1">IFERROR(__xludf.DUMMYFUNCTION("GOOGLETRANSLATE(B1702, ""ja"", ""en"")"),"Have a match")</f>
        <v>Have a match</v>
      </c>
    </row>
    <row r="1703" spans="1:3" ht="12.75" x14ac:dyDescent="0.2">
      <c r="A1703" s="1" t="s">
        <v>2989</v>
      </c>
      <c r="B1703" s="1" t="s">
        <v>2990</v>
      </c>
      <c r="C1703" t="str">
        <f ca="1">IFERROR(__xludf.DUMMYFUNCTION("GOOGLETRANSLATE(B1703, ""ja"", ""en"")"),"Once again game")</f>
        <v>Once again game</v>
      </c>
    </row>
    <row r="1704" spans="1:3" ht="12.75" x14ac:dyDescent="0.2">
      <c r="A1704" s="1" t="s">
        <v>2991</v>
      </c>
      <c r="B1704" s="1" t="s">
        <v>2992</v>
      </c>
      <c r="C1704" t="str">
        <f ca="1">IFERROR(__xludf.DUMMYFUNCTION("GOOGLETRANSLATE(B1704, ""ja"", ""en"")"),"Beginner help")</f>
        <v>Beginner help</v>
      </c>
    </row>
    <row r="1705" spans="1:3" ht="12.75" x14ac:dyDescent="0.2">
      <c r="A1705" s="1" t="s">
        <v>2993</v>
      </c>
      <c r="B1705" s="1" t="s">
        <v>2994</v>
      </c>
      <c r="C1705" t="str">
        <f ca="1">IFERROR(__xludf.DUMMYFUNCTION("GOOGLETRANSLATE(B1705, ""ja"", ""en"")"),"凡太 of worldly desires")</f>
        <v>凡太 of worldly desires</v>
      </c>
    </row>
    <row r="1706" spans="1:3" ht="12.75" x14ac:dyDescent="0.2">
      <c r="A1706" s="1" t="s">
        <v>2995</v>
      </c>
      <c r="B1706" s="1" t="s">
        <v>2996</v>
      </c>
      <c r="C1706" t="str">
        <f ca="1">IFERROR(__xludf.DUMMYFUNCTION("GOOGLETRANSLATE(B1706, ""ja"", ""en"")"),"Newcomer Shingo")</f>
        <v>Newcomer Shingo</v>
      </c>
    </row>
    <row r="1707" spans="1:3" ht="12.75" x14ac:dyDescent="0.2">
      <c r="A1707" s="1" t="s">
        <v>2997</v>
      </c>
      <c r="B1707" s="1" t="s">
        <v>2998</v>
      </c>
      <c r="C1707" t="str">
        <f ca="1">IFERROR(__xludf.DUMMYFUNCTION("GOOGLETRANSLATE(B1707, ""ja"", ""en"")"),"Carefree KatsuraOsamu")</f>
        <v>Carefree KatsuraOsamu</v>
      </c>
    </row>
    <row r="1708" spans="1:3" ht="12.75" x14ac:dyDescent="0.2">
      <c r="A1708" s="1" t="s">
        <v>2999</v>
      </c>
      <c r="B1708" s="1" t="s">
        <v>3000</v>
      </c>
      <c r="C1708" t="str">
        <f ca="1">IFERROR(__xludf.DUMMYFUNCTION("GOOGLETRANSLATE(B1708, ""ja"", ""en"")"),"Brute force right three")</f>
        <v>Brute force right three</v>
      </c>
    </row>
    <row r="1709" spans="1:3" ht="12.75" x14ac:dyDescent="0.2">
      <c r="A1709" s="1" t="s">
        <v>3001</v>
      </c>
      <c r="B1709" s="1" t="s">
        <v>3002</v>
      </c>
      <c r="C1709" t="str">
        <f ca="1">IFERROR(__xludf.DUMMYFUNCTION("GOOGLETRANSLATE(B1709, ""ja"", ""en"")"),"Stiff neck Jinbei")</f>
        <v>Stiff neck Jinbei</v>
      </c>
    </row>
    <row r="1710" spans="1:3" ht="12.75" x14ac:dyDescent="0.2">
      <c r="A1710" s="1" t="s">
        <v>3003</v>
      </c>
      <c r="B1710" s="1" t="s">
        <v>3004</v>
      </c>
      <c r="C1710" t="str">
        <f ca="1">IFERROR(__xludf.DUMMYFUNCTION("GOOGLETRANSLATE(B1710, ""ja"", ""en"")"),"MataSaburo of storm")</f>
        <v>MataSaburo of storm</v>
      </c>
    </row>
    <row r="1711" spans="1:3" ht="12.75" x14ac:dyDescent="0.2">
      <c r="A1711" s="1" t="s">
        <v>3005</v>
      </c>
      <c r="B1711" s="1" t="s">
        <v>3006</v>
      </c>
      <c r="C1711" t="str">
        <f ca="1">IFERROR(__xludf.DUMMYFUNCTION("GOOGLETRANSLATE(B1711, ""ja"", ""en"")"),"Inspiration Yosaku")</f>
        <v>Inspiration Yosaku</v>
      </c>
    </row>
    <row r="1712" spans="1:3" ht="12.75" x14ac:dyDescent="0.2">
      <c r="A1712" s="1" t="s">
        <v>3007</v>
      </c>
      <c r="B1712" s="1" t="s">
        <v>3008</v>
      </c>
      <c r="C1712" t="str">
        <f ca="1">IFERROR(__xludf.DUMMYFUNCTION("GOOGLETRANSLATE(B1712, ""ja"", ""en"")"),"The mystery of the shareholders")</f>
        <v>The mystery of the shareholders</v>
      </c>
    </row>
    <row r="1713" spans="1:3" ht="12.75" x14ac:dyDescent="0.2">
      <c r="A1713" s="1" t="s">
        <v>3009</v>
      </c>
      <c r="B1713" s="1" t="s">
        <v>3010</v>
      </c>
      <c r="C1713" t="str">
        <f ca="1">IFERROR(__xludf.DUMMYFUNCTION("GOOGLETRANSLATE(B1713, ""ja"", ""en"")"),"Player is the parent.")</f>
        <v>Player is the parent.</v>
      </c>
    </row>
    <row r="1714" spans="1:3" ht="12.75" x14ac:dyDescent="0.2">
      <c r="A1714" s="1" t="s">
        <v>3011</v>
      </c>
      <c r="B1714" s="1" t="s">
        <v>3012</v>
      </c>
      <c r="C1714" t="str">
        <f ca="1">IFERROR(__xludf.DUMMYFUNCTION("GOOGLETRANSLATE(B1714, ""ja"", ""en"")"),"Please select a place bet.")</f>
        <v>Please select a place bet.</v>
      </c>
    </row>
    <row r="1715" spans="1:3" ht="12.75" x14ac:dyDescent="0.2">
      <c r="A1715" s="1" t="s">
        <v>3013</v>
      </c>
      <c r="B1715" s="1" t="s">
        <v>3014</v>
      </c>
      <c r="C1715" t="str">
        <f ca="1">IFERROR(__xludf.DUMMYFUNCTION("GOOGLETRANSLATE(B1715, ""ja"", ""en"")"),"Please determine the betting point.")</f>
        <v>Please determine the betting point.</v>
      </c>
    </row>
    <row r="1716" spans="1:3" ht="12.75" x14ac:dyDescent="0.2">
      <c r="A1716" s="1" t="s">
        <v>3015</v>
      </c>
      <c r="B1716" s="1" t="s">
        <v>3016</v>
      </c>
      <c r="C1716" t="str">
        <f ca="1">IFERROR(__xludf.DUMMYFUNCTION("GOOGLETRANSLATE(B1716, ""ja"", ""en"")"),"We have selected the location where the other players bet.")</f>
        <v>We have selected the location where the other players bet.</v>
      </c>
    </row>
    <row r="1717" spans="1:3" ht="12.75" x14ac:dyDescent="0.2">
      <c r="A1717" s="1" t="s">
        <v>3017</v>
      </c>
      <c r="B1717" s="1" t="s">
        <v>3018</v>
      </c>
      <c r="C1717" t="str">
        <f ca="1">IFERROR(__xludf.DUMMYFUNCTION("GOOGLETRANSLATE(B1717, ""ja"", ""en"")"),"Please select the person you want to match.")</f>
        <v>Please select the person you want to match.</v>
      </c>
    </row>
    <row r="1718" spans="1:3" ht="12.75" x14ac:dyDescent="0.2">
      <c r="A1718" s="1" t="s">
        <v>3019</v>
      </c>
      <c r="B1718" s="1" t="s">
        <v>3020</v>
      </c>
      <c r="C1718" t="str">
        <f ca="1">IFERROR(__xludf.DUMMYFUNCTION("GOOGLETRANSLATE(B1718, ""ja"", ""en"")"),"We compete on this hand.")</f>
        <v>We compete on this hand.</v>
      </c>
    </row>
    <row r="1719" spans="1:3" ht="12.75" x14ac:dyDescent="0.2">
      <c r="A1719" s="1" t="s">
        <v>3021</v>
      </c>
      <c r="B1719" s="1" t="s">
        <v>3022</v>
      </c>
      <c r="C1719" t="str">
        <f ca="1">IFERROR(__xludf.DUMMYFUNCTION("GOOGLETRANSLATE(B1719, ""ja"", ""en"")"),"Parent has to match.")</f>
        <v>Parent has to match.</v>
      </c>
    </row>
    <row r="1720" spans="1:3" ht="12.75" x14ac:dyDescent="0.2">
      <c r="A1720" s="1" t="s">
        <v>3023</v>
      </c>
      <c r="B1720" s="1" t="s">
        <v>3024</v>
      </c>
      <c r="C1720" t="str">
        <f ca="1">IFERROR(__xludf.DUMMYFUNCTION("GOOGLETRANSLATE(B1720, ""ja"", ""en"")"),"Since there is no point have to exit.")</f>
        <v>Since there is no point have to exit.</v>
      </c>
    </row>
    <row r="1721" spans="1:3" ht="12.75" x14ac:dyDescent="0.2">
      <c r="A1721" s="1" t="s">
        <v>3025</v>
      </c>
      <c r="B1721" s="1" t="s">
        <v>3026</v>
      </c>
      <c r="C1721" t="str">
        <f ca="1">IFERROR(__xludf.DUMMYFUNCTION("GOOGLETRANSLATE(B1721, ""ja"", ""en"")"),"This game because participants possession betting point is no longer came out will be finished here.")</f>
        <v>This game because participants possession betting point is no longer came out will be finished here.</v>
      </c>
    </row>
    <row r="1722" spans="1:3" ht="12.75" x14ac:dyDescent="0.2">
      <c r="A1722" s="1" t="s">
        <v>3027</v>
      </c>
      <c r="B1722" s="1" t="s">
        <v>3028</v>
      </c>
      <c r="C1722" t="str">
        <f ca="1">IFERROR(__xludf.DUMMYFUNCTION("GOOGLETRANSLATE(B1722, ""ja"", ""en"")"),"Betting point% d points")</f>
        <v>Betting point% d points</v>
      </c>
    </row>
    <row r="1723" spans="1:3" ht="12.75" x14ac:dyDescent="0.2">
      <c r="A1723" s="1" t="s">
        <v>3029</v>
      </c>
      <c r="B1723" s="1" t="s">
        <v>3030</v>
      </c>
      <c r="C1723" t="str">
        <f ca="1">IFERROR(__xludf.DUMMYFUNCTION("GOOGLETRANSLATE(B1723, ""ja"", ""en"")"),"Result% d points")</f>
        <v>Result% d points</v>
      </c>
    </row>
    <row r="1724" spans="1:3" ht="12.75" x14ac:dyDescent="0.2">
      <c r="A1724" s="1" t="s">
        <v>3031</v>
      </c>
      <c r="B1724" s="1" t="s">
        <v>3032</v>
      </c>
      <c r="C1724" t="str">
        <f ca="1">IFERROR(__xludf.DUMMYFUNCTION("GOOGLETRANSLATE(B1724, ""ja"", ""en"")"),"Doshippin")</f>
        <v>Doshippin</v>
      </c>
    </row>
    <row r="1725" spans="1:3" ht="12.75" x14ac:dyDescent="0.2">
      <c r="A1725" s="1" t="s">
        <v>3033</v>
      </c>
      <c r="B1725" s="1" t="s">
        <v>3034</v>
      </c>
      <c r="C1725" t="str">
        <f ca="1">IFERROR(__xludf.DUMMYFUNCTION("GOOGLETRANSLATE(B1725, ""ja"", ""en"")"),"Escape of white")</f>
        <v>Escape of white</v>
      </c>
    </row>
    <row r="1726" spans="1:3" ht="12.75" x14ac:dyDescent="0.2">
      <c r="A1726" s="1" t="s">
        <v>3035</v>
      </c>
      <c r="B1726" s="1" t="s">
        <v>3036</v>
      </c>
      <c r="C1726" t="str">
        <f ca="1">IFERROR(__xludf.DUMMYFUNCTION("GOOGLETRANSLATE(B1726, ""ja"", ""en"")"),"Kind of tag")</f>
        <v>Kind of tag</v>
      </c>
    </row>
    <row r="1727" spans="1:3" ht="12.75" x14ac:dyDescent="0.2">
      <c r="A1727" s="1" t="s">
        <v>3037</v>
      </c>
      <c r="B1727" s="1" t="s">
        <v>3038</v>
      </c>
      <c r="C1727" t="str">
        <f ca="1">IFERROR(__xludf.DUMMYFUNCTION("GOOGLETRANSLATE(B1727, ""ja"", ""en"")"),"for")</f>
        <v>for</v>
      </c>
    </row>
    <row r="1728" spans="1:3" ht="12.75" x14ac:dyDescent="0.2">
      <c r="A1728" s="1" t="s">
        <v>3039</v>
      </c>
      <c r="B1728" s="1" t="s">
        <v>3040</v>
      </c>
      <c r="C1728" t="str">
        <f ca="1">IFERROR(__xludf.DUMMYFUNCTION("GOOGLETRANSLATE(B1728, ""ja"", ""en"")"),"Get off the game in the escape of white.")</f>
        <v>Get off the game in the escape of white.</v>
      </c>
    </row>
    <row r="1729" spans="1:3" ht="12.75" x14ac:dyDescent="0.2">
      <c r="A1729" s="1" t="s">
        <v>3041</v>
      </c>
      <c r="B1729" s="1" t="s">
        <v>3042</v>
      </c>
      <c r="C1729" t="str">
        <f ca="1">IFERROR(__xludf.DUMMYFUNCTION("GOOGLETRANSLATE(B1729, ""ja"", ""en"")"),"It won the same amount of betting points.")</f>
        <v>It won the same amount of betting points.</v>
      </c>
    </row>
    <row r="1730" spans="1:3" ht="12.75" x14ac:dyDescent="0.2">
      <c r="A1730" s="1" t="s">
        <v>3043</v>
      </c>
      <c r="B1730" s="1" t="s">
        <v>3044</v>
      </c>
      <c r="C1730" t="str">
        <f ca="1">IFERROR(__xludf.DUMMYFUNCTION("GOOGLETRANSLATE(B1730, ""ja"", ""en"")"),"Since won Shippin won twice the betting point.")</f>
        <v>Since won Shippin won twice the betting point.</v>
      </c>
    </row>
    <row r="1731" spans="1:3" ht="12.75" x14ac:dyDescent="0.2">
      <c r="A1731" s="1" t="s">
        <v>3045</v>
      </c>
      <c r="B1731" s="1" t="s">
        <v>3046</v>
      </c>
      <c r="C1731" t="str">
        <f ca="1">IFERROR(__xludf.DUMMYFUNCTION("GOOGLETRANSLATE(B1731, ""ja"", ""en"")"),"Since won Kuppin won twice the betting point.")</f>
        <v>Since won Kuppin won twice the betting point.</v>
      </c>
    </row>
    <row r="1732" spans="1:3" ht="12.75" x14ac:dyDescent="0.2">
      <c r="A1732" s="1" t="s">
        <v>3047</v>
      </c>
      <c r="B1732" s="1" t="s">
        <v>3048</v>
      </c>
      <c r="C1732" t="str">
        <f ca="1">IFERROR(__xludf.DUMMYFUNCTION("GOOGLETRANSLATE(B1732, ""ja"", ""en"")"),"Since it won by storm and won three times the betting point.")</f>
        <v>Since it won by storm and won three times the betting point.</v>
      </c>
    </row>
    <row r="1733" spans="1:3" ht="12.75" x14ac:dyDescent="0.2">
      <c r="A1733" s="1" t="s">
        <v>3049</v>
      </c>
      <c r="B1733" s="1" t="s">
        <v>3050</v>
      </c>
      <c r="C1733" t="str">
        <f ca="1">IFERROR(__xludf.DUMMYFUNCTION("GOOGLETRANSLATE(B1733, ""ja"", ""en"")"),"Since won Doshippin won 20 times the betting point.")</f>
        <v>Since won Doshippin won 20 times the betting point.</v>
      </c>
    </row>
    <row r="1734" spans="1:3" ht="12.75" x14ac:dyDescent="0.2">
      <c r="A1734" s="1" t="s">
        <v>3051</v>
      </c>
      <c r="B1734" s="1" t="s">
        <v>3052</v>
      </c>
      <c r="C1734" t="str">
        <f ca="1">IFERROR(__xludf.DUMMYFUNCTION("GOOGLETRANSLATE(B1734, ""ja"", ""en"")"),"I lost a bet point.")</f>
        <v>I lost a bet point.</v>
      </c>
    </row>
    <row r="1735" spans="1:3" ht="12.75" x14ac:dyDescent="0.2">
      <c r="A1735" s="1" t="s">
        <v>3053</v>
      </c>
      <c r="B1735" s="1" t="s">
        <v>3054</v>
      </c>
      <c r="C1735" t="str">
        <f ca="1">IFERROR(__xludf.DUMMYFUNCTION("GOOGLETRANSLATE(B1735, ""ja"", ""en"")"),"Since losing to Shippin it has lost twice the betting point.")</f>
        <v>Since losing to Shippin it has lost twice the betting point.</v>
      </c>
    </row>
    <row r="1736" spans="1:3" ht="12.75" x14ac:dyDescent="0.2">
      <c r="A1736" s="1" t="s">
        <v>3055</v>
      </c>
      <c r="B1736" s="1" t="s">
        <v>3056</v>
      </c>
      <c r="C1736" t="str">
        <f ca="1">IFERROR(__xludf.DUMMYFUNCTION("GOOGLETRANSLATE(B1736, ""ja"", ""en"")"),"Since losing to Kuppin it has lost twice the betting point.")</f>
        <v>Since losing to Kuppin it has lost twice the betting point.</v>
      </c>
    </row>
    <row r="1737" spans="1:3" ht="12.75" x14ac:dyDescent="0.2">
      <c r="A1737" s="1" t="s">
        <v>3057</v>
      </c>
      <c r="B1737" s="1" t="s">
        <v>3058</v>
      </c>
      <c r="C1737" t="str">
        <f ca="1">IFERROR(__xludf.DUMMYFUNCTION("GOOGLETRANSLATE(B1737, ""ja"", ""en"")"),"Since losing the storm has lost three times the betting point.")</f>
        <v>Since losing the storm has lost three times the betting point.</v>
      </c>
    </row>
    <row r="1738" spans="1:3" ht="12.75" x14ac:dyDescent="0.2">
      <c r="A1738" s="1" t="s">
        <v>3059</v>
      </c>
      <c r="B1738" s="1" t="s">
        <v>3060</v>
      </c>
      <c r="C1738" t="str">
        <f ca="1">IFERROR(__xludf.DUMMYFUNCTION("GOOGLETRANSLATE(B1738, ""ja"", ""en"")"),"Since losing to Doshippin it has lost 20 times the betting point.")</f>
        <v>Since losing to Doshippin it has lost 20 times the betting point.</v>
      </c>
    </row>
    <row r="1739" spans="1:3" ht="12.75" x14ac:dyDescent="0.2">
      <c r="A1739" s="1" t="s">
        <v>3061</v>
      </c>
      <c r="B1739" s="1" t="s">
        <v>250</v>
      </c>
      <c r="C1739" t="str">
        <f ca="1">IFERROR(__xludf.DUMMYFUNCTION("GOOGLETRANSLATE(B1739, ""ja"", ""en"")"),"?")</f>
        <v>?</v>
      </c>
    </row>
    <row r="1740" spans="1:3" ht="12.75" x14ac:dyDescent="0.2">
      <c r="A1740" s="1" t="s">
        <v>3062</v>
      </c>
      <c r="B1740" s="1" t="s">
        <v>247</v>
      </c>
      <c r="C1740" t="str">
        <f ca="1">IFERROR(__xludf.DUMMYFUNCTION("GOOGLETRANSLATE(B1740, ""ja"", ""en"")"),".")</f>
        <v>.</v>
      </c>
    </row>
    <row r="1741" spans="1:3" ht="12.75" x14ac:dyDescent="0.2">
      <c r="A1741" s="1" t="s">
        <v>3063</v>
      </c>
      <c r="B1741" s="1" t="s">
        <v>247</v>
      </c>
      <c r="C1741" t="str">
        <f ca="1">IFERROR(__xludf.DUMMYFUNCTION("GOOGLETRANSLATE(B1741, ""ja"", ""en"")"),".")</f>
        <v>.</v>
      </c>
    </row>
    <row r="1742" spans="1:3" ht="12.75" x14ac:dyDescent="0.2">
      <c r="A1742" s="1" t="s">
        <v>3064</v>
      </c>
      <c r="B1742" s="1" t="s">
        <v>247</v>
      </c>
      <c r="C1742" t="str">
        <f ca="1">IFERROR(__xludf.DUMMYFUNCTION("GOOGLETRANSLATE(B1742, ""ja"", ""en"")"),".")</f>
        <v>.</v>
      </c>
    </row>
    <row r="1743" spans="1:3" ht="12.75" x14ac:dyDescent="0.2">
      <c r="A1743" s="1" t="s">
        <v>3065</v>
      </c>
      <c r="B1743" s="1" t="s">
        <v>250</v>
      </c>
      <c r="C1743" t="str">
        <f ca="1">IFERROR(__xludf.DUMMYFUNCTION("GOOGLETRANSLATE(B1743, ""ja"", ""en"")"),"?")</f>
        <v>?</v>
      </c>
    </row>
    <row r="1744" spans="1:3" ht="12.75" x14ac:dyDescent="0.2">
      <c r="A1744" s="1" t="s">
        <v>3066</v>
      </c>
      <c r="B1744" s="1" t="s">
        <v>3067</v>
      </c>
      <c r="C1744" t="str">
        <f ca="1">IFERROR(__xludf.DUMMYFUNCTION("GOOGLETRANSLATE(B1744, ""ja"", ""en"")"),"Balance was point have increases because it is plus.")</f>
        <v>Balance was point have increases because it is plus.</v>
      </c>
    </row>
    <row r="1745" spans="1:3" ht="12.75" x14ac:dyDescent="0.2">
      <c r="A1745" s="1" t="s">
        <v>3068</v>
      </c>
      <c r="B1745" s="1" t="s">
        <v>3069</v>
      </c>
      <c r="C1745" t="str">
        <f ca="1">IFERROR(__xludf.DUMMYFUNCTION("GOOGLETRANSLATE(B1745, ""ja"", ""en"")"),"Balance has been reduced is to have point because it is negative.")</f>
        <v>Balance has been reduced is to have point because it is negative.</v>
      </c>
    </row>
    <row r="1746" spans="1:3" ht="12.75" x14ac:dyDescent="0.2">
      <c r="A1746" s="1" t="s">
        <v>3070</v>
      </c>
      <c r="B1746" s="1" t="s">
        <v>3071</v>
      </c>
      <c r="C1746" t="str">
        <f ca="1">IFERROR(__xludf.DUMMYFUNCTION("GOOGLETRANSLATE(B1746, ""ja"", ""en"")"),"Balance is not zero, so increase or decrease.")</f>
        <v>Balance is not zero, so increase or decrease.</v>
      </c>
    </row>
    <row r="1747" spans="1:3" ht="12.75" x14ac:dyDescent="0.2">
      <c r="A1747" s="1" t="s">
        <v>3072</v>
      </c>
      <c r="B1747" s="1" t="s">
        <v>2299</v>
      </c>
      <c r="C1747" t="str">
        <f ca="1">IFERROR(__xludf.DUMMYFUNCTION("GOOGLETRANSLATE(B1747, ""ja"", ""en"")"),"negative")</f>
        <v>negative</v>
      </c>
    </row>
    <row r="1748" spans="1:3" ht="12.75" x14ac:dyDescent="0.2">
      <c r="A1748" s="1" t="s">
        <v>3073</v>
      </c>
      <c r="B1748" s="1" t="s">
        <v>3074</v>
      </c>
      <c r="C1748" t="str">
        <f ca="1">IFERROR(__xludf.DUMMYFUNCTION("GOOGLETRANSLATE(B1748, ""ja"", ""en"")"),"To play with beginner, you need at least 100 points. [N] upper limit of bets wagered point at a time is up to 100 points.")</f>
        <v>To play with beginner, you need at least 100 points. [N] upper limit of bets wagered point at a time is up to 100 points.</v>
      </c>
    </row>
    <row r="1749" spans="1:3" ht="12.75" x14ac:dyDescent="0.2">
      <c r="A1749" s="1" t="s">
        <v>3075</v>
      </c>
      <c r="B1749" s="1" t="s">
        <v>3076</v>
      </c>
      <c r="C1749" t="str">
        <f ca="1">IFERROR(__xludf.DUMMYFUNCTION("GOOGLETRANSLATE(B1749, ""ja"", ""en"")"),"To play in the intermediate is, it must be at least 500 points. [N] upper limit of bets wagered point at a time is up to 500 points.")</f>
        <v>To play in the intermediate is, it must be at least 500 points. [N] upper limit of bets wagered point at a time is up to 500 points.</v>
      </c>
    </row>
    <row r="1750" spans="1:3" ht="12.75" x14ac:dyDescent="0.2">
      <c r="A1750" s="1" t="s">
        <v>3077</v>
      </c>
      <c r="B1750" s="1" t="s">
        <v>3078</v>
      </c>
      <c r="C1750" t="str">
        <f ca="1">IFERROR(__xludf.DUMMYFUNCTION("GOOGLETRANSLATE(B1750, ""ja"", ""en"")"),"To play in the senior, you need at least 1000 points. [N] upper limit of bets wagered point at a time up to 1000 points.")</f>
        <v>To play in the senior, you need at least 1000 points. [N] upper limit of bets wagered point at a time up to 1000 points.</v>
      </c>
    </row>
    <row r="1751" spans="1:3" ht="12.75" x14ac:dyDescent="0.2">
      <c r="A1751" s="1" t="s">
        <v>3079</v>
      </c>
      <c r="B1751" s="1" t="s">
        <v>3080</v>
      </c>
      <c r="C1751" t="str">
        <f ca="1">IFERROR(__xludf.DUMMYFUNCTION("GOOGLETRANSLATE(B1751, ""ja"", ""en"")"),"I can not play because the betting point is not enough. [N] Please have accumulated more than 100 points.")</f>
        <v>I can not play because the betting point is not enough. [N] Please have accumulated more than 100 points.</v>
      </c>
    </row>
    <row r="1752" spans="1:3" ht="12.75" x14ac:dyDescent="0.2">
      <c r="A1752" s="1" t="s">
        <v>3081</v>
      </c>
      <c r="B1752" s="1" t="s">
        <v>3082</v>
      </c>
      <c r="C1752" t="str">
        <f ca="1">IFERROR(__xludf.DUMMYFUNCTION("GOOGLETRANSLATE(B1752, ""ja"", ""en"")"),"I can not play because the betting point is not enough. [N] Please have accumulated more than 500 points.")</f>
        <v>I can not play because the betting point is not enough. [N] Please have accumulated more than 500 points.</v>
      </c>
    </row>
    <row r="1753" spans="1:3" ht="12.75" x14ac:dyDescent="0.2">
      <c r="A1753" s="1" t="s">
        <v>3083</v>
      </c>
      <c r="B1753" s="1" t="s">
        <v>3084</v>
      </c>
      <c r="C1753" t="str">
        <f ca="1">IFERROR(__xludf.DUMMYFUNCTION("GOOGLETRANSLATE(B1753, ""ja"", ""en"")"),"I can not play because the betting point is not enough. [N] Please have accumulated more than 1000 points.")</f>
        <v>I can not play because the betting point is not enough. [N] Please have accumulated more than 1000 points.</v>
      </c>
    </row>
    <row r="1754" spans="1:3" ht="12.75" x14ac:dyDescent="0.2">
      <c r="A1754" s="1" t="s">
        <v>3085</v>
      </c>
      <c r="B1754" s="1" t="s">
        <v>3086</v>
      </c>
      <c r="C1754" t="str">
        <f ca="1">IFERROR(__xludf.DUMMYFUNCTION("GOOGLETRANSLATE(B1754, ""ja"", ""en"")"),"Kana draw another one ...")</f>
        <v>Kana draw another one ...</v>
      </c>
    </row>
    <row r="1755" spans="1:3" ht="12.75" x14ac:dyDescent="0.2">
      <c r="A1755" s="1" t="s">
        <v>3087</v>
      </c>
      <c r="B1755" s="1" t="s">
        <v>3088</v>
      </c>
      <c r="C1755" t="str">
        <f ca="1">IFERROR(__xludf.DUMMYFUNCTION("GOOGLETRANSLATE(B1755, ""ja"", ""en"")"),"This one game ...")</f>
        <v>This one game ...</v>
      </c>
    </row>
    <row r="1756" spans="1:3" ht="12.75" x14ac:dyDescent="0.2">
      <c r="A1756" s="1" t="s">
        <v>3089</v>
      </c>
      <c r="B1756" s="1" t="s">
        <v>3090</v>
      </c>
      <c r="C1756" t="str">
        <f ca="1">IFERROR(__xludf.DUMMYFUNCTION("GOOGLETRANSLATE(B1756, ""ja"", ""en"")"),"So that it does not become a pig")</f>
        <v>So that it does not become a pig</v>
      </c>
    </row>
    <row r="1757" spans="1:3" ht="12.75" x14ac:dyDescent="0.2">
      <c r="A1757" s="1" t="s">
        <v>3091</v>
      </c>
      <c r="B1757" s="1" t="s">
        <v>3092</v>
      </c>
      <c r="C1757" t="str">
        <f ca="1">IFERROR(__xludf.DUMMYFUNCTION("GOOGLETRANSLATE(B1757, ""ja"", ""en"")"),"Oicho or, at the bottom!")</f>
        <v>Oicho or, at the bottom!</v>
      </c>
    </row>
    <row r="1758" spans="1:3" ht="12.75" x14ac:dyDescent="0.2">
      <c r="A1758" s="1" t="s">
        <v>3093</v>
      </c>
      <c r="B1758" s="1" t="s">
        <v>3094</v>
      </c>
      <c r="C1758" t="str">
        <f ca="1">IFERROR(__xludf.DUMMYFUNCTION("GOOGLETRANSLATE(B1758, ""ja"", ""en"")"),"It only aims Shippin")</f>
        <v>It only aims Shippin</v>
      </c>
    </row>
    <row r="1759" spans="1:3" ht="12.75" x14ac:dyDescent="0.2">
      <c r="A1759" s="1" t="s">
        <v>3095</v>
      </c>
      <c r="B1759" s="1" t="s">
        <v>3096</v>
      </c>
      <c r="C1759" t="str">
        <f ca="1">IFERROR(__xludf.DUMMYFUNCTION("GOOGLETRANSLATE(B1759, ""ja"", ""en"")"),"It only aims Kuppin")</f>
        <v>It only aims Kuppin</v>
      </c>
    </row>
    <row r="1760" spans="1:3" ht="12.75" x14ac:dyDescent="0.2">
      <c r="A1760" s="1" t="s">
        <v>3097</v>
      </c>
      <c r="B1760" s="1" t="s">
        <v>3098</v>
      </c>
      <c r="C1760" t="str">
        <f ca="1">IFERROR(__xludf.DUMMYFUNCTION("GOOGLETRANSLATE(B1760, ""ja"", ""en"")"),"Or storm coming!?")</f>
        <v>Or storm coming!?</v>
      </c>
    </row>
    <row r="1761" spans="1:3" ht="12.75" x14ac:dyDescent="0.2">
      <c r="A1761" s="1" t="s">
        <v>3099</v>
      </c>
      <c r="B1761" s="1" t="s">
        <v>3100</v>
      </c>
      <c r="C1761" t="str">
        <f ca="1">IFERROR(__xludf.DUMMYFUNCTION("GOOGLETRANSLATE(B1761, ""ja"", ""en"")"),"Answering customer numbers")</f>
        <v>Answering customer numbers</v>
      </c>
    </row>
    <row r="1762" spans="1:3" ht="12.75" x14ac:dyDescent="0.2">
      <c r="A1762" s="1" t="s">
        <v>3101</v>
      </c>
      <c r="B1762" s="1" t="s">
        <v>3102</v>
      </c>
      <c r="C1762" t="str">
        <f ca="1">IFERROR(__xludf.DUMMYFUNCTION("GOOGLETRANSLATE(B1762, ""ja"", ""en"")"),"The maximum number of consecutive")</f>
        <v>The maximum number of consecutive</v>
      </c>
    </row>
    <row r="1763" spans="1:3" ht="12.75" x14ac:dyDescent="0.2">
      <c r="A1763" s="1" t="s">
        <v>3103</v>
      </c>
      <c r="B1763" s="1" t="s">
        <v>3104</v>
      </c>
      <c r="C1763" t="str">
        <f ca="1">IFERROR(__xludf.DUMMYFUNCTION("GOOGLETRANSLATE(B1763, ""ja"", ""en"")"),"Total sales")</f>
        <v>Total sales</v>
      </c>
    </row>
    <row r="1764" spans="1:3" ht="12.75" x14ac:dyDescent="0.2">
      <c r="A1764" s="1" t="s">
        <v>3105</v>
      </c>
      <c r="B1764" s="1" t="s">
        <v>3106</v>
      </c>
      <c r="C1764" t="str">
        <f ca="1">IFERROR(__xludf.DUMMYFUNCTION("GOOGLETRANSLATE(B1764, ""ja"", ""en"")"),"General Council of Trade Unions of Japan")</f>
        <v>General Council of Trade Unions of Japan</v>
      </c>
    </row>
    <row r="1765" spans="1:3" ht="12.75" x14ac:dyDescent="0.2">
      <c r="A1765" s="1" t="s">
        <v>3107</v>
      </c>
      <c r="B1765" s="1" t="s">
        <v>3108</v>
      </c>
      <c r="C1765" t="str">
        <f ca="1">IFERROR(__xludf.DUMMYFUNCTION("GOOGLETRANSLATE(B1765, ""ja"", ""en"")"),"God")</f>
        <v>God</v>
      </c>
    </row>
    <row r="1766" spans="1:3" ht="12.75" x14ac:dyDescent="0.2">
      <c r="A1766" s="1" t="s">
        <v>3109</v>
      </c>
      <c r="B1766" s="1" t="s">
        <v>3110</v>
      </c>
      <c r="C1766" t="str">
        <f ca="1">IFERROR(__xludf.DUMMYFUNCTION("GOOGLETRANSLATE(B1766, ""ja"", ""en"")"),"Superiority")</f>
        <v>Superiority</v>
      </c>
    </row>
    <row r="1767" spans="1:3" ht="12.75" x14ac:dyDescent="0.2">
      <c r="A1767" s="1" t="s">
        <v>3111</v>
      </c>
      <c r="B1767" s="1" t="s">
        <v>3112</v>
      </c>
      <c r="C1767" t="str">
        <f ca="1">IFERROR(__xludf.DUMMYFUNCTION("GOOGLETRANSLATE(B1767, ""ja"", ""en"")"),"Good")</f>
        <v>Good</v>
      </c>
    </row>
    <row r="1768" spans="1:3" ht="12.75" x14ac:dyDescent="0.2">
      <c r="A1768" s="1" t="s">
        <v>3113</v>
      </c>
      <c r="B1768" s="1" t="s">
        <v>2932</v>
      </c>
      <c r="C1768" t="str">
        <f ca="1">IFERROR(__xludf.DUMMYFUNCTION("GOOGLETRANSLATE(B1768, ""ja"", ""en"")"),"Yes")</f>
        <v>Yes</v>
      </c>
    </row>
    <row r="1769" spans="1:3" ht="12.75" x14ac:dyDescent="0.2">
      <c r="A1769" s="1" t="s">
        <v>3114</v>
      </c>
      <c r="B1769" s="1" t="s">
        <v>3115</v>
      </c>
      <c r="C1769" t="str">
        <f ca="1">IFERROR(__xludf.DUMMYFUNCTION("GOOGLETRANSLATE(B1769, ""ja"", ""en"")"),"Improper")</f>
        <v>Improper</v>
      </c>
    </row>
    <row r="1770" spans="1:3" ht="12.75" x14ac:dyDescent="0.2">
      <c r="A1770" s="1" t="s">
        <v>3116</v>
      </c>
      <c r="B1770" s="1" t="s">
        <v>1594</v>
      </c>
      <c r="C1770" t="str">
        <f ca="1">IFERROR(__xludf.DUMMYFUNCTION("GOOGLETRANSLATE(B1770, ""ja"", ""en"")"),"Grayed")</f>
        <v>Grayed</v>
      </c>
    </row>
    <row r="1771" spans="1:3" ht="12.75" x14ac:dyDescent="0.2">
      <c r="A1771" s="1" t="s">
        <v>3117</v>
      </c>
      <c r="B1771" s="1" t="s">
        <v>1594</v>
      </c>
      <c r="C1771" t="str">
        <f ca="1">IFERROR(__xludf.DUMMYFUNCTION("GOOGLETRANSLATE(B1771, ""ja"", ""en"")"),"Grayed")</f>
        <v>Grayed</v>
      </c>
    </row>
    <row r="1772" spans="1:3" ht="12.75" x14ac:dyDescent="0.2">
      <c r="A1772" s="1" t="s">
        <v>3118</v>
      </c>
      <c r="B1772" s="1" t="s">
        <v>3119</v>
      </c>
      <c r="C1772" t="str">
        <f ca="1">IFERROR(__xludf.DUMMYFUNCTION("GOOGLETRANSLATE(B1772, ""ja"", ""en"")"),"letter")</f>
        <v>letter</v>
      </c>
    </row>
    <row r="1773" spans="1:3" ht="12.75" x14ac:dyDescent="0.2">
      <c r="A1773" s="1" t="s">
        <v>3120</v>
      </c>
      <c r="B1773" s="1" t="s">
        <v>3121</v>
      </c>
      <c r="C1773" t="str">
        <f ca="1">IFERROR(__xludf.DUMMYFUNCTION("GOOGLETRANSLATE(B1773, ""ja"", ""en"")"),"Vegetarian inventory")</f>
        <v>Vegetarian inventory</v>
      </c>
    </row>
    <row r="1774" spans="1:3" ht="12.75" x14ac:dyDescent="0.2">
      <c r="A1774" s="1" t="s">
        <v>3122</v>
      </c>
      <c r="B1774" s="1" t="s">
        <v>3123</v>
      </c>
      <c r="C1774" t="str">
        <f ca="1">IFERROR(__xludf.DUMMYFUNCTION("GOOGLETRANSLATE(B1774, ""ja"", ""en"")"),"Substory")</f>
        <v>Substory</v>
      </c>
    </row>
    <row r="1775" spans="1:3" ht="12.75" x14ac:dyDescent="0.2">
      <c r="A1775" s="1" t="s">
        <v>3124</v>
      </c>
      <c r="B1775" s="1" t="s">
        <v>3125</v>
      </c>
      <c r="C1775" t="str">
        <f ca="1">IFERROR(__xludf.DUMMYFUNCTION("GOOGLETRANSLATE(B1775, ""ja"", ""en"")"),"Drawing")</f>
        <v>Drawing</v>
      </c>
    </row>
    <row r="1776" spans="1:3" ht="12.75" x14ac:dyDescent="0.2">
      <c r="A1776" s="1" t="s">
        <v>3126</v>
      </c>
      <c r="B1776" s="1" t="s">
        <v>3127</v>
      </c>
      <c r="C1776" t="str">
        <f ca="1">IFERROR(__xludf.DUMMYFUNCTION("GOOGLETRANSLATE(B1776, ""ja"", ""en"")"),"Glossary")</f>
        <v>Glossary</v>
      </c>
    </row>
    <row r="1777" spans="1:3" ht="12.75" x14ac:dyDescent="0.2">
      <c r="A1777" s="1" t="s">
        <v>3128</v>
      </c>
      <c r="B1777" s="1" t="s">
        <v>3129</v>
      </c>
      <c r="C1777" t="str">
        <f ca="1">IFERROR(__xludf.DUMMYFUNCTION("GOOGLETRANSLATE(B1777, ""ja"", ""en"")"),"memorandum")</f>
        <v>memorandum</v>
      </c>
    </row>
    <row r="1778" spans="1:3" ht="12.75" x14ac:dyDescent="0.2">
      <c r="A1778" s="1" t="s">
        <v>3130</v>
      </c>
      <c r="B1778" s="1" t="s">
        <v>3131</v>
      </c>
      <c r="C1778" t="str">
        <f ca="1">IFERROR(__xludf.DUMMYFUNCTION("GOOGLETRANSLATE(B1778, ""ja"", ""en"")"),"Save / Settings")</f>
        <v>Save / Settings</v>
      </c>
    </row>
    <row r="1779" spans="1:3" ht="12.75" x14ac:dyDescent="0.2">
      <c r="A1779" s="1" t="s">
        <v>3132</v>
      </c>
      <c r="B1779" s="1" t="s">
        <v>3133</v>
      </c>
      <c r="C1779" t="str">
        <f ca="1">IFERROR(__xludf.DUMMYFUNCTION("GOOGLETRANSLATE(B1779, ""ja"", ""en"")"),"Associated Corps officer")</f>
        <v>Associated Corps officer</v>
      </c>
    </row>
    <row r="1780" spans="1:3" ht="12.75" x14ac:dyDescent="0.2">
      <c r="A1780" s="1" t="s">
        <v>3134</v>
      </c>
      <c r="B1780" s="1" t="s">
        <v>3135</v>
      </c>
      <c r="C1780" t="str">
        <f ca="1">IFERROR(__xludf.DUMMYFUNCTION("GOOGLETRANSLATE(B1780, ""ja"", ""en"")"),"Agriculture Details")</f>
        <v>Agriculture Details</v>
      </c>
    </row>
    <row r="1781" spans="1:3" ht="12.75" x14ac:dyDescent="0.2">
      <c r="A1781" s="1" t="s">
        <v>3136</v>
      </c>
      <c r="B1781" s="1" t="s">
        <v>3137</v>
      </c>
      <c r="C1781" t="str">
        <f ca="1">IFERROR(__xludf.DUMMYFUNCTION("GOOGLETRANSLATE(B1781, ""ja"", ""en"")"),"Cuisine details")</f>
        <v>Cuisine details</v>
      </c>
    </row>
    <row r="1782" spans="1:3" ht="12.75" x14ac:dyDescent="0.2">
      <c r="A1782" s="1" t="s">
        <v>3138</v>
      </c>
      <c r="B1782" s="1" t="s">
        <v>3139</v>
      </c>
      <c r="C1782" t="str">
        <f ca="1">IFERROR(__xludf.DUMMYFUNCTION("GOOGLETRANSLATE(B1782, ""ja"", ""en"")"),"You can capacity building")</f>
        <v>You can capacity building</v>
      </c>
    </row>
    <row r="1783" spans="1:3" ht="12.75" x14ac:dyDescent="0.2">
      <c r="A1783" s="1" t="s">
        <v>3140</v>
      </c>
      <c r="B1783" s="1" t="s">
        <v>3141</v>
      </c>
      <c r="C1783" t="str">
        <f ca="1">IFERROR(__xludf.DUMMYFUNCTION("GOOGLETRANSLATE(B1783, ""ja"", ""en"")"),"Possession of the number of order")</f>
        <v>Possession of the number of order</v>
      </c>
    </row>
    <row r="1784" spans="1:3" ht="12.75" x14ac:dyDescent="0.2">
      <c r="A1784" s="1" t="s">
        <v>3142</v>
      </c>
      <c r="B1784" s="1" t="s">
        <v>3143</v>
      </c>
      <c r="C1784" t="str">
        <f ca="1">IFERROR(__xludf.DUMMYFUNCTION("GOOGLETRANSLATE(B1784, ""ja"", ""en"")"),"Experience value went up")</f>
        <v>Experience value went up</v>
      </c>
    </row>
    <row r="1785" spans="1:3" ht="12.75" x14ac:dyDescent="0.2">
      <c r="A1785" s="1" t="s">
        <v>3144</v>
      </c>
      <c r="B1785" s="1" t="s">
        <v>3145</v>
      </c>
      <c r="C1785" t="str">
        <f ca="1">IFERROR(__xludf.DUMMYFUNCTION("GOOGLETRANSLATE(B1785, ""ja"", ""en"")"),"Experience value of% s has risen")</f>
        <v>Experience value of% s has risen</v>
      </c>
    </row>
    <row r="1786" spans="1:3" ht="12.75" x14ac:dyDescent="0.2">
      <c r="A1786" s="1" t="s">
        <v>3146</v>
      </c>
      <c r="B1786" s="1" t="s">
        <v>3147</v>
      </c>
      <c r="C1786" t="str">
        <f ca="1">IFERROR(__xludf.DUMMYFUNCTION("GOOGLETRANSLATE(B1786, ""ja"", ""en"")"),"Won the virtue")</f>
        <v>Won the virtue</v>
      </c>
    </row>
    <row r="1787" spans="1:3" ht="12.75" x14ac:dyDescent="0.2">
      <c r="A1787" s="1" t="s">
        <v>3148</v>
      </c>
      <c r="B1787" s="1" t="s">
        <v>3149</v>
      </c>
      <c r="C1787" t="str">
        <f ca="1">IFERROR(__xludf.DUMMYFUNCTION("GOOGLETRANSLATE(B1787, ""ja"", ""en"")"),"Personal belongings")</f>
        <v>Personal belongings</v>
      </c>
    </row>
    <row r="1788" spans="1:3" ht="12.75" x14ac:dyDescent="0.2">
      <c r="A1788" s="1" t="s">
        <v>3150</v>
      </c>
      <c r="B1788" s="1" t="s">
        <v>3151</v>
      </c>
      <c r="C1788" t="str">
        <f ca="1">IFERROR(__xludf.DUMMYFUNCTION("GOOGLETRANSLATE(B1788, ""ja"", ""en"")"),"crops")</f>
        <v>crops</v>
      </c>
    </row>
    <row r="1789" spans="1:3" ht="12.75" x14ac:dyDescent="0.2">
      <c r="A1789" s="1" t="s">
        <v>3152</v>
      </c>
      <c r="B1789" s="1" t="s">
        <v>3153</v>
      </c>
      <c r="C1789" t="str">
        <f ca="1">IFERROR(__xludf.DUMMYFUNCTION("GOOGLETRANSLATE(B1789, ""ja"", ""en"")"),"Fishes")</f>
        <v>Fishes</v>
      </c>
    </row>
    <row r="1790" spans="1:3" ht="12.75" x14ac:dyDescent="0.2">
      <c r="A1790" s="1" t="s">
        <v>3154</v>
      </c>
      <c r="B1790" s="1" t="s">
        <v>3155</v>
      </c>
      <c r="C1790" t="str">
        <f ca="1">IFERROR(__xludf.DUMMYFUNCTION("GOOGLETRANSLATE(B1790, ""ja"", ""en"")"),"Equipment material")</f>
        <v>Equipment material</v>
      </c>
    </row>
    <row r="1791" spans="1:3" ht="12.75" x14ac:dyDescent="0.2">
      <c r="A1791" s="1" t="s">
        <v>3156</v>
      </c>
      <c r="B1791" s="1" t="s">
        <v>3157</v>
      </c>
      <c r="C1791" t="str">
        <f ca="1">IFERROR(__xludf.DUMMYFUNCTION("GOOGLETRANSLATE(B1791, ""ja"", ""en"")"),"Equipped weapon")</f>
        <v>Equipped weapon</v>
      </c>
    </row>
    <row r="1792" spans="1:3" ht="12.75" x14ac:dyDescent="0.2">
      <c r="A1792" s="1" t="s">
        <v>3158</v>
      </c>
      <c r="B1792" s="1" t="s">
        <v>3159</v>
      </c>
      <c r="C1792" t="str">
        <f ca="1">IFERROR(__xludf.DUMMYFUNCTION("GOOGLETRANSLATE(B1792, ""ja"", ""en"")"),"Equipped with armor")</f>
        <v>Equipped with armor</v>
      </c>
    </row>
    <row r="1793" spans="1:3" ht="12.75" x14ac:dyDescent="0.2">
      <c r="A1793" s="1" t="s">
        <v>3160</v>
      </c>
      <c r="B1793" s="1" t="s">
        <v>3161</v>
      </c>
      <c r="C1793" t="str">
        <f ca="1">IFERROR(__xludf.DUMMYFUNCTION("GOOGLETRANSLATE(B1793, ""ja"", ""en"")"),"Possession of weapons")</f>
        <v>Possession of weapons</v>
      </c>
    </row>
    <row r="1794" spans="1:3" ht="12.75" x14ac:dyDescent="0.2">
      <c r="A1794" s="1" t="s">
        <v>3162</v>
      </c>
      <c r="B1794" s="1" t="s">
        <v>3163</v>
      </c>
      <c r="C1794" t="str">
        <f ca="1">IFERROR(__xludf.DUMMYFUNCTION("GOOGLETRANSLATE(B1794, ""ja"", ""en"")"),"Possession Armor")</f>
        <v>Possession Armor</v>
      </c>
    </row>
    <row r="1795" spans="1:3" ht="12.75" x14ac:dyDescent="0.2">
      <c r="A1795" s="1" t="s">
        <v>3164</v>
      </c>
      <c r="B1795" s="1" t="s">
        <v>3165</v>
      </c>
      <c r="C1795" t="str">
        <f ca="1">IFERROR(__xludf.DUMMYFUNCTION("GOOGLETRANSLATE(B1795, ""ja"", ""en"")"),"sword")</f>
        <v>sword</v>
      </c>
    </row>
    <row r="1796" spans="1:3" ht="12.75" x14ac:dyDescent="0.2">
      <c r="A1796" s="1" t="s">
        <v>3166</v>
      </c>
      <c r="B1796" s="1" t="s">
        <v>3167</v>
      </c>
      <c r="C1796" t="str">
        <f ca="1">IFERROR(__xludf.DUMMYFUNCTION("GOOGLETRANSLATE(B1796, ""ja"", ""en"")"),"Special Weapons")</f>
        <v>Special Weapons</v>
      </c>
    </row>
    <row r="1797" spans="1:3" ht="12.75" x14ac:dyDescent="0.2">
      <c r="A1797" s="1" t="s">
        <v>3168</v>
      </c>
      <c r="B1797" s="1" t="s">
        <v>3169</v>
      </c>
      <c r="C1797" t="str">
        <f ca="1">IFERROR(__xludf.DUMMYFUNCTION("GOOGLETRANSLATE(B1797, ""ja"", ""en"")"),"gun")</f>
        <v>gun</v>
      </c>
    </row>
    <row r="1798" spans="1:3" ht="12.75" x14ac:dyDescent="0.2">
      <c r="A1798" s="1" t="s">
        <v>3170</v>
      </c>
      <c r="B1798" s="1" t="s">
        <v>3171</v>
      </c>
      <c r="C1798" t="str">
        <f ca="1">IFERROR(__xludf.DUMMYFUNCTION("GOOGLETRANSLATE(B1798, ""ja"", ""en"")"),"bullet")</f>
        <v>bullet</v>
      </c>
    </row>
    <row r="1799" spans="1:3" ht="12.75" x14ac:dyDescent="0.2">
      <c r="A1799" s="1" t="s">
        <v>3172</v>
      </c>
      <c r="B1799" s="1" t="s">
        <v>3173</v>
      </c>
      <c r="C1799" t="str">
        <f ca="1">IFERROR(__xludf.DUMMYFUNCTION("GOOGLETRANSLATE(B1799, ""ja"", ""en"")"),"headband")</f>
        <v>headband</v>
      </c>
    </row>
    <row r="1800" spans="1:3" ht="12.75" x14ac:dyDescent="0.2">
      <c r="A1800" s="1" t="s">
        <v>3174</v>
      </c>
      <c r="B1800" s="1" t="s">
        <v>3175</v>
      </c>
      <c r="C1800" t="str">
        <f ca="1">IFERROR(__xludf.DUMMYFUNCTION("GOOGLETRANSLATE(B1800, ""ja"", ""en"")"),"breastplate")</f>
        <v>breastplate</v>
      </c>
    </row>
    <row r="1801" spans="1:3" ht="12.75" x14ac:dyDescent="0.2">
      <c r="A1801" s="1" t="s">
        <v>3176</v>
      </c>
      <c r="B1801" s="1" t="s">
        <v>3177</v>
      </c>
      <c r="C1801" t="str">
        <f ca="1">IFERROR(__xludf.DUMMYFUNCTION("GOOGLETRANSLATE(B1801, ""ja"", ""en"")"),"gauntlet")</f>
        <v>gauntlet</v>
      </c>
    </row>
    <row r="1802" spans="1:3" ht="12.75" x14ac:dyDescent="0.2">
      <c r="A1802" s="1" t="s">
        <v>3178</v>
      </c>
      <c r="B1802" s="1" t="s">
        <v>3179</v>
      </c>
      <c r="C1802" t="str">
        <f ca="1">IFERROR(__xludf.DUMMYFUNCTION("GOOGLETRANSLATE(B1802, ""ja"", ""en"")"),"Offensive power")</f>
        <v>Offensive power</v>
      </c>
    </row>
    <row r="1803" spans="1:3" ht="12.75" x14ac:dyDescent="0.2">
      <c r="A1803" s="1" t="s">
        <v>3180</v>
      </c>
      <c r="B1803" s="1" t="s">
        <v>3181</v>
      </c>
      <c r="C1803" t="str">
        <f ca="1">IFERROR(__xludf.DUMMYFUNCTION("GOOGLETRANSLATE(B1803, ""ja"", ""en"")"),"Defense power")</f>
        <v>Defense power</v>
      </c>
    </row>
    <row r="1804" spans="1:3" ht="12.75" x14ac:dyDescent="0.2">
      <c r="A1804" s="1" t="s">
        <v>3182</v>
      </c>
      <c r="B1804" s="1" t="s">
        <v>3183</v>
      </c>
      <c r="C1804" t="str">
        <f ca="1">IFERROR(__xludf.DUMMYFUNCTION("GOOGLETRANSLATE(B1804, ""ja"", ""en"")"),"Rarity")</f>
        <v>Rarity</v>
      </c>
    </row>
    <row r="1805" spans="1:3" ht="12.75" x14ac:dyDescent="0.2">
      <c r="A1805" s="1" t="s">
        <v>3184</v>
      </c>
      <c r="B1805" s="1" t="s">
        <v>3185</v>
      </c>
      <c r="C1805" t="str">
        <f ca="1">IFERROR(__xludf.DUMMYFUNCTION("GOOGLETRANSLATE(B1805, ""ja"", ""en"")"),"Case")</f>
        <v>Case</v>
      </c>
    </row>
    <row r="1806" spans="1:3" ht="12.75" x14ac:dyDescent="0.2">
      <c r="A1806" s="1" t="s">
        <v>3186</v>
      </c>
      <c r="B1806" s="1" t="s">
        <v>3187</v>
      </c>
      <c r="C1806" t="str">
        <f ca="1">IFERROR(__xludf.DUMMYFUNCTION("GOOGLETRANSLATE(B1806, ""ja"", ""en"")"),"In you can see the strengthening material of the armor in the selection.")</f>
        <v>In you can see the strengthening material of the armor in the selection.</v>
      </c>
    </row>
    <row r="1807" spans="1:3" ht="12.75" x14ac:dyDescent="0.2">
      <c r="A1807" s="1" t="s">
        <v>3188</v>
      </c>
      <c r="B1807" s="1" t="s">
        <v>1280</v>
      </c>
      <c r="C1807" t="str">
        <f ca="1">IFERROR(__xludf.DUMMYFUNCTION("GOOGLETRANSLATE(B1807, ""ja"", ""en"")"),"[N]")</f>
        <v>[N]</v>
      </c>
    </row>
    <row r="1808" spans="1:3" ht="12.75" x14ac:dyDescent="0.2">
      <c r="A1808" s="1" t="s">
        <v>3189</v>
      </c>
      <c r="B1808" s="1" t="s">
        <v>3190</v>
      </c>
      <c r="C1808" t="str">
        <f ca="1">IFERROR(__xludf.DUMMYFUNCTION("GOOGLETRANSLATE(B1808, ""ja"", ""en"")"),"basic operation")</f>
        <v>basic operation</v>
      </c>
    </row>
    <row r="1809" spans="1:3" ht="12.75" x14ac:dyDescent="0.2">
      <c r="A1809" s="1" t="s">
        <v>3191</v>
      </c>
      <c r="B1809" s="1" t="s">
        <v>3192</v>
      </c>
      <c r="C1809" t="str">
        <f ca="1">IFERROR(__xludf.DUMMYFUNCTION("GOOGLETRANSLATE(B1809, ""ja"", ""en"")"),"Special skill")</f>
        <v>Special skill</v>
      </c>
    </row>
    <row r="1810" spans="1:3" ht="12.75" x14ac:dyDescent="0.2">
      <c r="A1810" s="1" t="s">
        <v>3193</v>
      </c>
      <c r="B1810" s="1" t="s">
        <v>3194</v>
      </c>
      <c r="C1810" t="str">
        <f ca="1">IFERROR(__xludf.DUMMYFUNCTION("GOOGLETRANSLATE(B1810, ""ja"", ""en"")"),"The type of fighting")</f>
        <v>The type of fighting</v>
      </c>
    </row>
    <row r="1811" spans="1:3" ht="12.75" x14ac:dyDescent="0.2">
      <c r="A1811" s="1" t="s">
        <v>3195</v>
      </c>
      <c r="B1811" s="1" t="s">
        <v>3196</v>
      </c>
      <c r="C1811" t="str">
        <f ca="1">IFERROR(__xludf.DUMMYFUNCTION("GOOGLETRANSLATE(B1811, ""ja"", ""en"")"),"The type of cut with a sword")</f>
        <v>The type of cut with a sword</v>
      </c>
    </row>
    <row r="1812" spans="1:3" ht="12.75" x14ac:dyDescent="0.2">
      <c r="A1812" s="1" t="s">
        <v>3197</v>
      </c>
      <c r="B1812" s="1" t="s">
        <v>3198</v>
      </c>
      <c r="C1812" t="str">
        <f ca="1">IFERROR(__xludf.DUMMYFUNCTION("GOOGLETRANSLATE(B1812, ""ja"", ""en"")"),"The type of Ranbu")</f>
        <v>The type of Ranbu</v>
      </c>
    </row>
    <row r="1813" spans="1:3" ht="12.75" x14ac:dyDescent="0.2">
      <c r="A1813" s="1" t="s">
        <v>3199</v>
      </c>
      <c r="B1813" s="1" t="s">
        <v>3200</v>
      </c>
      <c r="C1813" t="str">
        <f ca="1">IFERROR(__xludf.DUMMYFUNCTION("GOOGLETRANSLATE(B1813, ""ja"", ""en"")"),"Type of pistol")</f>
        <v>Type of pistol</v>
      </c>
    </row>
    <row r="1814" spans="1:3" ht="12.75" x14ac:dyDescent="0.2">
      <c r="A1814" s="1" t="s">
        <v>3201</v>
      </c>
      <c r="B1814" s="1" t="s">
        <v>3202</v>
      </c>
      <c r="C1814" t="str">
        <f ca="1">IFERROR(__xludf.DUMMYFUNCTION("GOOGLETRANSLATE(B1814, ""ja"", ""en"")"),"You can not learn now.")</f>
        <v>You can not learn now.</v>
      </c>
    </row>
    <row r="1815" spans="1:3" ht="12.75" x14ac:dyDescent="0.2">
      <c r="A1815" s="1" t="s">
        <v>3203</v>
      </c>
      <c r="B1815" s="1" t="s">
        <v>3204</v>
      </c>
      <c r="C1815" t="str">
        <f ca="1">IFERROR(__xludf.DUMMYFUNCTION("GOOGLETRANSLATE(B1815, ""ja"", ""en"")"),"I could not use your belongings.")</f>
        <v>I could not use your belongings.</v>
      </c>
    </row>
    <row r="1816" spans="1:3" ht="12.75" x14ac:dyDescent="0.2">
      <c r="A1816" s="1" t="s">
        <v>3205</v>
      </c>
      <c r="B1816" s="1" t="s">
        <v>3206</v>
      </c>
      <c r="C1816" t="str">
        <f ca="1">IFERROR(__xludf.DUMMYFUNCTION("GOOGLETRANSLATE(B1816, ""ja"", ""en"")"),"It could not be loaded.")</f>
        <v>It could not be loaded.</v>
      </c>
    </row>
    <row r="1817" spans="1:3" ht="12.75" x14ac:dyDescent="0.2">
      <c r="A1817" s="1" t="s">
        <v>3207</v>
      </c>
      <c r="B1817" s="1" t="s">
        <v>3208</v>
      </c>
      <c r="C1817" t="str">
        <f ca="1">IFERROR(__xludf.DUMMYFUNCTION("GOOGLETRANSLATE(B1817, ""ja"", ""en"")"),"I was not able to throw away your belongings.")</f>
        <v>I was not able to throw away your belongings.</v>
      </c>
    </row>
    <row r="1818" spans="1:3" ht="12.75" x14ac:dyDescent="0.2">
      <c r="A1818" s="1" t="s">
        <v>3209</v>
      </c>
      <c r="B1818" s="1" t="s">
        <v>3210</v>
      </c>
      <c r="C1818" t="str">
        <f ca="1">IFERROR(__xludf.DUMMYFUNCTION("GOOGLETRANSLATE(B1818, ""ja"", ""en"")"),"Incoming mail")</f>
        <v>Incoming mail</v>
      </c>
    </row>
    <row r="1819" spans="1:3" ht="12.75" x14ac:dyDescent="0.2">
      <c r="A1819" s="1" t="s">
        <v>3211</v>
      </c>
      <c r="B1819" s="1" t="s">
        <v>3212</v>
      </c>
      <c r="C1819" t="str">
        <f ca="1">IFERROR(__xludf.DUMMYFUNCTION("GOOGLETRANSLATE(B1819, ""ja"", ""en"")"),"Email")</f>
        <v>Email</v>
      </c>
    </row>
    <row r="1820" spans="1:3" ht="12.75" x14ac:dyDescent="0.2">
      <c r="A1820" s="1" t="s">
        <v>3213</v>
      </c>
      <c r="B1820" s="1" t="s">
        <v>3214</v>
      </c>
      <c r="C1820" t="str">
        <f ca="1">IFERROR(__xludf.DUMMYFUNCTION("GOOGLETRANSLATE(B1820, ""ja"", ""en"")"),"restaurant")</f>
        <v>restaurant</v>
      </c>
    </row>
    <row r="1821" spans="1:3" ht="12.75" x14ac:dyDescent="0.2">
      <c r="A1821" s="1" t="s">
        <v>3215</v>
      </c>
      <c r="B1821" s="1" t="s">
        <v>3216</v>
      </c>
      <c r="C1821" t="str">
        <f ca="1">IFERROR(__xludf.DUMMYFUNCTION("GOOGLETRANSLATE(B1821, ""ja"", ""en"")"),"Sales outlet")</f>
        <v>Sales outlet</v>
      </c>
    </row>
    <row r="1822" spans="1:3" ht="12.75" x14ac:dyDescent="0.2">
      <c r="A1822" s="1" t="s">
        <v>3217</v>
      </c>
      <c r="B1822" s="1" t="s">
        <v>3218</v>
      </c>
      <c r="C1822" t="str">
        <f ca="1">IFERROR(__xludf.DUMMYFUNCTION("GOOGLETRANSLATE(B1822, ""ja"", ""en"")"),"Play spot")</f>
        <v>Play spot</v>
      </c>
    </row>
    <row r="1823" spans="1:3" ht="12.75" x14ac:dyDescent="0.2">
      <c r="A1823" s="1" t="s">
        <v>3219</v>
      </c>
      <c r="B1823" s="1" t="s">
        <v>3220</v>
      </c>
      <c r="C1823" t="str">
        <f ca="1">IFERROR(__xludf.DUMMYFUNCTION("GOOGLETRANSLATE(B1823, ""ja"", ""en"")"),"scenario")</f>
        <v>scenario</v>
      </c>
    </row>
    <row r="1824" spans="1:3" ht="12.75" x14ac:dyDescent="0.2">
      <c r="A1824" s="1" t="s">
        <v>3221</v>
      </c>
      <c r="B1824" s="1" t="s">
        <v>3222</v>
      </c>
      <c r="C1824" t="str">
        <f ca="1">IFERROR(__xludf.DUMMYFUNCTION("GOOGLETRANSLATE(B1824, ""ja"", ""en"")"),"Training")</f>
        <v>Training</v>
      </c>
    </row>
    <row r="1825" spans="1:3" ht="12.75" x14ac:dyDescent="0.2">
      <c r="A1825" s="1" t="s">
        <v>3223</v>
      </c>
      <c r="B1825" s="1" t="s">
        <v>3224</v>
      </c>
      <c r="C1825" t="str">
        <f ca="1">IFERROR(__xludf.DUMMYFUNCTION("GOOGLETRANSLATE(B1825, ""ja"", ""en"")"),"Set destination")</f>
        <v>Set destination</v>
      </c>
    </row>
    <row r="1826" spans="1:3" ht="12.75" x14ac:dyDescent="0.2">
      <c r="A1826" s="1" t="s">
        <v>3225</v>
      </c>
      <c r="B1826" s="1" t="s">
        <v>3226</v>
      </c>
      <c r="C1826" t="str">
        <f ca="1">IFERROR(__xludf.DUMMYFUNCTION("GOOGLETRANSLATE(B1826, ""ja"", ""en"")"),"Udon restaurant")</f>
        <v>Udon restaurant</v>
      </c>
    </row>
    <row r="1827" spans="1:3" ht="12.75" x14ac:dyDescent="0.2">
      <c r="A1827" s="1" t="s">
        <v>3227</v>
      </c>
      <c r="B1827" s="1" t="s">
        <v>3228</v>
      </c>
      <c r="C1827" t="str">
        <f ca="1">IFERROR(__xludf.DUMMYFUNCTION("GOOGLETRANSLATE(B1827, ""ja"", ""en"")"),"Soba")</f>
        <v>Soba</v>
      </c>
    </row>
    <row r="1828" spans="1:3" ht="12.75" x14ac:dyDescent="0.2">
      <c r="A1828" s="1" t="s">
        <v>3229</v>
      </c>
      <c r="B1828" s="1" t="s">
        <v>3230</v>
      </c>
      <c r="C1828" t="str">
        <f ca="1">IFERROR(__xludf.DUMMYFUNCTION("GOOGLETRANSLATE(B1828, ""ja"", ""en"")"),"Takoyakiya")</f>
        <v>Takoyakiya</v>
      </c>
    </row>
    <row r="1829" spans="1:3" ht="12.75" x14ac:dyDescent="0.2">
      <c r="A1829" s="1" t="s">
        <v>3231</v>
      </c>
      <c r="B1829" s="1" t="s">
        <v>3232</v>
      </c>
      <c r="C1829" t="str">
        <f ca="1">IFERROR(__xludf.DUMMYFUNCTION("GOOGLETRANSLATE(B1829, ""ja"", ""en"")"),"Hanako")</f>
        <v>Hanako</v>
      </c>
    </row>
    <row r="1830" spans="1:3" ht="12.75" x14ac:dyDescent="0.2">
      <c r="A1830" s="1" t="s">
        <v>3233</v>
      </c>
      <c r="B1830" s="1" t="s">
        <v>3234</v>
      </c>
      <c r="C1830" t="str">
        <f ca="1">IFERROR(__xludf.DUMMYFUNCTION("GOOGLETRANSLATE(B1830, ""ja"", ""en"")"),"Tavern")</f>
        <v>Tavern</v>
      </c>
    </row>
    <row r="1831" spans="1:3" ht="12.75" x14ac:dyDescent="0.2">
      <c r="A1831" s="1" t="s">
        <v>3235</v>
      </c>
      <c r="B1831" s="1" t="s">
        <v>3236</v>
      </c>
      <c r="C1831" t="str">
        <f ca="1">IFERROR(__xludf.DUMMYFUNCTION("GOOGLETRANSLATE(B1831, ""ja"", ""en"")"),"Teahouse")</f>
        <v>Teahouse</v>
      </c>
    </row>
    <row r="1832" spans="1:3" ht="12.75" x14ac:dyDescent="0.2">
      <c r="A1832" s="1" t="s">
        <v>3237</v>
      </c>
      <c r="B1832" s="1" t="s">
        <v>3238</v>
      </c>
      <c r="C1832" t="str">
        <f ca="1">IFERROR(__xludf.DUMMYFUNCTION("GOOGLETRANSLATE(B1832, ""ja"", ""en"")"),"Fishmonger")</f>
        <v>Fishmonger</v>
      </c>
    </row>
    <row r="1833" spans="1:3" ht="12.75" x14ac:dyDescent="0.2">
      <c r="A1833" s="1" t="s">
        <v>3239</v>
      </c>
      <c r="B1833" s="1" t="s">
        <v>3240</v>
      </c>
      <c r="C1833" t="str">
        <f ca="1">IFERROR(__xludf.DUMMYFUNCTION("GOOGLETRANSLATE(B1833, ""ja"", ""en"")"),"Kamameshiya")</f>
        <v>Kamameshiya</v>
      </c>
    </row>
    <row r="1834" spans="1:3" ht="12.75" x14ac:dyDescent="0.2">
      <c r="A1834" s="1" t="s">
        <v>3241</v>
      </c>
      <c r="B1834" s="1" t="s">
        <v>3242</v>
      </c>
      <c r="C1834" t="str">
        <f ca="1">IFERROR(__xludf.DUMMYFUNCTION("GOOGLETRANSLATE(B1834, ""ja"", ""en"")"),"Messiah 1")</f>
        <v>Messiah 1</v>
      </c>
    </row>
    <row r="1835" spans="1:3" ht="12.75" x14ac:dyDescent="0.2">
      <c r="A1835" s="1" t="s">
        <v>3243</v>
      </c>
      <c r="B1835" s="1" t="s">
        <v>3244</v>
      </c>
      <c r="C1835" t="str">
        <f ca="1">IFERROR(__xludf.DUMMYFUNCTION("GOOGLETRANSLATE(B1835, ""ja"", ""en"")"),"Messiah 2")</f>
        <v>Messiah 2</v>
      </c>
    </row>
    <row r="1836" spans="1:3" ht="12.75" x14ac:dyDescent="0.2">
      <c r="A1836" s="1" t="s">
        <v>3245</v>
      </c>
      <c r="B1836" s="1" t="s">
        <v>3246</v>
      </c>
      <c r="C1836" t="str">
        <f ca="1">IFERROR(__xludf.DUMMYFUNCTION("GOOGLETRANSLATE(B1836, ""ja"", ""en"")"),"Greengrocer")</f>
        <v>Greengrocer</v>
      </c>
    </row>
    <row r="1837" spans="1:3" ht="12.75" x14ac:dyDescent="0.2">
      <c r="A1837" s="1" t="s">
        <v>3247</v>
      </c>
      <c r="B1837" s="1" t="s">
        <v>3248</v>
      </c>
      <c r="C1837" t="str">
        <f ca="1">IFERROR(__xludf.DUMMYFUNCTION("GOOGLETRANSLATE(B1837, ""ja"", ""en"")"),"Shrine 1")</f>
        <v>Shrine 1</v>
      </c>
    </row>
    <row r="1838" spans="1:3" ht="12.75" x14ac:dyDescent="0.2">
      <c r="A1838" s="1" t="s">
        <v>3249</v>
      </c>
      <c r="B1838" s="1" t="s">
        <v>3250</v>
      </c>
      <c r="C1838" t="str">
        <f ca="1">IFERROR(__xludf.DUMMYFUNCTION("GOOGLETRANSLATE(B1838, ""ja"", ""en"")"),"Shrine 2")</f>
        <v>Shrine 2</v>
      </c>
    </row>
    <row r="1839" spans="1:3" ht="12.75" x14ac:dyDescent="0.2">
      <c r="A1839" s="1" t="s">
        <v>3251</v>
      </c>
      <c r="B1839" s="1" t="s">
        <v>3252</v>
      </c>
      <c r="C1839" t="str">
        <f ca="1">IFERROR(__xludf.DUMMYFUNCTION("GOOGLETRANSLATE(B1839, ""ja"", ""en"")"),"Teacher 2")</f>
        <v>Teacher 2</v>
      </c>
    </row>
    <row r="1840" spans="1:3" ht="12.75" x14ac:dyDescent="0.2">
      <c r="A1840" s="1" t="s">
        <v>3253</v>
      </c>
      <c r="B1840" s="1" t="s">
        <v>3254</v>
      </c>
      <c r="C1840" t="str">
        <f ca="1">IFERROR(__xludf.DUMMYFUNCTION("GOOGLETRANSLATE(B1840, ""ja"", ""en"")"),"Mentor 1")</f>
        <v>Mentor 1</v>
      </c>
    </row>
    <row r="1841" spans="1:3" ht="12.75" x14ac:dyDescent="0.2">
      <c r="A1841" s="1" t="s">
        <v>3255</v>
      </c>
      <c r="B1841" s="1" t="s">
        <v>3256</v>
      </c>
      <c r="C1841" t="str">
        <f ca="1">IFERROR(__xludf.DUMMYFUNCTION("GOOGLETRANSLATE(B1841, ""ja"", ""en"")"),"Hogan")</f>
        <v>Hogan</v>
      </c>
    </row>
    <row r="1842" spans="1:3" ht="12.75" x14ac:dyDescent="0.2">
      <c r="A1842" s="1" t="s">
        <v>3257</v>
      </c>
      <c r="B1842" s="1" t="s">
        <v>79</v>
      </c>
      <c r="C1842" t="str">
        <f ca="1">IFERROR(__xludf.DUMMYFUNCTION("GOOGLETRANSLATE(B1842, ""ja"", ""en"")"),"Door")</f>
        <v>Door</v>
      </c>
    </row>
    <row r="1843" spans="1:3" ht="12.75" x14ac:dyDescent="0.2">
      <c r="A1843" s="1" t="s">
        <v>3258</v>
      </c>
      <c r="B1843" s="1" t="s">
        <v>3259</v>
      </c>
      <c r="C1843" t="str">
        <f ca="1">IFERROR(__xludf.DUMMYFUNCTION("GOOGLETRANSLATE(B1843, ""ja"", ""en"")"),"Ya")</f>
        <v>Ya</v>
      </c>
    </row>
    <row r="1844" spans="1:3" ht="12.75" x14ac:dyDescent="0.2">
      <c r="A1844" s="1" t="s">
        <v>3260</v>
      </c>
      <c r="B1844" s="1" t="s">
        <v>470</v>
      </c>
      <c r="C1844" t="str">
        <f ca="1">IFERROR(__xludf.DUMMYFUNCTION("GOOGLETRANSLATE(B1844, ""ja"", ""en"")"),"Over")</f>
        <v>Over</v>
      </c>
    </row>
    <row r="1845" spans="1:3" ht="12.75" x14ac:dyDescent="0.2">
      <c r="A1845" s="1" t="s">
        <v>3261</v>
      </c>
      <c r="B1845" s="1" t="s">
        <v>3262</v>
      </c>
      <c r="C1845" t="str">
        <f ca="1">IFERROR(__xludf.DUMMYFUNCTION("GOOGLETRANSLATE(B1845, ""ja"", ""en"")"),"Teacher")</f>
        <v>Teacher</v>
      </c>
    </row>
    <row r="1846" spans="1:3" ht="12.75" x14ac:dyDescent="0.2">
      <c r="A1846" s="1" t="s">
        <v>3263</v>
      </c>
      <c r="B1846" s="1" t="s">
        <v>252</v>
      </c>
      <c r="C1846" t="str">
        <f ca="1">IFERROR(__xludf.DUMMYFUNCTION("GOOGLETRANSLATE(B1846, ""ja"", ""en"")"),"Le")</f>
        <v>Le</v>
      </c>
    </row>
    <row r="1847" spans="1:3" ht="12.75" x14ac:dyDescent="0.2">
      <c r="A1847" s="1" t="s">
        <v>3264</v>
      </c>
      <c r="B1847" s="1" t="s">
        <v>247</v>
      </c>
      <c r="C1847" t="str">
        <f ca="1">IFERROR(__xludf.DUMMYFUNCTION("GOOGLETRANSLATE(B1847, ""ja"", ""en"")"),".")</f>
        <v>.</v>
      </c>
    </row>
    <row r="1848" spans="1:3" ht="12.75" x14ac:dyDescent="0.2">
      <c r="A1848" s="1" t="s">
        <v>3265</v>
      </c>
      <c r="B1848" s="1" t="s">
        <v>247</v>
      </c>
      <c r="C1848" t="str">
        <f ca="1">IFERROR(__xludf.DUMMYFUNCTION("GOOGLETRANSLATE(B1848, ""ja"", ""en"")"),".")</f>
        <v>.</v>
      </c>
    </row>
    <row r="1849" spans="1:3" ht="12.75" x14ac:dyDescent="0.2">
      <c r="A1849" s="1" t="s">
        <v>3266</v>
      </c>
      <c r="B1849" s="1" t="s">
        <v>3267</v>
      </c>
      <c r="C1849" t="str">
        <f ca="1">IFERROR(__xludf.DUMMYFUNCTION("GOOGLETRANSLATE(B1849, ""ja"", ""en"")"),"There is no map")</f>
        <v>There is no map</v>
      </c>
    </row>
    <row r="1850" spans="1:3" ht="12.75" x14ac:dyDescent="0.2">
      <c r="A1850" s="1" t="s">
        <v>3268</v>
      </c>
      <c r="B1850" s="1" t="s">
        <v>247</v>
      </c>
      <c r="C1850" t="str">
        <f ca="1">IFERROR(__xludf.DUMMYFUNCTION("GOOGLETRANSLATE(B1850, ""ja"", ""en"")"),".")</f>
        <v>.</v>
      </c>
    </row>
    <row r="1851" spans="1:3" ht="12.75" x14ac:dyDescent="0.2">
      <c r="A1851" s="1" t="s">
        <v>3269</v>
      </c>
      <c r="B1851" s="1" t="s">
        <v>3270</v>
      </c>
      <c r="C1851" t="str">
        <f ca="1">IFERROR(__xludf.DUMMYFUNCTION("GOOGLETRANSLATE(B1851, ""ja"", ""en"")"),"fishing rod")</f>
        <v>fishing rod</v>
      </c>
    </row>
    <row r="1852" spans="1:3" ht="12.75" x14ac:dyDescent="0.2">
      <c r="A1852" s="1" t="s">
        <v>3271</v>
      </c>
      <c r="B1852" s="1" t="s">
        <v>3272</v>
      </c>
      <c r="C1852" t="str">
        <f ca="1">IFERROR(__xludf.DUMMYFUNCTION("GOOGLETRANSLATE(B1852, ""ja"", ""en"")"),"Poultry Plant")</f>
        <v>Poultry Plant</v>
      </c>
    </row>
    <row r="1853" spans="1:3" ht="12.75" x14ac:dyDescent="0.2">
      <c r="A1853" s="1" t="s">
        <v>3273</v>
      </c>
      <c r="B1853" s="1" t="s">
        <v>3274</v>
      </c>
      <c r="C1853" t="str">
        <f ca="1">IFERROR(__xludf.DUMMYFUNCTION("GOOGLETRANSLATE(B1853, ""ja"", ""en"")"),"Cat futon")</f>
        <v>Cat futon</v>
      </c>
    </row>
    <row r="1854" spans="1:3" ht="12.75" x14ac:dyDescent="0.2">
      <c r="A1854" s="1" t="s">
        <v>3275</v>
      </c>
      <c r="B1854" s="1" t="s">
        <v>3276</v>
      </c>
      <c r="C1854" t="str">
        <f ca="1">IFERROR(__xludf.DUMMYFUNCTION("GOOGLETRANSLATE(B1854, ""ja"", ""en"")"),"Kennel level")</f>
        <v>Kennel level</v>
      </c>
    </row>
    <row r="1855" spans="1:3" ht="12.75" x14ac:dyDescent="0.2">
      <c r="A1855" s="1" t="s">
        <v>3277</v>
      </c>
      <c r="B1855" s="1" t="s">
        <v>3278</v>
      </c>
      <c r="C1855" t="str">
        <f ca="1">IFERROR(__xludf.DUMMYFUNCTION("GOOGLETRANSLATE(B1855, ""ja"", ""en"")"),"kitchenware")</f>
        <v>kitchenware</v>
      </c>
    </row>
    <row r="1856" spans="1:3" ht="12.75" x14ac:dyDescent="0.2">
      <c r="A1856" s="1" t="s">
        <v>3279</v>
      </c>
      <c r="B1856" s="1" t="s">
        <v>3280</v>
      </c>
      <c r="C1856" t="str">
        <f ca="1">IFERROR(__xludf.DUMMYFUNCTION("GOOGLETRANSLATE(B1856, ""ja"", ""en"")"),"Interior")</f>
        <v>Interior</v>
      </c>
    </row>
    <row r="1857" spans="1:3" ht="12.75" x14ac:dyDescent="0.2">
      <c r="A1857" s="1" t="s">
        <v>3281</v>
      </c>
      <c r="B1857" s="1" t="s">
        <v>508</v>
      </c>
      <c r="C1857" t="str">
        <f ca="1">IFERROR(__xludf.DUMMYFUNCTION("GOOGLETRANSLATE(B1857, ""ja"", ""en"")"),"d")</f>
        <v>d</v>
      </c>
    </row>
    <row r="1858" spans="1:3" ht="12.75" x14ac:dyDescent="0.2">
      <c r="A1858" s="1" t="s">
        <v>3282</v>
      </c>
      <c r="B1858" s="1" t="s">
        <v>3283</v>
      </c>
      <c r="C1858" t="str">
        <f ca="1">IFERROR(__xludf.DUMMYFUNCTION("GOOGLETRANSLATE(B1858, ""ja"", ""en"")"),"&lt;Color: 20&gt;% 03d /% 03d &lt;Color: Default&gt;")</f>
        <v>&lt;Color: 20&gt;% 03d /% 03d &lt;Color: Default&gt;</v>
      </c>
    </row>
    <row r="1859" spans="1:3" ht="12.75" x14ac:dyDescent="0.2">
      <c r="A1859" s="1" t="s">
        <v>3284</v>
      </c>
      <c r="B1859" s="1" t="s">
        <v>1093</v>
      </c>
      <c r="C1859" t="str">
        <f ca="1">IFERROR(__xludf.DUMMYFUNCTION("GOOGLETRANSLATE(B1859, ""ja"", ""en"")"),"-")</f>
        <v>-</v>
      </c>
    </row>
    <row r="1860" spans="1:3" ht="12.75" x14ac:dyDescent="0.2">
      <c r="A1860" s="1" t="s">
        <v>3285</v>
      </c>
      <c r="B1860" s="1" t="s">
        <v>3286</v>
      </c>
      <c r="C1860" t="str">
        <f ca="1">IFERROR(__xludf.DUMMYFUNCTION("GOOGLETRANSLATE(B1860, ""ja"", ""en"")"),"Day")</f>
        <v>Day</v>
      </c>
    </row>
    <row r="1861" spans="1:3" ht="12.75" x14ac:dyDescent="0.2">
      <c r="A1861" s="1" t="s">
        <v>3287</v>
      </c>
      <c r="B1861" s="1" t="s">
        <v>3288</v>
      </c>
      <c r="C1861" t="str">
        <f ca="1">IFERROR(__xludf.DUMMYFUNCTION("GOOGLETRANSLATE(B1861, ""ja"", ""en"")"),"Mold")</f>
        <v>Mold</v>
      </c>
    </row>
    <row r="1862" spans="1:3" ht="12.75" x14ac:dyDescent="0.2">
      <c r="A1862" s="1" t="s">
        <v>3289</v>
      </c>
      <c r="B1862" s="1" t="s">
        <v>528</v>
      </c>
      <c r="C1862" t="str">
        <f ca="1">IFERROR(__xludf.DUMMYFUNCTION("GOOGLETRANSLATE(B1862, ""ja"", ""en"")"),"of")</f>
        <v>of</v>
      </c>
    </row>
    <row r="1863" spans="1:3" ht="12.75" x14ac:dyDescent="0.2">
      <c r="A1863" s="1" t="s">
        <v>3290</v>
      </c>
      <c r="B1863" s="1" t="s">
        <v>528</v>
      </c>
      <c r="C1863" t="str">
        <f ca="1">IFERROR(__xludf.DUMMYFUNCTION("GOOGLETRANSLATE(B1863, ""ja"", ""en"")"),"of")</f>
        <v>of</v>
      </c>
    </row>
    <row r="1864" spans="1:3" ht="12.75" x14ac:dyDescent="0.2">
      <c r="A1864" s="1" t="s">
        <v>3291</v>
      </c>
      <c r="B1864" s="1" t="s">
        <v>3292</v>
      </c>
      <c r="C1864" t="str">
        <f ca="1">IFERROR(__xludf.DUMMYFUNCTION("GOOGLETRANSLATE(B1864, ""ja"", ""en"")"),"amount")</f>
        <v>amount</v>
      </c>
    </row>
    <row r="1865" spans="1:3" ht="12.75" x14ac:dyDescent="0.2">
      <c r="A1865" s="1" t="s">
        <v>3293</v>
      </c>
      <c r="B1865" s="1" t="s">
        <v>3294</v>
      </c>
      <c r="C1865" t="str">
        <f ca="1">IFERROR(__xludf.DUMMYFUNCTION("GOOGLETRANSLATE(B1865, ""ja"", ""en"")"),"Wins")</f>
        <v>Wins</v>
      </c>
    </row>
    <row r="1866" spans="1:3" ht="12.75" x14ac:dyDescent="0.2">
      <c r="A1866" s="1" t="s">
        <v>3295</v>
      </c>
      <c r="C1866" t="str">
        <f ca="1">IFERROR(__xludf.DUMMYFUNCTION("GOOGLETRANSLATE(B1866, ""ja"", ""en"")"),"#VALUE!")</f>
        <v>#VALUE!</v>
      </c>
    </row>
    <row r="1867" spans="1:3" ht="12.75" x14ac:dyDescent="0.2">
      <c r="A1867" s="1" t="s">
        <v>3296</v>
      </c>
      <c r="B1867" s="1" t="s">
        <v>2934</v>
      </c>
      <c r="C1867" t="str">
        <f ca="1">IFERROR(__xludf.DUMMYFUNCTION("GOOGLETRANSLATE(B1867, ""ja"", ""en"")"),"Already")</f>
        <v>Already</v>
      </c>
    </row>
    <row r="1868" spans="1:3" ht="12.75" x14ac:dyDescent="0.2">
      <c r="A1868" s="1" t="s">
        <v>3297</v>
      </c>
      <c r="B1868" s="1" t="s">
        <v>2934</v>
      </c>
      <c r="C1868" t="str">
        <f ca="1">IFERROR(__xludf.DUMMYFUNCTION("GOOGLETRANSLATE(B1868, ""ja"", ""en"")"),"Already")</f>
        <v>Already</v>
      </c>
    </row>
    <row r="1869" spans="1:3" ht="12.75" x14ac:dyDescent="0.2">
      <c r="A1869" s="1" t="s">
        <v>3298</v>
      </c>
      <c r="B1869" s="1" t="s">
        <v>3299</v>
      </c>
      <c r="C1869" t="str">
        <f ca="1">IFERROR(__xludf.DUMMYFUNCTION("GOOGLETRANSLATE(B1869, ""ja"", ""en"")"),"Obtained")</f>
        <v>Obtained</v>
      </c>
    </row>
    <row r="1870" spans="1:3" ht="12.75" x14ac:dyDescent="0.2">
      <c r="A1870" s="1" t="s">
        <v>3300</v>
      </c>
      <c r="B1870" s="1" t="s">
        <v>3301</v>
      </c>
      <c r="C1870" t="str">
        <f ca="1">IFERROR(__xludf.DUMMYFUNCTION("GOOGLETRANSLATE(B1870, ""ja"", ""en"")"),"Mini-games")</f>
        <v>Mini-games</v>
      </c>
    </row>
    <row r="1871" spans="1:3" ht="12.75" x14ac:dyDescent="0.2">
      <c r="A1871" s="1" t="s">
        <v>3302</v>
      </c>
      <c r="B1871" s="1" t="s">
        <v>3303</v>
      </c>
      <c r="C1871" t="str">
        <f ca="1">IFERROR(__xludf.DUMMYFUNCTION("GOOGLETRANSLATE(B1871, ""ja"", ""en"")"),"Meal")</f>
        <v>Meal</v>
      </c>
    </row>
    <row r="1872" spans="1:3" ht="12.75" x14ac:dyDescent="0.2">
      <c r="A1872" s="1" t="s">
        <v>3304</v>
      </c>
      <c r="B1872" s="1" t="s">
        <v>3305</v>
      </c>
      <c r="C1872" t="str">
        <f ca="1">IFERROR(__xludf.DUMMYFUNCTION("GOOGLETRANSLATE(B1872, ""ja"", ""en"")"),"Arms and armor")</f>
        <v>Arms and armor</v>
      </c>
    </row>
    <row r="1873" spans="1:3" ht="12.75" x14ac:dyDescent="0.2">
      <c r="A1873" s="1" t="s">
        <v>3306</v>
      </c>
      <c r="B1873" s="1" t="s">
        <v>3307</v>
      </c>
      <c r="C1873" t="str">
        <f ca="1">IFERROR(__xludf.DUMMYFUNCTION("GOOGLETRANSLATE(B1873, ""ja"", ""en"")"),"Wanted man")</f>
        <v>Wanted man</v>
      </c>
    </row>
    <row r="1874" spans="1:3" ht="12.75" x14ac:dyDescent="0.2">
      <c r="A1874" s="1" t="s">
        <v>3308</v>
      </c>
      <c r="B1874" s="1" t="s">
        <v>3309</v>
      </c>
      <c r="C1874" t="str">
        <f ca="1">IFERROR(__xludf.DUMMYFUNCTION("GOOGLETRANSLATE(B1874, ""ja"", ""en"")"),"Battle Dungeon")</f>
        <v>Battle Dungeon</v>
      </c>
    </row>
    <row r="1875" spans="1:3" ht="12.75" x14ac:dyDescent="0.2">
      <c r="A1875" s="1" t="s">
        <v>3310</v>
      </c>
      <c r="B1875" s="1" t="s">
        <v>3311</v>
      </c>
      <c r="C1875" t="str">
        <f ca="1">IFERROR(__xludf.DUMMYFUNCTION("GOOGLETRANSLATE(B1875, ""ja"", ""en"")"),"Place")</f>
        <v>Place</v>
      </c>
    </row>
    <row r="1876" spans="1:3" ht="12.75" x14ac:dyDescent="0.2">
      <c r="A1876" s="1" t="s">
        <v>3312</v>
      </c>
      <c r="B1876" s="1" t="s">
        <v>3313</v>
      </c>
      <c r="C1876" t="str">
        <f ca="1">IFERROR(__xludf.DUMMYFUNCTION("GOOGLETRANSLATE(B1876, ""ja"", ""en"")"),"It is a complete sub-story. [N]")</f>
        <v>It is a complete sub-story. [N]</v>
      </c>
    </row>
    <row r="1877" spans="1:3" ht="12.75" x14ac:dyDescent="0.2">
      <c r="A1877" s="1" t="s">
        <v>3314</v>
      </c>
      <c r="B1877" s="1" t="s">
        <v>3315</v>
      </c>
      <c r="C1877" t="str">
        <f ca="1">IFERROR(__xludf.DUMMYFUNCTION("GOOGLETRANSLATE(B1877, ""ja"", ""en"")"),"Is a complete mini-games. [N] You can check the progress of each mini-game.")</f>
        <v>Is a complete mini-games. [N] You can check the progress of each mini-game.</v>
      </c>
    </row>
    <row r="1878" spans="1:3" ht="12.75" x14ac:dyDescent="0.2">
      <c r="A1878" s="1" t="s">
        <v>3316</v>
      </c>
      <c r="B1878" s="1" t="s">
        <v>3317</v>
      </c>
      <c r="C1878" t="str">
        <f ca="1">IFERROR(__xludf.DUMMYFUNCTION("GOOGLETRANSLATE(B1878, ""ja"", ""en"")"),"Another is a life of complete.")</f>
        <v>Another is a life of complete.</v>
      </c>
    </row>
    <row r="1879" spans="1:3" ht="12.75" x14ac:dyDescent="0.2">
      <c r="A1879" s="1" t="s">
        <v>3318</v>
      </c>
      <c r="B1879" s="1" t="s">
        <v>3319</v>
      </c>
      <c r="C1879" t="str">
        <f ca="1">IFERROR(__xludf.DUMMYFUNCTION("GOOGLETRANSLATE(B1879, ""ja"", ""en"")"),"This meal complete. [N] is achieved and to conquer all of the food and drink-based store menu.")</f>
        <v>This meal complete. [N] is achieved and to conquer all of the food and drink-based store menu.</v>
      </c>
    </row>
    <row r="1880" spans="1:3" ht="12.75" x14ac:dyDescent="0.2">
      <c r="A1880" s="1" t="s">
        <v>3320</v>
      </c>
      <c r="B1880" s="1" t="s">
        <v>3321</v>
      </c>
      <c r="C1880" t="str">
        <f ca="1">IFERROR(__xludf.DUMMYFUNCTION("GOOGLETRANSLATE(B1880, ""ja"", ""en"")"),"It is complete of heat action. [N] is achieved and to activate all of the heat action.")</f>
        <v>It is complete of heat action. [N] is achieved and to activate all of the heat action.</v>
      </c>
    </row>
    <row r="1881" spans="1:3" ht="12.75" x14ac:dyDescent="0.2">
      <c r="A1881" s="1" t="s">
        <v>3322</v>
      </c>
      <c r="B1881" s="1" t="s">
        <v>3323</v>
      </c>
      <c r="C1881" t="str">
        <f ca="1">IFERROR(__xludf.DUMMYFUNCTION("GOOGLETRANSLATE(B1881, ""ja"", ""en"")"),"It is the arms and armor complete.")</f>
        <v>It is the arms and armor complete.</v>
      </c>
    </row>
    <row r="1882" spans="1:3" ht="12.75" x14ac:dyDescent="0.2">
      <c r="A1882" s="1" t="s">
        <v>3324</v>
      </c>
      <c r="B1882" s="1" t="s">
        <v>3325</v>
      </c>
      <c r="C1882" t="str">
        <f ca="1">IFERROR(__xludf.DUMMYFUNCTION("GOOGLETRANSLATE(B1882, ""ja"", ""en"")"),"Teacher is of complete. [N] is achieved and to complete all the mission training of each teacher.")</f>
        <v>Teacher is of complete. [N] is achieved and to complete all the mission training of each teacher.</v>
      </c>
    </row>
    <row r="1883" spans="1:3" ht="12.75" x14ac:dyDescent="0.2">
      <c r="A1883" s="1" t="s">
        <v>3326</v>
      </c>
      <c r="B1883" s="1" t="s">
        <v>3327</v>
      </c>
      <c r="C1883" t="str">
        <f ca="1">IFERROR(__xludf.DUMMYFUNCTION("GOOGLETRANSLATE(B1883, ""ja"", ""en"")"),"Wanted is the complete. [N]")</f>
        <v>Wanted is the complete. [N]</v>
      </c>
    </row>
    <row r="1884" spans="1:3" ht="12.75" x14ac:dyDescent="0.2">
      <c r="A1884" s="1" t="s">
        <v>3328</v>
      </c>
      <c r="B1884" s="1" t="s">
        <v>3329</v>
      </c>
      <c r="C1884" t="str">
        <f ca="1">IFERROR(__xludf.DUMMYFUNCTION("GOOGLETRANSLATE(B1884, ""ja"", ""en"")"),"It is complete of battle dungeon.")</f>
        <v>It is complete of battle dungeon.</v>
      </c>
    </row>
    <row r="1885" spans="1:3" ht="12.75" x14ac:dyDescent="0.2">
      <c r="A1885" s="1" t="s">
        <v>3330</v>
      </c>
      <c r="B1885" s="1" t="s">
        <v>3331</v>
      </c>
      <c r="C1885" t="str">
        <f ca="1">IFERROR(__xludf.DUMMYFUNCTION("GOOGLETRANSLATE(B1885, ""ja"", ""en"")"),"It is complete of the arena.")</f>
        <v>It is complete of the arena.</v>
      </c>
    </row>
    <row r="1886" spans="1:3" ht="12.75" x14ac:dyDescent="0.2">
      <c r="A1886" s="1" t="s">
        <v>3332</v>
      </c>
      <c r="B1886" s="1" t="s">
        <v>1019</v>
      </c>
      <c r="C1886" t="str">
        <f ca="1">IFERROR(__xludf.DUMMYFUNCTION("GOOGLETRANSLATE(B1886, ""ja"", ""en"")"),"B")</f>
        <v>B</v>
      </c>
    </row>
    <row r="1887" spans="1:3" ht="12.75" x14ac:dyDescent="0.2">
      <c r="A1887" s="1" t="s">
        <v>3333</v>
      </c>
      <c r="B1887" s="1" t="s">
        <v>1019</v>
      </c>
      <c r="C1887" t="str">
        <f ca="1">IFERROR(__xludf.DUMMYFUNCTION("GOOGLETRANSLATE(B1887, ""ja"", ""en"")"),"B")</f>
        <v>B</v>
      </c>
    </row>
    <row r="1888" spans="1:3" ht="12.75" x14ac:dyDescent="0.2">
      <c r="A1888" s="1" t="s">
        <v>3334</v>
      </c>
      <c r="B1888" s="1" t="s">
        <v>2934</v>
      </c>
      <c r="C1888" t="str">
        <f ca="1">IFERROR(__xludf.DUMMYFUNCTION("GOOGLETRANSLATE(B1888, ""ja"", ""en"")"),"Already")</f>
        <v>Already</v>
      </c>
    </row>
    <row r="1889" spans="1:3" ht="12.75" x14ac:dyDescent="0.2">
      <c r="A1889" s="1" t="s">
        <v>3335</v>
      </c>
      <c r="B1889" s="1" t="s">
        <v>3336</v>
      </c>
      <c r="C1889" t="str">
        <f ca="1">IFERROR(__xludf.DUMMYFUNCTION("GOOGLETRANSLATE(B1889, ""ja"", ""en"")"),"mark")</f>
        <v>mark</v>
      </c>
    </row>
    <row r="1890" spans="1:3" ht="12.75" x14ac:dyDescent="0.2">
      <c r="A1890" s="1" t="s">
        <v>3337</v>
      </c>
      <c r="B1890" s="1" t="s">
        <v>3338</v>
      </c>
      <c r="C1890" t="str">
        <f ca="1">IFERROR(__xludf.DUMMYFUNCTION("GOOGLETRANSLATE(B1890, ""ja"", ""en"")"),"Tips Display")</f>
        <v>Tips Display</v>
      </c>
    </row>
    <row r="1891" spans="1:3" ht="12.75" x14ac:dyDescent="0.2">
      <c r="A1891" s="1" t="s">
        <v>3339</v>
      </c>
      <c r="B1891" s="1" t="s">
        <v>3340</v>
      </c>
      <c r="C1891" t="str">
        <f ca="1">IFERROR(__xludf.DUMMYFUNCTION("GOOGLETRANSLATE(B1891, ""ja"", ""en"")"),"Random growth set")</f>
        <v>Random growth set</v>
      </c>
    </row>
    <row r="1892" spans="1:3" ht="12.75" x14ac:dyDescent="0.2">
      <c r="A1892" s="1" t="s">
        <v>3341</v>
      </c>
      <c r="B1892" s="1" t="s">
        <v>3342</v>
      </c>
      <c r="C1892" t="str">
        <f ca="1">IFERROR(__xludf.DUMMYFUNCTION("GOOGLETRANSLATE(B1892, ""ja"", ""en"")"),"Point of view operation (vertical)")</f>
        <v>Point of view operation (vertical)</v>
      </c>
    </row>
    <row r="1893" spans="1:3" ht="12.75" x14ac:dyDescent="0.2">
      <c r="A1893" s="1" t="s">
        <v>3343</v>
      </c>
      <c r="B1893" s="1" t="s">
        <v>3344</v>
      </c>
      <c r="C1893" t="str">
        <f ca="1">IFERROR(__xludf.DUMMYFUNCTION("GOOGLETRANSLATE(B1893, ""ja"", ""en"")"),"Point of view operation (horizontal)")</f>
        <v>Point of view operation (horizontal)</v>
      </c>
    </row>
    <row r="1894" spans="1:3" ht="12.75" x14ac:dyDescent="0.2">
      <c r="A1894" s="1" t="s">
        <v>3345</v>
      </c>
      <c r="B1894" s="1" t="s">
        <v>3346</v>
      </c>
      <c r="C1894" t="str">
        <f ca="1">IFERROR(__xludf.DUMMYFUNCTION("GOOGLETRANSLATE(B1894, ""ja"", ""en"")"),"Subjective point of view mode operation (vertical)")</f>
        <v>Subjective point of view mode operation (vertical)</v>
      </c>
    </row>
    <row r="1895" spans="1:3" ht="12.75" x14ac:dyDescent="0.2">
      <c r="A1895" s="1" t="s">
        <v>3347</v>
      </c>
      <c r="B1895" s="1" t="s">
        <v>3348</v>
      </c>
      <c r="C1895" t="str">
        <f ca="1">IFERROR(__xludf.DUMMYFUNCTION("GOOGLETRANSLATE(B1895, ""ja"", ""en"")"),"Subjective point of view mode operation (horizontal)")</f>
        <v>Subjective point of view mode operation (horizontal)</v>
      </c>
    </row>
    <row r="1896" spans="1:3" ht="12.75" x14ac:dyDescent="0.2">
      <c r="A1896" s="1" t="s">
        <v>3349</v>
      </c>
      <c r="B1896" s="1" t="s">
        <v>3350</v>
      </c>
      <c r="C1896" t="str">
        <f ca="1">IFERROR(__xludf.DUMMYFUNCTION("GOOGLETRANSLATE(B1896, ""ja"", ""en"")"),"Mini-map display")</f>
        <v>Mini-map display</v>
      </c>
    </row>
    <row r="1897" spans="1:3" ht="12.75" x14ac:dyDescent="0.2">
      <c r="A1897" s="1" t="s">
        <v>3351</v>
      </c>
      <c r="B1897" s="1" t="s">
        <v>3352</v>
      </c>
      <c r="C1897" t="str">
        <f ca="1">IFERROR(__xludf.DUMMYFUNCTION("GOOGLETRANSLATE(B1897, ""ja"", ""en"")"),"Mini-map display (upward)")</f>
        <v>Mini-map display (upward)</v>
      </c>
    </row>
    <row r="1898" spans="1:3" ht="12.75" x14ac:dyDescent="0.2">
      <c r="A1898" s="1" t="s">
        <v>3353</v>
      </c>
      <c r="B1898" s="1" t="s">
        <v>3354</v>
      </c>
      <c r="C1898" t="str">
        <f ca="1">IFERROR(__xludf.DUMMYFUNCTION("GOOGLETRANSLATE(B1898, ""ja"", ""en"")"),"Subtitle Settings")</f>
        <v>Subtitle Settings</v>
      </c>
    </row>
    <row r="1899" spans="1:3" ht="12.75" x14ac:dyDescent="0.2">
      <c r="A1899" s="1" t="s">
        <v>3355</v>
      </c>
      <c r="B1899" s="1" t="s">
        <v>3356</v>
      </c>
      <c r="C1899" t="str">
        <f ca="1">IFERROR(__xludf.DUMMYFUNCTION("GOOGLETRANSLATE(B1899, ""ja"", ""en"")"),"Term highlighting settings")</f>
        <v>Term highlighting settings</v>
      </c>
    </row>
    <row r="1900" spans="1:3" ht="12.75" x14ac:dyDescent="0.2">
      <c r="A1900" s="1" t="s">
        <v>3357</v>
      </c>
      <c r="B1900" s="1" t="s">
        <v>3358</v>
      </c>
      <c r="C1900" t="str">
        <f ca="1">IFERROR(__xludf.DUMMYFUNCTION("GOOGLETRANSLATE(B1900, ""ja"", ""en"")"),"Synopsis Set")</f>
        <v>Synopsis Set</v>
      </c>
    </row>
    <row r="1901" spans="1:3" ht="12.75" x14ac:dyDescent="0.2">
      <c r="A1901" s="1" t="s">
        <v>3359</v>
      </c>
      <c r="B1901" s="1" t="s">
        <v>3360</v>
      </c>
      <c r="C1901" t="str">
        <f ca="1">IFERROR(__xludf.DUMMYFUNCTION("GOOGLETRANSLATE(B1901, ""ja"", ""en"")"),"In the change display equipped weapon events")</f>
        <v>In the change display equipped weapon events</v>
      </c>
    </row>
    <row r="1902" spans="1:3" ht="12.75" x14ac:dyDescent="0.2">
      <c r="A1902" s="1" t="s">
        <v>3361</v>
      </c>
      <c r="B1902" s="1" t="s">
        <v>3362</v>
      </c>
      <c r="C1902" t="str">
        <f ca="1">IFERROR(__xludf.DUMMYFUNCTION("GOOGLETRANSLATE(B1902, ""ja"", ""en"")"),"Narration voice of Synopsis")</f>
        <v>Narration voice of Synopsis</v>
      </c>
    </row>
    <row r="1903" spans="1:3" ht="12.75" x14ac:dyDescent="0.2">
      <c r="A1903" s="1" t="s">
        <v>3363</v>
      </c>
      <c r="B1903" s="1" t="s">
        <v>3364</v>
      </c>
      <c r="C1903" t="str">
        <f ca="1">IFERROR(__xludf.DUMMYFUNCTION("GOOGLETRANSLATE(B1903, ""ja"", ""en"")"),"Brightness adjustment of the screen")</f>
        <v>Brightness adjustment of the screen</v>
      </c>
    </row>
    <row r="1904" spans="1:3" ht="12.75" x14ac:dyDescent="0.2">
      <c r="A1904" s="1" t="s">
        <v>3365</v>
      </c>
      <c r="B1904" s="1" t="s">
        <v>3366</v>
      </c>
      <c r="C1904" t="str">
        <f ca="1">IFERROR(__xludf.DUMMYFUNCTION("GOOGLETRANSLATE(B1904, ""ja"", ""en"")"),"Gradation adjustment of the screen")</f>
        <v>Gradation adjustment of the screen</v>
      </c>
    </row>
    <row r="1905" spans="1:3" ht="12.75" x14ac:dyDescent="0.2">
      <c r="A1905" s="1" t="s">
        <v>3367</v>
      </c>
      <c r="B1905" s="1" t="s">
        <v>3368</v>
      </c>
      <c r="C1905" t="str">
        <f ca="1">IFERROR(__xludf.DUMMYFUNCTION("GOOGLETRANSLATE(B1905, ""ja"", ""en"")"),"2D display position control")</f>
        <v>2D display position control</v>
      </c>
    </row>
    <row r="1906" spans="1:3" ht="12.75" x14ac:dyDescent="0.2">
      <c r="A1906" s="1" t="s">
        <v>3369</v>
      </c>
      <c r="B1906" s="1" t="s">
        <v>3370</v>
      </c>
      <c r="C1906" t="str">
        <f ca="1">IFERROR(__xludf.DUMMYFUNCTION("GOOGLETRANSLATE(B1906, ""ja"", ""en"")"),"Font settings")</f>
        <v>Font settings</v>
      </c>
    </row>
    <row r="1907" spans="1:3" ht="12.75" x14ac:dyDescent="0.2">
      <c r="A1907" s="1" t="s">
        <v>3371</v>
      </c>
      <c r="B1907" s="1" t="s">
        <v>3372</v>
      </c>
      <c r="C1907" t="str">
        <f ca="1">IFERROR(__xludf.DUMMYFUNCTION("GOOGLETRANSLATE(B1907, ""ja"", ""en"")"),"Live!")</f>
        <v>Live!</v>
      </c>
    </row>
    <row r="1908" spans="1:3" ht="12.75" x14ac:dyDescent="0.2">
      <c r="A1908" s="1" t="s">
        <v>3373</v>
      </c>
      <c r="B1908" s="1" t="s">
        <v>3374</v>
      </c>
      <c r="C1908" t="str">
        <f ca="1">IFERROR(__xludf.DUMMYFUNCTION("GOOGLETRANSLATE(B1908, ""ja"", ""en"")"),"Difficulty settings")</f>
        <v>Difficulty settings</v>
      </c>
    </row>
    <row r="1909" spans="1:3" ht="12.75" x14ac:dyDescent="0.2">
      <c r="A1909" s="1" t="s">
        <v>3375</v>
      </c>
      <c r="B1909" s="1" t="s">
        <v>3376</v>
      </c>
      <c r="C1909" t="str">
        <f ca="1">IFERROR(__xludf.DUMMYFUNCTION("GOOGLETRANSLATE(B1909, ""ja"", ""en"")"),"You can choose to display the amount of Tips. [N] need other than the minimum amount of information that it is ""fewer"" will no longer be displayed. For those of [n] Yakuza series first play it is recommended ""generous"".")</f>
        <v>You can choose to display the amount of Tips. [N] need other than the minimum amount of information that it is "fewer" will no longer be displayed. For those of [n] Yakuza series first play it is recommended "generous".</v>
      </c>
    </row>
    <row r="1910" spans="1:3" ht="12.75" x14ac:dyDescent="0.2">
      <c r="A1910" s="1" t="s">
        <v>3377</v>
      </c>
      <c r="B1910" s="1" t="s">
        <v>3378</v>
      </c>
      <c r="C1910" t="str">
        <f ca="1">IFERROR(__xludf.DUMMYFUNCTION("GOOGLETRANSLATE(B1910, ""ja"", ""en"")"),"It is the vertical direction of the operation setting of the free camera. [N] will move in the direction of tilting the right stick in the ""forward"". [N]")</f>
        <v>It is the vertical direction of the operation setting of the free camera. [N] will move in the direction of tilting the right stick in the "forward". [N]</v>
      </c>
    </row>
    <row r="1911" spans="1:3" ht="12.75" x14ac:dyDescent="0.2">
      <c r="A1911" s="1" t="s">
        <v>3379</v>
      </c>
      <c r="B1911" s="1" t="s">
        <v>3380</v>
      </c>
      <c r="C1911" t="str">
        <f ca="1">IFERROR(__xludf.DUMMYFUNCTION("GOOGLETRANSLATE(B1911, ""ja"", ""en"")"),"It is the horizontal direction of the operation setting of the free camera. [N] will move in the direction of tilting the right stick in the ""forward"". [N]")</f>
        <v>It is the horizontal direction of the operation setting of the free camera. [N] will move in the direction of tilting the right stick in the "forward". [N]</v>
      </c>
    </row>
    <row r="1912" spans="1:3" ht="12.75" x14ac:dyDescent="0.2">
      <c r="A1912" s="1" t="s">
        <v>3381</v>
      </c>
      <c r="B1912" s="1" t="s">
        <v>3382</v>
      </c>
      <c r="C1912" t="str">
        <f ca="1">IFERROR(__xludf.DUMMYFUNCTION("GOOGLETRANSLATE(B1912, ""ja"", ""en"")"),"It is the vertical direction of the operation setting of the subjective mode. [N] will move in the direction of tilting the right stick in the ""forward"". [N]")</f>
        <v>It is the vertical direction of the operation setting of the subjective mode. [N] will move in the direction of tilting the right stick in the "forward". [N]</v>
      </c>
    </row>
    <row r="1913" spans="1:3" ht="12.75" x14ac:dyDescent="0.2">
      <c r="A1913" s="1" t="s">
        <v>3383</v>
      </c>
      <c r="B1913" s="1" t="s">
        <v>3384</v>
      </c>
      <c r="C1913" t="str">
        <f ca="1">IFERROR(__xludf.DUMMYFUNCTION("GOOGLETRANSLATE(B1913, ""ja"", ""en"")"),"It is the horizontal direction of the operation setting of the subjective mode. [N] will move in the direction of tilting the right stick in the ""forward"". [N]")</f>
        <v>It is the horizontal direction of the operation setting of the subjective mode. [N] will move in the direction of tilting the right stick in the "forward". [N]</v>
      </c>
    </row>
    <row r="1914" spans="1:3" ht="12.75" x14ac:dyDescent="0.2">
      <c r="A1914" s="1" t="s">
        <v>3385</v>
      </c>
      <c r="B1914" s="1" t="s">
        <v>3386</v>
      </c>
      <c r="C1914" t="str">
        <f ca="1">IFERROR(__xludf.DUMMYFUNCTION("GOOGLETRANSLATE(B1914, ""ja"", ""en"")"),"Mini map there of / No settings that are displayed on the bottom left of the screen.")</f>
        <v>Mini map there of / No settings that are displayed on the bottom left of the screen.</v>
      </c>
    </row>
    <row r="1915" spans="1:3" ht="12.75" x14ac:dyDescent="0.2">
      <c r="A1915" s="1" t="s">
        <v>3387</v>
      </c>
      <c r="B1915" s="1" t="s">
        <v>3388</v>
      </c>
      <c r="C1915" t="str">
        <f ca="1">IFERROR(__xludf.DUMMYFUNCTION("GOOGLETRANSLATE(B1915, ""ja"", ""en"")"),"It is a set of mini-map to be displayed on the bottom left of the screen. [N] ""fixed"" in the direction is fixed on top of the map, it will follow the camera orientation in the ""front"".")</f>
        <v>It is a set of mini-map to be displayed on the bottom left of the screen. [N] "fixed" in the direction is fixed on top of the map, it will follow the camera orientation in the "front".</v>
      </c>
    </row>
    <row r="1916" spans="1:3" ht="12.75" x14ac:dyDescent="0.2">
      <c r="A1916" s="1" t="s">
        <v>3389</v>
      </c>
      <c r="B1916" s="1" t="s">
        <v>3390</v>
      </c>
      <c r="C1916" t="str">
        <f ca="1">IFERROR(__xludf.DUMMYFUNCTION("GOOGLETRANSLATE(B1916, ""ja"", ""en"")"),"The event scene has subtitles / No setting.")</f>
        <v>The event scene has subtitles / No setting.</v>
      </c>
    </row>
    <row r="1917" spans="1:3" ht="12.75" x14ac:dyDescent="0.2">
      <c r="A1917" s="1" t="s">
        <v>3391</v>
      </c>
      <c r="B1917" s="1" t="s">
        <v>3392</v>
      </c>
      <c r="C1917" t="str">
        <f ca="1">IFERROR(__xludf.DUMMYFUNCTION("GOOGLETRANSLATE(B1917, ""ja"", ""en"")"),"Sets whether to highlight the character pulling subject of the term.")</f>
        <v>Sets whether to highlight the character pulling subject of the term.</v>
      </c>
    </row>
    <row r="1918" spans="1:3" ht="12.75" x14ac:dyDescent="0.2">
      <c r="A1918" s="1" t="s">
        <v>3393</v>
      </c>
      <c r="B1918" s="1" t="s">
        <v>3394</v>
      </c>
      <c r="C1918" t="str">
        <f ca="1">IFERROR(__xludf.DUMMYFUNCTION("GOOGLETRANSLATE(B1918, ""ja"", ""en"")"),"The previous chapter synopsis before going to the next chapter is set to [n] that do not / to play.")</f>
        <v>The previous chapter synopsis before going to the next chapter is set to [n] that do not / to play.</v>
      </c>
    </row>
    <row r="1919" spans="1:3" ht="12.75" x14ac:dyDescent="0.2">
      <c r="A1919" s="1" t="s">
        <v>3395</v>
      </c>
      <c r="B1919" s="1" t="s">
        <v>3396</v>
      </c>
      <c r="C1919" t="str">
        <f ca="1">IFERROR(__xludf.DUMMYFUNCTION("GOOGLETRANSLATE(B1919, ""ja"", ""en"")"),"Equipped with weapons of the hero is the settings that are not either of the [n] to / and displayed as it is in the [n] event scene even if you had a special shape.")</f>
        <v>Equipped with weapons of the hero is the settings that are not either of the [n] to / and displayed as it is in the [n] event scene even if you had a special shape.</v>
      </c>
    </row>
    <row r="1920" spans="1:3" ht="12.75" x14ac:dyDescent="0.2">
      <c r="A1920" s="1" t="s">
        <v>3397</v>
      </c>
      <c r="B1920" s="1" t="s">
        <v>3398</v>
      </c>
      <c r="C1920" t="str">
        <f ca="1">IFERROR(__xludf.DUMMYFUNCTION("GOOGLETRANSLATE(B1920, ""ja"", ""en"")"),"You can change the narration voice of Synopsis.")</f>
        <v>You can change the narration voice of Synopsis.</v>
      </c>
    </row>
    <row r="1921" spans="1:3" ht="12.75" x14ac:dyDescent="0.2">
      <c r="A1921" s="1" t="s">
        <v>3399</v>
      </c>
      <c r="B1921" s="1" t="s">
        <v>3400</v>
      </c>
      <c r="C1921" t="str">
        <f ca="1">IFERROR(__xludf.DUMMYFUNCTION("GOOGLETRANSLATE(B1921, ""ja"", ""en"")"),"By sliding the cursor, you can adjust the brightness of the [n] screen.")</f>
        <v>By sliding the cursor, you can adjust the brightness of the [n] screen.</v>
      </c>
    </row>
    <row r="1922" spans="1:3" ht="12.75" x14ac:dyDescent="0.2">
      <c r="A1922" s="1" t="s">
        <v>3401</v>
      </c>
      <c r="B1922" s="1" t="s">
        <v>3402</v>
      </c>
      <c r="C1922" t="str">
        <f ca="1">IFERROR(__xludf.DUMMYFUNCTION("GOOGLETRANSLATE(B1922, ""ja"", ""en"")"),"By sliding the cursor, you can adjust the tone of the [n] screen.")</f>
        <v>By sliding the cursor, you can adjust the tone of the [n] screen.</v>
      </c>
    </row>
    <row r="1923" spans="1:3" ht="12.75" x14ac:dyDescent="0.2">
      <c r="A1923" s="1" t="s">
        <v>3403</v>
      </c>
      <c r="B1923" s="1" t="s">
        <v>3404</v>
      </c>
      <c r="C1923" t="str">
        <f ca="1">IFERROR(__xludf.DUMMYFUNCTION("GOOGLETRANSLATE(B1923, ""ja"", ""en"")"),"You can change the font to be used during the game. [N] font that is suitable to the video output system in the ""Auto"" will be displayed. [N]")</f>
        <v>You can change the font to be used during the game. [N] font that is suitable to the video output system in the "Auto" will be displayed. [N]</v>
      </c>
    </row>
    <row r="1924" spans="1:3" ht="12.75" x14ac:dyDescent="0.2">
      <c r="A1924" s="1" t="s">
        <v>3405</v>
      </c>
      <c r="B1924" s="1" t="s">
        <v>3406</v>
      </c>
      <c r="C1924" t="str">
        <f ca="1">IFERROR(__xludf.DUMMYFUNCTION("GOOGLETRANSLATE(B1924, ""ja"", ""en"")"),"You can select the degree of difficulty.")</f>
        <v>You can select the degree of difficulty.</v>
      </c>
    </row>
    <row r="1925" spans="1:3" ht="12.75" x14ac:dyDescent="0.2">
      <c r="A1925" s="1" t="s">
        <v>3407</v>
      </c>
      <c r="B1925" s="1" t="s">
        <v>3408</v>
      </c>
      <c r="C1925" t="str">
        <f ca="1">IFERROR(__xludf.DUMMYFUNCTION("GOOGLETRANSLATE(B1925, ""ja"", ""en"")"),"Please determine the interface display position")</f>
        <v>Please determine the interface display position</v>
      </c>
    </row>
    <row r="1926" spans="1:3" ht="12.75" x14ac:dyDescent="0.2">
      <c r="A1926" s="1" t="s">
        <v>3409</v>
      </c>
      <c r="B1926" s="1" t="s">
        <v>3410</v>
      </c>
      <c r="C1926" t="str">
        <f ca="1">IFERROR(__xludf.DUMMYFUNCTION("GOOGLETRANSLATE(B1926, ""ja"", ""en"")"),"order")</f>
        <v>order</v>
      </c>
    </row>
    <row r="1927" spans="1:3" ht="12.75" x14ac:dyDescent="0.2">
      <c r="A1927" s="1" t="s">
        <v>3411</v>
      </c>
      <c r="B1927" s="1" t="s">
        <v>3412</v>
      </c>
      <c r="C1927" t="str">
        <f ca="1">IFERROR(__xludf.DUMMYFUNCTION("GOOGLETRANSLATE(B1927, ""ja"", ""en"")"),"Reverse")</f>
        <v>Reverse</v>
      </c>
    </row>
    <row r="1928" spans="1:3" ht="12.75" x14ac:dyDescent="0.2">
      <c r="A1928" s="1" t="s">
        <v>3413</v>
      </c>
      <c r="B1928" s="1" t="s">
        <v>3414</v>
      </c>
      <c r="C1928" t="str">
        <f ca="1">IFERROR(__xludf.DUMMYFUNCTION("GOOGLETRANSLATE(B1928, ""ja"", ""en"")"),"Fixation")</f>
        <v>Fixation</v>
      </c>
    </row>
    <row r="1929" spans="1:3" ht="12.75" x14ac:dyDescent="0.2">
      <c r="A1929" s="1" t="s">
        <v>3415</v>
      </c>
      <c r="B1929" s="1" t="s">
        <v>3416</v>
      </c>
      <c r="C1929" t="str">
        <f ca="1">IFERROR(__xludf.DUMMYFUNCTION("GOOGLETRANSLATE(B1929, ""ja"", ""en"")"),"front")</f>
        <v>front</v>
      </c>
    </row>
    <row r="1930" spans="1:3" ht="12.75" x14ac:dyDescent="0.2">
      <c r="A1930" s="1" t="s">
        <v>3417</v>
      </c>
      <c r="B1930" s="1" t="s">
        <v>3418</v>
      </c>
      <c r="C1930" t="str">
        <f ca="1">IFERROR(__xludf.DUMMYFUNCTION("GOOGLETRANSLATE(B1930, ""ja"", ""en"")"),"Yes")</f>
        <v>Yes</v>
      </c>
    </row>
    <row r="1931" spans="1:3" ht="12.75" x14ac:dyDescent="0.2">
      <c r="A1931" s="1" t="s">
        <v>3419</v>
      </c>
      <c r="B1931" s="1" t="s">
        <v>3420</v>
      </c>
      <c r="C1931" t="str">
        <f ca="1">IFERROR(__xludf.DUMMYFUNCTION("GOOGLETRANSLATE(B1931, ""ja"", ""en"")"),"Auto")</f>
        <v>Auto</v>
      </c>
    </row>
    <row r="1932" spans="1:3" ht="12.75" x14ac:dyDescent="0.2">
      <c r="A1932" s="1" t="s">
        <v>3421</v>
      </c>
      <c r="B1932" s="1" t="s">
        <v>3422</v>
      </c>
      <c r="C1932" t="str">
        <f ca="1">IFERROR(__xludf.DUMMYFUNCTION("GOOGLETRANSLATE(B1932, ""ja"", ""en"")"),"Mincho")</f>
        <v>Mincho</v>
      </c>
    </row>
    <row r="1933" spans="1:3" ht="12.75" x14ac:dyDescent="0.2">
      <c r="A1933" s="1" t="s">
        <v>3423</v>
      </c>
      <c r="B1933" s="1" t="s">
        <v>3424</v>
      </c>
      <c r="C1933" t="str">
        <f ca="1">IFERROR(__xludf.DUMMYFUNCTION("GOOGLETRANSLATE(B1933, ""ja"", ""en"")"),"Gothic")</f>
        <v>Gothic</v>
      </c>
    </row>
    <row r="1934" spans="1:3" ht="12.75" x14ac:dyDescent="0.2">
      <c r="A1934" s="1" t="s">
        <v>3425</v>
      </c>
      <c r="B1934" s="1" t="s">
        <v>3426</v>
      </c>
      <c r="C1934" t="str">
        <f ca="1">IFERROR(__xludf.DUMMYFUNCTION("GOOGLETRANSLATE(B1934, ""ja"", ""en"")"),"Fewer")</f>
        <v>Fewer</v>
      </c>
    </row>
    <row r="1935" spans="1:3" ht="12.75" x14ac:dyDescent="0.2">
      <c r="A1935" s="1" t="s">
        <v>3427</v>
      </c>
      <c r="B1935" s="1" t="s">
        <v>3428</v>
      </c>
      <c r="C1935" t="str">
        <f ca="1">IFERROR(__xludf.DUMMYFUNCTION("GOOGLETRANSLATE(B1935, ""ja"", ""en"")"),"Generous")</f>
        <v>Generous</v>
      </c>
    </row>
    <row r="1936" spans="1:3" ht="12.75" x14ac:dyDescent="0.2">
      <c r="A1936" s="1" t="s">
        <v>3429</v>
      </c>
      <c r="B1936" s="1" t="s">
        <v>3430</v>
      </c>
      <c r="C1936" t="str">
        <f ca="1">IFERROR(__xludf.DUMMYFUNCTION("GOOGLETRANSLATE(B1936, ""ja"", ""en"")"),"Configuration of the main title")</f>
        <v>Configuration of the main title</v>
      </c>
    </row>
    <row r="1937" spans="1:3" ht="12.75" x14ac:dyDescent="0.2">
      <c r="A1937" s="1" t="s">
        <v>3431</v>
      </c>
      <c r="B1937" s="1" t="s">
        <v>3432</v>
      </c>
      <c r="C1937" t="str">
        <f ca="1">IFERROR(__xludf.DUMMYFUNCTION("GOOGLETRANSLATE(B1937, ""ja"", ""en"")"),"Chuji Matsubara")</f>
        <v>Chuji Matsubara</v>
      </c>
    </row>
    <row r="1938" spans="1:3" ht="12.75" x14ac:dyDescent="0.2">
      <c r="A1938" s="1" t="s">
        <v>3433</v>
      </c>
      <c r="B1938" s="1" t="s">
        <v>3434</v>
      </c>
      <c r="C1938" t="str">
        <f ca="1">IFERROR(__xludf.DUMMYFUNCTION("GOOGLETRANSLATE(B1938, ""ja"", ""en"")"),"Inoue Genzaburō")</f>
        <v>Inoue Genzaburō</v>
      </c>
    </row>
    <row r="1939" spans="1:3" ht="12.75" x14ac:dyDescent="0.2">
      <c r="A1939" s="1" t="s">
        <v>3435</v>
      </c>
      <c r="B1939" s="1" t="s">
        <v>3436</v>
      </c>
      <c r="C1939" t="str">
        <f ca="1">IFERROR(__xludf.DUMMYFUNCTION("GOOGLETRANSLATE(B1939, ""ja"", ""en"")"),"Harada Sanosuke")</f>
        <v>Harada Sanosuke</v>
      </c>
    </row>
    <row r="1940" spans="1:3" ht="12.75" x14ac:dyDescent="0.2">
      <c r="A1940" s="1" t="s">
        <v>3437</v>
      </c>
      <c r="B1940" s="1" t="s">
        <v>3438</v>
      </c>
      <c r="C1940" t="str">
        <f ca="1">IFERROR(__xludf.DUMMYFUNCTION("GOOGLETRANSLATE(B1940, ""ja"", ""en"")"),"Okada Izō")</f>
        <v>Okada Izō</v>
      </c>
    </row>
    <row r="1941" spans="1:3" ht="12.75" x14ac:dyDescent="0.2">
      <c r="A1941" s="1" t="s">
        <v>3439</v>
      </c>
      <c r="B1941" s="1" t="s">
        <v>3440</v>
      </c>
      <c r="C1941" t="str">
        <f ca="1">IFERROR(__xludf.DUMMYFUNCTION("GOOGLETRANSLATE(B1941, ""ja"", ""en"")"),"Shintaro Nakaoka")</f>
        <v>Shintaro Nakaoka</v>
      </c>
    </row>
    <row r="1942" spans="1:3" ht="12.75" x14ac:dyDescent="0.2">
      <c r="A1942" s="1" t="s">
        <v>3441</v>
      </c>
      <c r="B1942" s="1" t="s">
        <v>3442</v>
      </c>
      <c r="C1942" t="str">
        <f ca="1">IFERROR(__xludf.DUMMYFUNCTION("GOOGLETRANSLATE(B1942, ""ja"", ""en"")"),"Contact Tose")</f>
        <v>Contact Tose</v>
      </c>
    </row>
    <row r="1943" spans="1:3" ht="12.75" x14ac:dyDescent="0.2">
      <c r="A1943" s="1" t="s">
        <v>3443</v>
      </c>
      <c r="B1943" s="1" t="s">
        <v>3444</v>
      </c>
      <c r="C1943" t="str">
        <f ca="1">IFERROR(__xludf.DUMMYFUNCTION("GOOGLETRANSLATE(B1943, ""ja"", ""en"")"),"Tadasaburo Sasaki")</f>
        <v>Tadasaburo Sasaki</v>
      </c>
    </row>
    <row r="1944" spans="1:3" ht="12.75" x14ac:dyDescent="0.2">
      <c r="A1944" s="1" t="s">
        <v>3445</v>
      </c>
      <c r="B1944" s="1" t="s">
        <v>3446</v>
      </c>
      <c r="C1944" t="str">
        <f ca="1">IFERROR(__xludf.DUMMYFUNCTION("GOOGLETRANSLATE(B1944, ""ja"", ""en"")"),"Ikumatsu")</f>
        <v>Ikumatsu</v>
      </c>
    </row>
    <row r="1945" spans="1:3" ht="12.75" x14ac:dyDescent="0.2">
      <c r="A1945" s="1" t="s">
        <v>3447</v>
      </c>
      <c r="B1945" s="1" t="s">
        <v>3448</v>
      </c>
      <c r="C1945" t="str">
        <f ca="1">IFERROR(__xludf.DUMMYFUNCTION("GOOGLETRANSLATE(B1945, ""ja"", ""en"")"),"&lt;Sign: D&gt; When you do enter, you will see the detailed description.")</f>
        <v>&lt;Sign: D&gt; When you do enter, you will see the detailed description.</v>
      </c>
    </row>
    <row r="1946" spans="1:3" ht="12.75" x14ac:dyDescent="0.2">
      <c r="A1946" s="1" t="s">
        <v>3449</v>
      </c>
      <c r="B1946" s="1" t="s">
        <v>3450</v>
      </c>
      <c r="C1946" t="str">
        <f ca="1">IFERROR(__xludf.DUMMYFUNCTION("GOOGLETRANSLATE(B1946, ""ja"", ""en"")"),"&lt;Sign: C&gt; performs an input to close the explanation display details. [N] by entering the left and right direction keys and the left stick, you can change the [n] describes the display contents.")</f>
        <v>&lt;Sign: C&gt; performs an input to close the explanation display details. [N] by entering the left and right direction keys and the left stick, you can change the [n] describes the display contents.</v>
      </c>
    </row>
    <row r="1947" spans="1:3" ht="12.75" x14ac:dyDescent="0.2">
      <c r="A1947" s="1" t="s">
        <v>3451</v>
      </c>
      <c r="B1947" s="1" t="s">
        <v>3452</v>
      </c>
      <c r="C1947" t="str">
        <f ca="1">IFERROR(__xludf.DUMMYFUNCTION("GOOGLETRANSLATE(B1947, ""ja"", ""en"")"),"challenge again")</f>
        <v>challenge again</v>
      </c>
    </row>
    <row r="1948" spans="1:3" ht="12.75" x14ac:dyDescent="0.2">
      <c r="A1948" s="1" t="s">
        <v>3453</v>
      </c>
      <c r="B1948" s="1" t="s">
        <v>3454</v>
      </c>
      <c r="C1948" t="str">
        <f ca="1">IFERROR(__xludf.DUMMYFUNCTION("GOOGLETRANSLATE(B1948, ""ja"", ""en"")"),"Try again to load")</f>
        <v>Try again to load</v>
      </c>
    </row>
    <row r="1949" spans="1:3" ht="12.75" x14ac:dyDescent="0.2">
      <c r="A1949" s="1" t="s">
        <v>3455</v>
      </c>
      <c r="B1949" s="1" t="s">
        <v>3456</v>
      </c>
      <c r="C1949" t="str">
        <f ca="1">IFERROR(__xludf.DUMMYFUNCTION("GOOGLETRANSLATE(B1949, ""ja"", ""en"")"),"Try again from the last checkpoint")</f>
        <v>Try again from the last checkpoint</v>
      </c>
    </row>
    <row r="1950" spans="1:3" ht="12.75" x14ac:dyDescent="0.2">
      <c r="A1950" s="1" t="s">
        <v>3457</v>
      </c>
      <c r="B1950" s="1" t="s">
        <v>3458</v>
      </c>
      <c r="C1950" t="str">
        <f ca="1">IFERROR(__xludf.DUMMYFUNCTION("GOOGLETRANSLATE(B1950, ""ja"", ""en"")"),"To end the game")</f>
        <v>To end the game</v>
      </c>
    </row>
    <row r="1951" spans="1:3" ht="12.75" x14ac:dyDescent="0.2">
      <c r="A1951" s="1" t="s">
        <v>3459</v>
      </c>
      <c r="B1951" s="1" t="s">
        <v>3460</v>
      </c>
      <c r="C1951" t="str">
        <f ca="1">IFERROR(__xludf.DUMMYFUNCTION("GOOGLETRANSLATE(B1951, ""ja"", ""en"")"),"Back to the main menu")</f>
        <v>Back to the main menu</v>
      </c>
    </row>
    <row r="1952" spans="1:3" ht="12.75" x14ac:dyDescent="0.2">
      <c r="A1952" s="1" t="s">
        <v>3461</v>
      </c>
      <c r="B1952" s="1" t="s">
        <v>3462</v>
      </c>
      <c r="C1952" t="str">
        <f ca="1">IFERROR(__xludf.DUMMYFUNCTION("GOOGLETRANSLATE(B1952, ""ja"", ""en"")"),"Back to the ultimate competition menu")</f>
        <v>Back to the ultimate competition menu</v>
      </c>
    </row>
    <row r="1953" spans="1:3" ht="12.75" x14ac:dyDescent="0.2">
      <c r="A1953" s="1" t="s">
        <v>3463</v>
      </c>
      <c r="B1953" s="1" t="s">
        <v>252</v>
      </c>
      <c r="C1953" t="str">
        <f ca="1">IFERROR(__xludf.DUMMYFUNCTION("GOOGLETRANSLATE(B1953, ""ja"", ""en"")"),"Le")</f>
        <v>Le</v>
      </c>
    </row>
    <row r="1954" spans="1:3" ht="12.75" x14ac:dyDescent="0.2">
      <c r="A1954" s="1" t="s">
        <v>3464</v>
      </c>
      <c r="B1954" s="1" t="s">
        <v>250</v>
      </c>
      <c r="C1954" t="str">
        <f ca="1">IFERROR(__xludf.DUMMYFUNCTION("GOOGLETRANSLATE(B1954, ""ja"", ""en"")"),"?")</f>
        <v>?</v>
      </c>
    </row>
    <row r="1955" spans="1:3" ht="12.75" x14ac:dyDescent="0.2">
      <c r="A1955" s="1" t="s">
        <v>3465</v>
      </c>
      <c r="B1955" s="1" t="s">
        <v>3466</v>
      </c>
      <c r="C1955" t="str">
        <f ca="1">IFERROR(__xludf.DUMMYFUNCTION("GOOGLETRANSLATE(B1955, ""ja"", ""en"")"),"Art")</f>
        <v>Art</v>
      </c>
    </row>
    <row r="1956" spans="1:3" ht="12.75" x14ac:dyDescent="0.2">
      <c r="A1956" s="1" t="s">
        <v>3467</v>
      </c>
      <c r="B1956" s="1" t="s">
        <v>3466</v>
      </c>
      <c r="C1956" t="str">
        <f ca="1">IFERROR(__xludf.DUMMYFUNCTION("GOOGLETRANSLATE(B1956, ""ja"", ""en"")"),"Art")</f>
        <v>Art</v>
      </c>
    </row>
    <row r="1957" spans="1:3" ht="12.75" x14ac:dyDescent="0.2">
      <c r="A1957" s="1" t="s">
        <v>3468</v>
      </c>
      <c r="B1957" s="1" t="s">
        <v>3466</v>
      </c>
      <c r="C1957" t="str">
        <f ca="1">IFERROR(__xludf.DUMMYFUNCTION("GOOGLETRANSLATE(B1957, ""ja"", ""en"")"),"Art")</f>
        <v>Art</v>
      </c>
    </row>
    <row r="1958" spans="1:3" ht="12.75" x14ac:dyDescent="0.2">
      <c r="A1958" s="1" t="s">
        <v>3469</v>
      </c>
      <c r="B1958" s="1" t="s">
        <v>3470</v>
      </c>
      <c r="C1958" t="str">
        <f ca="1">IFERROR(__xludf.DUMMYFUNCTION("GOOGLETRANSLATE(B1958, ""ja"", ""en"")"),"Registered net shop")</f>
        <v>Registered net shop</v>
      </c>
    </row>
    <row r="1959" spans="1:3" ht="12.75" x14ac:dyDescent="0.2">
      <c r="A1959" s="1" t="s">
        <v>3471</v>
      </c>
      <c r="B1959" s="1" t="s">
        <v>3472</v>
      </c>
      <c r="C1959" t="str">
        <f ca="1">IFERROR(__xludf.DUMMYFUNCTION("GOOGLETRANSLATE(B1959, ""ja"", ""en"")"),"Letter of unopened")</f>
        <v>Letter of unopened</v>
      </c>
    </row>
    <row r="1960" spans="1:3" ht="12.75" x14ac:dyDescent="0.2">
      <c r="A1960" s="1" t="s">
        <v>3473</v>
      </c>
      <c r="B1960" s="1" t="s">
        <v>3474</v>
      </c>
      <c r="C1960" t="str">
        <f ca="1">IFERROR(__xludf.DUMMYFUNCTION("GOOGLETRANSLATE(B1960, ""ja"", ""en"")"),"% D /% d shop")</f>
        <v>% D /% d shop</v>
      </c>
    </row>
    <row r="1961" spans="1:3" ht="12.75" x14ac:dyDescent="0.2">
      <c r="A1961" s="1" t="s">
        <v>3475</v>
      </c>
      <c r="B1961" s="1" t="s">
        <v>3476</v>
      </c>
      <c r="C1961" t="str">
        <f ca="1">IFERROR(__xludf.DUMMYFUNCTION("GOOGLETRANSLATE(B1961, ""ja"", ""en"")"),"% D communication")</f>
        <v>% D communication</v>
      </c>
    </row>
    <row r="1962" spans="1:3" ht="12.75" x14ac:dyDescent="0.2">
      <c r="A1962" s="1" t="s">
        <v>3477</v>
      </c>
      <c r="B1962" s="1" t="s">
        <v>3478</v>
      </c>
      <c r="C1962" t="str">
        <f ca="1">IFERROR(__xludf.DUMMYFUNCTION("GOOGLETRANSLATE(B1962, ""ja"", ""en"")"),"Part")</f>
        <v>Part</v>
      </c>
    </row>
    <row r="1963" spans="1:3" ht="12.75" x14ac:dyDescent="0.2">
      <c r="A1963" s="1" t="s">
        <v>3479</v>
      </c>
      <c r="B1963" s="1" t="s">
        <v>3478</v>
      </c>
      <c r="C1963" t="str">
        <f ca="1">IFERROR(__xludf.DUMMYFUNCTION("GOOGLETRANSLATE(B1963, ""ja"", ""en"")"),"Part")</f>
        <v>Part</v>
      </c>
    </row>
    <row r="1964" spans="1:3" ht="12.75" x14ac:dyDescent="0.2">
      <c r="A1964" s="1" t="s">
        <v>3480</v>
      </c>
      <c r="B1964" s="1" t="s">
        <v>508</v>
      </c>
      <c r="C1964" t="str">
        <f ca="1">IFERROR(__xludf.DUMMYFUNCTION("GOOGLETRANSLATE(B1964, ""ja"", ""en"")"),"d")</f>
        <v>d</v>
      </c>
    </row>
    <row r="1965" spans="1:3" ht="12.75" x14ac:dyDescent="0.2">
      <c r="A1965" s="1" t="s">
        <v>3481</v>
      </c>
      <c r="B1965" s="1" t="s">
        <v>3478</v>
      </c>
      <c r="C1965" t="str">
        <f ca="1">IFERROR(__xludf.DUMMYFUNCTION("GOOGLETRANSLATE(B1965, ""ja"", ""en"")"),"Part")</f>
        <v>Part</v>
      </c>
    </row>
    <row r="1966" spans="1:3" ht="12.75" x14ac:dyDescent="0.2">
      <c r="A1966" s="1" t="s">
        <v>3482</v>
      </c>
      <c r="B1966" s="1" t="s">
        <v>3478</v>
      </c>
      <c r="C1966" t="str">
        <f ca="1">IFERROR(__xludf.DUMMYFUNCTION("GOOGLETRANSLATE(B1966, ""ja"", ""en"")"),"Part")</f>
        <v>Part</v>
      </c>
    </row>
    <row r="1967" spans="1:3" ht="12.75" x14ac:dyDescent="0.2">
      <c r="A1967" s="1" t="s">
        <v>3483</v>
      </c>
      <c r="B1967" s="1" t="s">
        <v>3478</v>
      </c>
      <c r="C1967" t="str">
        <f ca="1">IFERROR(__xludf.DUMMYFUNCTION("GOOGLETRANSLATE(B1967, ""ja"", ""en"")"),"Part")</f>
        <v>Part</v>
      </c>
    </row>
    <row r="1968" spans="1:3" ht="12.75" x14ac:dyDescent="0.2">
      <c r="A1968" s="1" t="s">
        <v>3484</v>
      </c>
      <c r="B1968" s="1" t="s">
        <v>3478</v>
      </c>
      <c r="C1968" t="str">
        <f ca="1">IFERROR(__xludf.DUMMYFUNCTION("GOOGLETRANSLATE(B1968, ""ja"", ""en"")"),"Part")</f>
        <v>Part</v>
      </c>
    </row>
    <row r="1969" spans="1:3" ht="12.75" x14ac:dyDescent="0.2">
      <c r="A1969" s="1" t="s">
        <v>3485</v>
      </c>
      <c r="B1969" s="1" t="s">
        <v>3486</v>
      </c>
      <c r="C1969" t="str">
        <f ca="1">IFERROR(__xludf.DUMMYFUNCTION("GOOGLETRANSLATE(B1969, ""ja"", ""en"")"),"Complete achievement rate")</f>
        <v>Complete achievement rate</v>
      </c>
    </row>
    <row r="1970" spans="1:3" ht="12.75" x14ac:dyDescent="0.2">
      <c r="A1970" s="1" t="s">
        <v>3487</v>
      </c>
      <c r="B1970" s="1" t="s">
        <v>3488</v>
      </c>
      <c r="C1970" t="str">
        <f ca="1">IFERROR(__xludf.DUMMYFUNCTION("GOOGLETRANSLATE(B1970, ""ja"", ""en"")"),"Rumors of the city")</f>
        <v>Rumors of the city</v>
      </c>
    </row>
    <row r="1971" spans="1:3" ht="12.75" x14ac:dyDescent="0.2">
      <c r="A1971" s="1" t="s">
        <v>3489</v>
      </c>
      <c r="B1971" s="1" t="s">
        <v>3490</v>
      </c>
      <c r="C1971" t="str">
        <f ca="1">IFERROR(__xludf.DUMMYFUNCTION("GOOGLETRANSLATE(B1971, ""ja"", ""en"")"),"% D items")</f>
        <v>% D items</v>
      </c>
    </row>
    <row r="1972" spans="1:3" ht="12.75" x14ac:dyDescent="0.2">
      <c r="A1972" s="1" t="s">
        <v>3491</v>
      </c>
      <c r="B1972" s="1" t="s">
        <v>3492</v>
      </c>
      <c r="C1972" t="str">
        <f ca="1">IFERROR(__xludf.DUMMYFUNCTION("GOOGLETRANSLATE(B1972, ""ja"", ""en"")"),"Physical strength")</f>
        <v>Physical strength</v>
      </c>
    </row>
    <row r="1973" spans="1:3" ht="12.75" x14ac:dyDescent="0.2">
      <c r="A1973" s="1" t="s">
        <v>3493</v>
      </c>
      <c r="B1973" s="1" t="s">
        <v>3494</v>
      </c>
      <c r="C1973" t="str">
        <f ca="1">IFERROR(__xludf.DUMMYFUNCTION("GOOGLETRANSLATE(B1973, ""ja"", ""en"")"),"fighting spirit")</f>
        <v>fighting spirit</v>
      </c>
    </row>
    <row r="1974" spans="1:3" ht="12.75" x14ac:dyDescent="0.2">
      <c r="A1974" s="1" t="s">
        <v>3495</v>
      </c>
      <c r="B1974" s="1" t="s">
        <v>3496</v>
      </c>
      <c r="C1974" t="str">
        <f ca="1">IFERROR(__xludf.DUMMYFUNCTION("GOOGLETRANSLATE(B1974, ""ja"", ""en"")"),"Melee force")</f>
        <v>Melee force</v>
      </c>
    </row>
    <row r="1975" spans="1:3" ht="12.75" x14ac:dyDescent="0.2">
      <c r="A1975" s="1" t="s">
        <v>3497</v>
      </c>
      <c r="B1975" s="1" t="s">
        <v>3498</v>
      </c>
      <c r="C1975" t="str">
        <f ca="1">IFERROR(__xludf.DUMMYFUNCTION("GOOGLETRANSLATE(B1975, ""ja"", ""en"")"),"His sword attack force")</f>
        <v>His sword attack force</v>
      </c>
    </row>
    <row r="1976" spans="1:3" ht="12.75" x14ac:dyDescent="0.2">
      <c r="A1976" s="1" t="s">
        <v>3499</v>
      </c>
      <c r="B1976" s="1" t="s">
        <v>3500</v>
      </c>
      <c r="C1976" t="str">
        <f ca="1">IFERROR(__xludf.DUMMYFUNCTION("GOOGLETRANSLATE(B1976, ""ja"", ""en"")"),"Pistol attack force")</f>
        <v>Pistol attack force</v>
      </c>
    </row>
    <row r="1977" spans="1:3" ht="12.75" x14ac:dyDescent="0.2">
      <c r="A1977" s="1" t="s">
        <v>3501</v>
      </c>
      <c r="B1977" s="1" t="s">
        <v>3502</v>
      </c>
      <c r="C1977" t="str">
        <f ca="1">IFERROR(__xludf.DUMMYFUNCTION("GOOGLETRANSLATE(B1977, ""ja"", ""en"")"),"Ranbu attack force")</f>
        <v>Ranbu attack force</v>
      </c>
    </row>
    <row r="1978" spans="1:3" ht="12.75" x14ac:dyDescent="0.2">
      <c r="A1978" s="1" t="s">
        <v>3503</v>
      </c>
      <c r="B1978" s="1" t="s">
        <v>3504</v>
      </c>
      <c r="C1978" t="str">
        <f ca="1">IFERROR(__xludf.DUMMYFUNCTION("GOOGLETRANSLATE(B1978, ""ja"", ""en"")"),"Soul sphere of fighting")</f>
        <v>Soul sphere of fighting</v>
      </c>
    </row>
    <row r="1979" spans="1:3" ht="12.75" x14ac:dyDescent="0.2">
      <c r="A1979" s="1" t="s">
        <v>3505</v>
      </c>
      <c r="B1979" s="1" t="s">
        <v>3506</v>
      </c>
      <c r="C1979" t="str">
        <f ca="1">IFERROR(__xludf.DUMMYFUNCTION("GOOGLETRANSLATE(B1979, ""ja"", ""en"")"),"His sword of soul sphere")</f>
        <v>His sword of soul sphere</v>
      </c>
    </row>
    <row r="1980" spans="1:3" ht="12.75" x14ac:dyDescent="0.2">
      <c r="A1980" s="1" t="s">
        <v>3507</v>
      </c>
      <c r="B1980" s="1" t="s">
        <v>3508</v>
      </c>
      <c r="C1980" t="str">
        <f ca="1">IFERROR(__xludf.DUMMYFUNCTION("GOOGLETRANSLATE(B1980, ""ja"", ""en"")"),"Pistol of soul sphere")</f>
        <v>Pistol of soul sphere</v>
      </c>
    </row>
    <row r="1981" spans="1:3" ht="12.75" x14ac:dyDescent="0.2">
      <c r="A1981" s="1" t="s">
        <v>3509</v>
      </c>
      <c r="B1981" s="1" t="s">
        <v>3510</v>
      </c>
      <c r="C1981" t="str">
        <f ca="1">IFERROR(__xludf.DUMMYFUNCTION("GOOGLETRANSLATE(B1981, ""ja"", ""en"")"),"Wild dance of the soul sphere")</f>
        <v>Wild dance of the soul sphere</v>
      </c>
    </row>
    <row r="1982" spans="1:3" ht="12.75" x14ac:dyDescent="0.2">
      <c r="A1982" s="1" t="s">
        <v>3511</v>
      </c>
      <c r="B1982" s="1" t="s">
        <v>3512</v>
      </c>
      <c r="C1982" t="str">
        <f ca="1">IFERROR(__xludf.DUMMYFUNCTION("GOOGLETRANSLATE(B1982, ""ja"", ""en"")"),"Soul sphere of training")</f>
        <v>Soul sphere of training</v>
      </c>
    </row>
    <row r="1983" spans="1:3" ht="12.75" x14ac:dyDescent="0.2">
      <c r="A1983" s="1" t="s">
        <v>3513</v>
      </c>
      <c r="B1983" s="1" t="s">
        <v>3514</v>
      </c>
      <c r="C1983" t="str">
        <f ca="1">IFERROR(__xludf.DUMMYFUNCTION("GOOGLETRANSLATE(B1983, ""ja"", ""en"")"),"Do you want to% s and the replacement?")</f>
        <v>Do you want to% s and the replacement?</v>
      </c>
    </row>
    <row r="1984" spans="1:3" ht="12.75" x14ac:dyDescent="0.2">
      <c r="A1984" s="1" t="s">
        <v>3515</v>
      </c>
      <c r="B1984" s="1" t="s">
        <v>3516</v>
      </c>
      <c r="C1984" t="str">
        <f ca="1">IFERROR(__xludf.DUMMYFUNCTION("GOOGLETRANSLATE(B1984, ""ja"", ""en"")"),"Ah")</f>
        <v>Ah</v>
      </c>
    </row>
    <row r="1985" spans="1:3" ht="12.75" x14ac:dyDescent="0.2">
      <c r="A1985" s="1" t="s">
        <v>3517</v>
      </c>
      <c r="B1985" s="1" t="s">
        <v>3518</v>
      </c>
      <c r="C1985" t="str">
        <f ca="1">IFERROR(__xludf.DUMMYFUNCTION("GOOGLETRANSLATE(B1985, ""ja"", ""en"")"),"")</f>
        <v/>
      </c>
    </row>
    <row r="1986" spans="1:3" ht="12.75" x14ac:dyDescent="0.2">
      <c r="A1986" s="1" t="s">
        <v>3519</v>
      </c>
      <c r="B1986" s="1" t="s">
        <v>1133</v>
      </c>
      <c r="C1986" t="str">
        <f ca="1">IFERROR(__xludf.DUMMYFUNCTION("GOOGLETRANSLATE(B1986, ""ja"", ""en"")"),"It was")</f>
        <v>It was</v>
      </c>
    </row>
    <row r="1987" spans="1:3" ht="12.75" x14ac:dyDescent="0.2">
      <c r="A1987" s="1" t="s">
        <v>3520</v>
      </c>
      <c r="B1987" s="1" t="s">
        <v>3521</v>
      </c>
      <c r="C1987" t="str">
        <f ca="1">IFERROR(__xludf.DUMMYFUNCTION("GOOGLETRANSLATE(B1987, ""ja"", ""en"")"),"Or")</f>
        <v>Or</v>
      </c>
    </row>
    <row r="1988" spans="1:3" ht="12.75" x14ac:dyDescent="0.2">
      <c r="A1988" s="1" t="s">
        <v>3522</v>
      </c>
      <c r="B1988" s="1" t="s">
        <v>2359</v>
      </c>
      <c r="C1988" t="str">
        <f ca="1">IFERROR(__xludf.DUMMYFUNCTION("GOOGLETRANSLATE(B1988, ""ja"", ""en"")"),"Et al.")</f>
        <v>Et al.</v>
      </c>
    </row>
    <row r="1989" spans="1:3" ht="12.75" x14ac:dyDescent="0.2">
      <c r="A1989" s="1" t="s">
        <v>3523</v>
      </c>
      <c r="B1989" s="1" t="s">
        <v>2223</v>
      </c>
      <c r="C1989" t="str">
        <f ca="1">IFERROR(__xludf.DUMMYFUNCTION("GOOGLETRANSLATE(B1989, ""ja"", ""en"")"),"")</f>
        <v/>
      </c>
    </row>
    <row r="1990" spans="1:3" ht="12.75" x14ac:dyDescent="0.2">
      <c r="A1990" s="1" t="s">
        <v>3524</v>
      </c>
      <c r="B1990" s="1" t="s">
        <v>3525</v>
      </c>
      <c r="C1990" t="str">
        <f ca="1">IFERROR(__xludf.DUMMYFUNCTION("GOOGLETRANSLATE(B1990, ""ja"", ""en"")"),"The number of achievement items")</f>
        <v>The number of achievement items</v>
      </c>
    </row>
    <row r="1991" spans="1:3" ht="12.75" x14ac:dyDescent="0.2">
      <c r="A1991" s="1" t="s">
        <v>3526</v>
      </c>
      <c r="B1991" s="1" t="s">
        <v>3527</v>
      </c>
      <c r="C1991" t="str">
        <f ca="1">IFERROR(__xludf.DUMMYFUNCTION("GOOGLETRANSLATE(B1991, ""ja"", ""en"")"),"Achieved")</f>
        <v>Achieved</v>
      </c>
    </row>
    <row r="1992" spans="1:3" ht="12.75" x14ac:dyDescent="0.2">
      <c r="A1992" s="1" t="s">
        <v>3528</v>
      </c>
      <c r="B1992" s="1" t="s">
        <v>3529</v>
      </c>
      <c r="C1992" t="str">
        <f ca="1">IFERROR(__xludf.DUMMYFUNCTION("GOOGLETRANSLATE(B1992, ""ja"", ""en"")"),"People commentary")</f>
        <v>People commentary</v>
      </c>
    </row>
    <row r="1993" spans="1:3" ht="12.75" x14ac:dyDescent="0.2">
      <c r="A1993" s="1" t="s">
        <v>3530</v>
      </c>
      <c r="B1993" s="1" t="s">
        <v>3531</v>
      </c>
      <c r="C1993" t="str">
        <f ca="1">IFERROR(__xludf.DUMMYFUNCTION("GOOGLETRANSLATE(B1993, ""ja"", ""en"")"),"Glossary")</f>
        <v>Glossary</v>
      </c>
    </row>
    <row r="1994" spans="1:3" ht="12.75" x14ac:dyDescent="0.2">
      <c r="A1994" s="1" t="s">
        <v>3532</v>
      </c>
      <c r="B1994" s="1" t="s">
        <v>3533</v>
      </c>
      <c r="C1994" t="str">
        <f ca="1">IFERROR(__xludf.DUMMYFUNCTION("GOOGLETRANSLATE(B1994, ""ja"", ""en"")"),"Cave of Noto")</f>
        <v>Cave of Noto</v>
      </c>
    </row>
    <row r="1995" spans="1:3" ht="12.75" x14ac:dyDescent="0.2">
      <c r="A1995" s="1" t="s">
        <v>3534</v>
      </c>
      <c r="B1995" s="1" t="s">
        <v>3535</v>
      </c>
      <c r="C1995" t="str">
        <f ca="1">IFERROR(__xludf.DUMMYFUNCTION("GOOGLETRANSLATE(B1995, ""ja"", ""en"")"),"Abandonment of the gentleman thief")</f>
        <v>Abandonment of the gentleman thief</v>
      </c>
    </row>
    <row r="1996" spans="1:3" ht="12.75" x14ac:dyDescent="0.2">
      <c r="A1996" s="1" t="s">
        <v>3536</v>
      </c>
      <c r="B1996" s="1" t="s">
        <v>3537</v>
      </c>
      <c r="C1996" t="str">
        <f ca="1">IFERROR(__xludf.DUMMYFUNCTION("GOOGLETRANSLATE(B1996, ""ja"", ""en"")"),"Toyotomi house remnants")</f>
        <v>Toyotomi house remnants</v>
      </c>
    </row>
    <row r="1997" spans="1:3" ht="12.75" x14ac:dyDescent="0.2">
      <c r="A1997" s="1" t="s">
        <v>3538</v>
      </c>
      <c r="B1997" s="1" t="s">
        <v>3539</v>
      </c>
      <c r="C1997" t="str">
        <f ca="1">IFERROR(__xludf.DUMMYFUNCTION("GOOGLETRANSLATE(B1997, ""ja"", ""en"")"),"Agriculture")</f>
        <v>Agriculture</v>
      </c>
    </row>
    <row r="1998" spans="1:3" ht="12.75" x14ac:dyDescent="0.2">
      <c r="A1998" s="1" t="s">
        <v>3540</v>
      </c>
      <c r="B1998" s="1" t="s">
        <v>3541</v>
      </c>
      <c r="C1998" t="str">
        <f ca="1">IFERROR(__xludf.DUMMYFUNCTION("GOOGLETRANSLATE(B1998, ""ja"", ""en"")"),"cuisine")</f>
        <v>cuisine</v>
      </c>
    </row>
    <row r="1999" spans="1:3" ht="12.75" x14ac:dyDescent="0.2">
      <c r="A1999" s="1" t="s">
        <v>3542</v>
      </c>
      <c r="B1999" s="1" t="s">
        <v>3543</v>
      </c>
      <c r="C1999" t="str">
        <f ca="1">IFERROR(__xludf.DUMMYFUNCTION("GOOGLETRANSLATE(B1999, ""ja"", ""en"")"),"Peddling")</f>
        <v>Peddling</v>
      </c>
    </row>
    <row r="2000" spans="1:3" ht="12.75" x14ac:dyDescent="0.2">
      <c r="A2000" s="1" t="s">
        <v>3544</v>
      </c>
      <c r="B2000" s="1" t="s">
        <v>3545</v>
      </c>
      <c r="C2000" t="str">
        <f ca="1">IFERROR(__xludf.DUMMYFUNCTION("GOOGLETRANSLATE(B2000, ""ja"", ""en"")"),"Pet")</f>
        <v>Pet</v>
      </c>
    </row>
    <row r="2001" spans="1:3" ht="12.75" x14ac:dyDescent="0.2">
      <c r="A2001" s="1" t="s">
        <v>3546</v>
      </c>
      <c r="B2001" s="1" t="s">
        <v>3547</v>
      </c>
      <c r="C2001" t="str">
        <f ca="1">IFERROR(__xludf.DUMMYFUNCTION("GOOGLETRANSLATE(B2001, ""ja"", ""en"")"),"Exchanges with Haruka")</f>
        <v>Exchanges with Haruka</v>
      </c>
    </row>
    <row r="2002" spans="1:3" ht="12.75" x14ac:dyDescent="0.2">
      <c r="A2002" s="1" t="s">
        <v>3548</v>
      </c>
      <c r="B2002" s="1" t="s">
        <v>3549</v>
      </c>
      <c r="C2002" t="str">
        <f ca="1">IFERROR(__xludf.DUMMYFUNCTION("GOOGLETRANSLATE(B2002, ""ja"", ""en"")"),"Total transaction amount")</f>
        <v>Total transaction amount</v>
      </c>
    </row>
    <row r="2003" spans="1:3" ht="12.75" x14ac:dyDescent="0.2">
      <c r="A2003" s="1" t="s">
        <v>3550</v>
      </c>
      <c r="B2003" s="1" t="s">
        <v>3551</v>
      </c>
      <c r="C2003" t="str">
        <f ca="1">IFERROR(__xludf.DUMMYFUNCTION("GOOGLETRANSLATE(B2003, ""ja"", ""en"")"),"Play time")</f>
        <v>Play time</v>
      </c>
    </row>
    <row r="2004" spans="1:3" ht="12.75" x14ac:dyDescent="0.2">
      <c r="A2004" s="1" t="s">
        <v>3552</v>
      </c>
      <c r="B2004" s="1" t="s">
        <v>3553</v>
      </c>
      <c r="C2004" t="str">
        <f ca="1">IFERROR(__xludf.DUMMYFUNCTION("GOOGLETRANSLATE(B2004, ""ja"", ""en"")"),"Training possible vegetables number")</f>
        <v>Training possible vegetables number</v>
      </c>
    </row>
    <row r="2005" spans="1:3" ht="12.75" x14ac:dyDescent="0.2">
      <c r="A2005" s="1" t="s">
        <v>3554</v>
      </c>
      <c r="B2005" s="1" t="s">
        <v>3555</v>
      </c>
      <c r="C2005" t="str">
        <f ca="1">IFERROR(__xludf.DUMMYFUNCTION("GOOGLETRANSLATE(B2005, ""ja"", ""en"")"),"The type of fish caught was")</f>
        <v>The type of fish caught was</v>
      </c>
    </row>
    <row r="2006" spans="1:3" ht="12.75" x14ac:dyDescent="0.2">
      <c r="A2006" s="1" t="s">
        <v>3556</v>
      </c>
      <c r="B2006" s="1" t="s">
        <v>3557</v>
      </c>
      <c r="C2006" t="str">
        <f ca="1">IFERROR(__xludf.DUMMYFUNCTION("GOOGLETRANSLATE(B2006, ""ja"", ""en"")"),"The number of recipes that could be cooking")</f>
        <v>The number of recipes that could be cooking</v>
      </c>
    </row>
    <row r="2007" spans="1:3" ht="12.75" x14ac:dyDescent="0.2">
      <c r="A2007" s="1" t="s">
        <v>3558</v>
      </c>
      <c r="B2007" s="1" t="s">
        <v>3559</v>
      </c>
      <c r="C2007" t="str">
        <f ca="1">IFERROR(__xludf.DUMMYFUNCTION("GOOGLETRANSLATE(B2007, ""ja"", ""en"")"),"Closing the transaction number")</f>
        <v>Closing the transaction number</v>
      </c>
    </row>
    <row r="2008" spans="1:3" ht="12.75" x14ac:dyDescent="0.2">
      <c r="A2008" s="1" t="s">
        <v>3560</v>
      </c>
      <c r="B2008" s="1" t="s">
        <v>3561</v>
      </c>
      <c r="C2008" t="str">
        <f ca="1">IFERROR(__xludf.DUMMYFUNCTION("GOOGLETRANSLATE(B2008, ""ja"", ""en"")"),"Road")</f>
        <v>Road</v>
      </c>
    </row>
    <row r="2009" spans="1:3" ht="12.75" x14ac:dyDescent="0.2">
      <c r="A2009" s="1" t="s">
        <v>3562</v>
      </c>
      <c r="B2009" s="1" t="s">
        <v>3563</v>
      </c>
      <c r="C2009" t="str">
        <f ca="1">IFERROR(__xludf.DUMMYFUNCTION("GOOGLETRANSLATE(B2009, ""ja"", ""en"")"),"Setting")</f>
        <v>Setting</v>
      </c>
    </row>
    <row r="2010" spans="1:3" ht="12.75" x14ac:dyDescent="0.2">
      <c r="A2010" s="1" t="s">
        <v>3564</v>
      </c>
      <c r="B2010" s="1" t="s">
        <v>3565</v>
      </c>
      <c r="C2010" t="str">
        <f ca="1">IFERROR(__xludf.DUMMYFUNCTION("GOOGLETRANSLATE(B2010, ""ja"", ""en"")"),"Back to title")</f>
        <v>Back to title</v>
      </c>
    </row>
    <row r="2011" spans="1:3" ht="12.75" x14ac:dyDescent="0.2">
      <c r="A2011" s="1" t="s">
        <v>3566</v>
      </c>
      <c r="B2011" s="1" t="s">
        <v>3567</v>
      </c>
      <c r="C2011" t="str">
        <f ca="1">IFERROR(__xludf.DUMMYFUNCTION("GOOGLETRANSLATE(B2011, ""ja"", ""en"")"),"Initial equipment")</f>
        <v>Initial equipment</v>
      </c>
    </row>
    <row r="2012" spans="1:3" ht="12.75" x14ac:dyDescent="0.2">
      <c r="A2012" s="1" t="s">
        <v>3568</v>
      </c>
      <c r="B2012" s="1" t="s">
        <v>3569</v>
      </c>
      <c r="C2012" t="str">
        <f ca="1">IFERROR(__xludf.DUMMYFUNCTION("GOOGLETRANSLATE(B2012, ""ja"", ""en"")"),"Gorgeous")</f>
        <v>Gorgeous</v>
      </c>
    </row>
    <row r="2013" spans="1:3" ht="12.75" x14ac:dyDescent="0.2">
      <c r="A2013" s="1" t="s">
        <v>3570</v>
      </c>
      <c r="B2013" s="1" t="s">
        <v>3571</v>
      </c>
      <c r="C2013" t="str">
        <f ca="1">IFERROR(__xludf.DUMMYFUNCTION("GOOGLETRANSLATE(B2013, ""ja"", ""en"")"),"Ultra-luxurious")</f>
        <v>Ultra-luxurious</v>
      </c>
    </row>
    <row r="2014" spans="1:3" ht="12.75" x14ac:dyDescent="0.2">
      <c r="A2014" s="1" t="s">
        <v>3572</v>
      </c>
      <c r="B2014" s="1" t="s">
        <v>3573</v>
      </c>
      <c r="C2014" t="str">
        <f ca="1">IFERROR(__xludf.DUMMYFUNCTION("GOOGLETRANSLATE(B2014, ""ja"", ""en"")"),"inconvenience")</f>
        <v>inconvenience</v>
      </c>
    </row>
    <row r="2015" spans="1:3" ht="12.75" x14ac:dyDescent="0.2">
      <c r="A2015" s="1" t="s">
        <v>3574</v>
      </c>
      <c r="B2015" s="1" t="s">
        <v>3575</v>
      </c>
      <c r="C2015" t="str">
        <f ca="1">IFERROR(__xludf.DUMMYFUNCTION("GOOGLETRANSLATE(B2015, ""ja"", ""en"")"),"Favorite dish")</f>
        <v>Favorite dish</v>
      </c>
    </row>
    <row r="2016" spans="1:3" ht="12.75" x14ac:dyDescent="0.2">
      <c r="A2016" s="1" t="s">
        <v>3576</v>
      </c>
      <c r="B2016" s="1" t="s">
        <v>3577</v>
      </c>
      <c r="C2016" t="str">
        <f ca="1">IFERROR(__xludf.DUMMYFUNCTION("GOOGLETRANSLATE(B2016, ""ja"", ""en"")"),"Omnipotent")</f>
        <v>Omnipotent</v>
      </c>
    </row>
    <row r="2017" spans="1:3" ht="12.75" x14ac:dyDescent="0.2">
      <c r="A2017" s="1" t="s">
        <v>3578</v>
      </c>
      <c r="B2017" s="1" t="s">
        <v>3579</v>
      </c>
      <c r="C2017" t="str">
        <f ca="1">IFERROR(__xludf.DUMMYFUNCTION("GOOGLETRANSLATE(B2017, ""ja"", ""en"")"),"Corporal ability")</f>
        <v>Corporal ability</v>
      </c>
    </row>
    <row r="2018" spans="1:3" ht="12.75" x14ac:dyDescent="0.2">
      <c r="A2018" s="1" t="s">
        <v>3580</v>
      </c>
      <c r="B2018" s="1" t="s">
        <v>3581</v>
      </c>
      <c r="C2018" t="str">
        <f ca="1">IFERROR(__xludf.DUMMYFUNCTION("GOOGLETRANSLATE(B2018, ""ja"", ""en"")"),"Corps worker ability")</f>
        <v>Corps worker ability</v>
      </c>
    </row>
    <row r="2019" spans="1:3" ht="12.75" x14ac:dyDescent="0.2">
      <c r="A2019" s="1" t="s">
        <v>3582</v>
      </c>
      <c r="B2019" s="1" t="s">
        <v>3583</v>
      </c>
      <c r="C2019" t="str">
        <f ca="1">IFERROR(__xludf.DUMMYFUNCTION("GOOGLETRANSLATE(B2019, ""ja"", ""en"")"),"Back to the military station")</f>
        <v>Back to the military station</v>
      </c>
    </row>
    <row r="2020" spans="1:3" ht="12.75" x14ac:dyDescent="0.2">
      <c r="A2020" s="1" t="s">
        <v>3584</v>
      </c>
      <c r="B2020" s="1" t="s">
        <v>3585</v>
      </c>
      <c r="C2020" t="str">
        <f ca="1">IFERROR(__xludf.DUMMYFUNCTION("GOOGLETRANSLATE(B2020, ""ja"", ""en"")"),"Necessary material information")</f>
        <v>Necessary material information</v>
      </c>
    </row>
    <row r="2021" spans="1:3" ht="12.75" x14ac:dyDescent="0.2">
      <c r="A2021" s="1" t="s">
        <v>3586</v>
      </c>
      <c r="B2021" s="1" t="s">
        <v>3587</v>
      </c>
      <c r="C2021" t="str">
        <f ca="1">IFERROR(__xludf.DUMMYFUNCTION("GOOGLETRANSLATE(B2021, ""ja"", ""en"")"),"Required number")</f>
        <v>Required number</v>
      </c>
    </row>
    <row r="2022" spans="1:3" ht="12.75" x14ac:dyDescent="0.2">
      <c r="A2022" s="1" t="s">
        <v>3588</v>
      </c>
      <c r="B2022" s="1" t="s">
        <v>3589</v>
      </c>
      <c r="C2022" t="str">
        <f ca="1">IFERROR(__xludf.DUMMYFUNCTION("GOOGLETRANSLATE(B2022, ""ja"", ""en"")"),"The number of possession")</f>
        <v>The number of possession</v>
      </c>
    </row>
    <row r="2023" spans="1:3" ht="12.75" x14ac:dyDescent="0.2">
      <c r="A2023" s="1" t="s">
        <v>3590</v>
      </c>
      <c r="B2023" s="1" t="s">
        <v>3591</v>
      </c>
      <c r="C2023" t="str">
        <f ca="1">IFERROR(__xludf.DUMMYFUNCTION("GOOGLETRANSLATE(B2023, ""ja"", ""en"")"),"Training material")</f>
        <v>Training material</v>
      </c>
    </row>
    <row r="2024" spans="1:3" ht="12.75" x14ac:dyDescent="0.2">
      <c r="A2024" s="1" t="s">
        <v>3592</v>
      </c>
      <c r="B2024" s="1" t="s">
        <v>3593</v>
      </c>
      <c r="C2024" t="str">
        <f ca="1">IFERROR(__xludf.DUMMYFUNCTION("GOOGLETRANSLATE(B2024, ""ja"", ""en"")"),"Upgraded material")</f>
        <v>Upgraded material</v>
      </c>
    </row>
    <row r="2025" spans="1:3" ht="12.75" x14ac:dyDescent="0.2">
      <c r="A2025" s="1" t="s">
        <v>3594</v>
      </c>
      <c r="B2025" s="1" t="s">
        <v>3595</v>
      </c>
      <c r="C2025" t="str">
        <f ca="1">IFERROR(__xludf.DUMMYFUNCTION("GOOGLETRANSLATE(B2025, ""ja"", ""en"")"),"You can create armor and materials")</f>
        <v>You can create armor and materials</v>
      </c>
    </row>
    <row r="2026" spans="1:3" ht="12.75" x14ac:dyDescent="0.2">
      <c r="A2026" s="1" t="s">
        <v>3596</v>
      </c>
      <c r="B2026" s="1" t="s">
        <v>3597</v>
      </c>
      <c r="C2026" t="str">
        <f ca="1">IFERROR(__xludf.DUMMYFUNCTION("GOOGLETRANSLATE(B2026, ""ja"", ""en"")"),"Total transaction amount is achieved in 100 cars or more.")</f>
        <v>Total transaction amount is achieved in 100 cars or more.</v>
      </c>
    </row>
    <row r="2027" spans="1:3" ht="12.75" x14ac:dyDescent="0.2">
      <c r="A2027" s="1" t="s">
        <v>3598</v>
      </c>
      <c r="B2027" s="1" t="s">
        <v>3599</v>
      </c>
      <c r="C2027" t="str">
        <f ca="1">IFERROR(__xludf.DUMMYFUNCTION("GOOGLETRANSLATE(B2027, ""ja"", ""en"")"),"Seal of ""% s"" has been solved.")</f>
        <v>Seal of "% s" has been solved.</v>
      </c>
    </row>
    <row r="2028" spans="1:3" ht="12.75" x14ac:dyDescent="0.2">
      <c r="A2028" s="1" t="s">
        <v>3600</v>
      </c>
      <c r="B2028" s="1" t="s">
        <v>3601</v>
      </c>
      <c r="C2028" t="str">
        <f ca="1">IFERROR(__xludf.DUMMYFUNCTION("GOOGLETRANSLATE(B2028, ""ja"", ""en"")"),"And kept all of the pet, is accomplished and I'll take care.")</f>
        <v>And kept all of the pet, is accomplished and I'll take care.</v>
      </c>
    </row>
    <row r="2029" spans="1:3" ht="12.75" x14ac:dyDescent="0.2">
      <c r="A2029" s="1" t="s">
        <v>3602</v>
      </c>
      <c r="B2029" s="1" t="s">
        <v>3603</v>
      </c>
      <c r="C2029" t="str">
        <f ca="1">IFERROR(__xludf.DUMMYFUNCTION("GOOGLETRANSLATE(B2029, ""ja"", ""en"")"),"It is achieved if caught all kinds of fish.")</f>
        <v>It is achieved if caught all kinds of fish.</v>
      </c>
    </row>
    <row r="2030" spans="1:3" ht="12.75" x14ac:dyDescent="0.2">
      <c r="A2030" s="1" t="s">
        <v>3604</v>
      </c>
      <c r="B2030" s="1" t="s">
        <v>3605</v>
      </c>
      <c r="C2030" t="str">
        <f ca="1">IFERROR(__xludf.DUMMYFUNCTION("GOOGLETRANSLATE(B2030, ""ja"", ""en"")"),"Special")</f>
        <v>Special</v>
      </c>
    </row>
    <row r="2031" spans="1:3" ht="12.75" x14ac:dyDescent="0.2">
      <c r="A2031" s="1" t="s">
        <v>3606</v>
      </c>
      <c r="B2031" s="1" t="s">
        <v>3607</v>
      </c>
      <c r="C2031" t="str">
        <f ca="1">IFERROR(__xludf.DUMMYFUNCTION("GOOGLETRANSLATE(B2031, ""ja"", ""en"")"),"Armor")</f>
        <v>Armor</v>
      </c>
    </row>
    <row r="2032" spans="1:3" ht="12.75" x14ac:dyDescent="0.2">
      <c r="A2032" s="1" t="s">
        <v>3608</v>
      </c>
      <c r="B2032" s="1" t="s">
        <v>3609</v>
      </c>
      <c r="C2032" t="str">
        <f ca="1">IFERROR(__xludf.DUMMYFUNCTION("GOOGLETRANSLATE(B2032, ""ja"", ""en"")"),"&lt;Sign: 1&gt; display switching &lt;Sign: D&gt; decision &lt;Sign: C&gt; Back")</f>
        <v>&lt;Sign: 1&gt; display switching &lt;Sign: D&gt; decision &lt;Sign: C&gt; Back</v>
      </c>
    </row>
    <row r="2033" spans="1:3" ht="12.75" x14ac:dyDescent="0.2">
      <c r="A2033" s="1" t="s">
        <v>3610</v>
      </c>
      <c r="B2033" s="1" t="s">
        <v>3611</v>
      </c>
      <c r="C2033" t="str">
        <f ca="1">IFERROR(__xludf.DUMMYFUNCTION("GOOGLETRANSLATE(B2033, ""ja"", ""en"")"),"ATK% d")</f>
        <v>ATK% d</v>
      </c>
    </row>
    <row r="2034" spans="1:3" ht="12.75" x14ac:dyDescent="0.2">
      <c r="A2034" s="1" t="s">
        <v>3612</v>
      </c>
      <c r="B2034" s="1" t="s">
        <v>3613</v>
      </c>
      <c r="C2034" t="str">
        <f ca="1">IFERROR(__xludf.DUMMYFUNCTION("GOOGLETRANSLATE(B2034, ""ja"", ""en"")"),"Defense force% d")</f>
        <v>Defense force% d</v>
      </c>
    </row>
    <row r="2035" spans="1:3" ht="12.75" x14ac:dyDescent="0.2">
      <c r="A2035" s="1" t="s">
        <v>3614</v>
      </c>
      <c r="B2035" s="1" t="s">
        <v>3615</v>
      </c>
      <c r="C2035" t="str">
        <f ca="1">IFERROR(__xludf.DUMMYFUNCTION("GOOGLETRANSLATE(B2035, ""ja"", ""en"")"),"free")</f>
        <v>free</v>
      </c>
    </row>
    <row r="2036" spans="1:3" ht="12.75" x14ac:dyDescent="0.2">
      <c r="A2036" s="1" t="s">
        <v>3616</v>
      </c>
      <c r="B2036" s="1" t="s">
        <v>3617</v>
      </c>
      <c r="C2036" t="str">
        <f ca="1">IFERROR(__xludf.DUMMYFUNCTION("GOOGLETRANSLATE(B2036, ""ja"", ""en"")"),"&lt;Sign: D&gt;% s")</f>
        <v>&lt;Sign: D&gt;% s</v>
      </c>
    </row>
    <row r="2037" spans="1:3" ht="12.75" x14ac:dyDescent="0.2">
      <c r="A2037" s="1" t="s">
        <v>3618</v>
      </c>
      <c r="B2037" s="1" t="s">
        <v>3619</v>
      </c>
      <c r="C2037" t="str">
        <f ca="1">IFERROR(__xludf.DUMMYFUNCTION("GOOGLETRANSLATE(B2037, ""ja"", ""en"")"),"&lt;Sign: C&gt; line-of-sight reset")</f>
        <v>&lt;Sign: C&gt; line-of-sight reset</v>
      </c>
    </row>
    <row r="2038" spans="1:3" ht="12.75" x14ac:dyDescent="0.2">
      <c r="A2038" s="1" t="s">
        <v>3620</v>
      </c>
      <c r="B2038" s="1" t="s">
        <v>3621</v>
      </c>
      <c r="C2038" t="str">
        <f ca="1">IFERROR(__xludf.DUMMYFUNCTION("GOOGLETRANSLATE(B2038, ""ja"", ""en"")"),"&lt;Sign: 29&gt; eye movement")</f>
        <v>&lt;Sign: 29&gt; eye movement</v>
      </c>
    </row>
    <row r="2039" spans="1:3" ht="12.75" x14ac:dyDescent="0.2">
      <c r="A2039" s="1" t="s">
        <v>3622</v>
      </c>
      <c r="B2039" s="1" t="s">
        <v>3623</v>
      </c>
      <c r="C2039" t="str">
        <f ca="1">IFERROR(__xludf.DUMMYFUNCTION("GOOGLETRANSLATE(B2039, ""ja"", ""en"")"),"The destination is also full. Are you sure you want to throw away?")</f>
        <v>The destination is also full. Are you sure you want to throw away?</v>
      </c>
    </row>
    <row r="2040" spans="1:3" ht="12.75" x14ac:dyDescent="0.2">
      <c r="A2040" s="1" t="s">
        <v>3624</v>
      </c>
      <c r="B2040" s="1" t="s">
        <v>3625</v>
      </c>
      <c r="C2040" t="str">
        <f ca="1">IFERROR(__xludf.DUMMYFUNCTION("GOOGLETRANSLATE(B2040, ""ja"", ""en"")"),"% Threw away the s")</f>
        <v>% Threw away the s</v>
      </c>
    </row>
    <row r="2041" spans="1:3" ht="12.75" x14ac:dyDescent="0.2">
      <c r="A2041" s="1" t="s">
        <v>3626</v>
      </c>
      <c r="B2041" s="1" t="s">
        <v>3627</v>
      </c>
      <c r="C2041" t="str">
        <f ca="1">IFERROR(__xludf.DUMMYFUNCTION("GOOGLETRANSLATE(B2041, ""ja"", ""en"")"),"(Do not have what seems to be given ...)")</f>
        <v>(Do not have what seems to be given ...)</v>
      </c>
    </row>
    <row r="2042" spans="1:3" ht="12.75" x14ac:dyDescent="0.2">
      <c r="A2042" s="1" t="s">
        <v>3628</v>
      </c>
      <c r="B2042" s="1" t="s">
        <v>3629</v>
      </c>
      <c r="C2042" t="str">
        <f ca="1">IFERROR(__xludf.DUMMYFUNCTION("GOOGLETRANSLATE(B2042, ""ja"", ""en"")"),"(Or try to do even those that something fine arrive ...)")</f>
        <v>(Or try to do even those that something fine arrive ...)</v>
      </c>
    </row>
    <row r="2043" spans="1:3" ht="12.75" x14ac:dyDescent="0.2">
      <c r="A2043" s="1" t="s">
        <v>3630</v>
      </c>
      <c r="B2043" s="1" t="s">
        <v>3631</v>
      </c>
      <c r="C2043" t="str">
        <f ca="1">IFERROR(__xludf.DUMMYFUNCTION("GOOGLETRANSLATE(B2043, ""ja"", ""en"")"),"Can you really give?")</f>
        <v>Can you really give?</v>
      </c>
    </row>
    <row r="2044" spans="1:3" ht="12.75" x14ac:dyDescent="0.2">
      <c r="A2044" s="1" t="s">
        <v>3632</v>
      </c>
      <c r="B2044" s="1" t="s">
        <v>3633</v>
      </c>
      <c r="C2044" t="str">
        <f ca="1">IFERROR(__xludf.DUMMYFUNCTION("GOOGLETRANSLATE(B2044, ""ja"", ""en"")"),"(Eat Do not have what is likely ...)")</f>
        <v>(Eat Do not have what is likely ...)</v>
      </c>
    </row>
    <row r="2045" spans="1:3" ht="12.75" x14ac:dyDescent="0.2">
      <c r="A2045" s="1" t="s">
        <v>3634</v>
      </c>
      <c r="B2045" s="1" t="s">
        <v>3635</v>
      </c>
      <c r="C2045" t="str">
        <f ca="1">IFERROR(__xludf.DUMMYFUNCTION("GOOGLETRANSLATE(B2045, ""ja"", ""en"")"),"(... What do you Kuo)")</f>
        <v>(... What do you Kuo)</v>
      </c>
    </row>
    <row r="2046" spans="1:3" ht="12.75" x14ac:dyDescent="0.2">
      <c r="A2046" s="1" t="s">
        <v>3636</v>
      </c>
      <c r="B2046" s="1" t="s">
        <v>3637</v>
      </c>
      <c r="C2046" t="str">
        <f ca="1">IFERROR(__xludf.DUMMYFUNCTION("GOOGLETRANSLATE(B2046, ""ja"", ""en"")"),"Can you really eat?")</f>
        <v>Can you really eat?</v>
      </c>
    </row>
    <row r="2047" spans="1:3" ht="12.75" x14ac:dyDescent="0.2">
      <c r="A2047" s="1" t="s">
        <v>3638</v>
      </c>
      <c r="B2047" s="1" t="s">
        <v>3639</v>
      </c>
      <c r="C2047" t="str">
        <f ca="1">IFERROR(__xludf.DUMMYFUNCTION("GOOGLETRANSLATE(B2047, ""ja"", ""en"")"),"Capacity use")</f>
        <v>Capacity use</v>
      </c>
    </row>
    <row r="2048" spans="1:3" ht="12.75" x14ac:dyDescent="0.2">
      <c r="A2048" s="1" t="s">
        <v>3640</v>
      </c>
      <c r="B2048" s="1" t="s">
        <v>3641</v>
      </c>
      <c r="C2048" t="str">
        <f ca="1">IFERROR(__xludf.DUMMYFUNCTION("GOOGLETRANSLATE(B2048, ""ja"", ""en"")"),"Make the organization of the troops.")</f>
        <v>Make the organization of the troops.</v>
      </c>
    </row>
    <row r="2049" spans="1:3" ht="12.75" x14ac:dyDescent="0.2">
      <c r="A2049" s="1" t="s">
        <v>3642</v>
      </c>
      <c r="B2049" s="1" t="s">
        <v>3643</v>
      </c>
      <c r="C2049" t="str">
        <f ca="1">IFERROR(__xludf.DUMMYFUNCTION("GOOGLETRANSLATE(B2049, ""ja"", ""en"")"),"And troops led troops.")</f>
        <v>And troops led troops.</v>
      </c>
    </row>
    <row r="2050" spans="1:3" ht="12.75" x14ac:dyDescent="0.2">
      <c r="A2050" s="1" t="s">
        <v>3644</v>
      </c>
      <c r="B2050" s="1" t="s">
        <v>3645</v>
      </c>
      <c r="C2050" t="str">
        <f ca="1">IFERROR(__xludf.DUMMYFUNCTION("GOOGLETRANSLATE(B2050, ""ja"", ""en"")"),"Recruit with money.")</f>
        <v>Recruit with money.</v>
      </c>
    </row>
    <row r="2051" spans="1:3" ht="12.75" x14ac:dyDescent="0.2">
      <c r="A2051" s="1" t="s">
        <v>3646</v>
      </c>
      <c r="B2051" s="1" t="s">
        <v>3647</v>
      </c>
      <c r="C2051" t="str">
        <f ca="1">IFERROR(__xludf.DUMMYFUNCTION("GOOGLETRANSLATE(B2051, ""ja"", ""en"")"),"And the change of belongings.")</f>
        <v>And the change of belongings.</v>
      </c>
    </row>
    <row r="2052" spans="1:3" ht="12.75" x14ac:dyDescent="0.2">
      <c r="A2052" s="1" t="s">
        <v>3648</v>
      </c>
      <c r="B2052" s="1" t="s">
        <v>3649</v>
      </c>
      <c r="C2052" t="str">
        <f ca="1">IFERROR(__xludf.DUMMYFUNCTION("GOOGLETRANSLATE(B2052, ""ja"", ""en"")"),"You can see how to play description.")</f>
        <v>You can see how to play description.</v>
      </c>
    </row>
    <row r="2053" spans="1:3" ht="12.75" x14ac:dyDescent="0.2">
      <c r="A2053" s="1" t="s">
        <v>3650</v>
      </c>
      <c r="B2053" s="1" t="s">
        <v>3651</v>
      </c>
      <c r="C2053" t="str">
        <f ca="1">IFERROR(__xludf.DUMMYFUNCTION("GOOGLETRANSLATE(B2053, ""ja"", ""en"")"),"Exit the battle dungeon.")</f>
        <v>Exit the battle dungeon.</v>
      </c>
    </row>
    <row r="2054" spans="1:3" ht="12.75" x14ac:dyDescent="0.2">
      <c r="A2054" s="1" t="s">
        <v>3652</v>
      </c>
      <c r="B2054" s="1" t="s">
        <v>3653</v>
      </c>
      <c r="C2054" t="str">
        <f ca="1">IFERROR(__xludf.DUMMYFUNCTION("GOOGLETRANSLATE(B2054, ""ja"", ""en"")"),"Replacement")</f>
        <v>Replacement</v>
      </c>
    </row>
    <row r="2055" spans="1:3" ht="12.75" x14ac:dyDescent="0.2">
      <c r="A2055" s="1" t="s">
        <v>3654</v>
      </c>
      <c r="B2055" s="1" t="s">
        <v>3655</v>
      </c>
      <c r="C2055" t="str">
        <f ca="1">IFERROR(__xludf.DUMMYFUNCTION("GOOGLETRANSLATE(B2055, ""ja"", ""en"")"),"Reinforced synthetic")</f>
        <v>Reinforced synthetic</v>
      </c>
    </row>
    <row r="2056" spans="1:3" ht="12.75" x14ac:dyDescent="0.2">
      <c r="A2056" s="1" t="s">
        <v>3656</v>
      </c>
      <c r="B2056" s="1" t="s">
        <v>3657</v>
      </c>
      <c r="C2056" t="str">
        <f ca="1">IFERROR(__xludf.DUMMYFUNCTION("GOOGLETRANSLATE(B2056, ""ja"", ""en"")"),"Reincarnation")</f>
        <v>Reincarnation</v>
      </c>
    </row>
    <row r="2057" spans="1:3" ht="12.75" x14ac:dyDescent="0.2">
      <c r="A2057" s="1" t="s">
        <v>3658</v>
      </c>
      <c r="B2057" s="1" t="s">
        <v>3659</v>
      </c>
      <c r="C2057" t="str">
        <f ca="1">IFERROR(__xludf.DUMMYFUNCTION("GOOGLETRANSLATE(B2057, ""ja"", ""en"")"),"Remove from troops")</f>
        <v>Remove from troops</v>
      </c>
    </row>
    <row r="2058" spans="1:3" ht="12.75" x14ac:dyDescent="0.2">
      <c r="A2058" s="1" t="s">
        <v>3660</v>
      </c>
      <c r="B2058" s="1" t="s">
        <v>3661</v>
      </c>
      <c r="C2058" t="str">
        <f ca="1">IFERROR(__xludf.DUMMYFUNCTION("GOOGLETRANSLATE(B2058, ""ja"", ""en"")"),"Expelling")</f>
        <v>Expelling</v>
      </c>
    </row>
    <row r="2059" spans="1:3" ht="12.75" x14ac:dyDescent="0.2">
      <c r="A2059" s="1" t="s">
        <v>3662</v>
      </c>
      <c r="B2059" s="1" t="s">
        <v>3663</v>
      </c>
      <c r="C2059" t="str">
        <f ca="1">IFERROR(__xludf.DUMMYFUNCTION("GOOGLETRANSLATE(B2059, ""ja"", ""en"")"),"10 cars")</f>
        <v>10 cars</v>
      </c>
    </row>
    <row r="2060" spans="1:3" ht="12.75" x14ac:dyDescent="0.2">
      <c r="A2060" s="1" t="s">
        <v>3664</v>
      </c>
      <c r="B2060" s="1" t="s">
        <v>3665</v>
      </c>
      <c r="C2060" t="str">
        <f ca="1">IFERROR(__xludf.DUMMYFUNCTION("GOOGLETRANSLATE(B2060, ""ja"", ""en"")"),"5 cars")</f>
        <v>5 cars</v>
      </c>
    </row>
    <row r="2061" spans="1:3" ht="12.75" x14ac:dyDescent="0.2">
      <c r="A2061" s="1" t="s">
        <v>3666</v>
      </c>
      <c r="B2061" s="1" t="s">
        <v>3667</v>
      </c>
      <c r="C2061" t="str">
        <f ca="1">IFERROR(__xludf.DUMMYFUNCTION("GOOGLETRANSLATE(B2061, ""ja"", ""en"")"),"1 Both")</f>
        <v>1 Both</v>
      </c>
    </row>
    <row r="2062" spans="1:3" ht="12.75" x14ac:dyDescent="0.2">
      <c r="A2062" s="1" t="s">
        <v>3668</v>
      </c>
      <c r="B2062" s="1" t="s">
        <v>3669</v>
      </c>
      <c r="C2062" t="str">
        <f ca="1">IFERROR(__xludf.DUMMYFUNCTION("GOOGLETRANSLATE(B2062, ""ja"", ""en"")"),"5000 statement")</f>
        <v>5000 statement</v>
      </c>
    </row>
    <row r="2063" spans="1:3" ht="12.75" x14ac:dyDescent="0.2">
      <c r="A2063" s="1" t="s">
        <v>3670</v>
      </c>
      <c r="B2063" s="1" t="s">
        <v>3671</v>
      </c>
      <c r="C2063" t="str">
        <f ca="1">IFERROR(__xludf.DUMMYFUNCTION("GOOGLETRANSLATE(B2063, ""ja"", ""en"")"),"% S used by you recruit.")</f>
        <v>% S used by you recruit.</v>
      </c>
    </row>
    <row r="2064" spans="1:3" ht="12.75" x14ac:dyDescent="0.2">
      <c r="A2064" s="1" t="s">
        <v>3672</v>
      </c>
      <c r="B2064" s="1" t="s">
        <v>3673</v>
      </c>
      <c r="C2064" t="str">
        <f ca="1">IFERROR(__xludf.DUMMYFUNCTION("GOOGLETRANSLATE(B2064, ""ja"", ""en"")"),"It can not be held any more corps officer.")</f>
        <v>It can not be held any more corps officer.</v>
      </c>
    </row>
    <row r="2065" spans="1:3" ht="12.75" x14ac:dyDescent="0.2">
      <c r="A2065" s="1" t="s">
        <v>3674</v>
      </c>
      <c r="B2065" s="1" t="s">
        <v>3675</v>
      </c>
      <c r="C2065" t="str">
        <f ca="1">IFERROR(__xludf.DUMMYFUNCTION("GOOGLETRANSLATE(B2065, ""ja"", ""en"")"),"Please select troops.")</f>
        <v>Please select troops.</v>
      </c>
    </row>
    <row r="2066" spans="1:3" ht="12.75" x14ac:dyDescent="0.2">
      <c r="A2066" s="1" t="s">
        <v>3676</v>
      </c>
      <c r="B2066" s="1" t="s">
        <v>3677</v>
      </c>
      <c r="C2066" t="str">
        <f ca="1">IFERROR(__xludf.DUMMYFUNCTION("GOOGLETRANSLATE(B2066, ""ja"", ""en"")"),"Please select a corps officer.")</f>
        <v>Please select a corps officer.</v>
      </c>
    </row>
    <row r="2067" spans="1:3" ht="12.75" x14ac:dyDescent="0.2">
      <c r="A2067" s="1" t="s">
        <v>3678</v>
      </c>
      <c r="B2067" s="1" t="s">
        <v>3679</v>
      </c>
      <c r="C2067" t="str">
        <f ca="1">IFERROR(__xludf.DUMMYFUNCTION("GOOGLETRANSLATE(B2067, ""ja"", ""en"")"),"Please select a replacement want Corps officer.")</f>
        <v>Please select a replacement want Corps officer.</v>
      </c>
    </row>
    <row r="2068" spans="1:3" ht="12.75" x14ac:dyDescent="0.2">
      <c r="A2068" s="1" t="s">
        <v>3680</v>
      </c>
      <c r="B2068" s="1" t="s">
        <v>3681</v>
      </c>
      <c r="C2068" t="str">
        <f ca="1">IFERROR(__xludf.DUMMYFUNCTION("GOOGLETRANSLATE(B2068, ""ja"", ""en"")"),"Swaps the corps officer.")</f>
        <v>Swaps the corps officer.</v>
      </c>
    </row>
    <row r="2069" spans="1:3" ht="12.75" x14ac:dyDescent="0.2">
      <c r="A2069" s="1" t="s">
        <v>3682</v>
      </c>
      <c r="B2069" s="1" t="s">
        <v>3683</v>
      </c>
      <c r="C2069" t="str">
        <f ca="1">IFERROR(__xludf.DUMMYFUNCTION("GOOGLETRANSLATE(B2069, ""ja"", ""en"")"),"Do the strengthening of the corps officer.")</f>
        <v>Do the strengthening of the corps officer.</v>
      </c>
    </row>
    <row r="2070" spans="1:3" ht="12.75" x14ac:dyDescent="0.2">
      <c r="A2070" s="1" t="s">
        <v>3684</v>
      </c>
      <c r="B2070" s="1" t="s">
        <v>3685</v>
      </c>
      <c r="C2070" t="str">
        <f ca="1">IFERROR(__xludf.DUMMYFUNCTION("GOOGLETRANSLATE(B2070, ""ja"", ""en"")"),"Listening to the needs of the Corps workers, and to the further evolution.")</f>
        <v>Listening to the needs of the Corps workers, and to the further evolution.</v>
      </c>
    </row>
    <row r="2071" spans="1:3" ht="12.75" x14ac:dyDescent="0.2">
      <c r="A2071" s="1" t="s">
        <v>3686</v>
      </c>
      <c r="B2071" s="1" t="s">
        <v>3687</v>
      </c>
      <c r="C2071" t="str">
        <f ca="1">IFERROR(__xludf.DUMMYFUNCTION("GOOGLETRANSLATE(B2071, ""ja"", ""en"")"),"Remove from the troops.")</f>
        <v>Remove from the troops.</v>
      </c>
    </row>
    <row r="2072" spans="1:3" ht="12.75" x14ac:dyDescent="0.2">
      <c r="A2072" s="1" t="s">
        <v>3688</v>
      </c>
      <c r="B2072" s="1" t="s">
        <v>3689</v>
      </c>
      <c r="C2072" t="str">
        <f ca="1">IFERROR(__xludf.DUMMYFUNCTION("GOOGLETRANSLATE(B2072, ""ja"", ""en"")"),"Close the menu.")</f>
        <v>Close the menu.</v>
      </c>
    </row>
    <row r="2073" spans="1:3" ht="12.75" x14ac:dyDescent="0.2">
      <c r="A2073" s="1" t="s">
        <v>3690</v>
      </c>
      <c r="B2073" s="1" t="s">
        <v>3691</v>
      </c>
      <c r="C2073" t="str">
        <f ca="1">IFERROR(__xludf.DUMMYFUNCTION("GOOGLETRANSLATE(B2073, ""ja"", ""en"")"),"And expelled the corps officer.")</f>
        <v>And expelled the corps officer.</v>
      </c>
    </row>
    <row r="2074" spans="1:3" ht="12.75" x14ac:dyDescent="0.2">
      <c r="A2074" s="1" t="s">
        <v>3692</v>
      </c>
      <c r="B2074" s="1" t="s">
        <v>3693</v>
      </c>
      <c r="C2074" t="str">
        <f ca="1">IFERROR(__xludf.DUMMYFUNCTION("GOOGLETRANSLATE(B2074, ""ja"", ""en"")"),"Do you add this corps officer in the third Corps?")</f>
        <v>Do you add this corps officer in the third Corps?</v>
      </c>
    </row>
    <row r="2075" spans="1:3" ht="12.75" x14ac:dyDescent="0.2">
      <c r="A2075" s="1" t="s">
        <v>3694</v>
      </c>
      <c r="B2075" s="1" t="s">
        <v>3695</v>
      </c>
      <c r="C2075" t="str">
        <f ca="1">IFERROR(__xludf.DUMMYFUNCTION("GOOGLETRANSLATE(B2075, ""ja"", ""en"")"),"On a mission failure that overlaps every time, it seems to be frustrated to the captain.")</f>
        <v>On a mission failure that overlaps every time, it seems to be frustrated to the captain.</v>
      </c>
    </row>
    <row r="2076" spans="1:3" ht="12.75" x14ac:dyDescent="0.2">
      <c r="A2076" s="1" t="s">
        <v>3696</v>
      </c>
      <c r="B2076" s="1" t="s">
        <v>3697</v>
      </c>
      <c r="C2076" t="str">
        <f ca="1">IFERROR(__xludf.DUMMYFUNCTION("GOOGLETRANSLATE(B2076, ""ja"", ""en"")"),"There is a place where a little lacking in loyalty, seems dissatisfied with the ability of the captain.")</f>
        <v>There is a place where a little lacking in loyalty, seems dissatisfied with the ability of the captain.</v>
      </c>
    </row>
    <row r="2077" spans="1:3" ht="12.75" x14ac:dyDescent="0.2">
      <c r="A2077" s="1" t="s">
        <v>3698</v>
      </c>
      <c r="B2077" s="1" t="s">
        <v>3699</v>
      </c>
      <c r="C2077" t="str">
        <f ca="1">IFERROR(__xludf.DUMMYFUNCTION("GOOGLETRANSLATE(B2077, ""ja"", ""en"")"),"Prospectively have a loyalty to tackle the mission, it seems to be working hard.")</f>
        <v>Prospectively have a loyalty to tackle the mission, it seems to be working hard.</v>
      </c>
    </row>
    <row r="2078" spans="1:3" ht="12.75" x14ac:dyDescent="0.2">
      <c r="A2078" s="1" t="s">
        <v>3700</v>
      </c>
      <c r="B2078" s="1" t="s">
        <v>3701</v>
      </c>
      <c r="C2078" t="str">
        <f ca="1">IFERROR(__xludf.DUMMYFUNCTION("GOOGLETRANSLATE(B2078, ""ja"", ""en"")"),"Full of loyalty, it seems to be looking forward to the next mission.")</f>
        <v>Full of loyalty, it seems to be looking forward to the next mission.</v>
      </c>
    </row>
    <row r="2079" spans="1:3" ht="12.75" x14ac:dyDescent="0.2">
      <c r="A2079" s="1" t="s">
        <v>3702</v>
      </c>
      <c r="B2079" s="1" t="s">
        <v>3703</v>
      </c>
      <c r="C2079" t="str">
        <f ca="1">IFERROR(__xludf.DUMMYFUNCTION("GOOGLETRANSLATE(B2079, ""ja"", ""en"")"),"Full of loyalty to the captain, it seems to look forward to the next mission.")</f>
        <v>Full of loyalty to the captain, it seems to look forward to the next mission.</v>
      </c>
    </row>
    <row r="2080" spans="1:3" ht="12.75" x14ac:dyDescent="0.2">
      <c r="A2080" s="1" t="s">
        <v>3704</v>
      </c>
      <c r="B2080" s="1" t="s">
        <v>3705</v>
      </c>
      <c r="C2080" t="str">
        <f ca="1">IFERROR(__xludf.DUMMYFUNCTION("GOOGLETRANSLATE(B2080, ""ja"", ""en"")"),"Please select the troops destination.")</f>
        <v>Please select the troops destination.</v>
      </c>
    </row>
    <row r="2081" spans="1:3" ht="12.75" x14ac:dyDescent="0.2">
      <c r="A2081" s="1" t="s">
        <v>3706</v>
      </c>
      <c r="B2081" s="1" t="s">
        <v>3707</v>
      </c>
      <c r="C2081" t="str">
        <f ca="1">IFERROR(__xludf.DUMMYFUNCTION("GOOGLETRANSLATE(B2081, ""ja"", ""en"")"),"Please select a mission.")</f>
        <v>Please select a mission.</v>
      </c>
    </row>
    <row r="2082" spans="1:3" ht="12.75" x14ac:dyDescent="0.2">
      <c r="A2082" s="1" t="s">
        <v>3708</v>
      </c>
      <c r="B2082" s="1" t="s">
        <v>3709</v>
      </c>
      <c r="C2082" t="str">
        <f ca="1">IFERROR(__xludf.DUMMYFUNCTION("GOOGLETRANSLATE(B2082, ""ja"", ""en"")"),"View List")</f>
        <v>View List</v>
      </c>
    </row>
    <row r="2083" spans="1:3" ht="12.75" x14ac:dyDescent="0.2">
      <c r="A2083" s="1" t="s">
        <v>3710</v>
      </c>
      <c r="B2083" s="1" t="s">
        <v>3711</v>
      </c>
      <c r="C2083" t="str">
        <f ca="1">IFERROR(__xludf.DUMMYFUNCTION("GOOGLETRANSLATE(B2083, ""ja"", ""en"")"),"View troops destination information")</f>
        <v>View troops destination information</v>
      </c>
    </row>
    <row r="2084" spans="1:3" ht="12.75" x14ac:dyDescent="0.2">
      <c r="A2084" s="1" t="s">
        <v>3712</v>
      </c>
      <c r="B2084" s="1" t="s">
        <v>3713</v>
      </c>
      <c r="C2084" t="str">
        <f ca="1">IFERROR(__xludf.DUMMYFUNCTION("GOOGLETRANSLATE(B2084, ""ja"", ""en"")"),"Start-reinforced synthetic")</f>
        <v>Start-reinforced synthetic</v>
      </c>
    </row>
    <row r="2085" spans="1:3" ht="12.75" x14ac:dyDescent="0.2">
      <c r="A2085" s="1" t="s">
        <v>3714</v>
      </c>
      <c r="B2085" s="1" t="s">
        <v>3715</v>
      </c>
      <c r="C2085" t="str">
        <f ca="1">IFERROR(__xludf.DUMMYFUNCTION("GOOGLETRANSLATE(B2085, ""ja"", ""en"")"),"Do you want to start a reinforced synthetic?")</f>
        <v>Do you want to start a reinforced synthetic?</v>
      </c>
    </row>
    <row r="2086" spans="1:3" ht="12.75" x14ac:dyDescent="0.2">
      <c r="A2086" s="1" t="s">
        <v>3716</v>
      </c>
      <c r="B2086" s="1" t="s">
        <v>3717</v>
      </c>
      <c r="C2086" t="str">
        <f ca="1">IFERROR(__xludf.DUMMYFUNCTION("GOOGLETRANSLATE(B2086, ""ja"", ""en"")"),"After &lt;Color: 5&gt;% d people &lt;Color: Default&gt; can be selected.")</f>
        <v>After &lt;Color: 5&gt;% d people &lt;Color: Default&gt; can be selected.</v>
      </c>
    </row>
    <row r="2087" spans="1:3" ht="12.75" x14ac:dyDescent="0.2">
      <c r="A2087" s="1" t="s">
        <v>3718</v>
      </c>
      <c r="B2087" s="1" t="s">
        <v>3719</v>
      </c>
      <c r="C2087" t="str">
        <f ca="1">IFERROR(__xludf.DUMMYFUNCTION("GOOGLETRANSLATE(B2087, ""ja"", ""en"")"),"Corps Officer List")</f>
        <v>Corps Officer List</v>
      </c>
    </row>
    <row r="2088" spans="1:3" ht="12.75" x14ac:dyDescent="0.2">
      <c r="A2088" s="1" t="s">
        <v>3720</v>
      </c>
      <c r="B2088" s="1" t="s">
        <v>3721</v>
      </c>
      <c r="C2088" t="str">
        <f ca="1">IFERROR(__xludf.DUMMYFUNCTION("GOOGLETRANSLATE(B2088, ""ja"", ""en"")"),"Please select the desired Corps officer to look at the details.")</f>
        <v>Please select the desired Corps officer to look at the details.</v>
      </c>
    </row>
    <row r="2089" spans="1:3" ht="12.75" x14ac:dyDescent="0.2">
      <c r="A2089" s="1" t="s">
        <v>3722</v>
      </c>
      <c r="B2089" s="1" t="s">
        <v>247</v>
      </c>
      <c r="C2089" t="str">
        <f ca="1">IFERROR(__xludf.DUMMYFUNCTION("GOOGLETRANSLATE(B2089, ""ja"", ""en"")"),".")</f>
        <v>.</v>
      </c>
    </row>
    <row r="2090" spans="1:3" ht="12.75" x14ac:dyDescent="0.2">
      <c r="A2090" s="1" t="s">
        <v>3723</v>
      </c>
      <c r="B2090" s="1" t="s">
        <v>3724</v>
      </c>
      <c r="C2090" t="str">
        <f ca="1">IFERROR(__xludf.DUMMYFUNCTION("GOOGLETRANSLATE(B2090, ""ja"", ""en"")"),"Can not be held any more corps officer, did not accept the [n] enlisted seekers")</f>
        <v>Can not be held any more corps officer, did not accept the [n] enlisted seekers</v>
      </c>
    </row>
    <row r="2091" spans="1:3" ht="12.75" x14ac:dyDescent="0.2">
      <c r="A2091" s="1" t="s">
        <v>3725</v>
      </c>
      <c r="B2091" s="1" t="s">
        <v>3726</v>
      </c>
      <c r="C2091" t="str">
        <f ca="1">IFERROR(__xludf.DUMMYFUNCTION("GOOGLETRANSLATE(B2091, ""ja"", ""en"")"),"? ? ?")</f>
        <v>? ? ?</v>
      </c>
    </row>
    <row r="2092" spans="1:3" ht="12.75" x14ac:dyDescent="0.2">
      <c r="A2092" s="1" t="s">
        <v>3727</v>
      </c>
      <c r="B2092" s="1" t="s">
        <v>3728</v>
      </c>
      <c r="C2092" t="str">
        <f ca="1">IFERROR(__xludf.DUMMYFUNCTION("GOOGLETRANSLATE(B2092, ""ja"", ""en"")"),"To end the veterans report")</f>
        <v>To end the veterans report</v>
      </c>
    </row>
    <row r="2093" spans="1:3" ht="12.75" x14ac:dyDescent="0.2">
      <c r="A2093" s="1" t="s">
        <v>3729</v>
      </c>
      <c r="B2093" s="1" t="s">
        <v>3730</v>
      </c>
      <c r="C2093" t="str">
        <f ca="1">IFERROR(__xludf.DUMMYFUNCTION("GOOGLETRANSLATE(B2093, ""ja"", ""en"")"),"Add physical strength")</f>
        <v>Add physical strength</v>
      </c>
    </row>
    <row r="2094" spans="1:3" ht="12.75" x14ac:dyDescent="0.2">
      <c r="A2094" s="1" t="s">
        <v>3731</v>
      </c>
      <c r="B2094" s="1" t="s">
        <v>3732</v>
      </c>
      <c r="C2094" t="str">
        <f ca="1">IFERROR(__xludf.DUMMYFUNCTION("GOOGLETRANSLATE(B2094, ""ja"", ""en"")"),"Loyalty has increased% s.")</f>
        <v>Loyalty has increased% s.</v>
      </c>
    </row>
    <row r="2095" spans="1:3" ht="12.75" x14ac:dyDescent="0.2">
      <c r="A2095" s="1" t="s">
        <v>3733</v>
      </c>
      <c r="B2095" s="1" t="s">
        <v>3734</v>
      </c>
      <c r="C2095" t="str">
        <f ca="1">IFERROR(__xludf.DUMMYFUNCTION("GOOGLETRANSLATE(B2095, ""ja"", ""en"")"),"Loyalty has been reduced% s.")</f>
        <v>Loyalty has been reduced% s.</v>
      </c>
    </row>
    <row r="2096" spans="1:3" ht="12.75" x14ac:dyDescent="0.2">
      <c r="A2096" s="1" t="s">
        <v>3735</v>
      </c>
      <c r="B2096" s="1" t="s">
        <v>3736</v>
      </c>
      <c r="C2096" t="str">
        <f ca="1">IFERROR(__xludf.DUMMYFUNCTION("GOOGLETRANSLATE(B2096, ""ja"", ""en"")"),"It was the experience value% s to get.")</f>
        <v>It was the experience value% s to get.</v>
      </c>
    </row>
    <row r="2097" spans="1:3" ht="12.75" x14ac:dyDescent="0.2">
      <c r="A2097" s="1" t="s">
        <v>3737</v>
      </c>
      <c r="B2097" s="1" t="s">
        <v>3738</v>
      </c>
      <c r="C2097" t="str">
        <f ca="1">IFERROR(__xludf.DUMMYFUNCTION("GOOGLETRANSLATE(B2097, ""ja"", ""en"")"),"Physical strength has been increased to% s from% s.")</f>
        <v>Physical strength has been increased to% s from% s.</v>
      </c>
    </row>
    <row r="2098" spans="1:3" ht="12.75" x14ac:dyDescent="0.2">
      <c r="A2098" s="1" t="s">
        <v>3739</v>
      </c>
      <c r="B2098" s="1" t="s">
        <v>3740</v>
      </c>
      <c r="C2098" t="str">
        <f ca="1">IFERROR(__xludf.DUMMYFUNCTION("GOOGLETRANSLATE(B2098, ""ja"", ""en"")"),"Has been increased to from the filling speed is% s% s.")</f>
        <v>Has been increased to from the filling speed is% s% s.</v>
      </c>
    </row>
    <row r="2099" spans="1:3" ht="12.75" x14ac:dyDescent="0.2">
      <c r="A2099" s="1" t="s">
        <v>3741</v>
      </c>
      <c r="B2099" s="1" t="s">
        <v>3742</v>
      </c>
      <c r="C2099" t="str">
        <f ca="1">IFERROR(__xludf.DUMMYFUNCTION("GOOGLETRANSLATE(B2099, ""ja"", ""en"")"),"Ability proficiency went up% s.")</f>
        <v>Ability proficiency went up% s.</v>
      </c>
    </row>
    <row r="2100" spans="1:3" ht="12.75" x14ac:dyDescent="0.2">
      <c r="A2100" s="1" t="s">
        <v>3743</v>
      </c>
      <c r="B2100" s="1" t="s">
        <v>3744</v>
      </c>
      <c r="C2100" t="str">
        <f ca="1">IFERROR(__xludf.DUMMYFUNCTION("GOOGLETRANSLATE(B2100, ""ja"", ""en"")"),"In order to further growth, we wanted to get a rare degree of% s or more% s.")</f>
        <v>In order to further growth, we wanted to get a rare degree of% s or more% s.</v>
      </c>
    </row>
    <row r="2101" spans="1:3" ht="12.75" x14ac:dyDescent="0.2">
      <c r="A2101" s="1" t="s">
        <v>3745</v>
      </c>
      <c r="B2101" s="1" t="s">
        <v>3746</v>
      </c>
      <c r="C2101" t="str">
        <f ca="1">IFERROR(__xludf.DUMMYFUNCTION("GOOGLETRANSLATE(B2101, ""ja"", ""en"")"),"In order to further growth, we wanted to get% s.")</f>
        <v>In order to further growth, we wanted to get% s.</v>
      </c>
    </row>
    <row r="2102" spans="1:3" ht="12.75" x14ac:dyDescent="0.2">
      <c r="A2102" s="1" t="s">
        <v>3747</v>
      </c>
      <c r="B2102" s="1" t="s">
        <v>3748</v>
      </c>
      <c r="C2102" t="str">
        <f ca="1">IFERROR(__xludf.DUMMYFUNCTION("GOOGLETRANSLATE(B2102, ""ja"", ""en"")"),"This Taishi is being escaped. Whereabouts is unknown, it seems to be hiding somewhere in Kyoto.")</f>
        <v>This Taishi is being escaped. Whereabouts is unknown, it seems to be hiding somewhere in Kyoto.</v>
      </c>
    </row>
    <row r="2103" spans="1:3" ht="12.75" x14ac:dyDescent="0.2">
      <c r="A2103" s="1" t="s">
        <v>3749</v>
      </c>
      <c r="B2103" s="1" t="s">
        <v>3750</v>
      </c>
      <c r="C2103" t="str">
        <f ca="1">IFERROR(__xludf.DUMMYFUNCTION("GOOGLETRANSLATE(B2103, ""ja"", ""en"")"),"You can not send troops for corporal, must not have")</f>
        <v>You can not send troops for corporal, must not have</v>
      </c>
    </row>
    <row r="2104" spans="1:3" ht="12.75" x14ac:dyDescent="0.2">
      <c r="A2104" s="1" t="s">
        <v>3751</v>
      </c>
      <c r="B2104" s="1" t="s">
        <v>3752</v>
      </c>
      <c r="C2104" t="str">
        <f ca="1">IFERROR(__xludf.DUMMYFUNCTION("GOOGLETRANSLATE(B2104, ""ja"", ""en"")"),"This mission can not be troops other than attack Corps workers")</f>
        <v>This mission can not be troops other than attack Corps workers</v>
      </c>
    </row>
    <row r="2105" spans="1:3" ht="12.75" x14ac:dyDescent="0.2">
      <c r="A2105" s="1" t="s">
        <v>3753</v>
      </c>
      <c r="B2105" s="1" t="s">
        <v>3754</v>
      </c>
      <c r="C2105" t="str">
        <f ca="1">IFERROR(__xludf.DUMMYFUNCTION("GOOGLETRANSLATE(B2105, ""ja"", ""en"")"),"This mission except garrison officer can not troops")</f>
        <v>This mission except garrison officer can not troops</v>
      </c>
    </row>
    <row r="2106" spans="1:3" ht="12.75" x14ac:dyDescent="0.2">
      <c r="A2106" s="1" t="s">
        <v>3755</v>
      </c>
      <c r="B2106" s="1" t="s">
        <v>3756</v>
      </c>
      <c r="C2106" t="str">
        <f ca="1">IFERROR(__xludf.DUMMYFUNCTION("GOOGLETRANSLATE(B2106, ""ja"", ""en"")"),"This mission can not be troops other than hygiene Corps workers")</f>
        <v>This mission can not be troops other than hygiene Corps workers</v>
      </c>
    </row>
    <row r="2107" spans="1:3" ht="12.75" x14ac:dyDescent="0.2">
      <c r="A2107" s="1" t="s">
        <v>3757</v>
      </c>
      <c r="B2107" s="1" t="s">
        <v>3758</v>
      </c>
      <c r="C2107" t="str">
        <f ca="1">IFERROR(__xludf.DUMMYFUNCTION("GOOGLETRANSLATE(B2107, ""ja"", ""en"")"),"This mission can not be troops other than the sword Corps workers")</f>
        <v>This mission can not be troops other than the sword Corps workers</v>
      </c>
    </row>
    <row r="2108" spans="1:3" ht="12.75" x14ac:dyDescent="0.2">
      <c r="A2108" s="1" t="s">
        <v>3759</v>
      </c>
      <c r="B2108" s="1" t="s">
        <v>3760</v>
      </c>
      <c r="C2108" t="str">
        <f ca="1">IFERROR(__xludf.DUMMYFUNCTION("GOOGLETRANSLATE(B2108, ""ja"", ""en"")"),"This mission except spear Corps mechanic can not troops")</f>
        <v>This mission except spear Corps mechanic can not troops</v>
      </c>
    </row>
    <row r="2109" spans="1:3" ht="12.75" x14ac:dyDescent="0.2">
      <c r="A2109" s="1" t="s">
        <v>3761</v>
      </c>
      <c r="B2109" s="1" t="s">
        <v>3762</v>
      </c>
      <c r="C2109" t="str">
        <f ca="1">IFERROR(__xludf.DUMMYFUNCTION("GOOGLETRANSLATE(B2109, ""ja"", ""en"")"),"This mission can not be troops other than the gun Corps workers")</f>
        <v>This mission can not be troops other than the gun Corps workers</v>
      </c>
    </row>
    <row r="2110" spans="1:3" ht="12.75" x14ac:dyDescent="0.2">
      <c r="A2110" s="1" t="s">
        <v>3763</v>
      </c>
      <c r="B2110" s="1" t="s">
        <v>3764</v>
      </c>
      <c r="C2110" t="str">
        <f ca="1">IFERROR(__xludf.DUMMYFUNCTION("GOOGLETRANSLATE(B2110, ""ja"", ""en"")"),"? ? ? ? ? ?")</f>
        <v>? ? ? ? ? ?</v>
      </c>
    </row>
    <row r="2111" spans="1:3" ht="12.75" x14ac:dyDescent="0.2">
      <c r="A2111" s="1" t="s">
        <v>3765</v>
      </c>
      <c r="B2111" s="1" t="s">
        <v>3766</v>
      </c>
      <c r="C2111" t="str">
        <f ca="1">IFERROR(__xludf.DUMMYFUNCTION("GOOGLETRANSLATE(B2111, ""ja"", ""en"")"),"Corps workers acquisition situation")</f>
        <v>Corps workers acquisition situation</v>
      </c>
    </row>
    <row r="2112" spans="1:3" ht="12.75" x14ac:dyDescent="0.2">
      <c r="A2112" s="1" t="s">
        <v>3767</v>
      </c>
      <c r="B2112" s="1" t="s">
        <v>3768</v>
      </c>
      <c r="C2112" t="str">
        <f ca="1">IFERROR(__xludf.DUMMYFUNCTION("GOOGLETRANSLATE(B2112, ""ja"", ""en"")"),"If you are allowed to accompany the corps officer initiated the mission, you will see the corps officer who accompanied the [n] the right side of the screen.")</f>
        <v>If you are allowed to accompany the corps officer initiated the mission, you will see the corps officer who accompanied the [n] the right side of the screen.</v>
      </c>
    </row>
    <row r="2113" spans="1:3" ht="12.75" x14ac:dyDescent="0.2">
      <c r="A2113" s="1" t="s">
        <v>3769</v>
      </c>
      <c r="B2113" s="1" t="s">
        <v>3770</v>
      </c>
      <c r="C2113" t="str">
        <f ca="1">IFERROR(__xludf.DUMMYFUNCTION("GOOGLETRANSLATE(B2113, ""ja"", ""en"")"),"Depending on the total value of the Taishi our physical strength during the mission start will be added physical strength to [n] Saito captain.")</f>
        <v>Depending on the total value of the Taishi our physical strength during the mission start will be added physical strength to [n] Saito captain.</v>
      </c>
    </row>
    <row r="2114" spans="1:3" ht="12.75" x14ac:dyDescent="0.2">
      <c r="A2114" s="1" t="s">
        <v>3771</v>
      </c>
      <c r="B2114" s="1" t="s">
        <v>3772</v>
      </c>
      <c r="C2114" t="str">
        <f ca="1">IFERROR(__xludf.DUMMYFUNCTION("GOOGLETRANSLATE(B2114, ""ja"", ""en"")"),"Noto is a strong man complete set. So as not to [n] own head, let's do our best.")</f>
        <v>Noto is a strong man complete set. So as not to [n] own head, let's do our best.</v>
      </c>
    </row>
    <row r="2115" spans="1:3" ht="12.75" x14ac:dyDescent="0.2">
      <c r="A2115" s="1" t="s">
        <v>3773</v>
      </c>
      <c r="B2115" s="1" t="s">
        <v>3774</v>
      </c>
      <c r="C2115" t="str">
        <f ca="1">IFERROR(__xludf.DUMMYFUNCTION("GOOGLETRANSLATE(B2115, ""ja"", ""en"")"),"Corps officer of ability and filling gauge in the above figure is in full [n] &lt;Sign: 7&gt; + You can use the arrow keys.")</f>
        <v>Corps officer of ability and filling gauge in the above figure is in full [n] &lt;Sign: 7&gt; + You can use the arrow keys.</v>
      </c>
    </row>
    <row r="2116" spans="1:3" ht="12.75" x14ac:dyDescent="0.2">
      <c r="A2116" s="1" t="s">
        <v>3775</v>
      </c>
      <c r="B2116" s="1" t="s">
        <v>3776</v>
      </c>
      <c r="C2116" t="str">
        <f ca="1">IFERROR(__xludf.DUMMYFUNCTION("GOOGLETRANSLATE(B2116, ""ja"", ""en"")"),"Filling speed is determined by the result of the filling speed of the Corps mechanic [n] fight side of the Saito captain. [N] Corps officer course to grow, you can reduce the time to use the [n] increases the morale of the corps officer by the good fight "&amp;"how [n] ability.")</f>
        <v>Filling speed is determined by the result of the filling speed of the Corps mechanic [n] fight side of the Saito captain. [N] Corps officer course to grow, you can reduce the time to use the [n] increases the morale of the corps officer by the good fight how [n] ability.</v>
      </c>
    </row>
    <row r="2117" spans="1:3" ht="12.75" x14ac:dyDescent="0.2">
      <c r="A2117" s="1" t="s">
        <v>3777</v>
      </c>
      <c r="B2117" s="1" t="s">
        <v>3778</v>
      </c>
      <c r="C2117" t="str">
        <f ca="1">IFERROR(__xludf.DUMMYFUNCTION("GOOGLETRANSLATE(B2117, ""ja"", ""en"")"),"So immediately [n] &lt;Sign: 7&gt; + &lt;Sign: 43&gt; in the Let's use the [n] Corps mechanic ability of Goro Narita.")</f>
        <v>So immediately [n] &lt;Sign: 7&gt; + &lt;Sign: 43&gt; in the Let's use the [n] Corps mechanic ability of Goro Narita.</v>
      </c>
    </row>
    <row r="2118" spans="1:3" ht="12.75" x14ac:dyDescent="0.2">
      <c r="A2118" s="1" t="s">
        <v>3779</v>
      </c>
      <c r="B2118" s="1" t="s">
        <v>3780</v>
      </c>
      <c r="C2118" t="str">
        <f ca="1">IFERROR(__xludf.DUMMYFUNCTION("GOOGLETRANSLATE(B2118, ""ja"", ""en"")"),"Now, Goro Narita's ability was activated. [N] because this ability effect to ""heal"" is a [n], it will be benefited a certain period of time.")</f>
        <v>Now, Goro Narita's ability was activated. [N] because this ability effect to "heal" is a [n], it will be benefited a certain period of time.</v>
      </c>
    </row>
    <row r="2119" spans="1:3" ht="12.75" x14ac:dyDescent="0.2">
      <c r="A2119" s="1" t="s">
        <v>3781</v>
      </c>
      <c r="B2119" s="1" t="s">
        <v>3782</v>
      </c>
      <c r="C2119" t="str">
        <f ca="1">IFERROR(__xludf.DUMMYFUNCTION("GOOGLETRANSLATE(B2119, ""ja"", ""en"")"),"The remaining time of this ability effect, can be found in the filling gauge of the screen right [n] Corps officer. [N] When you no longer filled gauge, it is the effect the end.")</f>
        <v>The remaining time of this ability effect, can be found in the filling gauge of the screen right [n] Corps officer. [N] When you no longer filled gauge, it is the effect the end.</v>
      </c>
    </row>
    <row r="2120" spans="1:3" ht="12.75" x14ac:dyDescent="0.2">
      <c r="A2120" s="1" t="s">
        <v>3783</v>
      </c>
      <c r="B2120" s="1" t="s">
        <v>3784</v>
      </c>
      <c r="C2120" t="str">
        <f ca="1">IFERROR(__xludf.DUMMYFUNCTION("GOOGLETRANSLATE(B2120, ""ja"", ""en"")"),"To instruct the corps officer to automatically carry out the imposition of capacity [n], but you can also, if you do? [N] [n] &lt;Sign: D&gt; Corps officer to leave &lt;Sign: C&gt; be activated on their own")</f>
        <v>To instruct the corps officer to automatically carry out the imposition of capacity [n], but you can also, if you do? [N] [n] &lt;Sign: D&gt; Corps officer to leave &lt;Sign: C&gt; be activated on their own</v>
      </c>
    </row>
    <row r="2121" spans="1:3" ht="12.75" x14ac:dyDescent="0.2">
      <c r="A2121" s="1" t="s">
        <v>3785</v>
      </c>
      <c r="B2121" s="1" t="s">
        <v>3786</v>
      </c>
      <c r="C2121" t="str">
        <f ca="1">IFERROR(__xludf.DUMMYFUNCTION("GOOGLETRANSLATE(B2121, ""ja"", ""en"")"),"This setting can be changed from the reception, please talk to accept When it want to change [n].")</f>
        <v>This setting can be changed from the reception, please talk to accept When it want to change [n].</v>
      </c>
    </row>
    <row r="2122" spans="1:3" ht="12.75" x14ac:dyDescent="0.2">
      <c r="A2122" s="1" t="s">
        <v>3787</v>
      </c>
      <c r="B2122" s="1" t="s">
        <v>3788</v>
      </c>
      <c r="C2122" t="str">
        <f ca="1">IFERROR(__xludf.DUMMYFUNCTION("GOOGLETRANSLATE(B2122, ""ja"", ""en"")"),"So, let's continue while defeating the enemy proceed to [n] earlier.")</f>
        <v>So, let's continue while defeating the enemy proceed to [n] earlier.</v>
      </c>
    </row>
    <row r="2123" spans="1:3" ht="12.75" x14ac:dyDescent="0.2">
      <c r="A2123" s="1" t="s">
        <v>3789</v>
      </c>
      <c r="B2123" s="1" t="s">
        <v>3790</v>
      </c>
      <c r="C2123" t="str">
        <f ca="1">IFERROR(__xludf.DUMMYFUNCTION("GOOGLETRANSLATE(B2123, ""ja"", ""en"")"),"In the door, there is a door where there is a mechanism for opening. In order to advance to the [n] earlier, it will help you find and open the [n] door the trick.")</f>
        <v>In the door, there is a door where there is a mechanism for opening. In order to advance to the [n] earlier, it will help you find and open the [n] door the trick.</v>
      </c>
    </row>
    <row r="2124" spans="1:3" ht="12.75" x14ac:dyDescent="0.2">
      <c r="A2124" s="1" t="s">
        <v>3791</v>
      </c>
      <c r="B2124" s="1" t="s">
        <v>3792</v>
      </c>
      <c r="C2124" t="str">
        <f ca="1">IFERROR(__xludf.DUMMYFUNCTION("GOOGLETRANSLATE(B2124, ""ja"", ""en"")"),"The door of the previous, road or to go, there is also that you have entered a box is placed [n] materials and expensive goods necessary in order to train the [n] weapon.")</f>
        <v>The door of the previous, road or to go, there is also that you have entered a box is placed [n] materials and expensive goods necessary in order to train the [n] weapon.</v>
      </c>
    </row>
    <row r="2125" spans="1:3" ht="12.75" x14ac:dyDescent="0.2">
      <c r="A2125" s="1" t="s">
        <v>3793</v>
      </c>
      <c r="B2125" s="1" t="s">
        <v>3794</v>
      </c>
      <c r="C2125" t="str">
        <f ca="1">IFERROR(__xludf.DUMMYFUNCTION("GOOGLETRANSLATE(B2125, ""ja"", ""en"")"),"Since the materials and goods that got is a thing of the captain, [n] door is let's open aggressively.")</f>
        <v>Since the materials and goods that got is a thing of the captain, [n] door is let's open aggressively.</v>
      </c>
    </row>
    <row r="2126" spans="1:3" ht="12.75" x14ac:dyDescent="0.2">
      <c r="A2126" s="1" t="s">
        <v>3795</v>
      </c>
      <c r="B2126" s="1" t="s">
        <v>3796</v>
      </c>
      <c r="C2126" t="str">
        <f ca="1">IFERROR(__xludf.DUMMYFUNCTION("GOOGLETRANSLATE(B2126, ""ja"", ""en"")"),"This basic training in will be the end. [N] to find the boss of this cave, you must annihilate.")</f>
        <v>This basic training in will be the end. [N] to find the boss of this cave, you must annihilate.</v>
      </c>
    </row>
    <row r="2127" spans="1:3" ht="12.75" x14ac:dyDescent="0.2">
      <c r="A2127" s="1" t="s">
        <v>3797</v>
      </c>
      <c r="B2127" s="1" t="s">
        <v>3798</v>
      </c>
      <c r="C2127" t="str">
        <f ca="1">IFERROR(__xludf.DUMMYFUNCTION("GOOGLETRANSLATE(B2127, ""ja"", ""en"")"),"Training associated Corps workers")</f>
        <v>Training associated Corps workers</v>
      </c>
    </row>
    <row r="2128" spans="1:3" ht="12.75" x14ac:dyDescent="0.2">
      <c r="A2128" s="1" t="s">
        <v>3799</v>
      </c>
      <c r="B2128" s="1" t="s">
        <v>3800</v>
      </c>
      <c r="C2128" t="str">
        <f ca="1">IFERROR(__xludf.DUMMYFUNCTION("GOOGLETRANSLATE(B2128, ""ja"", ""en"")"),"Benefit of training Corps workers")</f>
        <v>Benefit of training Corps workers</v>
      </c>
    </row>
    <row r="2129" spans="1:3" ht="12.75" x14ac:dyDescent="0.2">
      <c r="A2129" s="1" t="s">
        <v>3801</v>
      </c>
      <c r="B2129" s="1" t="s">
        <v>3802</v>
      </c>
      <c r="C2129" t="str">
        <f ca="1">IFERROR(__xludf.DUMMYFUNCTION("GOOGLETRANSLATE(B2129, ""ja"", ""en"")"),"Training enemy is the strong complete set")</f>
        <v>Training enemy is the strong complete set</v>
      </c>
    </row>
    <row r="2130" spans="1:3" ht="12.75" x14ac:dyDescent="0.2">
      <c r="A2130" s="1" t="s">
        <v>3803</v>
      </c>
      <c r="B2130" s="1" t="s">
        <v>3804</v>
      </c>
      <c r="C2130" t="str">
        <f ca="1">IFERROR(__xludf.DUMMYFUNCTION("GOOGLETRANSLATE(B2130, ""ja"", ""en"")"),"Use of training capacity")</f>
        <v>Use of training capacity</v>
      </c>
    </row>
    <row r="2131" spans="1:3" ht="12.75" x14ac:dyDescent="0.2">
      <c r="A2131" s="1" t="s">
        <v>3805</v>
      </c>
      <c r="B2131" s="1" t="s">
        <v>3806</v>
      </c>
      <c r="C2131" t="str">
        <f ca="1">IFERROR(__xludf.DUMMYFUNCTION("GOOGLETRANSLATE(B2131, ""ja"", ""en"")"),"Activation of training capacity")</f>
        <v>Activation of training capacity</v>
      </c>
    </row>
    <row r="2132" spans="1:3" ht="12.75" x14ac:dyDescent="0.2">
      <c r="A2132" s="1" t="s">
        <v>3807</v>
      </c>
      <c r="B2132" s="1" t="s">
        <v>3808</v>
      </c>
      <c r="C2132" t="str">
        <f ca="1">IFERROR(__xludf.DUMMYFUNCTION("GOOGLETRANSLATE(B2132, ""ja"", ""en"")"),"Duration of training capacity")</f>
        <v>Duration of training capacity</v>
      </c>
    </row>
    <row r="2133" spans="1:3" ht="12.75" x14ac:dyDescent="0.2">
      <c r="A2133" s="1" t="s">
        <v>3809</v>
      </c>
      <c r="B2133" s="1" t="s">
        <v>3810</v>
      </c>
      <c r="C2133" t="str">
        <f ca="1">IFERROR(__xludf.DUMMYFUNCTION("GOOGLETRANSLATE(B2133, ""ja"", ""en"")"),"Training Random ability triggered")</f>
        <v>Training Random ability triggered</v>
      </c>
    </row>
    <row r="2134" spans="1:3" ht="12.75" x14ac:dyDescent="0.2">
      <c r="A2134" s="1" t="s">
        <v>3811</v>
      </c>
      <c r="B2134" s="1" t="s">
        <v>3812</v>
      </c>
      <c r="C2134" t="str">
        <f ca="1">IFERROR(__xludf.DUMMYFUNCTION("GOOGLETRANSLATE(B2134, ""ja"", ""en"")"),"Training subdue")</f>
        <v>Training subdue</v>
      </c>
    </row>
    <row r="2135" spans="1:3" ht="12.75" x14ac:dyDescent="0.2">
      <c r="A2135" s="1" t="s">
        <v>3813</v>
      </c>
      <c r="B2135" s="1" t="s">
        <v>3814</v>
      </c>
      <c r="C2135" t="str">
        <f ca="1">IFERROR(__xludf.DUMMYFUNCTION("GOOGLETRANSLATE(B2135, ""ja"", ""en"")"),"Training trick")</f>
        <v>Training trick</v>
      </c>
    </row>
    <row r="2136" spans="1:3" ht="12.75" x14ac:dyDescent="0.2">
      <c r="A2136" s="1" t="s">
        <v>3815</v>
      </c>
      <c r="B2136" s="1" t="s">
        <v>3816</v>
      </c>
      <c r="C2136" t="str">
        <f ca="1">IFERROR(__xludf.DUMMYFUNCTION("GOOGLETRANSLATE(B2136, ""ja"", ""en"")"),"Training end")</f>
        <v>Training end</v>
      </c>
    </row>
    <row r="2137" spans="1:3" ht="12.75" x14ac:dyDescent="0.2">
      <c r="A2137" s="1" t="s">
        <v>3817</v>
      </c>
      <c r="B2137" s="1" t="s">
        <v>3818</v>
      </c>
      <c r="C2137" t="str">
        <f ca="1">IFERROR(__xludf.DUMMYFUNCTION("GOOGLETRANSLATE(B2137, ""ja"", ""en"")"),"C")</f>
        <v>C</v>
      </c>
    </row>
    <row r="2138" spans="1:3" ht="12.75" x14ac:dyDescent="0.2">
      <c r="A2138" s="1" t="s">
        <v>3819</v>
      </c>
      <c r="B2138" s="1" t="s">
        <v>3820</v>
      </c>
      <c r="C2138" t="str">
        <f ca="1">IFERROR(__xludf.DUMMYFUNCTION("GOOGLETRANSLATE(B2138, ""ja"", ""en"")"),"UC")</f>
        <v>UC</v>
      </c>
    </row>
    <row r="2139" spans="1:3" ht="12.75" x14ac:dyDescent="0.2">
      <c r="A2139" s="1" t="s">
        <v>3821</v>
      </c>
      <c r="B2139" s="1" t="s">
        <v>1671</v>
      </c>
      <c r="C2139" t="str">
        <f ca="1">IFERROR(__xludf.DUMMYFUNCTION("GOOGLETRANSLATE(B2139, ""ja"", ""en"")"),"R")</f>
        <v>R</v>
      </c>
    </row>
    <row r="2140" spans="1:3" ht="12.75" x14ac:dyDescent="0.2">
      <c r="A2140" s="1" t="s">
        <v>3822</v>
      </c>
      <c r="B2140" s="1" t="s">
        <v>3823</v>
      </c>
      <c r="C2140" t="str">
        <f ca="1">IFERROR(__xludf.DUMMYFUNCTION("GOOGLETRANSLATE(B2140, ""ja"", ""en"")"),"SR")</f>
        <v>SR</v>
      </c>
    </row>
    <row r="2141" spans="1:3" ht="12.75" x14ac:dyDescent="0.2">
      <c r="A2141" s="1" t="s">
        <v>3824</v>
      </c>
      <c r="B2141" s="1" t="s">
        <v>3825</v>
      </c>
      <c r="C2141" t="str">
        <f ca="1">IFERROR(__xludf.DUMMYFUNCTION("GOOGLETRANSLATE(B2141, ""ja"", ""en"")"),"defense")</f>
        <v>defense</v>
      </c>
    </row>
    <row r="2142" spans="1:3" ht="12.75" x14ac:dyDescent="0.2">
      <c r="A2142" s="1" t="s">
        <v>3826</v>
      </c>
      <c r="B2142" s="1" t="s">
        <v>3827</v>
      </c>
      <c r="C2142" t="str">
        <f ca="1">IFERROR(__xludf.DUMMYFUNCTION("GOOGLETRANSLATE(B2142, ""ja"", ""en"")"),"Health")</f>
        <v>Health</v>
      </c>
    </row>
    <row r="2143" spans="1:3" ht="12.75" x14ac:dyDescent="0.2">
      <c r="A2143" s="1" t="s">
        <v>3828</v>
      </c>
      <c r="B2143" s="1" t="s">
        <v>3829</v>
      </c>
      <c r="C2143" t="str">
        <f ca="1">IFERROR(__xludf.DUMMYFUNCTION("GOOGLETRANSLATE(B2143, ""ja"", ""en"")"),"Support")</f>
        <v>Support</v>
      </c>
    </row>
    <row r="2144" spans="1:3" ht="12.75" x14ac:dyDescent="0.2">
      <c r="A2144" s="1" t="s">
        <v>3830</v>
      </c>
      <c r="B2144" s="1" t="s">
        <v>3831</v>
      </c>
      <c r="C2144" t="str">
        <f ca="1">IFERROR(__xludf.DUMMYFUNCTION("GOOGLETRANSLATE(B2144, ""ja"", ""en"")"),"support")</f>
        <v>support</v>
      </c>
    </row>
    <row r="2145" spans="1:3" ht="12.75" x14ac:dyDescent="0.2">
      <c r="A2145" s="1" t="s">
        <v>3832</v>
      </c>
      <c r="B2145" s="1" t="s">
        <v>3833</v>
      </c>
      <c r="C2145" t="str">
        <f ca="1">IFERROR(__xludf.DUMMYFUNCTION("GOOGLETRANSLATE(B2145, ""ja"", ""en"")"),"There is no loyalty by repeated mission failure [n] it seems there are deserters and corps officer")</f>
        <v>There is no loyalty by repeated mission failure [n] it seems there are deserters and corps officer</v>
      </c>
    </row>
    <row r="2146" spans="1:3" ht="12.75" x14ac:dyDescent="0.2">
      <c r="A2146" s="1" t="s">
        <v>3834</v>
      </c>
      <c r="B2146" s="1" t="s">
        <v>3835</v>
      </c>
      <c r="C2146" t="str">
        <f ca="1">IFERROR(__xludf.DUMMYFUNCTION("GOOGLETRANSLATE(B2146, ""ja"", ""en"")"),"But let incarnated giving weapons [n] Are you sure you want?")</f>
        <v>But let incarnated giving weapons [n] Are you sure you want?</v>
      </c>
    </row>
    <row r="2147" spans="1:3" ht="12.75" x14ac:dyDescent="0.2">
      <c r="A2147" s="1" t="s">
        <v>3836</v>
      </c>
      <c r="B2147" s="1" t="s">
        <v>3837</v>
      </c>
      <c r="C2147" t="str">
        <f ca="1">IFERROR(__xludf.DUMMYFUNCTION("GOOGLETRANSLATE(B2147, ""ja"", ""en"")"),"Do you want to enable the Random ability?")</f>
        <v>Do you want to enable the Random ability?</v>
      </c>
    </row>
    <row r="2148" spans="1:3" ht="12.75" x14ac:dyDescent="0.2">
      <c r="A2148" s="1" t="s">
        <v>3838</v>
      </c>
      <c r="B2148" s="1" t="s">
        <v>3839</v>
      </c>
      <c r="C2148" t="str">
        <f ca="1">IFERROR(__xludf.DUMMYFUNCTION("GOOGLETRANSLATE(B2148, ""ja"", ""en"")"),"Remove from the troops. Is it OK?")</f>
        <v>Remove from the troops. Is it OK?</v>
      </c>
    </row>
    <row r="2149" spans="1:3" ht="12.75" x14ac:dyDescent="0.2">
      <c r="A2149" s="1" t="s">
        <v>3840</v>
      </c>
      <c r="B2149" s="1" t="s">
        <v>3841</v>
      </c>
      <c r="C2149" t="str">
        <f ca="1">IFERROR(__xludf.DUMMYFUNCTION("GOOGLETRANSLATE(B2149, ""ja"", ""en"")"),"And expulsion. Is it OK?")</f>
        <v>And expulsion. Is it OK?</v>
      </c>
    </row>
    <row r="2150" spans="1:3" ht="12.75" x14ac:dyDescent="0.2">
      <c r="A2150" s="1" t="s">
        <v>3842</v>
      </c>
      <c r="B2150" s="1" t="s">
        <v>3843</v>
      </c>
      <c r="C2150" t="str">
        <f ca="1">IFERROR(__xludf.DUMMYFUNCTION("GOOGLETRANSLATE(B2150, ""ja"", ""en"")"),"Man of the hood")</f>
        <v>Man of the hood</v>
      </c>
    </row>
    <row r="2151" spans="1:3" ht="12.75" x14ac:dyDescent="0.2">
      <c r="A2151" s="1" t="s">
        <v>3844</v>
      </c>
      <c r="B2151" s="1" t="s">
        <v>3845</v>
      </c>
      <c r="C2151" t="str">
        <f ca="1">IFERROR(__xludf.DUMMYFUNCTION("GOOGLETRANSLATE(B2151, ""ja"", ""en"")"),"@")</f>
        <v>@</v>
      </c>
    </row>
    <row r="2152" spans="1:3" ht="12.75" x14ac:dyDescent="0.2">
      <c r="A2152" s="1" t="s">
        <v>3846</v>
      </c>
      <c r="B2152" s="1" t="s">
        <v>3847</v>
      </c>
      <c r="C2152" t="str">
        <f ca="1">IFERROR(__xludf.DUMMYFUNCTION("GOOGLETRANSLATE(B2152, ""ja"", ""en"")"),"Troops List")</f>
        <v>Troops List</v>
      </c>
    </row>
    <row r="2153" spans="1:3" ht="12.75" x14ac:dyDescent="0.2">
      <c r="A2153" s="1" t="s">
        <v>3848</v>
      </c>
      <c r="B2153" s="1" t="s">
        <v>3849</v>
      </c>
      <c r="C2153" t="str">
        <f ca="1">IFERROR(__xludf.DUMMYFUNCTION("GOOGLETRANSLATE(B2153, ""ja"", ""en"")"),"Ability details")</f>
        <v>Ability details</v>
      </c>
    </row>
    <row r="2154" spans="1:3" ht="12.75" x14ac:dyDescent="0.2">
      <c r="A2154" s="1" t="s">
        <v>3850</v>
      </c>
      <c r="B2154" s="1" t="s">
        <v>3851</v>
      </c>
      <c r="C2154" t="str">
        <f ca="1">IFERROR(__xludf.DUMMYFUNCTION("GOOGLETRANSLATE(B2154, ""ja"", ""en"")"),"There is no weapon needed to reincarnate")</f>
        <v>There is no weapon needed to reincarnate</v>
      </c>
    </row>
    <row r="2155" spans="1:3" ht="12.75" x14ac:dyDescent="0.2">
      <c r="A2155" s="1" t="s">
        <v>3852</v>
      </c>
      <c r="B2155" s="1" t="s">
        <v>3853</v>
      </c>
      <c r="C2155" t="str">
        <f ca="1">IFERROR(__xludf.DUMMYFUNCTION("GOOGLETRANSLATE(B2155, ""ja"", ""en"")"),"Corps officer roster")</f>
        <v>Corps officer roster</v>
      </c>
    </row>
    <row r="2156" spans="1:3" ht="12.75" x14ac:dyDescent="0.2">
      <c r="A2156" s="1" t="s">
        <v>3854</v>
      </c>
      <c r="B2156" s="1" t="s">
        <v>3855</v>
      </c>
      <c r="C2156" t="str">
        <f ca="1">IFERROR(__xludf.DUMMYFUNCTION("GOOGLETRANSLATE(B2156, ""ja"", ""en"")"),"Taishi Overview")</f>
        <v>Taishi Overview</v>
      </c>
    </row>
    <row r="2157" spans="1:3" ht="12.75" x14ac:dyDescent="0.2">
      <c r="A2157" s="1" t="s">
        <v>3856</v>
      </c>
      <c r="B2157" s="1" t="s">
        <v>3857</v>
      </c>
      <c r="C2157" t="str">
        <f ca="1">IFERROR(__xludf.DUMMYFUNCTION("GOOGLETRANSLATE(B2157, ""ja"", ""en"")"),"spear")</f>
        <v>spear</v>
      </c>
    </row>
    <row r="2158" spans="1:3" ht="12.75" x14ac:dyDescent="0.2">
      <c r="A2158" s="1" t="s">
        <v>3858</v>
      </c>
      <c r="B2158" s="1" t="s">
        <v>3859</v>
      </c>
      <c r="C2158" t="str">
        <f ca="1">IFERROR(__xludf.DUMMYFUNCTION("GOOGLETRANSLATE(B2158, ""ja"", ""en"")"),"You start the game from the beginning. &lt;Color: 5&gt; ""Yakuza Restoration! Is to take over the [n] data of the free app for PlayStation Vita ""Please select the data that has been"" downloaded ""in"" from the continued "". &lt;Color: Default&gt;")</f>
        <v>You start the game from the beginning. &lt;Color: 5&gt; "Yakuza Restoration! Is to take over the [n] data of the free app for PlayStation Vita "Please select the data that has been" downloaded "in" from the continued ". &lt;Color: Default&gt;</v>
      </c>
    </row>
    <row r="2159" spans="1:3" ht="12.75" x14ac:dyDescent="0.2">
      <c r="A2159" s="1" t="s">
        <v>3860</v>
      </c>
      <c r="B2159" s="1" t="s">
        <v>3861</v>
      </c>
      <c r="C2159" t="str">
        <f ca="1">IFERROR(__xludf.DUMMYFUNCTION("GOOGLETRANSLATE(B2159, ""ja"", ""en"")"),"You start the game from the continuation that was saved.")</f>
        <v>You start the game from the continuation that was saved.</v>
      </c>
    </row>
    <row r="2160" spans="1:3" ht="12.75" x14ac:dyDescent="0.2">
      <c r="A2160" s="1" t="s">
        <v>3862</v>
      </c>
      <c r="B2160" s="1" t="s">
        <v>3863</v>
      </c>
      <c r="C2160" t="str">
        <f ca="1">IFERROR(__xludf.DUMMYFUNCTION("GOOGLETRANSLATE(B2160, ""ja"", ""en"")"),"""Yakuza Restoration! Free app for PlayStation Vita ""[n] or share the progress and PlayStation 4 version.")</f>
        <v>"Yakuza Restoration! Free app for PlayStation Vita "[n] or share the progress and PlayStation 4 version.</v>
      </c>
    </row>
    <row r="2161" spans="1:3" ht="12.75" x14ac:dyDescent="0.2">
      <c r="A2161" s="1" t="s">
        <v>3864</v>
      </c>
      <c r="B2161" s="1" t="s">
        <v>3865</v>
      </c>
      <c r="C2161" t="str">
        <f ca="1">IFERROR(__xludf.DUMMYFUNCTION("GOOGLETRANSLATE(B2161, ""ja"", ""en"")"),"Mahjong, shogi, Koi-Koi, placed Cho stock, can play in the network play a [n] 5 types of mini-game of poker.")</f>
        <v>Mahjong, shogi, Koi-Koi, placed Cho stock, can play in the network play a [n] 5 types of mini-game of poker.</v>
      </c>
    </row>
    <row r="2162" spans="1:3" ht="12.75" x14ac:dyDescent="0.2">
      <c r="A2162" s="1" t="s">
        <v>3866</v>
      </c>
      <c r="B2162" s="1" t="s">
        <v>3867</v>
      </c>
      <c r="C2162" t="str">
        <f ca="1">IFERROR(__xludf.DUMMYFUNCTION("GOOGLETRANSLATE(B2162, ""ja"", ""en"")"),"[N] You can freely explore the world of the end of the Edo period, regardless of the scenario of the main story.")</f>
        <v>[N] You can freely explore the world of the end of the Edo period, regardless of the scenario of the main story.</v>
      </c>
    </row>
    <row r="2163" spans="1:3" ht="12.75" x14ac:dyDescent="0.2">
      <c r="A2163" s="1" t="s">
        <v>3868</v>
      </c>
      <c r="B2163" s="1" t="s">
        <v>3869</v>
      </c>
      <c r="C2163" t="str">
        <f ca="1">IFERROR(__xludf.DUMMYFUNCTION("GOOGLETRANSLATE(B2163, ""ja"", ""en"")"),"Only to extremely the fight who is the mode that can challenge. [N] When you win all of the fight, a rare tool is to come.")</f>
        <v>Only to extremely the fight who is the mode that can challenge. [N] When you win all of the fight, a rare tool is to come.</v>
      </c>
    </row>
    <row r="2164" spans="1:3" ht="12.75" x14ac:dyDescent="0.2">
      <c r="A2164" s="1" t="s">
        <v>3870</v>
      </c>
      <c r="B2164" s="1" t="s">
        <v>3871</v>
      </c>
      <c r="C2164" t="str">
        <f ca="1">IFERROR(__xludf.DUMMYFUNCTION("GOOGLETRANSLATE(B2164, ""ja"", ""en"")"),"You can check the information about the network.")</f>
        <v>You can check the information about the network.</v>
      </c>
    </row>
    <row r="2165" spans="1:3" ht="12.75" x14ac:dyDescent="0.2">
      <c r="A2165" s="1" t="s">
        <v>3872</v>
      </c>
      <c r="B2165" s="1" t="s">
        <v>3873</v>
      </c>
      <c r="C2165" t="str">
        <f ca="1">IFERROR(__xludf.DUMMYFUNCTION("GOOGLETRANSLATE(B2165, ""ja"", ""en"")"),"You can watch once saw was an event scene.")</f>
        <v>You can watch once saw was an event scene.</v>
      </c>
    </row>
    <row r="2166" spans="1:3" ht="12.75" x14ac:dyDescent="0.2">
      <c r="A2166" s="1" t="s">
        <v>3874</v>
      </c>
      <c r="B2166" s="1" t="s">
        <v>3875</v>
      </c>
      <c r="C2166" t="str">
        <f ca="1">IFERROR(__xludf.DUMMYFUNCTION("GOOGLETRANSLATE(B2166, ""ja"", ""en"")"),"You can change the various settings item. [N]")</f>
        <v>You can change the various settings item. [N]</v>
      </c>
    </row>
    <row r="2167" spans="1:3" ht="12.75" x14ac:dyDescent="0.2">
      <c r="A2167" s="1" t="s">
        <v>3876</v>
      </c>
      <c r="B2167" s="1" t="s">
        <v>3877</v>
      </c>
      <c r="C2167" t="str">
        <f ca="1">IFERROR(__xludf.DUMMYFUNCTION("GOOGLETRANSLATE(B2167, ""ja"", ""en"")"),"Save PlayStation 3 side of the save data on the [n] network.")</f>
        <v>Save PlayStation 3 side of the save data on the [n] network.</v>
      </c>
    </row>
    <row r="2168" spans="1:3" ht="12.75" x14ac:dyDescent="0.2">
      <c r="A2168" s="1" t="s">
        <v>3878</v>
      </c>
      <c r="B2168" s="1" t="s">
        <v>3879</v>
      </c>
      <c r="C2168" t="str">
        <f ca="1">IFERROR(__xludf.DUMMYFUNCTION("GOOGLETRANSLATE(B2168, ""ja"", ""en"")"),"Save PlayStation 4 side of the save data on the [n] network.")</f>
        <v>Save PlayStation 4 side of the save data on the [n] network.</v>
      </c>
    </row>
    <row r="2169" spans="1:3" ht="12.75" x14ac:dyDescent="0.2">
      <c r="A2169" s="1" t="s">
        <v>3880</v>
      </c>
      <c r="B2169" s="1" t="s">
        <v>3881</v>
      </c>
      <c r="C2169" t="str">
        <f ca="1">IFERROR(__xludf.DUMMYFUNCTION("GOOGLETRANSLATE(B2169, ""ja"", ""en"")"),"Save the save data of PlayStation Vita side on the [n] network.")</f>
        <v>Save the save data of PlayStation Vita side on the [n] network.</v>
      </c>
    </row>
    <row r="2170" spans="1:3" ht="12.75" x14ac:dyDescent="0.2">
      <c r="A2170" s="1" t="s">
        <v>3882</v>
      </c>
      <c r="B2170" s="1" t="s">
        <v>3883</v>
      </c>
      <c r="C2170" t="str">
        <f ca="1">IFERROR(__xludf.DUMMYFUNCTION("GOOGLETRANSLATE(B2170, ""ja"", ""en"")"),"The save data that is stored on the network to download [n], to share the progress.")</f>
        <v>The save data that is stored on the network to download [n], to share the progress.</v>
      </c>
    </row>
    <row r="2171" spans="1:3" ht="12.75" x14ac:dyDescent="0.2">
      <c r="A2171" s="1" t="s">
        <v>3884</v>
      </c>
      <c r="B2171" s="1" t="s">
        <v>1019</v>
      </c>
      <c r="C2171" t="str">
        <f ca="1">IFERROR(__xludf.DUMMYFUNCTION("GOOGLETRANSLATE(B2171, ""ja"", ""en"")"),"B")</f>
        <v>B</v>
      </c>
    </row>
    <row r="2172" spans="1:3" ht="12.75" x14ac:dyDescent="0.2">
      <c r="A2172" s="1" t="s">
        <v>3885</v>
      </c>
      <c r="B2172" s="1" t="s">
        <v>247</v>
      </c>
      <c r="C2172" t="str">
        <f ca="1">IFERROR(__xludf.DUMMYFUNCTION("GOOGLETRANSLATE(B2172, ""ja"", ""en"")"),".")</f>
        <v>.</v>
      </c>
    </row>
    <row r="2173" spans="1:3" ht="12.75" x14ac:dyDescent="0.2">
      <c r="A2173" s="1" t="s">
        <v>3886</v>
      </c>
      <c r="B2173" s="1" t="s">
        <v>3887</v>
      </c>
      <c r="C2173" t="str">
        <f ca="1">IFERROR(__xludf.DUMMYFUNCTION("GOOGLETRANSLATE(B2173, ""ja"", ""en"")"),"We do not subscribe to PlayStation Plus. To return to the [n] the main menu screen.")</f>
        <v>We do not subscribe to PlayStation Plus. To return to the [n] the main menu screen.</v>
      </c>
    </row>
    <row r="2174" spans="1:3" ht="12.75" x14ac:dyDescent="0.2">
      <c r="A2174" s="1" t="s">
        <v>3888</v>
      </c>
      <c r="B2174" s="1" t="s">
        <v>3889</v>
      </c>
      <c r="C2174" t="str">
        <f ca="1">IFERROR(__xludf.DUMMYFUNCTION("GOOGLETRANSLATE(B2174, ""ja"", ""en"")"),"[N] A communication error occurred during the authentication of PlayStation Plus. To return to the [n] the main menu screen.")</f>
        <v>[N] A communication error occurred during the authentication of PlayStation Plus. To return to the [n] the main menu screen.</v>
      </c>
    </row>
    <row r="2175" spans="1:3" ht="12.75" x14ac:dyDescent="0.2">
      <c r="A2175" s="1" t="s">
        <v>3890</v>
      </c>
      <c r="B2175" s="1" t="s">
        <v>3891</v>
      </c>
      <c r="C2175" t="str">
        <f ca="1">IFERROR(__xludf.DUMMYFUNCTION("GOOGLETRANSLATE(B2175, ""ja"", ""en"")"),"From the beginning in the clear data use")</f>
        <v>From the beginning in the clear data use</v>
      </c>
    </row>
    <row r="2176" spans="1:3" ht="12.75" x14ac:dyDescent="0.2">
      <c r="A2176" s="1" t="s">
        <v>3892</v>
      </c>
      <c r="B2176" s="1" t="s">
        <v>3893</v>
      </c>
      <c r="C2176" t="str">
        <f ca="1">IFERROR(__xludf.DUMMYFUNCTION("GOOGLETRANSLATE(B2176, ""ja"", ""en"")"),"From the beginning without a clear data")</f>
        <v>From the beginning without a clear data</v>
      </c>
    </row>
    <row r="2177" spans="1:3" ht="12.75" x14ac:dyDescent="0.2">
      <c r="A2177" s="1" t="s">
        <v>3894</v>
      </c>
      <c r="B2177" s="1" t="s">
        <v>3895</v>
      </c>
      <c r="C2177" t="str">
        <f ca="1">IFERROR(__xludf.DUMMYFUNCTION("GOOGLETRANSLATE(B2177, ""ja"", ""en"")"),"Of clear data capacity, items, taken over the money in [n] will newly start the game from the beginning.")</f>
        <v>Of clear data capacity, items, taken over the money in [n] will newly start the game from the beginning.</v>
      </c>
    </row>
    <row r="2178" spans="1:3" ht="12.75" x14ac:dyDescent="0.2">
      <c r="A2178" s="1" t="s">
        <v>3896</v>
      </c>
      <c r="B2178" s="1" t="s">
        <v>3897</v>
      </c>
      <c r="C2178" t="str">
        <f ca="1">IFERROR(__xludf.DUMMYFUNCTION("GOOGLETRANSLATE(B2178, ""ja"", ""en"")"),"Clear data is not used, it starts again the game from the first [n] in a complete initial state.")</f>
        <v>Clear data is not used, it starts again the game from the first [n] in a complete initial state.</v>
      </c>
    </row>
    <row r="2179" spans="1:3" ht="12.75" x14ac:dyDescent="0.2">
      <c r="A2179" s="1" t="s">
        <v>3898</v>
      </c>
      <c r="B2179" s="1" t="s">
        <v>3899</v>
      </c>
      <c r="C2179" t="str">
        <f ca="1">IFERROR(__xludf.DUMMYFUNCTION("GOOGLETRANSLATE(B2179, ""ja"", ""en"")"),"Master class")</f>
        <v>Master class</v>
      </c>
    </row>
    <row r="2180" spans="1:3" ht="12.75" x14ac:dyDescent="0.2">
      <c r="A2180" s="1" t="s">
        <v>3900</v>
      </c>
      <c r="B2180" s="1" t="s">
        <v>3901</v>
      </c>
      <c r="C2180" t="str">
        <f ca="1">IFERROR(__xludf.DUMMYFUNCTION("GOOGLETRANSLATE(B2180, ""ja"", ""en"")"),"Action Games is one weaker and is recommended for those of [n] ""Yakuza"" series beginner.")</f>
        <v>Action Games is one weaker and is recommended for those of [n] "Yakuza" series beginner.</v>
      </c>
    </row>
    <row r="2181" spans="1:3" ht="12.75" x14ac:dyDescent="0.2">
      <c r="A2181" s="1" t="s">
        <v>3902</v>
      </c>
      <c r="B2181" s="1" t="s">
        <v>3903</v>
      </c>
      <c r="C2181" t="str">
        <f ca="1">IFERROR(__xludf.DUMMYFUNCTION("GOOGLETRANSLATE(B2181, ""ja"", ""en"")"),"This is the standard difficulty.")</f>
        <v>This is the standard difficulty.</v>
      </c>
    </row>
    <row r="2182" spans="1:3" ht="12.75" x14ac:dyDescent="0.2">
      <c r="A2182" s="1" t="s">
        <v>3904</v>
      </c>
      <c r="B2182" s="1" t="s">
        <v>3905</v>
      </c>
      <c r="C2182" t="str">
        <f ca="1">IFERROR(__xludf.DUMMYFUNCTION("GOOGLETRANSLATE(B2182, ""ja"", ""en"")"),"Action is recommended for those who are confident in.")</f>
        <v>Action is recommended for those who are confident in.</v>
      </c>
    </row>
    <row r="2183" spans="1:3" ht="12.75" x14ac:dyDescent="0.2">
      <c r="A2183" s="1" t="s">
        <v>3906</v>
      </c>
      <c r="B2183" s="1" t="s">
        <v>3907</v>
      </c>
      <c r="C2183" t="str">
        <f ca="1">IFERROR(__xludf.DUMMYFUNCTION("GOOGLETRANSLATE(B2183, ""ja"", ""en"")"),"You can not re-challenge when the game is over. [N] Please challenging only those who want ultimate in this game. [N]")</f>
        <v>You can not re-challenge when the game is over. [N] Please challenging only those who want ultimate in this game. [N]</v>
      </c>
    </row>
    <row r="2184" spans="1:3" ht="12.75" x14ac:dyDescent="0.2">
      <c r="A2184" s="1" t="s">
        <v>3908</v>
      </c>
      <c r="B2184" s="1" t="s">
        <v>3909</v>
      </c>
      <c r="C2184" t="str">
        <f ca="1">IFERROR(__xludf.DUMMYFUNCTION("GOOGLETRANSLATE(B2184, ""ja"", ""en"")"),"upload")</f>
        <v>upload</v>
      </c>
    </row>
    <row r="2185" spans="1:3" ht="12.75" x14ac:dyDescent="0.2">
      <c r="A2185" s="1" t="s">
        <v>3910</v>
      </c>
      <c r="B2185" s="1" t="s">
        <v>3911</v>
      </c>
      <c r="C2185" t="str">
        <f ca="1">IFERROR(__xludf.DUMMYFUNCTION("GOOGLETRANSLATE(B2185, ""ja"", ""en"")"),"download")</f>
        <v>download</v>
      </c>
    </row>
    <row r="2186" spans="1:3" ht="12.75" x14ac:dyDescent="0.2">
      <c r="A2186" s="1" t="s">
        <v>3912</v>
      </c>
      <c r="B2186" s="1" t="s">
        <v>3913</v>
      </c>
      <c r="C2186" t="str">
        <f ca="1">IFERROR(__xludf.DUMMYFUNCTION("GOOGLETRANSLATE(B2186, ""ja"", ""en"")"),"Start with a clear data use")</f>
        <v>Start with a clear data use</v>
      </c>
    </row>
    <row r="2187" spans="1:3" ht="12.75" x14ac:dyDescent="0.2">
      <c r="A2187" s="1" t="s">
        <v>3914</v>
      </c>
      <c r="B2187" s="1" t="s">
        <v>3915</v>
      </c>
      <c r="C2187" t="str">
        <f ca="1">IFERROR(__xludf.DUMMYFUNCTION("GOOGLETRANSLATE(B2187, ""ja"", ""en"")"),"Start without a clear data")</f>
        <v>Start without a clear data</v>
      </c>
    </row>
    <row r="2188" spans="1:3" ht="12.75" x14ac:dyDescent="0.2">
      <c r="A2188" s="1" t="s">
        <v>3916</v>
      </c>
      <c r="B2188" s="1" t="s">
        <v>3917</v>
      </c>
      <c r="C2188" t="str">
        <f ca="1">IFERROR(__xludf.DUMMYFUNCTION("GOOGLETRANSLATE(B2188, ""ja"", ""en"")"),"Regardless of the [n] scenario in the state took over all the elements of clear data, you can freely explore the world.")</f>
        <v>Regardless of the [n] scenario in the state took over all the elements of clear data, you can freely explore the world.</v>
      </c>
    </row>
    <row r="2189" spans="1:3" ht="12.75" x14ac:dyDescent="0.2">
      <c r="A2189" s="1" t="s">
        <v>3918</v>
      </c>
      <c r="B2189" s="1" t="s">
        <v>3919</v>
      </c>
      <c r="C2189" t="str">
        <f ca="1">IFERROR(__xludf.DUMMYFUNCTION("GOOGLETRANSLATE(B2189, ""ja"", ""en"")"),"You start the game from the complete initial state. [N], regardless of the scenario, you are free to explore the world.")</f>
        <v>You start the game from the complete initial state. [N], regardless of the scenario, you are free to explore the world.</v>
      </c>
    </row>
    <row r="2190" spans="1:3" ht="12.75" x14ac:dyDescent="0.2">
      <c r="A2190" s="1" t="s">
        <v>3920</v>
      </c>
      <c r="B2190" s="1" t="s">
        <v>3921</v>
      </c>
      <c r="C2190" t="str">
        <f ca="1">IFERROR(__xludf.DUMMYFUNCTION("GOOGLETRANSLATE(B2190, ""ja"", ""en"")"),"Reki")</f>
        <v>Reki</v>
      </c>
    </row>
    <row r="2191" spans="1:3" ht="12.75" x14ac:dyDescent="0.2">
      <c r="A2191" s="1" t="s">
        <v>3922</v>
      </c>
      <c r="B2191" s="1" t="s">
        <v>3923</v>
      </c>
      <c r="C2191" t="str">
        <f ca="1">IFERROR(__xludf.DUMMYFUNCTION("GOOGLETRANSLATE(B2191, ""ja"", ""en"")"),"Download History")</f>
        <v>Download History</v>
      </c>
    </row>
    <row r="2192" spans="1:3" ht="12.75" x14ac:dyDescent="0.2">
      <c r="A2192" s="1" t="s">
        <v>3924</v>
      </c>
      <c r="B2192" s="1" t="s">
        <v>3925</v>
      </c>
      <c r="C2192" t="str">
        <f ca="1">IFERROR(__xludf.DUMMYFUNCTION("GOOGLETRANSLATE(B2192, ""ja"", ""en"")"),"Shi)")</f>
        <v>Shi)</v>
      </c>
    </row>
    <row r="2193" spans="1:3" ht="12.75" x14ac:dyDescent="0.2">
      <c r="A2193" s="1" t="s">
        <v>3926</v>
      </c>
      <c r="B2193" s="1" t="s">
        <v>3927</v>
      </c>
      <c r="C2193" t="str">
        <f ca="1">IFERROR(__xludf.DUMMYFUNCTION("GOOGLETRANSLATE(B2193, ""ja"", ""en"")"),"Achievements List")</f>
        <v>Achievements List</v>
      </c>
    </row>
    <row r="2194" spans="1:3" ht="12.75" x14ac:dyDescent="0.2">
      <c r="A2194" s="1" t="s">
        <v>3928</v>
      </c>
      <c r="B2194" s="1" t="s">
        <v>3929</v>
      </c>
      <c r="C2194" t="str">
        <f ca="1">IFERROR(__xludf.DUMMYFUNCTION("GOOGLETRANSLATE(B2194, ""ja"", ""en"")"),"%")</f>
        <v>%</v>
      </c>
    </row>
    <row r="2195" spans="1:3" ht="12.75" x14ac:dyDescent="0.2">
      <c r="A2195" s="1" t="s">
        <v>3930</v>
      </c>
      <c r="B2195" s="1" t="s">
        <v>3931</v>
      </c>
      <c r="C2195" t="str">
        <f ca="1">IFERROR(__xludf.DUMMYFUNCTION("GOOGLETRANSLATE(B2195, ""ja"", ""en"")"),"Fully achieved")</f>
        <v>Fully achieved</v>
      </c>
    </row>
    <row r="2196" spans="1:3" ht="12.75" x14ac:dyDescent="0.2">
      <c r="A2196" s="1" t="s">
        <v>3932</v>
      </c>
      <c r="B2196" s="1" t="s">
        <v>3933</v>
      </c>
      <c r="C2196" t="str">
        <f ca="1">IFERROR(__xludf.DUMMYFUNCTION("GOOGLETRANSLATE(B2196, ""ja"", ""en"")"),"Km")</f>
        <v>Km</v>
      </c>
    </row>
    <row r="2197" spans="1:3" ht="12.75" x14ac:dyDescent="0.2">
      <c r="A2197" s="1" t="s">
        <v>3934</v>
      </c>
      <c r="B2197" s="1" t="s">
        <v>3935</v>
      </c>
      <c r="C2197" t="str">
        <f ca="1">IFERROR(__xludf.DUMMYFUNCTION("GOOGLETRANSLATE(B2197, ""ja"", ""en"")"),"body")</f>
        <v>body</v>
      </c>
    </row>
    <row r="2198" spans="1:3" ht="12.75" x14ac:dyDescent="0.2">
      <c r="A2198" s="1" t="s">
        <v>3936</v>
      </c>
      <c r="B2198" s="1" t="s">
        <v>3937</v>
      </c>
      <c r="C2198" t="str">
        <f ca="1">IFERROR(__xludf.DUMMYFUNCTION("GOOGLETRANSLATE(B2198, ""ja"", ""en"")"),"The degree of difficulty of playing")</f>
        <v>The degree of difficulty of playing</v>
      </c>
    </row>
    <row r="2199" spans="1:3" ht="12.75" x14ac:dyDescent="0.2">
      <c r="A2199" s="1" t="s">
        <v>3938</v>
      </c>
      <c r="B2199" s="1" t="s">
        <v>3939</v>
      </c>
      <c r="C2199" t="str">
        <f ca="1">IFERROR(__xludf.DUMMYFUNCTION("GOOGLETRANSLATE(B2199, ""ja"", ""en"")"),"Continue the number of times")</f>
        <v>Continue the number of times</v>
      </c>
    </row>
    <row r="2200" spans="1:3" ht="12.75" x14ac:dyDescent="0.2">
      <c r="A2200" s="1" t="s">
        <v>3940</v>
      </c>
      <c r="B2200" s="1" t="s">
        <v>3941</v>
      </c>
      <c r="C2200" t="str">
        <f ca="1">IFERROR(__xludf.DUMMYFUNCTION("GOOGLETRANSLATE(B2200, ""ja"", ""en"")"),"Level at the time of clear")</f>
        <v>Level at the time of clear</v>
      </c>
    </row>
    <row r="2201" spans="1:3" ht="12.75" x14ac:dyDescent="0.2">
      <c r="A2201" s="1" t="s">
        <v>3942</v>
      </c>
      <c r="B2201" s="1" t="s">
        <v>3943</v>
      </c>
      <c r="C2201" t="str">
        <f ca="1">IFERROR(__xludf.DUMMYFUNCTION("GOOGLETRANSLATE(B2201, ""ja"", ""en"")"),"Number of achieving devotion inventory")</f>
        <v>Number of achieving devotion inventory</v>
      </c>
    </row>
    <row r="2202" spans="1:3" ht="12.75" x14ac:dyDescent="0.2">
      <c r="A2202" s="1" t="s">
        <v>3944</v>
      </c>
      <c r="B2202" s="1" t="s">
        <v>3945</v>
      </c>
      <c r="C2202" t="str">
        <f ca="1">IFERROR(__xludf.DUMMYFUNCTION("GOOGLETRANSLATE(B2202, ""ja"", ""en"")"),"Acquisition Corps mechanic number card")</f>
        <v>Acquisition Corps mechanic number card</v>
      </c>
    </row>
    <row r="2203" spans="1:3" ht="12.75" x14ac:dyDescent="0.2">
      <c r="A2203" s="1" t="s">
        <v>3946</v>
      </c>
      <c r="B2203" s="1" t="s">
        <v>3947</v>
      </c>
      <c r="C2203" t="str">
        <f ca="1">IFERROR(__xludf.DUMMYFUNCTION("GOOGLETRANSLATE(B2203, ""ja"", ""en"")"),"Complete total")</f>
        <v>Complete total</v>
      </c>
    </row>
    <row r="2204" spans="1:3" ht="12.75" x14ac:dyDescent="0.2">
      <c r="A2204" s="1" t="s">
        <v>3948</v>
      </c>
      <c r="B2204" s="1" t="s">
        <v>3949</v>
      </c>
      <c r="C2204" t="str">
        <f ca="1">IFERROR(__xludf.DUMMYFUNCTION("GOOGLETRANSLATE(B2204, ""ja"", ""en"")"),"% S got the.")</f>
        <v>% S got the.</v>
      </c>
    </row>
    <row r="2205" spans="1:3" ht="12.75" x14ac:dyDescent="0.2">
      <c r="A2205" s="1" t="s">
        <v>3950</v>
      </c>
      <c r="B2205" s="1" t="s">
        <v>3951</v>
      </c>
      <c r="C2205" t="str">
        <f ca="1">IFERROR(__xludf.DUMMYFUNCTION("GOOGLETRANSLATE(B2205, ""ja"", ""en"")"),"% S were now available.")</f>
        <v>% S were now available.</v>
      </c>
    </row>
    <row r="2206" spans="1:3" ht="12.75" x14ac:dyDescent="0.2">
      <c r="A2206" s="1" t="s">
        <v>3952</v>
      </c>
      <c r="B2206" s="1" t="s">
        <v>3953</v>
      </c>
      <c r="C2206" t="str">
        <f ca="1">IFERROR(__xludf.DUMMYFUNCTION("GOOGLETRANSLATE(B2206, ""ja"", ""en"")"),"As after the clearing mode, [n] [n] end of the Edo period Man'yu [n] ultimate arena [n] [n] has been added to the menu.")</f>
        <v>As after the clearing mode, [n] [n] end of the Edo period Man'yu [n] ultimate arena [n] [n] has been added to the menu.</v>
      </c>
    </row>
    <row r="2207" spans="1:3" ht="12.75" x14ac:dyDescent="0.2">
      <c r="A2207" s="1" t="s">
        <v>3954</v>
      </c>
      <c r="B2207" s="1" t="s">
        <v>3955</v>
      </c>
      <c r="C2207" t="str">
        <f ca="1">IFERROR(__xludf.DUMMYFUNCTION("GOOGLETRANSLATE(B2207, ""ja"", ""en"")"),"Master class has been added to the difficulty settings.")</f>
        <v>Master class has been added to the difficulty settings.</v>
      </c>
    </row>
    <row r="2208" spans="1:3" ht="12.75" x14ac:dyDescent="0.2">
      <c r="A2208" s="1" t="s">
        <v>3956</v>
      </c>
      <c r="B2208" s="1" t="s">
        <v>3957</v>
      </c>
      <c r="C2208" t="str">
        <f ca="1">IFERROR(__xludf.DUMMYFUNCTION("GOOGLETRANSLATE(B2208, ""ja"", ""en"")"),"Or ""from the beginning in the clear data use"", you can receive in a [n] When you start the game in the ""Edo Man'yu"" [n] ""can store Naomi of fortune-telling.""")</f>
        <v>Or "from the beginning in the clear data use", you can receive in a [n] When you start the game in the "Edo Man'yu" [n] "can store Naomi of fortune-telling."</v>
      </c>
    </row>
    <row r="2209" spans="1:3" ht="12.75" x14ac:dyDescent="0.2">
      <c r="A2209" s="1" t="s">
        <v>3958</v>
      </c>
      <c r="B2209" s="1" t="s">
        <v>3959</v>
      </c>
      <c r="C2209" t="str">
        <f ca="1">IFERROR(__xludf.DUMMYFUNCTION("GOOGLETRANSLATE(B2209, ""ja"", ""en"")"),"Or ""from the beginning in the clear data use"", you can get the ""% s"" from Utsunomiya you are in when you start the game with ""Edo Man'yu"" [n] Teradaya.")</f>
        <v>Or "from the beginning in the clear data use", you can get the "% s" from Utsunomiya you are in when you start the game with "Edo Man'yu" [n] Teradaya.</v>
      </c>
    </row>
    <row r="2210" spans="1:3" ht="12.75" x14ac:dyDescent="0.2">
      <c r="A2210" s="1" t="s">
        <v>3960</v>
      </c>
      <c r="B2210" s="1" t="s">
        <v>3961</v>
      </c>
      <c r="C2210" t="str">
        <f ca="1">IFERROR(__xludf.DUMMYFUNCTION("GOOGLETRANSLATE(B2210, ""ja"", ""en"")"),"% S% s is now to choose.")</f>
        <v>% S% s is now to choose.</v>
      </c>
    </row>
    <row r="2211" spans="1:3" ht="12.75" x14ac:dyDescent="0.2">
      <c r="A2211" s="1" t="s">
        <v>3962</v>
      </c>
      <c r="B2211" s="1" t="s">
        <v>3963</v>
      </c>
      <c r="C2211" t="str">
        <f ca="1">IFERROR(__xludf.DUMMYFUNCTION("GOOGLETRANSLATE(B2211, ""ja"", ""en"")"),"strongest")</f>
        <v>strongest</v>
      </c>
    </row>
    <row r="2212" spans="1:3" ht="12.75" x14ac:dyDescent="0.2">
      <c r="A2212" s="1" t="s">
        <v>3964</v>
      </c>
      <c r="B2212" s="1" t="s">
        <v>3965</v>
      </c>
      <c r="C2212" t="str">
        <f ca="1">IFERROR(__xludf.DUMMYFUNCTION("GOOGLETRANSLATE(B2212, ""ja"", ""en"")"),"Weakest")</f>
        <v>Weakest</v>
      </c>
    </row>
    <row r="2213" spans="1:3" ht="12.75" x14ac:dyDescent="0.2">
      <c r="A2213" s="1" t="s">
        <v>3966</v>
      </c>
      <c r="B2213" s="1" t="s">
        <v>3967</v>
      </c>
      <c r="C2213" t="str">
        <f ca="1">IFERROR(__xludf.DUMMYFUNCTION("GOOGLETRANSLATE(B2213, ""ja"", ""en"")"),"About NETWORK SERVICE")</f>
        <v>About NETWORK SERVICE</v>
      </c>
    </row>
    <row r="2214" spans="1:3" ht="12.75" x14ac:dyDescent="0.2">
      <c r="A2214" s="1" t="s">
        <v>3968</v>
      </c>
      <c r="B2214" s="1" t="s">
        <v>3969</v>
      </c>
      <c r="C2214" t="str">
        <f ca="1">IFERROR(__xludf.DUMMYFUNCTION("GOOGLETRANSLATE(B2214, ""ja"", ""en"")"),"Manual update")</f>
        <v>Manual update</v>
      </c>
    </row>
    <row r="2215" spans="1:3" ht="12.75" x14ac:dyDescent="0.2">
      <c r="A2215" s="1" t="s">
        <v>3970</v>
      </c>
      <c r="B2215" s="1" t="s">
        <v>470</v>
      </c>
      <c r="C2215" t="str">
        <f ca="1">IFERROR(__xludf.DUMMYFUNCTION("GOOGLETRANSLATE(B2215, ""ja"", ""en"")"),"Over")</f>
        <v>Over</v>
      </c>
    </row>
    <row r="2216" spans="1:3" ht="12.75" x14ac:dyDescent="0.2">
      <c r="A2216" s="1" t="s">
        <v>3971</v>
      </c>
      <c r="B2216" s="1" t="s">
        <v>3972</v>
      </c>
      <c r="C2216" t="str">
        <f ca="1">IFERROR(__xludf.DUMMYFUNCTION("GOOGLETRANSLATE(B2216, ""ja"", ""en"")"),"Please have a wireless controller to connect the two")</f>
        <v>Please have a wireless controller to connect the two</v>
      </c>
    </row>
    <row r="2217" spans="1:3" ht="12.75" x14ac:dyDescent="0.2">
      <c r="A2217" s="1" t="s">
        <v>3973</v>
      </c>
      <c r="B2217" s="1" t="s">
        <v>3974</v>
      </c>
      <c r="C2217" t="str">
        <f ca="1">IFERROR(__xludf.DUMMYFUNCTION("GOOGLETRANSLATE(B2217, ""ja"", ""en"")"),"You can see the content that is available by using the network.")</f>
        <v>You can see the content that is available by using the network.</v>
      </c>
    </row>
    <row r="2218" spans="1:3" ht="12.75" x14ac:dyDescent="0.2">
      <c r="A2218" s="1" t="s">
        <v>3975</v>
      </c>
      <c r="B2218" s="1" t="s">
        <v>3976</v>
      </c>
      <c r="C2218" t="str">
        <f ca="1">IFERROR(__xludf.DUMMYFUNCTION("GOOGLETRANSLATE(B2218, ""ja"", ""en"")"),"You can check the information of the added content.")</f>
        <v>You can check the information of the added content.</v>
      </c>
    </row>
    <row r="2219" spans="1:3" ht="12.75" x14ac:dyDescent="0.2">
      <c r="A2219" s="1" t="s">
        <v>3977</v>
      </c>
      <c r="B2219" s="1" t="s">
        <v>3978</v>
      </c>
      <c r="C2219" t="str">
        <f ca="1">IFERROR(__xludf.DUMMYFUNCTION("GOOGLETRANSLATE(B2219, ""ja"", ""en"")"),"Body that is connected to the network I will auto-update [n] door but, or the like which is the middle cut, if it fails, you can perform the update manually from here [n].")</f>
        <v>Body that is connected to the network I will auto-update [n] door but, or the like which is the middle cut, if it fails, you can perform the update manually from here [n].</v>
      </c>
    </row>
    <row r="2220" spans="1:3" ht="12.75" x14ac:dyDescent="0.2">
      <c r="A2220" s="1" t="s">
        <v>3979</v>
      </c>
      <c r="B2220" s="1" t="s">
        <v>3980</v>
      </c>
      <c r="C2220" t="str">
        <f ca="1">IFERROR(__xludf.DUMMYFUNCTION("GOOGLETRANSLATE(B2220, ""ja"", ""en"")"),"S3")</f>
        <v>S3</v>
      </c>
    </row>
    <row r="2221" spans="1:3" ht="12.75" x14ac:dyDescent="0.2">
      <c r="A2221" s="1" t="s">
        <v>3981</v>
      </c>
      <c r="B2221" s="1" t="s">
        <v>1019</v>
      </c>
      <c r="C2221" t="str">
        <f ca="1">IFERROR(__xludf.DUMMYFUNCTION("GOOGLETRANSLATE(B2221, ""ja"", ""en"")"),"B")</f>
        <v>B</v>
      </c>
    </row>
    <row r="2222" spans="1:3" ht="12.75" x14ac:dyDescent="0.2">
      <c r="A2222" s="1" t="s">
        <v>3982</v>
      </c>
      <c r="B2222" s="1" t="s">
        <v>3983</v>
      </c>
      <c r="C2222" t="str">
        <f ca="1">IFERROR(__xludf.DUMMYFUNCTION("GOOGLETRANSLATE(B2222, ""ja"", ""en"")"),"&lt;Sign: D&gt; Agree")</f>
        <v>&lt;Sign: D&gt; Agree</v>
      </c>
    </row>
    <row r="2223" spans="1:3" ht="12.75" x14ac:dyDescent="0.2">
      <c r="A2223" s="1" t="s">
        <v>3984</v>
      </c>
      <c r="B2223" s="1" t="s">
        <v>3985</v>
      </c>
      <c r="C2223" t="str">
        <f ca="1">IFERROR(__xludf.DUMMYFUNCTION("GOOGLETRANSLATE(B2223, ""ja"", ""en"")"),"&lt;Sign: C&gt; do not agree")</f>
        <v>&lt;Sign: C&gt; do not agree</v>
      </c>
    </row>
    <row r="2224" spans="1:3" ht="12.75" x14ac:dyDescent="0.2">
      <c r="A2224" s="1" t="s">
        <v>3986</v>
      </c>
      <c r="B2224" s="1" t="s">
        <v>3987</v>
      </c>
      <c r="C2224" t="str">
        <f ca="1">IFERROR(__xludf.DUMMYFUNCTION("GOOGLETRANSLATE(B2224, ""ja"", ""en"")"),"-Option")</f>
        <v>-Option</v>
      </c>
    </row>
    <row r="2225" spans="1:3" ht="12.75" x14ac:dyDescent="0.2">
      <c r="A2225" s="1" t="s">
        <v>3988</v>
      </c>
      <c r="B2225" s="1" t="s">
        <v>260</v>
      </c>
      <c r="C2225" t="str">
        <f ca="1">IFERROR(__xludf.DUMMYFUNCTION("GOOGLETRANSLATE(B2225, ""ja"", ""en"")"),"De")</f>
        <v>De</v>
      </c>
    </row>
    <row r="2226" spans="1:3" ht="12.75" x14ac:dyDescent="0.2">
      <c r="A2226" s="1" t="s">
        <v>3989</v>
      </c>
      <c r="B2226" s="1" t="s">
        <v>247</v>
      </c>
      <c r="C2226" t="str">
        <f ca="1">IFERROR(__xludf.DUMMYFUNCTION("GOOGLETRANSLATE(B2226, ""ja"", ""en"")"),".")</f>
        <v>.</v>
      </c>
    </row>
    <row r="2227" spans="1:3" ht="12.75" x14ac:dyDescent="0.2">
      <c r="A2227" s="1" t="s">
        <v>3990</v>
      </c>
      <c r="C2227" t="str">
        <f ca="1">IFERROR(__xludf.DUMMYFUNCTION("GOOGLETRANSLATE(B2227, ""ja"", ""en"")"),"#VALUE!")</f>
        <v>#VALUE!</v>
      </c>
    </row>
    <row r="2228" spans="1:3" ht="12.75" x14ac:dyDescent="0.2">
      <c r="A2228" s="1" t="s">
        <v>3991</v>
      </c>
      <c r="B2228" s="1" t="s">
        <v>247</v>
      </c>
      <c r="C2228" t="str">
        <f ca="1">IFERROR(__xludf.DUMMYFUNCTION("GOOGLETRANSLATE(B2228, ""ja"", ""en"")"),".")</f>
        <v>.</v>
      </c>
    </row>
    <row r="2229" spans="1:3" ht="12.75" x14ac:dyDescent="0.2">
      <c r="A2229" s="1" t="s">
        <v>3992</v>
      </c>
      <c r="B2229" s="1" t="s">
        <v>1019</v>
      </c>
      <c r="C2229" t="str">
        <f ca="1">IFERROR(__xludf.DUMMYFUNCTION("GOOGLETRANSLATE(B2229, ""ja"", ""en"")"),"B")</f>
        <v>B</v>
      </c>
    </row>
    <row r="2230" spans="1:3" ht="12.75" x14ac:dyDescent="0.2">
      <c r="A2230" s="1" t="s">
        <v>3993</v>
      </c>
      <c r="B2230" s="1" t="s">
        <v>247</v>
      </c>
      <c r="C2230" t="str">
        <f ca="1">IFERROR(__xludf.DUMMYFUNCTION("GOOGLETRANSLATE(B2230, ""ja"", ""en"")"),".")</f>
        <v>.</v>
      </c>
    </row>
    <row r="2231" spans="1:3" ht="12.75" x14ac:dyDescent="0.2">
      <c r="A2231" s="1" t="s">
        <v>3994</v>
      </c>
      <c r="B2231" s="1" t="s">
        <v>1019</v>
      </c>
      <c r="C2231" t="str">
        <f ca="1">IFERROR(__xludf.DUMMYFUNCTION("GOOGLETRANSLATE(B2231, ""ja"", ""en"")"),"B")</f>
        <v>B</v>
      </c>
    </row>
    <row r="2232" spans="1:3" ht="12.75" x14ac:dyDescent="0.2">
      <c r="A2232" s="1" t="s">
        <v>3995</v>
      </c>
      <c r="B2232" s="1" t="s">
        <v>1594</v>
      </c>
      <c r="C2232" t="str">
        <f ca="1">IFERROR(__xludf.DUMMYFUNCTION("GOOGLETRANSLATE(B2232, ""ja"", ""en"")"),"Grayed")</f>
        <v>Grayed</v>
      </c>
    </row>
    <row r="2233" spans="1:3" ht="12.75" x14ac:dyDescent="0.2">
      <c r="A2233" s="1" t="s">
        <v>3996</v>
      </c>
      <c r="B2233" s="1" t="s">
        <v>1594</v>
      </c>
      <c r="C2233" t="str">
        <f ca="1">IFERROR(__xludf.DUMMYFUNCTION("GOOGLETRANSLATE(B2233, ""ja"", ""en"")"),"Grayed")</f>
        <v>Grayed</v>
      </c>
    </row>
    <row r="2234" spans="1:3" ht="12.75" x14ac:dyDescent="0.2">
      <c r="A2234" s="1" t="s">
        <v>3997</v>
      </c>
      <c r="B2234" s="1" t="s">
        <v>247</v>
      </c>
      <c r="C2234" t="str">
        <f ca="1">IFERROR(__xludf.DUMMYFUNCTION("GOOGLETRANSLATE(B2234, ""ja"", ""en"")"),".")</f>
        <v>.</v>
      </c>
    </row>
    <row r="2235" spans="1:3" ht="12.75" x14ac:dyDescent="0.2">
      <c r="A2235" s="1" t="s">
        <v>3998</v>
      </c>
      <c r="B2235" s="1" t="s">
        <v>247</v>
      </c>
      <c r="C2235" t="str">
        <f ca="1">IFERROR(__xludf.DUMMYFUNCTION("GOOGLETRANSLATE(B2235, ""ja"", ""en"")"),".")</f>
        <v>.</v>
      </c>
    </row>
    <row r="2236" spans="1:3" ht="12.75" x14ac:dyDescent="0.2">
      <c r="A2236" s="1" t="s">
        <v>3999</v>
      </c>
      <c r="B2236" s="1" t="s">
        <v>247</v>
      </c>
      <c r="C2236" t="str">
        <f ca="1">IFERROR(__xludf.DUMMYFUNCTION("GOOGLETRANSLATE(B2236, ""ja"", ""en"")"),".")</f>
        <v>.</v>
      </c>
    </row>
    <row r="2237" spans="1:3" ht="12.75" x14ac:dyDescent="0.2">
      <c r="A2237" s="1" t="s">
        <v>4000</v>
      </c>
      <c r="B2237" s="1" t="s">
        <v>1019</v>
      </c>
      <c r="C2237" t="str">
        <f ca="1">IFERROR(__xludf.DUMMYFUNCTION("GOOGLETRANSLATE(B2237, ""ja"", ""en"")"),"B")</f>
        <v>B</v>
      </c>
    </row>
    <row r="2238" spans="1:3" ht="12.75" x14ac:dyDescent="0.2">
      <c r="A2238" s="1" t="s">
        <v>4001</v>
      </c>
      <c r="B2238" s="1" t="s">
        <v>247</v>
      </c>
      <c r="C2238" t="str">
        <f ca="1">IFERROR(__xludf.DUMMYFUNCTION("GOOGLETRANSLATE(B2238, ""ja"", ""en"")"),".")</f>
        <v>.</v>
      </c>
    </row>
    <row r="2239" spans="1:3" ht="12.75" x14ac:dyDescent="0.2">
      <c r="A2239" s="1" t="s">
        <v>4002</v>
      </c>
      <c r="B2239" s="1" t="s">
        <v>354</v>
      </c>
      <c r="C2239" t="str">
        <f ca="1">IFERROR(__xludf.DUMMYFUNCTION("GOOGLETRANSLATE(B2239, ""ja"", ""en"")"),"That")</f>
        <v>That</v>
      </c>
    </row>
    <row r="2240" spans="1:3" ht="12.75" x14ac:dyDescent="0.2">
      <c r="A2240" s="1" t="s">
        <v>4003</v>
      </c>
      <c r="B2240" s="1" t="s">
        <v>4004</v>
      </c>
      <c r="C2240" t="str">
        <f ca="1">IFERROR(__xludf.DUMMYFUNCTION("GOOGLETRANSLATE(B2240, ""ja"", ""en"")"),"Play online")</f>
        <v>Play online</v>
      </c>
    </row>
    <row r="2241" spans="1:3" ht="12.75" x14ac:dyDescent="0.2">
      <c r="A2241" s="1" t="s">
        <v>4005</v>
      </c>
      <c r="B2241" s="1" t="s">
        <v>4006</v>
      </c>
      <c r="C2241" t="str">
        <f ca="1">IFERROR(__xludf.DUMMYFUNCTION("GOOGLETRANSLATE(B2241, ""ja"", ""en"")"),"Play by one person")</f>
        <v>Play by one person</v>
      </c>
    </row>
    <row r="2242" spans="1:3" ht="12.75" x14ac:dyDescent="0.2">
      <c r="A2242" s="1" t="s">
        <v>4007</v>
      </c>
      <c r="B2242" s="1" t="s">
        <v>4008</v>
      </c>
      <c r="C2242" t="str">
        <f ca="1">IFERROR(__xludf.DUMMYFUNCTION("GOOGLETRANSLATE(B2242, ""ja"", ""en"")"),"Mahjong, play Koi-Koi, placed Cho Co., poker, Shogi [n] the five types of mini-games in the online competition.")</f>
        <v>Mahjong, play Koi-Koi, placed Cho Co., poker, Shogi [n] the five types of mini-games in the online competition.</v>
      </c>
    </row>
    <row r="2243" spans="1:3" ht="12.75" x14ac:dyDescent="0.2">
      <c r="A2243" s="1" t="s">
        <v>4009</v>
      </c>
      <c r="B2243" s="1" t="s">
        <v>4010</v>
      </c>
      <c r="C2243" t="str">
        <f ca="1">IFERROR(__xludf.DUMMYFUNCTION("GOOGLETRANSLATE(B2243, ""ja"", ""en"")"),"Mahjong, play Koi-Koi, placed Cho Co., poker, Shogi [n] the five types of mini-games in only one person.")</f>
        <v>Mahjong, play Koi-Koi, placed Cho Co., poker, Shogi [n] the five types of mini-games in only one person.</v>
      </c>
    </row>
    <row r="2244" spans="1:3" ht="12.75" x14ac:dyDescent="0.2">
      <c r="A2244" s="1" t="s">
        <v>4011</v>
      </c>
      <c r="B2244" s="1" t="s">
        <v>4012</v>
      </c>
      <c r="C2244" t="str">
        <f ca="1">IFERROR(__xludf.DUMMYFUNCTION("GOOGLETRANSLATE(B2244, ""ja"", ""en"")"),"Use the Mahjong tiles, will compete on the strength of the fast and the role of go [n] role making pulling the tiles in order.")</f>
        <v>Use the Mahjong tiles, will compete on the strength of the fast and the role of go [n] role making pulling the tiles in order.</v>
      </c>
    </row>
    <row r="2245" spans="1:3" ht="12.75" x14ac:dyDescent="0.2">
      <c r="A2245" s="1" t="s">
        <v>4013</v>
      </c>
      <c r="B2245" s="1" t="s">
        <v>4014</v>
      </c>
      <c r="C2245" t="str">
        <f ca="1">IFERROR(__xludf.DUMMYFUNCTION("GOOGLETRANSLATE(B2245, ""ja"", ""en"")"),"Use the shogi pieces, move the Tegoma alternately either [n] to compete with or take the opponent's king ahead.")</f>
        <v>Use the shogi pieces, move the Tegoma alternately either [n] to compete with or take the opponent's king ahead.</v>
      </c>
    </row>
    <row r="2246" spans="1:3" ht="12.75" x14ac:dyDescent="0.2">
      <c r="A2246" s="1" t="s">
        <v>4015</v>
      </c>
      <c r="B2246" s="1" t="s">
        <v>4016</v>
      </c>
      <c r="C2246" t="str">
        <f ca="1">IFERROR(__xludf.DUMMYFUNCTION("GOOGLETRANSLATE(B2246, ""ja"", ""en"")"),"Use the playing cards, and then continue [n] match to create a role doing the picture matching.")</f>
        <v>Use the playing cards, and then continue [n] match to create a role doing the picture matching.</v>
      </c>
    </row>
    <row r="2247" spans="1:3" ht="12.75" x14ac:dyDescent="0.2">
      <c r="A2247" s="1" t="s">
        <v>4017</v>
      </c>
      <c r="B2247" s="1" t="s">
        <v>4018</v>
      </c>
      <c r="C2247" t="str">
        <f ca="1">IFERROR(__xludf.DUMMYFUNCTION("GOOGLETRANSLATE(B2247, ""ja"", ""en"")"),"Use the kabufuda or playing cards, your hand is dealt two or three sheets [n] to compete on the last digit of the total number.")</f>
        <v>Use the kabufuda or playing cards, your hand is dealt two or three sheets [n] to compete on the last digit of the total number.</v>
      </c>
    </row>
    <row r="2248" spans="1:3" ht="12.75" x14ac:dyDescent="0.2">
      <c r="A2248" s="1" t="s">
        <v>4019</v>
      </c>
      <c r="B2248" s="1" t="s">
        <v>4020</v>
      </c>
      <c r="C2248" t="str">
        <f ca="1">IFERROR(__xludf.DUMMYFUNCTION("GOOGLETRANSLATE(B2248, ""ja"", ""en"")"),"Use the play bills of the foreign country, consider a combination of five of the bills will compete on the strength of the [n] role.")</f>
        <v>Use the play bills of the foreign country, consider a combination of five of the bills will compete on the strength of the [n] role.</v>
      </c>
    </row>
    <row r="2249" spans="1:3" ht="12.75" x14ac:dyDescent="0.2">
      <c r="A2249" s="1" t="s">
        <v>4021</v>
      </c>
      <c r="B2249" s="1" t="s">
        <v>4022</v>
      </c>
      <c r="C2249" t="str">
        <f ca="1">IFERROR(__xludf.DUMMYFUNCTION("GOOGLETRANSLATE(B2249, ""ja"", ""en"")"),"High betting point")</f>
        <v>High betting point</v>
      </c>
    </row>
    <row r="2250" spans="1:3" ht="12.75" x14ac:dyDescent="0.2">
      <c r="A2250" s="1" t="s">
        <v>4023</v>
      </c>
      <c r="B2250" s="1" t="s">
        <v>4024</v>
      </c>
      <c r="C2250" t="str">
        <f ca="1">IFERROR(__xludf.DUMMYFUNCTION("GOOGLETRANSLATE(B2250, ""ja"", ""en"")"),"Low betting point")</f>
        <v>Low betting point</v>
      </c>
    </row>
    <row r="2251" spans="1:3" ht="12.75" x14ac:dyDescent="0.2">
      <c r="A2251" s="1" t="s">
        <v>4025</v>
      </c>
      <c r="B2251" s="1" t="s">
        <v>4026</v>
      </c>
      <c r="C2251" t="str">
        <f ca="1">IFERROR(__xludf.DUMMYFUNCTION("GOOGLETRANSLATE(B2251, ""ja"", ""en"")"),"One game")</f>
        <v>One game</v>
      </c>
    </row>
    <row r="2252" spans="1:3" ht="12.75" x14ac:dyDescent="0.2">
      <c r="A2252" s="1" t="s">
        <v>4027</v>
      </c>
      <c r="B2252" s="1" t="s">
        <v>4028</v>
      </c>
      <c r="C2252" t="str">
        <f ca="1">IFERROR(__xludf.DUMMYFUNCTION("GOOGLETRANSLATE(B2252, ""ja"", ""en"")"),"The betting point 250 points you play and replace it with a 25,000-point outlook.")</f>
        <v>The betting point 250 points you play and replace it with a 25,000-point outlook.</v>
      </c>
    </row>
    <row r="2253" spans="1:3" ht="12.75" x14ac:dyDescent="0.2">
      <c r="A2253" s="1" t="s">
        <v>4029</v>
      </c>
      <c r="B2253" s="1" t="s">
        <v>4030</v>
      </c>
      <c r="C2253" t="str">
        <f ca="1">IFERROR(__xludf.DUMMYFUNCTION("GOOGLETRANSLATE(B2253, ""ja"", ""en"")"),"The betting point 25 points you play and replace it with a 25,000-point outlook.")</f>
        <v>The betting point 25 points you play and replace it with a 25,000-point outlook.</v>
      </c>
    </row>
    <row r="2254" spans="1:3" ht="12.75" x14ac:dyDescent="0.2">
      <c r="A2254" s="1" t="s">
        <v>4031</v>
      </c>
      <c r="B2254" s="1" t="s">
        <v>4032</v>
      </c>
      <c r="C2254" t="str">
        <f ca="1">IFERROR(__xludf.DUMMYFUNCTION("GOOGLETRANSLATE(B2254, ""ja"", ""en"")"),"I can not play because the betting point is not enough. [N] Please have accumulated more than 250 points.")</f>
        <v>I can not play because the betting point is not enough. [N] Please have accumulated more than 250 points.</v>
      </c>
    </row>
    <row r="2255" spans="1:3" ht="12.75" x14ac:dyDescent="0.2">
      <c r="A2255" s="1" t="s">
        <v>4033</v>
      </c>
      <c r="B2255" s="1" t="s">
        <v>4034</v>
      </c>
      <c r="C2255" t="str">
        <f ca="1">IFERROR(__xludf.DUMMYFUNCTION("GOOGLETRANSLATE(B2255, ""ja"", ""en"")"),"I can not play because the betting point is not enough. [N] Please have accumulated more than 25 points.")</f>
        <v>I can not play because the betting point is not enough. [N] Please have accumulated more than 25 points.</v>
      </c>
    </row>
    <row r="2256" spans="1:3" ht="12.75" x14ac:dyDescent="0.2">
      <c r="A2256" s="1" t="s">
        <v>4035</v>
      </c>
      <c r="B2256" s="1" t="s">
        <v>4036</v>
      </c>
      <c r="C2256" t="str">
        <f ca="1">IFERROR(__xludf.DUMMYFUNCTION("GOOGLETRANSLATE(B2256, ""ja"", ""en"")"),"You can play in one game 5 points.")</f>
        <v>You can play in one game 5 points.</v>
      </c>
    </row>
    <row r="2257" spans="1:3" ht="12.75" x14ac:dyDescent="0.2">
      <c r="A2257" s="1" t="s">
        <v>4037</v>
      </c>
      <c r="B2257" s="1" t="s">
        <v>4038</v>
      </c>
      <c r="C2257" t="str">
        <f ca="1">IFERROR(__xludf.DUMMYFUNCTION("GOOGLETRANSLATE(B2257, ""ja"", ""en"")"),"This online competition Ikoi will be three times game. [N] score difference × 100 points and the opponent will be exchanged. To play with [n] high betting point, it must be at least 2000 points.")</f>
        <v>This online competition Ikoi will be three times game. [N] score difference × 100 points and the opponent will be exchanged. To play with [n] high betting point, it must be at least 2000 points.</v>
      </c>
    </row>
    <row r="2258" spans="1:3" ht="12.75" x14ac:dyDescent="0.2">
      <c r="A2258" s="1" t="s">
        <v>4039</v>
      </c>
      <c r="B2258" s="1" t="s">
        <v>4040</v>
      </c>
      <c r="C2258" t="str">
        <f ca="1">IFERROR(__xludf.DUMMYFUNCTION("GOOGLETRANSLATE(B2258, ""ja"", ""en"")"),"This online competition Ikoi will be three times game. [N] score difference × 10 points and the opponent will be exchanged. To play with [n] low betting point, we need points at least 200.")</f>
        <v>This online competition Ikoi will be three times game. [N] score difference × 10 points and the opponent will be exchanged. To play with [n] low betting point, we need points at least 200.</v>
      </c>
    </row>
    <row r="2259" spans="1:3" ht="12.75" x14ac:dyDescent="0.2">
      <c r="A2259" s="1" t="s">
        <v>4041</v>
      </c>
      <c r="B2259" s="1" t="s">
        <v>4042</v>
      </c>
      <c r="C2259" t="str">
        <f ca="1">IFERROR(__xludf.DUMMYFUNCTION("GOOGLETRANSLATE(B2259, ""ja"", ""en"")"),"Contact posthumous edition strains of online play is 4 times game. [N] upper limit of bets wagered point at a time up to 1000 points. To play with [n] high betting point, it must be at least 4000 points.")</f>
        <v>Contact posthumous edition strains of online play is 4 times game. [N] upper limit of bets wagered point at a time up to 1000 points. To play with [n] high betting point, it must be at least 4000 points.</v>
      </c>
    </row>
    <row r="2260" spans="1:3" ht="12.75" x14ac:dyDescent="0.2">
      <c r="A2260" s="1" t="s">
        <v>4043</v>
      </c>
      <c r="B2260" s="1" t="s">
        <v>4044</v>
      </c>
      <c r="C2260" t="str">
        <f ca="1">IFERROR(__xludf.DUMMYFUNCTION("GOOGLETRANSLATE(B2260, ""ja"", ""en"")"),"Contact posthumous edition strains of online play is 4 times game. [N] upper limit of bets wagered point at a time is up to 100 points. [N] to play in the low betting point is, we need points at least 400.")</f>
        <v>Contact posthumous edition strains of online play is 4 times game. [N] upper limit of bets wagered point at a time is up to 100 points. [N] to play in the low betting point is, we need points at least 400.</v>
      </c>
    </row>
    <row r="2261" spans="1:3" ht="12.75" x14ac:dyDescent="0.2">
      <c r="A2261" s="1" t="s">
        <v>4045</v>
      </c>
      <c r="B2261" s="1" t="s">
        <v>4046</v>
      </c>
      <c r="C2261" t="str">
        <f ca="1">IFERROR(__xludf.DUMMYFUNCTION("GOOGLETRANSLATE(B2261, ""ja"", ""en"")"),"I can not play because the betting point is not enough. [N] Please have accumulated more than 4000 points.")</f>
        <v>I can not play because the betting point is not enough. [N] Please have accumulated more than 4000 points.</v>
      </c>
    </row>
    <row r="2262" spans="1:3" ht="12.75" x14ac:dyDescent="0.2">
      <c r="A2262" s="1" t="s">
        <v>4047</v>
      </c>
      <c r="B2262" s="1" t="s">
        <v>4048</v>
      </c>
      <c r="C2262" t="str">
        <f ca="1">IFERROR(__xludf.DUMMYFUNCTION("GOOGLETRANSLATE(B2262, ""ja"", ""en"")"),"I can not play because the betting point is not enough. [N] Please have accumulated more than 400 points.")</f>
        <v>I can not play because the betting point is not enough. [N] Please have accumulated more than 400 points.</v>
      </c>
    </row>
    <row r="2263" spans="1:3" ht="12.75" x14ac:dyDescent="0.2">
      <c r="A2263" s="1" t="s">
        <v>4049</v>
      </c>
      <c r="B2263" s="1" t="s">
        <v>4050</v>
      </c>
      <c r="C2263" t="str">
        <f ca="1">IFERROR(__xludf.DUMMYFUNCTION("GOOGLETRANSLATE(B2263, ""ja"", ""en"")"),"To play at a high betting point, it must be at least 4000 points. Play in the [n] Texas Hold'em, the minimum BET number [n] 1~2 round is 50 points, 3-4 round is 100 points.")</f>
        <v>To play at a high betting point, it must be at least 4000 points. Play in the [n] Texas Hold'em, the minimum BET number [n] 1~2 round is 50 points, 3-4 round is 100 points.</v>
      </c>
    </row>
    <row r="2264" spans="1:3" ht="12.75" x14ac:dyDescent="0.2">
      <c r="A2264" s="1" t="s">
        <v>4051</v>
      </c>
      <c r="B2264" s="1" t="s">
        <v>4052</v>
      </c>
      <c r="C2264" t="str">
        <f ca="1">IFERROR(__xludf.DUMMYFUNCTION("GOOGLETRANSLATE(B2264, ""ja"", ""en"")"),"To play in the low betting point is, you need points at least 400. Play in the [n] Texas Hold'em, the minimum BET number [n] 1~2 round 5 points, 3-4 round is 10 points.")</f>
        <v>To play in the low betting point is, you need points at least 400. Play in the [n] Texas Hold'em, the minimum BET number [n] 1~2 round 5 points, 3-4 round is 10 points.</v>
      </c>
    </row>
    <row r="2265" spans="1:3" ht="12.75" x14ac:dyDescent="0.2">
      <c r="A2265" s="1" t="s">
        <v>4053</v>
      </c>
      <c r="B2265" s="1" t="s">
        <v>4054</v>
      </c>
      <c r="C2265" t="str">
        <f ca="1">IFERROR(__xludf.DUMMYFUNCTION("GOOGLETRANSLATE(B2265, ""ja"", ""en"")"),"The upper limit of the betting point wagered at a time up to 1000 points. To play with [n] high betting point, it must be at least 1000 points.")</f>
        <v>The upper limit of the betting point wagered at a time up to 1000 points. To play with [n] high betting point, it must be at least 1000 points.</v>
      </c>
    </row>
    <row r="2266" spans="1:3" ht="12.75" x14ac:dyDescent="0.2">
      <c r="A2266" s="1" t="s">
        <v>4055</v>
      </c>
      <c r="B2266" s="1" t="s">
        <v>4056</v>
      </c>
      <c r="C2266" t="str">
        <f ca="1">IFERROR(__xludf.DUMMYFUNCTION("GOOGLETRANSLATE(B2266, ""ja"", ""en"")"),"The upper limit of the betting point wagered at a time is up to 100 points. [N] to play in the low betting point, it must be at least 100 points.")</f>
        <v>The upper limit of the betting point wagered at a time is up to 100 points. [N] to play in the low betting point, it must be at least 100 points.</v>
      </c>
    </row>
    <row r="2267" spans="1:3" ht="12.75" x14ac:dyDescent="0.2">
      <c r="A2267" s="1" t="s">
        <v>4057</v>
      </c>
      <c r="B2267" s="1" t="s">
        <v>4058</v>
      </c>
      <c r="C2267" t="str">
        <f ca="1">IFERROR(__xludf.DUMMYFUNCTION("GOOGLETRANSLATE(B2267, ""ja"", ""en"")"),"To play at a high betting point, it must be at least 1000 points.")</f>
        <v>To play at a high betting point, it must be at least 1000 points.</v>
      </c>
    </row>
    <row r="2268" spans="1:3" ht="12.75" x14ac:dyDescent="0.2">
      <c r="A2268" s="1" t="s">
        <v>4059</v>
      </c>
      <c r="B2268" s="1" t="s">
        <v>4060</v>
      </c>
      <c r="C2268" t="str">
        <f ca="1">IFERROR(__xludf.DUMMYFUNCTION("GOOGLETRANSLATE(B2268, ""ja"", ""en"")"),"To play in the low betting point, it must be at least 100 points.")</f>
        <v>To play in the low betting point, it must be at least 100 points.</v>
      </c>
    </row>
    <row r="2269" spans="1:3" ht="12.75" x14ac:dyDescent="0.2">
      <c r="A2269" s="1" t="s">
        <v>4061</v>
      </c>
      <c r="B2269" s="1">
        <v>250</v>
      </c>
      <c r="C2269" t="str">
        <f ca="1">IFERROR(__xludf.DUMMYFUNCTION("GOOGLETRANSLATE(B2269, ""ja"", ""en"")"),"250")</f>
        <v>250</v>
      </c>
    </row>
    <row r="2270" spans="1:3" ht="12.75" x14ac:dyDescent="0.2">
      <c r="A2270" s="1" t="s">
        <v>4062</v>
      </c>
      <c r="B2270" s="1">
        <v>25</v>
      </c>
      <c r="C2270" t="str">
        <f ca="1">IFERROR(__xludf.DUMMYFUNCTION("GOOGLETRANSLATE(B2270, ""ja"", ""en"")"),"twenty five")</f>
        <v>twenty five</v>
      </c>
    </row>
    <row r="2271" spans="1:3" ht="12.75" x14ac:dyDescent="0.2">
      <c r="A2271" s="1" t="s">
        <v>4063</v>
      </c>
      <c r="B2271" s="1">
        <v>5</v>
      </c>
      <c r="C2271" t="str">
        <f ca="1">IFERROR(__xludf.DUMMYFUNCTION("GOOGLETRANSLATE(B2271, ""ja"", ""en"")"),"Five")</f>
        <v>Five</v>
      </c>
    </row>
    <row r="2272" spans="1:3" ht="12.75" x14ac:dyDescent="0.2">
      <c r="A2272" s="1" t="s">
        <v>4064</v>
      </c>
      <c r="B2272" s="1">
        <v>100</v>
      </c>
      <c r="C2272" t="str">
        <f ca="1">IFERROR(__xludf.DUMMYFUNCTION("GOOGLETRANSLATE(B2272, ""ja"", ""en"")"),"100")</f>
        <v>100</v>
      </c>
    </row>
    <row r="2273" spans="1:3" ht="12.75" x14ac:dyDescent="0.2">
      <c r="A2273" s="1" t="s">
        <v>4065</v>
      </c>
      <c r="B2273" s="1">
        <v>10</v>
      </c>
      <c r="C2273" t="str">
        <f ca="1">IFERROR(__xludf.DUMMYFUNCTION("GOOGLETRANSLATE(B2273, ""ja"", ""en"")"),"Ten")</f>
        <v>Ten</v>
      </c>
    </row>
    <row r="2274" spans="1:3" ht="12.75" x14ac:dyDescent="0.2">
      <c r="A2274" s="1" t="s">
        <v>4066</v>
      </c>
      <c r="B2274" s="1">
        <v>1000</v>
      </c>
      <c r="C2274" t="str">
        <f ca="1">IFERROR(__xludf.DUMMYFUNCTION("GOOGLETRANSLATE(B2274, ""ja"", ""en"")"),"1000")</f>
        <v>1000</v>
      </c>
    </row>
    <row r="2275" spans="1:3" ht="12.75" x14ac:dyDescent="0.2">
      <c r="A2275" s="1" t="s">
        <v>4067</v>
      </c>
      <c r="B2275" s="1" t="s">
        <v>4068</v>
      </c>
      <c r="C2275" t="str">
        <f ca="1">IFERROR(__xludf.DUMMYFUNCTION("GOOGLETRANSLATE(B2275, ""ja"", ""en"")"),"100/50")</f>
        <v>100/50</v>
      </c>
    </row>
    <row r="2276" spans="1:3" ht="12.75" x14ac:dyDescent="0.2">
      <c r="A2276" s="1" t="s">
        <v>4069</v>
      </c>
      <c r="B2276" s="2">
        <v>44474</v>
      </c>
      <c r="C2276" t="str">
        <f ca="1">IFERROR(__xludf.DUMMYFUNCTION("GOOGLETRANSLATE(B2276, ""ja"", ""en"")"),"5-Oct")</f>
        <v>5-Oct</v>
      </c>
    </row>
    <row r="2277" spans="1:3" ht="12.75" x14ac:dyDescent="0.2">
      <c r="A2277" s="1" t="s">
        <v>4070</v>
      </c>
      <c r="B2277" s="1" t="s">
        <v>4071</v>
      </c>
      <c r="C2277" t="str">
        <f ca="1">IFERROR(__xludf.DUMMYFUNCTION("GOOGLETRANSLATE(B2277, ""ja"", ""en"")"),"Place")</f>
        <v>Place</v>
      </c>
    </row>
    <row r="2278" spans="1:3" ht="12.75" x14ac:dyDescent="0.2">
      <c r="A2278" s="1" t="s">
        <v>4072</v>
      </c>
      <c r="B2278" s="1" t="s">
        <v>260</v>
      </c>
      <c r="C2278" t="str">
        <f ca="1">IFERROR(__xludf.DUMMYFUNCTION("GOOGLETRANSLATE(B2278, ""ja"", ""en"")"),"De")</f>
        <v>De</v>
      </c>
    </row>
    <row r="2279" spans="1:3" ht="12.75" x14ac:dyDescent="0.2">
      <c r="A2279" s="1" t="s">
        <v>4073</v>
      </c>
      <c r="B2279" s="1" t="s">
        <v>4074</v>
      </c>
      <c r="C2279" t="str">
        <f ca="1">IFERROR(__xludf.DUMMYFUNCTION("GOOGLETRANSLATE(B2279, ""ja"", ""en"")"),"Betting point exchange")</f>
        <v>Betting point exchange</v>
      </c>
    </row>
    <row r="2280" spans="1:3" ht="12.75" x14ac:dyDescent="0.2">
      <c r="A2280" s="1" t="s">
        <v>4075</v>
      </c>
      <c r="B2280" s="1" t="s">
        <v>4076</v>
      </c>
      <c r="C2280" t="str">
        <f ca="1">IFERROR(__xludf.DUMMYFUNCTION("GOOGLETRANSLATE(B2280, ""ja"", ""en"")"),"Purchased with money")</f>
        <v>Purchased with money</v>
      </c>
    </row>
    <row r="2281" spans="1:3" ht="12.75" x14ac:dyDescent="0.2">
      <c r="A2281" s="1" t="s">
        <v>4077</v>
      </c>
      <c r="B2281" s="1" t="s">
        <v>4078</v>
      </c>
      <c r="C2281" t="str">
        <f ca="1">IFERROR(__xludf.DUMMYFUNCTION("GOOGLETRANSLATE(B2281, ""ja"", ""en"")"),"If you have a betting point, and replace it with [n] a variety of prizes or money, last days.")</f>
        <v>If you have a betting point, and replace it with [n] a variety of prizes or money, last days.</v>
      </c>
    </row>
    <row r="2282" spans="1:3" ht="12.75" x14ac:dyDescent="0.2">
      <c r="A2282" s="1" t="s">
        <v>4079</v>
      </c>
      <c r="B2282" s="1" t="s">
        <v>4080</v>
      </c>
      <c r="C2282" t="str">
        <f ca="1">IFERROR(__xludf.DUMMYFUNCTION("GOOGLETRANSLATE(B2282, ""ja"", ""en"")"),"If you have a money, [n] and replace it with a variety of prizes or betting point, last days.")</f>
        <v>If you have a money, [n] and replace it with a variety of prizes or betting point, last days.</v>
      </c>
    </row>
    <row r="2283" spans="1:3" ht="12.75" x14ac:dyDescent="0.2">
      <c r="A2283" s="1" t="s">
        <v>4081</v>
      </c>
      <c r="B2283" s="1" t="s">
        <v>4082</v>
      </c>
      <c r="C2283" t="str">
        <f ca="1">IFERROR(__xludf.DUMMYFUNCTION("GOOGLETRANSLATE(B2283, ""ja"", ""en"")"),"Download save data from the server, [n] PlayStation 3 or PlayStation 4 and between [n] PlayStation Vita,, will share the progress. Please sign in to [n] ""PSN"" in [n] upload and download the same online ID. [N] [n] &lt;Color: 5&gt; When you save the save data "&amp;"that has been downloaded from the server [n] progress and clear situation of the story, will be overwritten to that of the save data downloaded [n]. [N] [n] even after clearing the game, [n] if save data downloaded from the server of [n] game before clear"&amp;"ing of the state, such as the story progresses and [n] clear the situation is back to the past , please pay attention to the old and new of the [n] save data to become again.")</f>
        <v>Download save data from the server, [n] PlayStation 3 or PlayStation 4 and between [n] PlayStation Vita,, will share the progress. Please sign in to [n] "PSN" in [n] upload and download the same online ID. [N] [n] &lt;Color: 5&gt; When you save the save data that has been downloaded from the server [n] progress and clear situation of the story, will be overwritten to that of the save data downloaded [n]. [N] [n] even after clearing the game, [n] if save data downloaded from the server of [n] game before clearing of the state, such as the story progresses and [n] clear the situation is back to the past , please pay attention to the old and new of the [n] save data to become again.</v>
      </c>
    </row>
    <row r="2284" spans="1:3" ht="12.75" x14ac:dyDescent="0.2">
      <c r="A2284" s="1" t="s">
        <v>4083</v>
      </c>
      <c r="B2284" s="1" t="s">
        <v>4084</v>
      </c>
      <c r="C2284" t="str">
        <f ca="1">IFERROR(__xludf.DUMMYFUNCTION("GOOGLETRANSLATE(B2284, ""ja"", ""en"")"),"Upload the save data to the server, [n] PlayStation 3 or PlayStation 4 and between [n] PlayStation Vita,, will share the progress. Please sign in to [n] ""PSN"" in [n] upload and download the same online ID.")</f>
        <v>Upload the save data to the server, [n] PlayStation 3 or PlayStation 4 and between [n] PlayStation Vita,, will share the progress. Please sign in to [n] "PSN" in [n] upload and download the same online ID.</v>
      </c>
    </row>
    <row r="2285" spans="1:3" ht="12.75" x14ac:dyDescent="0.2">
      <c r="A2285" s="1" t="s">
        <v>4085</v>
      </c>
      <c r="B2285" s="1" t="s">
        <v>4086</v>
      </c>
      <c r="C2285" t="str">
        <f ca="1">IFERROR(__xludf.DUMMYFUNCTION("GOOGLETRANSLATE(B2285, ""ja"", ""en"")"),"Total play time")</f>
        <v>Total play time</v>
      </c>
    </row>
    <row r="2286" spans="1:3" ht="12.75" x14ac:dyDescent="0.2">
      <c r="A2286" s="1" t="s">
        <v>4087</v>
      </c>
      <c r="B2286" s="1" t="s">
        <v>4088</v>
      </c>
      <c r="C2286" t="str">
        <f ca="1">IFERROR(__xludf.DUMMYFUNCTION("GOOGLETRANSLATE(B2286, ""ja"", ""en"")"),"level")</f>
        <v>level</v>
      </c>
    </row>
    <row r="2287" spans="1:3" ht="12.75" x14ac:dyDescent="0.2">
      <c r="A2287" s="1" t="s">
        <v>4089</v>
      </c>
      <c r="B2287" s="1" t="s">
        <v>4090</v>
      </c>
      <c r="C2287" t="str">
        <f ca="1">IFERROR(__xludf.DUMMYFUNCTION("GOOGLETRANSLATE(B2287, ""ja"", ""en"")"),"Experience point")</f>
        <v>Experience point</v>
      </c>
    </row>
    <row r="2288" spans="1:3" ht="12.75" x14ac:dyDescent="0.2">
      <c r="A2288" s="1" t="s">
        <v>4091</v>
      </c>
      <c r="B2288" s="1" t="s">
        <v>4092</v>
      </c>
      <c r="C2288" t="str">
        <f ca="1">IFERROR(__xludf.DUMMYFUNCTION("GOOGLETRANSLATE(B2288, ""ja"", ""en"")"),"The number of resolved mission")</f>
        <v>The number of resolved mission</v>
      </c>
    </row>
    <row r="2289" spans="1:3" ht="12.75" x14ac:dyDescent="0.2">
      <c r="A2289" s="1" t="s">
        <v>4093</v>
      </c>
      <c r="B2289" s="1" t="s">
        <v>4094</v>
      </c>
      <c r="C2289" t="str">
        <f ca="1">IFERROR(__xludf.DUMMYFUNCTION("GOOGLETRANSLATE(B2289, ""ja"", ""en"")"),"Corps mechanic number card")</f>
        <v>Corps mechanic number card</v>
      </c>
    </row>
    <row r="2290" spans="1:3" ht="12.75" x14ac:dyDescent="0.2">
      <c r="A2290" s="1" t="s">
        <v>4095</v>
      </c>
      <c r="B2290" s="1" t="s">
        <v>4096</v>
      </c>
      <c r="C2290" t="str">
        <f ca="1">IFERROR(__xludf.DUMMYFUNCTION("GOOGLETRANSLATE(B2290, ""ja"", ""en"")"),"Kind of cultivated crops")</f>
        <v>Kind of cultivated crops</v>
      </c>
    </row>
    <row r="2291" spans="1:3" ht="12.75" x14ac:dyDescent="0.2">
      <c r="A2291" s="1" t="s">
        <v>4097</v>
      </c>
      <c r="B2291" s="1" t="s">
        <v>4098</v>
      </c>
      <c r="C2291" t="str">
        <f ca="1">IFERROR(__xludf.DUMMYFUNCTION("GOOGLETRANSLATE(B2291, ""ja"", ""en"")"),"Kind of caught fish")</f>
        <v>Kind of caught fish</v>
      </c>
    </row>
    <row r="2292" spans="1:3" ht="12.75" x14ac:dyDescent="0.2">
      <c r="A2292" s="1" t="s">
        <v>4099</v>
      </c>
      <c r="B2292" s="1" t="s">
        <v>4100</v>
      </c>
      <c r="C2292" t="str">
        <f ca="1">IFERROR(__xludf.DUMMYFUNCTION("GOOGLETRANSLATE(B2292, ""ja"", ""en"")"),"The completed dishes number of articles")</f>
        <v>The completed dishes number of articles</v>
      </c>
    </row>
    <row r="2293" spans="1:3" ht="12.75" x14ac:dyDescent="0.2">
      <c r="A2293" s="1" t="s">
        <v>4101</v>
      </c>
      <c r="B2293" s="1" t="s">
        <v>4102</v>
      </c>
      <c r="C2293" t="str">
        <f ca="1">IFERROR(__xludf.DUMMYFUNCTION("GOOGLETRANSLATE(B2293, ""ja"", ""en"")"),"Delivered pre-goods number")</f>
        <v>Delivered pre-goods number</v>
      </c>
    </row>
    <row r="2294" spans="1:3" ht="12.75" x14ac:dyDescent="0.2">
      <c r="A2294" s="1" t="s">
        <v>4103</v>
      </c>
      <c r="B2294" s="1" t="s">
        <v>4104</v>
      </c>
      <c r="C2294" t="str">
        <f ca="1">IFERROR(__xludf.DUMMYFUNCTION("GOOGLETRANSLATE(B2294, ""ja"", ""en"")"),"PlayStation 3")</f>
        <v>PlayStation 3</v>
      </c>
    </row>
    <row r="2295" spans="1:3" ht="12.75" x14ac:dyDescent="0.2">
      <c r="A2295" s="1" t="s">
        <v>4105</v>
      </c>
      <c r="B2295" s="1" t="s">
        <v>4106</v>
      </c>
      <c r="C2295" t="str">
        <f ca="1">IFERROR(__xludf.DUMMYFUNCTION("GOOGLETRANSLATE(B2295, ""ja"", ""en"")"),"PlayStation 4")</f>
        <v>PlayStation 4</v>
      </c>
    </row>
    <row r="2296" spans="1:3" ht="12.75" x14ac:dyDescent="0.2">
      <c r="A2296" s="1" t="s">
        <v>4107</v>
      </c>
      <c r="B2296" s="1" t="s">
        <v>4108</v>
      </c>
      <c r="C2296" t="str">
        <f ca="1">IFERROR(__xludf.DUMMYFUNCTION("GOOGLETRANSLATE(B2296, ""ja"", ""en"")"),"PlayStation Vita")</f>
        <v>PlayStation Vita</v>
      </c>
    </row>
    <row r="2297" spans="1:3" ht="12.75" x14ac:dyDescent="0.2">
      <c r="A2297" s="1" t="s">
        <v>4109</v>
      </c>
      <c r="B2297" s="1" t="s">
        <v>4110</v>
      </c>
      <c r="C2297" t="str">
        <f ca="1">IFERROR(__xludf.DUMMYFUNCTION("GOOGLETRANSLATE(B2297, ""ja"", ""en"")"),"Server")</f>
        <v>Server</v>
      </c>
    </row>
    <row r="2298" spans="1:3" ht="12.75" x14ac:dyDescent="0.2">
      <c r="A2298" s="1" t="s">
        <v>4111</v>
      </c>
      <c r="B2298" s="1" t="s">
        <v>4112</v>
      </c>
      <c r="C2298" t="str">
        <f ca="1">IFERROR(__xludf.DUMMYFUNCTION("GOOGLETRANSLATE(B2298, ""ja"", ""en"")"),"You can not use the [n] online service for parental lock has been set.")</f>
        <v>You can not use the [n] online service for parental lock has been set.</v>
      </c>
    </row>
    <row r="2299" spans="1:3" ht="12.75" x14ac:dyDescent="0.2">
      <c r="A2299" s="1" t="s">
        <v>4113</v>
      </c>
      <c r="B2299" s="1" t="s">
        <v>4114</v>
      </c>
      <c r="C2299" t="str">
        <f ca="1">IFERROR(__xludf.DUMMYFUNCTION("GOOGLETRANSLATE(B2299, ""ja"", ""en"")"),"No item")</f>
        <v>No item</v>
      </c>
    </row>
    <row r="2300" spans="1:3" ht="12.75" x14ac:dyDescent="0.2">
      <c r="A2300" s="1" t="s">
        <v>4115</v>
      </c>
      <c r="B2300" s="1" t="s">
        <v>4116</v>
      </c>
      <c r="C2300" t="str">
        <f ca="1">IFERROR(__xludf.DUMMYFUNCTION("GOOGLETRANSLATE(B2300, ""ja"", ""en"")"),"% 2d position")</f>
        <v>% 2d position</v>
      </c>
    </row>
    <row r="2301" spans="1:3" ht="12.75" x14ac:dyDescent="0.2">
      <c r="A2301" s="1" t="s">
        <v>4117</v>
      </c>
      <c r="B2301" s="1" t="s">
        <v>4118</v>
      </c>
      <c r="C2301" t="str">
        <f ca="1">IFERROR(__xludf.DUMMYFUNCTION("GOOGLETRANSLATE(B2301, ""ja"", ""en"")"),"% 4d point")</f>
        <v>% 4d point</v>
      </c>
    </row>
    <row r="2302" spans="1:3" ht="12.75" x14ac:dyDescent="0.2">
      <c r="A2302" s="1" t="s">
        <v>4119</v>
      </c>
      <c r="B2302" s="1" t="s">
        <v>4120</v>
      </c>
      <c r="C2302" t="str">
        <f ca="1">IFERROR(__xludf.DUMMYFUNCTION("GOOGLETRANSLATE(B2302, ""ja"", ""en"")"),"Lv.% 2d")</f>
        <v>Lv.% 2d</v>
      </c>
    </row>
    <row r="2303" spans="1:3" ht="12.75" x14ac:dyDescent="0.2">
      <c r="A2303" s="1" t="s">
        <v>4121</v>
      </c>
      <c r="B2303" s="1" t="s">
        <v>4122</v>
      </c>
      <c r="C2303" t="str">
        <f ca="1">IFERROR(__xludf.DUMMYFUNCTION("GOOGLETRANSLATE(B2303, ""ja"", ""en"")"),"% 8d number")</f>
        <v>% 8d number</v>
      </c>
    </row>
    <row r="2304" spans="1:3" ht="12.75" x14ac:dyDescent="0.2">
      <c r="A2304" s="1" t="s">
        <v>4123</v>
      </c>
      <c r="B2304" s="1" t="s">
        <v>4124</v>
      </c>
      <c r="C2304" t="str">
        <f ca="1">IFERROR(__xludf.DUMMYFUNCTION("GOOGLETRANSLATE(B2304, ""ja"", ""en"")"),"% D both% 04d sentence")</f>
        <v>% D both% 04d sentence</v>
      </c>
    </row>
    <row r="2305" spans="1:3" ht="12.75" x14ac:dyDescent="0.2">
      <c r="A2305" s="1" t="s">
        <v>4125</v>
      </c>
      <c r="B2305" s="1" t="s">
        <v>4126</v>
      </c>
      <c r="C2305" t="str">
        <f ca="1">IFERROR(__xludf.DUMMYFUNCTION("GOOGLETRANSLATE(B2305, ""ja"", ""en"")"),"% 2d wins")</f>
        <v>% 2d wins</v>
      </c>
    </row>
    <row r="2306" spans="1:3" ht="12.75" x14ac:dyDescent="0.2">
      <c r="A2306" s="1" t="s">
        <v>4127</v>
      </c>
      <c r="B2306" s="1" t="s">
        <v>4128</v>
      </c>
      <c r="C2306" t="str">
        <f ca="1">IFERROR(__xludf.DUMMYFUNCTION("GOOGLETRANSLATE(B2306, ""ja"", ""en"")"),"% 2d winning streak")</f>
        <v>% 2d winning streak</v>
      </c>
    </row>
    <row r="2307" spans="1:3" ht="12.75" x14ac:dyDescent="0.2">
      <c r="A2307" s="1" t="s">
        <v>4129</v>
      </c>
      <c r="B2307" s="1" t="s">
        <v>4130</v>
      </c>
      <c r="C2307" t="str">
        <f ca="1">IFERROR(__xludf.DUMMYFUNCTION("GOOGLETRANSLATE(B2307, ""ja"", ""en"")"),"% 3.2f times")</f>
        <v>% 3.2f times</v>
      </c>
    </row>
    <row r="2308" spans="1:3" ht="12.75" x14ac:dyDescent="0.2">
      <c r="A2308" s="1" t="s">
        <v>4131</v>
      </c>
      <c r="B2308" s="1" t="s">
        <v>4132</v>
      </c>
      <c r="C2308" t="str">
        <f ca="1">IFERROR(__xludf.DUMMYFUNCTION("GOOGLETRANSLATE(B2308, ""ja"", ""en"")"),"% 2d:% 02d:% 02d")</f>
        <v>% 2d:% 02d:% 02d</v>
      </c>
    </row>
    <row r="2309" spans="1:3" ht="12.75" x14ac:dyDescent="0.2">
      <c r="A2309" s="1" t="s">
        <v>4133</v>
      </c>
      <c r="B2309" s="1" t="s">
        <v>4134</v>
      </c>
      <c r="C2309" t="str">
        <f ca="1">IFERROR(__xludf.DUMMYFUNCTION("GOOGLETRANSLATE(B2309, ""ja"", ""en"")"),"% 3d%")</f>
        <v>% 3d%</v>
      </c>
    </row>
    <row r="2310" spans="1:3" ht="12.75" x14ac:dyDescent="0.2">
      <c r="A2310" s="1" t="s">
        <v>4135</v>
      </c>
      <c r="B2310" s="1" t="s">
        <v>4136</v>
      </c>
      <c r="C2310" t="str">
        <f ca="1">IFERROR(__xludf.DUMMYFUNCTION("GOOGLETRANSLATE(B2310, ""ja"", ""en"")"),"% D continuous attack")</f>
        <v>% D continuous attack</v>
      </c>
    </row>
    <row r="2311" spans="1:3" ht="12.75" x14ac:dyDescent="0.2">
      <c r="A2311" s="1" t="s">
        <v>4137</v>
      </c>
      <c r="B2311" s="1" t="s">
        <v>4138</v>
      </c>
      <c r="C2311" t="str">
        <f ca="1">IFERROR(__xludf.DUMMYFUNCTION("GOOGLETRANSLATE(B2311, ""ja"", ""en"")"),"% D people defeat")</f>
        <v>% D people defeat</v>
      </c>
    </row>
    <row r="2312" spans="1:3" ht="12.75" x14ac:dyDescent="0.2">
      <c r="A2312" s="1" t="s">
        <v>4139</v>
      </c>
      <c r="B2312" s="1" t="s">
        <v>4140</v>
      </c>
      <c r="C2312" t="str">
        <f ca="1">IFERROR(__xludf.DUMMYFUNCTION("GOOGLETRANSLATE(B2312, ""ja"", ""en"")"),"% 3d times")</f>
        <v>% 3d times</v>
      </c>
    </row>
    <row r="2313" spans="1:3" ht="12.75" x14ac:dyDescent="0.2">
      <c r="A2313" s="1" t="s">
        <v>4141</v>
      </c>
      <c r="B2313" s="1" t="s">
        <v>4142</v>
      </c>
      <c r="C2313" t="str">
        <f ca="1">IFERROR(__xludf.DUMMYFUNCTION("GOOGLETRANSLATE(B2313, ""ja"", ""en"")"),"% 4d people")</f>
        <v>% 4d people</v>
      </c>
    </row>
    <row r="2314" spans="1:3" ht="12.75" x14ac:dyDescent="0.2">
      <c r="A2314" s="1" t="s">
        <v>4143</v>
      </c>
      <c r="B2314" s="1" t="s">
        <v>4144</v>
      </c>
      <c r="C2314" t="str">
        <f ca="1">IFERROR(__xludf.DUMMYFUNCTION("GOOGLETRANSLATE(B2314, ""ja"", ""en"")"),"% 3d% 3d game wins% 3d over")</f>
        <v>% 3d% 3d game wins% 3d over</v>
      </c>
    </row>
    <row r="2315" spans="1:3" ht="12.75" x14ac:dyDescent="0.2">
      <c r="A2315" s="1" t="s">
        <v>4145</v>
      </c>
      <c r="B2315" s="1" t="s">
        <v>4146</v>
      </c>
      <c r="C2315" t="str">
        <f ca="1">IFERROR(__xludf.DUMMYFUNCTION("GOOGLETRANSLATE(B2315, ""ja"", ""en"")"),"Winning percentage% 3d%")</f>
        <v>Winning percentage% 3d%</v>
      </c>
    </row>
    <row r="2316" spans="1:3" ht="12.75" x14ac:dyDescent="0.2">
      <c r="A2316" s="1" t="s">
        <v>4147</v>
      </c>
      <c r="B2316" s="1" t="s">
        <v>4148</v>
      </c>
      <c r="C2316" t="str">
        <f ca="1">IFERROR(__xludf.DUMMYFUNCTION("GOOGLETRANSLATE(B2316, ""ja"", ""en"")"),"% 4d statement")</f>
        <v>% 4d statement</v>
      </c>
    </row>
    <row r="2317" spans="1:3" ht="12.75" x14ac:dyDescent="0.2">
      <c r="A2317" s="1" t="s">
        <v>4149</v>
      </c>
      <c r="B2317" s="1" t="s">
        <v>4150</v>
      </c>
      <c r="C2317" t="str">
        <f ca="1">IFERROR(__xludf.DUMMYFUNCTION("GOOGLETRANSLATE(B2317, ""ja"", ""en"")"),"×% d times")</f>
        <v>×% d times</v>
      </c>
    </row>
    <row r="2318" spans="1:3" ht="12.75" x14ac:dyDescent="0.2">
      <c r="A2318" s="1" t="s">
        <v>4151</v>
      </c>
      <c r="B2318" s="1" t="s">
        <v>4152</v>
      </c>
      <c r="C2318" t="str">
        <f ca="1">IFERROR(__xludf.DUMMYFUNCTION("GOOGLETRANSLATE(B2318, ""ja"", ""en"")"),"% D Man% 04d pieces")</f>
        <v>% D Man% 04d pieces</v>
      </c>
    </row>
    <row r="2319" spans="1:3" ht="12.75" x14ac:dyDescent="0.2">
      <c r="A2319" s="1" t="s">
        <v>4153</v>
      </c>
      <c r="B2319" s="1" t="s">
        <v>4154</v>
      </c>
      <c r="C2319" t="str">
        <f ca="1">IFERROR(__xludf.DUMMYFUNCTION("GOOGLETRANSLATE(B2319, ""ja"", ""en"")"),"% D warfare% 3d% 3d wins over")</f>
        <v>% D warfare% 3d% 3d wins over</v>
      </c>
    </row>
    <row r="2320" spans="1:3" ht="12.75" x14ac:dyDescent="0.2">
      <c r="A2320" s="1" t="s">
        <v>4155</v>
      </c>
      <c r="B2320" s="1" t="s">
        <v>4156</v>
      </c>
      <c r="C2320" t="str">
        <f ca="1">IFERROR(__xludf.DUMMYFUNCTION("GOOGLETRANSLATE(B2320, ""ja"", ""en"")"),"Acquisition 闘玉")</f>
        <v>Acquisition 闘玉</v>
      </c>
    </row>
    <row r="2321" spans="1:3" ht="12.75" x14ac:dyDescent="0.2">
      <c r="A2321" s="1" t="s">
        <v>4157</v>
      </c>
      <c r="B2321" s="1" t="s">
        <v>4158</v>
      </c>
      <c r="C2321" t="str">
        <f ca="1">IFERROR(__xludf.DUMMYFUNCTION("GOOGLETRANSLATE(B2321, ""ja"", ""en"")"),"Winnings")</f>
        <v>Winnings</v>
      </c>
    </row>
    <row r="2322" spans="1:3" ht="12.75" x14ac:dyDescent="0.2">
      <c r="A2322" s="1" t="s">
        <v>4159</v>
      </c>
      <c r="B2322" s="1" t="s">
        <v>4160</v>
      </c>
      <c r="C2322" t="str">
        <f ca="1">IFERROR(__xludf.DUMMYFUNCTION("GOOGLETRANSLATE(B2322, ""ja"", ""en"")"),"% 3d people in% 3d people defeat")</f>
        <v>% 3d people in% 3d people defeat</v>
      </c>
    </row>
    <row r="2323" spans="1:3" ht="12.75" x14ac:dyDescent="0.2">
      <c r="A2323" s="1" t="s">
        <v>4161</v>
      </c>
      <c r="B2323" s="1" t="s">
        <v>4162</v>
      </c>
      <c r="C2323" t="str">
        <f ca="1">IFERROR(__xludf.DUMMYFUNCTION("GOOGLETRANSLATE(B2323, ""ja"", ""en"")"),"% 2d warfare% 2d wins% 2d loses")</f>
        <v>% 2d warfare% 2d wins% 2d loses</v>
      </c>
    </row>
    <row r="2324" spans="1:3" ht="12.75" x14ac:dyDescent="0.2">
      <c r="A2324" s="1" t="s">
        <v>4163</v>
      </c>
      <c r="B2324" s="1" t="s">
        <v>4164</v>
      </c>
      <c r="C2324" t="str">
        <f ca="1">IFERROR(__xludf.DUMMYFUNCTION("GOOGLETRANSLATE(B2324, ""ja"", ""en"")"),"Special reward")</f>
        <v>Special reward</v>
      </c>
    </row>
    <row r="2325" spans="1:3" ht="12.75" x14ac:dyDescent="0.2">
      <c r="A2325" s="1" t="s">
        <v>4165</v>
      </c>
      <c r="B2325" s="1" t="s">
        <v>4166</v>
      </c>
      <c r="C2325" t="str">
        <f ca="1">IFERROR(__xludf.DUMMYFUNCTION("GOOGLETRANSLATE(B2325, ""ja"", ""en"")"),"Ranking score total")</f>
        <v>Ranking score total</v>
      </c>
    </row>
    <row r="2326" spans="1:3" ht="12.75" x14ac:dyDescent="0.2">
      <c r="A2326" s="1" t="s">
        <v>4167</v>
      </c>
      <c r="B2326" s="1" t="s">
        <v>4168</v>
      </c>
      <c r="C2326" t="str">
        <f ca="1">IFERROR(__xludf.DUMMYFUNCTION("GOOGLETRANSLATE(B2326, ""ja"", ""en"")"),"Disrupt time")</f>
        <v>Disrupt time</v>
      </c>
    </row>
    <row r="2327" spans="1:3" ht="12.75" x14ac:dyDescent="0.2">
      <c r="A2327" s="1" t="s">
        <v>4169</v>
      </c>
      <c r="B2327" s="1" t="s">
        <v>4170</v>
      </c>
      <c r="C2327" t="str">
        <f ca="1">IFERROR(__xludf.DUMMYFUNCTION("GOOGLETRANSLATE(B2327, ""ja"", ""en"")"),"The remaining physical strength")</f>
        <v>The remaining physical strength</v>
      </c>
    </row>
    <row r="2328" spans="1:3" ht="12.75" x14ac:dyDescent="0.2">
      <c r="A2328" s="1" t="s">
        <v>4171</v>
      </c>
      <c r="B2328" s="1" t="s">
        <v>4172</v>
      </c>
      <c r="C2328" t="str">
        <f ca="1">IFERROR(__xludf.DUMMYFUNCTION("GOOGLETRANSLATE(B2328, ""ja"", ""en"")"),"Defeat number of people")</f>
        <v>Defeat number of people</v>
      </c>
    </row>
    <row r="2329" spans="1:3" ht="12.75" x14ac:dyDescent="0.2">
      <c r="A2329" s="1" t="s">
        <v>4173</v>
      </c>
      <c r="B2329" s="1" t="s">
        <v>4174</v>
      </c>
      <c r="C2329" t="str">
        <f ca="1">IFERROR(__xludf.DUMMYFUNCTION("GOOGLETRANSLATE(B2329, ""ja"", ""en"")"),"Final evaluation")</f>
        <v>Final evaluation</v>
      </c>
    </row>
    <row r="2330" spans="1:3" ht="12.75" x14ac:dyDescent="0.2">
      <c r="A2330" s="1" t="s">
        <v>4175</v>
      </c>
      <c r="B2330" s="1" t="s">
        <v>4176</v>
      </c>
      <c r="C2330" t="str">
        <f ca="1">IFERROR(__xludf.DUMMYFUNCTION("GOOGLETRANSLATE(B2330, ""ja"", ""en"")"),"The basic remuneration")</f>
        <v>The basic remuneration</v>
      </c>
    </row>
    <row r="2331" spans="1:3" ht="12.75" x14ac:dyDescent="0.2">
      <c r="A2331" s="1" t="s">
        <v>4177</v>
      </c>
      <c r="B2331" s="1" t="s">
        <v>4178</v>
      </c>
      <c r="C2331" t="str">
        <f ca="1">IFERROR(__xludf.DUMMYFUNCTION("GOOGLETRANSLATE(B2331, ""ja"", ""en"")"),"Winning streak bonus")</f>
        <v>Winning streak bonus</v>
      </c>
    </row>
    <row r="2332" spans="1:3" ht="12.75" x14ac:dyDescent="0.2">
      <c r="A2332" s="1" t="s">
        <v>4179</v>
      </c>
      <c r="B2332" s="1" t="s">
        <v>4180</v>
      </c>
      <c r="C2332" t="str">
        <f ca="1">IFERROR(__xludf.DUMMYFUNCTION("GOOGLETRANSLATE(B2332, ""ja"", ""en"")"),"Tsujigiri Samurai")</f>
        <v>Tsujigiri Samurai</v>
      </c>
    </row>
    <row r="2333" spans="1:3" ht="12.75" x14ac:dyDescent="0.2">
      <c r="A2333" s="1" t="s">
        <v>4181</v>
      </c>
      <c r="B2333" s="1" t="s">
        <v>4182</v>
      </c>
      <c r="C2333" t="str">
        <f ca="1">IFERROR(__xludf.DUMMYFUNCTION("GOOGLETRANSLATE(B2333, ""ja"", ""en"")"),"Master fencer")</f>
        <v>Master fencer</v>
      </c>
    </row>
    <row r="2334" spans="1:3" ht="12.75" x14ac:dyDescent="0.2">
      <c r="A2334" s="1" t="s">
        <v>4183</v>
      </c>
      <c r="B2334" s="1" t="s">
        <v>4184</v>
      </c>
      <c r="C2334" t="str">
        <f ca="1">IFERROR(__xludf.DUMMYFUNCTION("GOOGLETRANSLATE(B2334, ""ja"", ""en"")"),"% S% 4d ×% 2.1f")</f>
        <v>% S% 4d ×% 2.1f</v>
      </c>
    </row>
    <row r="2335" spans="1:3" ht="12.75" x14ac:dyDescent="0.2">
      <c r="A2335" s="1" t="s">
        <v>4185</v>
      </c>
      <c r="B2335" s="1" t="s">
        <v>4186</v>
      </c>
      <c r="C2335" t="str">
        <f ca="1">IFERROR(__xludf.DUMMYFUNCTION("GOOGLETRANSLATE(B2335, ""ja"", ""en"")"),"view the details")</f>
        <v>view the details</v>
      </c>
    </row>
    <row r="2336" spans="1:3" ht="12.75" x14ac:dyDescent="0.2">
      <c r="A2336" s="1" t="s">
        <v>4187</v>
      </c>
      <c r="B2336" s="1" t="s">
        <v>4188</v>
      </c>
      <c r="C2336" t="str">
        <f ca="1">IFERROR(__xludf.DUMMYFUNCTION("GOOGLETRANSLATE(B2336, ""ja"", ""en"")"),"Join the number of times")</f>
        <v>Join the number of times</v>
      </c>
    </row>
    <row r="2337" spans="1:3" ht="12.75" x14ac:dyDescent="0.2">
      <c r="A2337" s="1" t="s">
        <v>4189</v>
      </c>
      <c r="B2337" s="1" t="s">
        <v>4190</v>
      </c>
      <c r="C2337" t="str">
        <f ca="1">IFERROR(__xludf.DUMMYFUNCTION("GOOGLETRANSLATE(B2337, ""ja"", ""en"")"),"Ranking points")</f>
        <v>Ranking points</v>
      </c>
    </row>
    <row r="2338" spans="1:3" ht="12.75" x14ac:dyDescent="0.2">
      <c r="A2338" s="1" t="s">
        <v>4191</v>
      </c>
      <c r="B2338" s="1" t="s">
        <v>4192</v>
      </c>
      <c r="C2338" t="str">
        <f ca="1">IFERROR(__xludf.DUMMYFUNCTION("GOOGLETRANSLATE(B2338, ""ja"", ""en"")"),"Slash the number of people")</f>
        <v>Slash the number of people</v>
      </c>
    </row>
    <row r="2339" spans="1:3" ht="12.75" x14ac:dyDescent="0.2">
      <c r="A2339" s="1" t="s">
        <v>4193</v>
      </c>
      <c r="B2339" s="1" t="s">
        <v>4194</v>
      </c>
      <c r="C2339" t="str">
        <f ca="1">IFERROR(__xludf.DUMMYFUNCTION("GOOGLETRANSLATE(B2339, ""ja"", ""en"")"),"Achieve the number of times")</f>
        <v>Achieve the number of times</v>
      </c>
    </row>
    <row r="2340" spans="1:3" ht="12.75" x14ac:dyDescent="0.2">
      <c r="A2340" s="1" t="s">
        <v>4195</v>
      </c>
      <c r="B2340" s="1" t="s">
        <v>4196</v>
      </c>
      <c r="C2340" t="str">
        <f ca="1">IFERROR(__xludf.DUMMYFUNCTION("GOOGLETRANSLATE(B2340, ""ja"", ""en"")"),"General KOs")</f>
        <v>General KOs</v>
      </c>
    </row>
    <row r="2341" spans="1:3" ht="12.75" x14ac:dyDescent="0.2">
      <c r="A2341" s="1" t="s">
        <v>4197</v>
      </c>
      <c r="B2341" s="1" t="s">
        <v>4198</v>
      </c>
      <c r="C2341" t="str">
        <f ca="1">IFERROR(__xludf.DUMMYFUNCTION("GOOGLETRANSLATE(B2341, ""ja"", ""en"")"),"Seat defend the number of vertices")</f>
        <v>Seat defend the number of vertices</v>
      </c>
    </row>
    <row r="2342" spans="1:3" ht="12.75" x14ac:dyDescent="0.2">
      <c r="A2342" s="1" t="s">
        <v>4199</v>
      </c>
      <c r="B2342" s="1" t="s">
        <v>4200</v>
      </c>
      <c r="C2342" t="str">
        <f ca="1">IFERROR(__xludf.DUMMYFUNCTION("GOOGLETRANSLATE(B2342, ""ja"", ""en"")"),"Weapon playoff victories")</f>
        <v>Weapon playoff victories</v>
      </c>
    </row>
    <row r="2343" spans="1:3" ht="12.75" x14ac:dyDescent="0.2">
      <c r="A2343" s="1" t="s">
        <v>4201</v>
      </c>
      <c r="B2343" s="1" t="s">
        <v>4202</v>
      </c>
      <c r="C2343" t="str">
        <f ca="1">IFERROR(__xludf.DUMMYFUNCTION("GOOGLETRANSLATE(B2343, ""ja"", ""en"")"),"participant")</f>
        <v>participant</v>
      </c>
    </row>
    <row r="2344" spans="1:3" ht="12.75" x14ac:dyDescent="0.2">
      <c r="A2344" s="1" t="s">
        <v>4203</v>
      </c>
      <c r="B2344" s="1" t="s">
        <v>4204</v>
      </c>
      <c r="C2344" t="str">
        <f ca="1">IFERROR(__xludf.DUMMYFUNCTION("GOOGLETRANSLATE(B2344, ""ja"", ""en"")"),"First round")</f>
        <v>First round</v>
      </c>
    </row>
    <row r="2345" spans="1:3" ht="12.75" x14ac:dyDescent="0.2">
      <c r="A2345" s="1" t="s">
        <v>4205</v>
      </c>
      <c r="B2345" s="1" t="s">
        <v>4206</v>
      </c>
      <c r="C2345" t="str">
        <f ca="1">IFERROR(__xludf.DUMMYFUNCTION("GOOGLETRANSLATE(B2345, ""ja"", ""en"")"),"Two round")</f>
        <v>Two round</v>
      </c>
    </row>
    <row r="2346" spans="1:3" ht="12.75" x14ac:dyDescent="0.2">
      <c r="A2346" s="1" t="s">
        <v>4207</v>
      </c>
      <c r="B2346" s="1" t="s">
        <v>4208</v>
      </c>
      <c r="C2346" t="str">
        <f ca="1">IFERROR(__xludf.DUMMYFUNCTION("GOOGLETRANSLATE(B2346, ""ja"", ""en"")"),"Three round")</f>
        <v>Three round</v>
      </c>
    </row>
    <row r="2347" spans="1:3" ht="12.75" x14ac:dyDescent="0.2">
      <c r="A2347" s="1" t="s">
        <v>4209</v>
      </c>
      <c r="B2347" s="1" t="s">
        <v>4210</v>
      </c>
      <c r="C2347" t="str">
        <f ca="1">IFERROR(__xludf.DUMMYFUNCTION("GOOGLETRANSLATE(B2347, ""ja"", ""en"")"),"Four round")</f>
        <v>Four round</v>
      </c>
    </row>
    <row r="2348" spans="1:3" ht="12.75" x14ac:dyDescent="0.2">
      <c r="A2348" s="1" t="s">
        <v>4211</v>
      </c>
      <c r="B2348" s="1" t="s">
        <v>4212</v>
      </c>
      <c r="C2348" t="str">
        <f ca="1">IFERROR(__xludf.DUMMYFUNCTION("GOOGLETRANSLATE(B2348, ""ja"", ""en"")"),"Five round")</f>
        <v>Five round</v>
      </c>
    </row>
    <row r="2349" spans="1:3" ht="12.75" x14ac:dyDescent="0.2">
      <c r="A2349" s="1" t="s">
        <v>4213</v>
      </c>
      <c r="B2349" s="1" t="s">
        <v>4214</v>
      </c>
      <c r="C2349" t="str">
        <f ca="1">IFERROR(__xludf.DUMMYFUNCTION("GOOGLETRANSLATE(B2349, ""ja"", ""en"")"),"Collection is the strong who are in the Kyoto [n] ""the strong man of the feast"" has been released")</f>
        <v>Collection is the strong who are in the Kyoto [n] "the strong man of the feast" has been released</v>
      </c>
    </row>
    <row r="2350" spans="1:3" ht="12.75" x14ac:dyDescent="0.2">
      <c r="A2350" s="1" t="s">
        <v>4215</v>
      </c>
      <c r="B2350" s="1" t="s">
        <v>4216</v>
      </c>
      <c r="C2350" t="str">
        <f ca="1">IFERROR(__xludf.DUMMYFUNCTION("GOOGLETRANSLATE(B2350, ""ja"", ""en"")"),"Newcomer distributor")</f>
        <v>Newcomer distributor</v>
      </c>
    </row>
    <row r="2351" spans="1:3" ht="12.75" x14ac:dyDescent="0.2">
      <c r="A2351" s="1" t="s">
        <v>4217</v>
      </c>
      <c r="B2351" s="1" t="s">
        <v>4218</v>
      </c>
      <c r="C2351" t="str">
        <f ca="1">IFERROR(__xludf.DUMMYFUNCTION("GOOGLETRANSLATE(B2351, ""ja"", ""en"")"),"Fledgling distributor")</f>
        <v>Fledgling distributor</v>
      </c>
    </row>
    <row r="2352" spans="1:3" ht="12.75" x14ac:dyDescent="0.2">
      <c r="A2352" s="1" t="s">
        <v>4219</v>
      </c>
      <c r="B2352" s="1" t="s">
        <v>4220</v>
      </c>
      <c r="C2352" t="str">
        <f ca="1">IFERROR(__xludf.DUMMYFUNCTION("GOOGLETRANSLATE(B2352, ""ja"", ""en"")"),"Medium-sized distributor")</f>
        <v>Medium-sized distributor</v>
      </c>
    </row>
    <row r="2353" spans="1:3" ht="12.75" x14ac:dyDescent="0.2">
      <c r="A2353" s="1" t="s">
        <v>4221</v>
      </c>
      <c r="B2353" s="1" t="s">
        <v>4222</v>
      </c>
      <c r="C2353" t="str">
        <f ca="1">IFERROR(__xludf.DUMMYFUNCTION("GOOGLETRANSLATE(B2353, ""ja"", ""en"")"),"Popular distributor")</f>
        <v>Popular distributor</v>
      </c>
    </row>
    <row r="2354" spans="1:3" ht="12.75" x14ac:dyDescent="0.2">
      <c r="A2354" s="1" t="s">
        <v>4223</v>
      </c>
      <c r="B2354" s="1" t="s">
        <v>4224</v>
      </c>
      <c r="C2354" t="str">
        <f ca="1">IFERROR(__xludf.DUMMYFUNCTION("GOOGLETRANSLATE(B2354, ""ja"", ""en"")"),"Heroes of the distributor")</f>
        <v>Heroes of the distributor</v>
      </c>
    </row>
    <row r="2355" spans="1:3" ht="12.75" x14ac:dyDescent="0.2">
      <c r="A2355" s="1" t="s">
        <v>4225</v>
      </c>
      <c r="B2355" s="1" t="s">
        <v>4226</v>
      </c>
      <c r="C2355" t="str">
        <f ca="1">IFERROR(__xludf.DUMMYFUNCTION("GOOGLETRANSLATE(B2355, ""ja"", ""en"")"),"Veteran of the distributor")</f>
        <v>Veteran of the distributor</v>
      </c>
    </row>
    <row r="2356" spans="1:3" ht="12.75" x14ac:dyDescent="0.2">
      <c r="A2356" s="1" t="s">
        <v>4227</v>
      </c>
      <c r="B2356" s="1" t="s">
        <v>4228</v>
      </c>
      <c r="C2356" t="str">
        <f ca="1">IFERROR(__xludf.DUMMYFUNCTION("GOOGLETRANSLATE(B2356, ""ja"", ""en"")"),"Ikki of distributor")</f>
        <v>Ikki of distributor</v>
      </c>
    </row>
    <row r="2357" spans="1:3" ht="12.75" x14ac:dyDescent="0.2">
      <c r="A2357" s="1" t="s">
        <v>4229</v>
      </c>
      <c r="B2357" s="1" t="s">
        <v>4230</v>
      </c>
      <c r="C2357" t="str">
        <f ca="1">IFERROR(__xludf.DUMMYFUNCTION("GOOGLETRANSLATE(B2357, ""ja"", ""en"")"),"Distributor of the world")</f>
        <v>Distributor of the world</v>
      </c>
    </row>
    <row r="2358" spans="1:3" ht="12.75" x14ac:dyDescent="0.2">
      <c r="A2358" s="1" t="s">
        <v>4231</v>
      </c>
      <c r="B2358" s="1" t="s">
        <v>4232</v>
      </c>
      <c r="C2358" t="str">
        <f ca="1">IFERROR(__xludf.DUMMYFUNCTION("GOOGLETRANSLATE(B2358, ""ja"", ""en"")"),"The ultimate distributor")</f>
        <v>The ultimate distributor</v>
      </c>
    </row>
    <row r="2359" spans="1:3" ht="12.75" x14ac:dyDescent="0.2">
      <c r="A2359" s="1" t="s">
        <v>4233</v>
      </c>
      <c r="B2359" s="1" t="s">
        <v>4234</v>
      </c>
      <c r="C2359" t="str">
        <f ca="1">IFERROR(__xludf.DUMMYFUNCTION("GOOGLETRANSLATE(B2359, ""ja"", ""en"")"),"Distributor of legend")</f>
        <v>Distributor of legend</v>
      </c>
    </row>
    <row r="2360" spans="1:3" ht="12.75" x14ac:dyDescent="0.2">
      <c r="A2360" s="1" t="s">
        <v>4235</v>
      </c>
      <c r="B2360" s="1" t="s">
        <v>4236</v>
      </c>
      <c r="C2360" t="str">
        <f ca="1">IFERROR(__xludf.DUMMYFUNCTION("GOOGLETRANSLATE(B2360, ""ja"", ""en"")"),"Person who was hungry to play [n] battle of the arena that veteran who bloodthirsty gather is here!")</f>
        <v>Person who was hungry to play [n] battle of the arena that veteran who bloodthirsty gather is here!</v>
      </c>
    </row>
    <row r="2361" spans="1:3" ht="12.75" x14ac:dyDescent="0.2">
      <c r="A2361" s="1" t="s">
        <v>4237</v>
      </c>
      <c r="B2361" s="1" t="s">
        <v>4238</v>
      </c>
      <c r="C2361" t="str">
        <f ca="1">IFERROR(__xludf.DUMMYFUNCTION("GOOGLETRANSLATE(B2361, ""ja"", ""en"")"),"You can be exchanged with various goods the 闘玉.")</f>
        <v>You can be exchanged with various goods the 闘玉.</v>
      </c>
    </row>
    <row r="2362" spans="1:3" ht="12.75" x14ac:dyDescent="0.2">
      <c r="A2362" s="1" t="s">
        <v>4239</v>
      </c>
      <c r="B2362" s="1" t="s">
        <v>4240</v>
      </c>
      <c r="C2362" t="str">
        <f ca="1">IFERROR(__xludf.DUMMYFUNCTION("GOOGLETRANSLATE(B2362, ""ja"", ""en"")"),"You can see the veteran who of information that competed in the arena.")</f>
        <v>You can see the veteran who of information that competed in the arena.</v>
      </c>
    </row>
    <row r="2363" spans="1:3" ht="12.75" x14ac:dyDescent="0.2">
      <c r="A2363" s="1" t="s">
        <v>4241</v>
      </c>
      <c r="B2363" s="1" t="s">
        <v>4242</v>
      </c>
      <c r="C2363" t="str">
        <f ca="1">IFERROR(__xludf.DUMMYFUNCTION("GOOGLETRANSLATE(B2363, ""ja"", ""en"")"),"Arena is a four law.")</f>
        <v>Arena is a four law.</v>
      </c>
    </row>
    <row r="2364" spans="1:3" ht="12.75" x14ac:dyDescent="0.2">
      <c r="A2364" s="1" t="s">
        <v>4243</v>
      </c>
      <c r="B2364" s="1" t="s">
        <v>4244</v>
      </c>
      <c r="C2364" t="str">
        <f ca="1">IFERROR(__xludf.DUMMYFUNCTION("GOOGLETRANSLATE(B2364, ""ja"", ""en"")"),"Make the tournament with five people. [N] 闘玉 and the prize money will increase that can be earned every time you winning streak.")</f>
        <v>Make the tournament with five people. [N] 闘玉 and the prize money will increase that can be earned every time you winning streak.</v>
      </c>
    </row>
    <row r="2365" spans="1:3" ht="12.75" x14ac:dyDescent="0.2">
      <c r="A2365" s="1" t="s">
        <v>4245</v>
      </c>
      <c r="B2365" s="1" t="s">
        <v>4246</v>
      </c>
      <c r="C2365" t="str">
        <f ca="1">IFERROR(__xludf.DUMMYFUNCTION("GOOGLETRANSLATE(B2365, ""ja"", ""en"")"),"With only one of the weapons and survived trained body, whether repel hundreds of thugs looming! [N] Aim, hundreds sword of the title! !")</f>
        <v>With only one of the weapons and survived trained body, whether repel hundreds of thugs looming! [N] Aim, hundreds sword of the title! !</v>
      </c>
    </row>
    <row r="2366" spans="1:3" ht="12.75" x14ac:dyDescent="0.2">
      <c r="A2366" s="1" t="s">
        <v>4247</v>
      </c>
      <c r="B2366" s="1" t="s">
        <v>4248</v>
      </c>
      <c r="C2366" t="str">
        <f ca="1">IFERROR(__xludf.DUMMYFUNCTION("GOOGLETRANSLATE(B2366, ""ja"", ""en"")"),"Fight a person who visited the arena to First challenge. [N] prize three Hyakubun 闘玉 fifty")</f>
        <v>Fight a person who visited the arena to First challenge. [N] prize three Hyakubun 闘玉 fifty</v>
      </c>
    </row>
    <row r="2367" spans="1:3" ht="12.75" x14ac:dyDescent="0.2">
      <c r="A2367" s="1" t="s">
        <v>4249</v>
      </c>
      <c r="B2367" s="1" t="s">
        <v>4250</v>
      </c>
      <c r="C2367" t="str">
        <f ca="1">IFERROR(__xludf.DUMMYFUNCTION("GOOGLETRANSLATE(B2367, ""ja"", ""en"")"),"A person who has finished the baptism is try his own skills and weapons, the fight against ordeal. [N] prize three Hyakubun 闘玉 fifty")</f>
        <v>A person who has finished the baptism is try his own skills and weapons, the fight against ordeal. [N] prize three Hyakubun 闘玉 fifty</v>
      </c>
    </row>
    <row r="2368" spans="1:3" ht="12.75" x14ac:dyDescent="0.2">
      <c r="A2368" s="1" t="s">
        <v>4251</v>
      </c>
      <c r="B2368" s="1" t="s">
        <v>4252</v>
      </c>
      <c r="C2368" t="str">
        <f ca="1">IFERROR(__xludf.DUMMYFUNCTION("GOOGLETRANSLATE(B2368, ""ja"", ""en"")"),"Own a with those who struggle weapon. Beware the man who suffered the face of the demon. [N] prize Chifumi 闘玉 two hundred pieces")</f>
        <v>Own a with those who struggle weapon. Beware the man who suffered the face of the demon. [N] prize Chifumi 闘玉 two hundred pieces</v>
      </c>
    </row>
    <row r="2369" spans="1:3" ht="12.75" x14ac:dyDescent="0.2">
      <c r="A2369" s="1" t="s">
        <v>4253</v>
      </c>
      <c r="B2369" s="1" t="s">
        <v>4254</v>
      </c>
      <c r="C2369" t="str">
        <f ca="1">IFERROR(__xludf.DUMMYFUNCTION("GOOGLETRANSLATE(B2369, ""ja"", ""en"")"),"Fight that does not have a weapon who gathered. Beware the man there is a bruise to the face. [N] hundreds prize two thousand and five Hyakubun 闘玉")</f>
        <v>Fight that does not have a weapon who gathered. Beware the man there is a bruise to the face. [N] hundreds prize two thousand and five Hyakubun 闘玉</v>
      </c>
    </row>
    <row r="2370" spans="1:3" ht="12.75" x14ac:dyDescent="0.2">
      <c r="A2370" s="1" t="s">
        <v>4255</v>
      </c>
      <c r="B2370" s="1" t="s">
        <v>4256</v>
      </c>
      <c r="C2370" t="str">
        <f ca="1">IFERROR(__xludf.DUMMYFUNCTION("GOOGLETRANSLATE(B2370, ""ja"", ""en"")"),"Crazy who feasts on the sword. Beware the blow of large sword. [N] prize two Chifumi 闘玉 two hundred pieces")</f>
        <v>Crazy who feasts on the sword. Beware the blow of large sword. [N] prize two Chifumi 闘玉 two hundred pieces</v>
      </c>
    </row>
    <row r="2371" spans="1:3" ht="12.75" x14ac:dyDescent="0.2">
      <c r="A2371" s="1" t="s">
        <v>4257</v>
      </c>
      <c r="B2371" s="1" t="s">
        <v>4258</v>
      </c>
      <c r="C2371" t="str">
        <f ca="1">IFERROR(__xludf.DUMMYFUNCTION("GOOGLETRANSLATE(B2371, ""ja"", ""en"")"),"Banquet Unusual gun who gather. Beware the Shah who shoot attribute bullets. [N] prize two Chifumi 闘玉 two hundred pieces")</f>
        <v>Banquet Unusual gun who gather. Beware the Shah who shoot attribute bullets. [N] prize two Chifumi 闘玉 two hundred pieces</v>
      </c>
    </row>
    <row r="2372" spans="1:3" ht="12.75" x14ac:dyDescent="0.2">
      <c r="A2372" s="1" t="s">
        <v>4259</v>
      </c>
      <c r="B2372" s="1" t="s">
        <v>4260</v>
      </c>
      <c r="C2372" t="str">
        <f ca="1">IFERROR(__xludf.DUMMYFUNCTION("GOOGLETRANSLATE(B2372, ""ja"", ""en"")"),"Veterans who are in Kyoto is gathered, struggle to determine the strongest. [N] prize five Chifumi 闘玉 three hundred pieces [n] ※ and meet with veterans who are in Kyoto will be released.")</f>
        <v>Veterans who are in Kyoto is gathered, struggle to determine the strongest. [N] prize five Chifumi 闘玉 three hundred pieces [n] ※ and meet with veterans who are in Kyoto will be released.</v>
      </c>
    </row>
    <row r="2373" spans="1:3" ht="12.75" x14ac:dyDescent="0.2">
      <c r="A2373" s="1" t="s">
        <v>4261</v>
      </c>
      <c r="B2373" s="1" t="s">
        <v>4262</v>
      </c>
      <c r="C2373" t="str">
        <f ca="1">IFERROR(__xludf.DUMMYFUNCTION("GOOGLETRANSLATE(B2373, ""ja"", ""en"")"),"Veterans who are in Kyoto is gathered, struggle to determine the strongest. [N] prize five Chifumi 闘玉 three hundred pieces")</f>
        <v>Veterans who are in Kyoto is gathered, struggle to determine the strongest. [N] prize five Chifumi 闘玉 three hundred pieces</v>
      </c>
    </row>
    <row r="2374" spans="1:3" ht="12.75" x14ac:dyDescent="0.2">
      <c r="A2374" s="1" t="s">
        <v>4263</v>
      </c>
      <c r="B2374" s="1" t="s">
        <v>4264</v>
      </c>
      <c r="C2374" t="str">
        <f ca="1">IFERROR(__xludf.DUMMYFUNCTION("GOOGLETRANSLATE(B2374, ""ja"", ""en"")"),"Please select a weapon to challenge the hundred sword.")</f>
        <v>Please select a weapon to challenge the hundred sword.</v>
      </c>
    </row>
    <row r="2375" spans="1:3" ht="12.75" x14ac:dyDescent="0.2">
      <c r="A2375" s="1" t="s">
        <v>4265</v>
      </c>
      <c r="B2375" s="1" t="s">
        <v>359</v>
      </c>
      <c r="C2375" t="str">
        <f ca="1">IFERROR(__xludf.DUMMYFUNCTION("GOOGLETRANSLATE(B2375, ""ja"", ""en"")"),"I")</f>
        <v>I</v>
      </c>
    </row>
    <row r="2376" spans="1:3" ht="12.75" x14ac:dyDescent="0.2">
      <c r="A2376" s="1" t="s">
        <v>4266</v>
      </c>
      <c r="B2376" s="1" t="s">
        <v>4267</v>
      </c>
      <c r="C2376" t="str">
        <f ca="1">IFERROR(__xludf.DUMMYFUNCTION("GOOGLETRANSLATE(B2376, ""ja"", ""en"")"),"H")</f>
        <v>H</v>
      </c>
    </row>
    <row r="2377" spans="1:3" ht="12.75" x14ac:dyDescent="0.2">
      <c r="A2377" s="1" t="s">
        <v>4268</v>
      </c>
      <c r="B2377" s="1" t="s">
        <v>4269</v>
      </c>
      <c r="C2377" t="str">
        <f ca="1">IFERROR(__xludf.DUMMYFUNCTION("GOOGLETRANSLATE(B2377, ""ja"", ""en"")"),"Experience% s")</f>
        <v>Experience% s</v>
      </c>
    </row>
    <row r="2378" spans="1:3" ht="12.75" x14ac:dyDescent="0.2">
      <c r="A2378" s="1" t="s">
        <v>4270</v>
      </c>
      <c r="B2378" s="1" t="s">
        <v>4271</v>
      </c>
      <c r="C2378" t="str">
        <f ca="1">IFERROR(__xludf.DUMMYFUNCTION("GOOGLETRANSLATE(B2378, ""ja"", ""en"")"),"Arena point% s")</f>
        <v>Arena point% s</v>
      </c>
    </row>
    <row r="2379" spans="1:3" ht="12.75" x14ac:dyDescent="0.2">
      <c r="A2379" s="1" t="s">
        <v>4272</v>
      </c>
      <c r="B2379" s="1" t="s">
        <v>4273</v>
      </c>
      <c r="C2379" t="str">
        <f ca="1">IFERROR(__xludf.DUMMYFUNCTION("GOOGLETRANSLATE(B2379, ""ja"", ""en"")"),"Between the baptism")</f>
        <v>Between the baptism</v>
      </c>
    </row>
    <row r="2380" spans="1:3" ht="12.75" x14ac:dyDescent="0.2">
      <c r="A2380" s="1" t="s">
        <v>4274</v>
      </c>
      <c r="B2380" s="1" t="s">
        <v>4275</v>
      </c>
      <c r="C2380" t="str">
        <f ca="1">IFERROR(__xludf.DUMMYFUNCTION("GOOGLETRANSLATE(B2380, ""ja"", ""en"")"),"During the ordeal")</f>
        <v>During the ordeal</v>
      </c>
    </row>
    <row r="2381" spans="1:3" ht="12.75" x14ac:dyDescent="0.2">
      <c r="A2381" s="1" t="s">
        <v>4276</v>
      </c>
      <c r="B2381" s="1" t="s">
        <v>4277</v>
      </c>
      <c r="C2381" t="str">
        <f ca="1">IFERROR(__xludf.DUMMYFUNCTION("GOOGLETRANSLATE(B2381, ""ja"", ""en"")"),"Self-taught weapon against")</f>
        <v>Self-taught weapon against</v>
      </c>
    </row>
    <row r="2382" spans="1:3" ht="12.75" x14ac:dyDescent="0.2">
      <c r="A2382" s="1" t="s">
        <v>4278</v>
      </c>
      <c r="B2382" s="1" t="s">
        <v>4279</v>
      </c>
      <c r="C2382" t="str">
        <f ca="1">IFERROR(__xludf.DUMMYFUNCTION("GOOGLETRANSLATE(B2382, ""ja"", ""en"")"),"No hand set against")</f>
        <v>No hand set against</v>
      </c>
    </row>
    <row r="2383" spans="1:3" ht="12.75" x14ac:dyDescent="0.2">
      <c r="A2383" s="1" t="s">
        <v>4280</v>
      </c>
      <c r="B2383" s="1" t="s">
        <v>4281</v>
      </c>
      <c r="C2383" t="str">
        <f ca="1">IFERROR(__xludf.DUMMYFUNCTION("GOOGLETRANSLATE(B2383, ""ja"", ""en"")"),"Feast today sword")</f>
        <v>Feast today sword</v>
      </c>
    </row>
    <row r="2384" spans="1:3" ht="12.75" x14ac:dyDescent="0.2">
      <c r="A2384" s="1" t="s">
        <v>4282</v>
      </c>
      <c r="B2384" s="1" t="s">
        <v>4283</v>
      </c>
      <c r="C2384" t="str">
        <f ca="1">IFERROR(__xludf.DUMMYFUNCTION("GOOGLETRANSLATE(B2384, ""ja"", ""en"")"),"Feast of shooting")</f>
        <v>Feast of shooting</v>
      </c>
    </row>
    <row r="2385" spans="1:3" ht="12.75" x14ac:dyDescent="0.2">
      <c r="A2385" s="1" t="s">
        <v>4284</v>
      </c>
      <c r="B2385" s="1" t="s">
        <v>4285</v>
      </c>
      <c r="C2385" t="str">
        <f ca="1">IFERROR(__xludf.DUMMYFUNCTION("GOOGLETRANSLATE(B2385, ""ja"", ""en"")"),"Feast of the strong")</f>
        <v>Feast of the strong</v>
      </c>
    </row>
    <row r="2386" spans="1:3" ht="12.75" x14ac:dyDescent="0.2">
      <c r="A2386" s="1" t="s">
        <v>4286</v>
      </c>
      <c r="B2386" s="1" t="s">
        <v>4287</v>
      </c>
      <c r="C2386" t="str">
        <f ca="1">IFERROR(__xludf.DUMMYFUNCTION("GOOGLETRANSLATE(B2386, ""ja"", ""en"")"),"given names")</f>
        <v>given names</v>
      </c>
    </row>
    <row r="2387" spans="1:3" ht="12.75" x14ac:dyDescent="0.2">
      <c r="A2387" s="1" t="s">
        <v>4288</v>
      </c>
      <c r="B2387" s="1" t="s">
        <v>3288</v>
      </c>
      <c r="C2387" t="str">
        <f ca="1">IFERROR(__xludf.DUMMYFUNCTION("GOOGLETRANSLATE(B2387, ""ja"", ""en"")"),"Mold")</f>
        <v>Mold</v>
      </c>
    </row>
    <row r="2388" spans="1:3" ht="12.75" x14ac:dyDescent="0.2">
      <c r="A2388" s="1" t="s">
        <v>4289</v>
      </c>
      <c r="B2388" s="1" t="s">
        <v>4290</v>
      </c>
      <c r="C2388" t="str">
        <f ca="1">IFERROR(__xludf.DUMMYFUNCTION("GOOGLETRANSLATE(B2388, ""ja"", ""en"")"),"Raw materials")</f>
        <v>Raw materials</v>
      </c>
    </row>
    <row r="2389" spans="1:3" ht="12.75" x14ac:dyDescent="0.2">
      <c r="A2389" s="1" t="s">
        <v>4291</v>
      </c>
      <c r="B2389" s="1" t="s">
        <v>4292</v>
      </c>
      <c r="C2389" t="str">
        <f ca="1">IFERROR(__xludf.DUMMYFUNCTION("GOOGLETRANSLATE(B2389, ""ja"", ""en"")"),"information")</f>
        <v>information</v>
      </c>
    </row>
    <row r="2390" spans="1:3" ht="12.75" x14ac:dyDescent="0.2">
      <c r="A2390" s="1" t="s">
        <v>4293</v>
      </c>
      <c r="B2390" s="1" t="s">
        <v>4294</v>
      </c>
      <c r="C2390" t="str">
        <f ca="1">IFERROR(__xludf.DUMMYFUNCTION("GOOGLETRANSLATE(B2390, ""ja"", ""en"")"),"Are you ready for the game?")</f>
        <v>Are you ready for the game?</v>
      </c>
    </row>
    <row r="2391" spans="1:3" ht="12.75" x14ac:dyDescent="0.2">
      <c r="A2391" s="1" t="s">
        <v>4295</v>
      </c>
      <c r="B2391" s="1" t="s">
        <v>4296</v>
      </c>
      <c r="C2391" t="str">
        <f ca="1">IFERROR(__xludf.DUMMYFUNCTION("GOOGLETRANSLATE(B2391, ""ja"", ""en"")"),"To start the game")</f>
        <v>To start the game</v>
      </c>
    </row>
    <row r="2392" spans="1:3" ht="12.75" x14ac:dyDescent="0.2">
      <c r="A2392" s="1" t="s">
        <v>4297</v>
      </c>
      <c r="B2392" s="1" t="s">
        <v>4298</v>
      </c>
      <c r="C2392" t="str">
        <f ca="1">IFERROR(__xludf.DUMMYFUNCTION("GOOGLETRANSLATE(B2392, ""ja"", ""en"")"),"Next game")</f>
        <v>Next game</v>
      </c>
    </row>
    <row r="2393" spans="1:3" ht="12.75" x14ac:dyDescent="0.2">
      <c r="A2393" s="1" t="s">
        <v>4299</v>
      </c>
      <c r="B2393" s="1" t="s">
        <v>4300</v>
      </c>
      <c r="C2393" t="str">
        <f ca="1">IFERROR(__xludf.DUMMYFUNCTION("GOOGLETRANSLATE(B2393, ""ja"", ""en"")"),"GoriBan '螯 Chu ¥ 邯Yu譁_ｰ")</f>
        <v>GoriBan '螯 Chu ¥ 邯Yu譁_ｰ</v>
      </c>
    </row>
    <row r="2394" spans="1:3" ht="12.75" x14ac:dyDescent="0.2">
      <c r="A2394" s="1" t="s">
        <v>4301</v>
      </c>
      <c r="B2394" s="1" t="s">
        <v>4302</v>
      </c>
      <c r="C2394" t="str">
        <f ca="1">IFERROR(__xludf.DUMMYFUNCTION("GOOGLETRANSLATE(B2394, ""ja"", ""en"")"),"繧Ki繧Ke繝 Β 繝繧 Soviet 繧剃 So晏Yu倥 ○ 縺壹 ↓ 繧I繝Shi 繝繧 Tsutsumika壹 ¢ 縺Se 縺吶 ° 歇 n] (繧Ki繧Ke繝 Β 繝繧Seo 繧剃 So晏Yu倥 @ 縺E縺Eninai α 推遞Yo險Yu 螳壹 d 繧I繝Shi 繝TsuE繧 ""諠A 縺御 So晏Yu倥 &amp; 繧後 ∪ 縺帙 s縺Yo縺A 縺疲 WE 諢丈 click nine &amp; dotConnect")</f>
        <v>繧Ki繧Ke繝 Β 繝繧 Soviet 繧剃 So晏Yu倥 ○ 縺壹 ↓ 繧I繝Shi 繝繧 Tsutsumika壹 ¢ 縺Se 縺吶 ° 歇 n] (繧Ki繧Ke繝 Β 繝繧Seo 繧剃 So晏Yu倥 @ 縺E縺Eninai α 推遞Yo險Yu 螳壹 d 繧I繝Shi 繝TsuE繧 "諠A 縺御 So晏Yu倥 &amp; 繧後 ∪ 縺帙 s縺Yo縺A 縺疲 WE 諢丈 click nine &amp; dotConnect</v>
      </c>
    </row>
    <row r="2395" spans="1:3" ht="12.75" x14ac:dyDescent="0.2">
      <c r="A2395" s="1" t="s">
        <v>4303</v>
      </c>
      <c r="B2395" s="1" t="s">
        <v>4304</v>
      </c>
      <c r="C2395" t="str">
        <f ca="1">IFERROR(__xludf.DUMMYFUNCTION("GOOGLETRANSLATE(B2395, ""ja"", ""en"")"),"繧Sa繝Shi 繝悶 Yo繝Shi繧So 繧剃 So晏Yu倥 ○ 縺壹 ↓ 繧I繝Shi 繝繧 Tsutsumika壹 ¢ 縺Se 縺吶 °")</f>
        <v>繧Sa繝Shi 繝悶 Yo繝Shi繧So 繧剃 So晏Yu倥 ○ 縺壹 ↓ 繧I繝Shi 繝繧 Tsutsumika壹 ¢ 縺Se 縺吶 °</v>
      </c>
    </row>
    <row r="2396" spans="1:3" ht="12.75" x14ac:dyDescent="0.2">
      <c r="A2396" s="1" t="s">
        <v>4305</v>
      </c>
      <c r="B2396" s="1" t="s">
        <v>4306</v>
      </c>
      <c r="C2396" t="str">
        <f ca="1">IFERROR(__xludf.DUMMYFUNCTION("GOOGLETRANSLATE(B2396, ""ja"", ""en"")"),"TsuE繧 ""繝繧 Soviet 繧剃 So晏Yu倥 @ 縺E縺E Nina physicians over n] TsuE繧"" 蠕後 ↓ 蜃Ko迴Se 縺吶 k Nina I ® BPP. BPP nine Η 繝Shi縺Yo霑Su 蜉繧 Yuso晏Yu倥 &amp; 繧後 ∪ 縺帙 s 縲 n] TsuE繧 ""繝繧 Soviet 繧剃 So晏Yu倥 ○ 縺壹 ↓ 繧So繧, 繝医 Ν縺Ku謌Sa 繧翫 ∪ 縺吶 °")</f>
        <v>TsuE繧 "繝繧 Soviet 繧剃 So晏Yu倥 @ 縺E縺E Nina physicians over n] TsuE繧" 蠕後 ↓ 蜃Ko迴Se 縺吶 k Nina I ® BPP. BPP nine Η 繝Shi縺Yo霑Su 蜉繧 Yuso晏Yu倥 &amp; 繧後 ∪ 縺帙 s 縲 n] TsuE繧 "繝繧 Soviet 繧剃 So晏Yu倥 ○ 縺壹 ↓ 繧So繧, 繝医 Ν縺Ku謌Sa 繧翫 ∪ 縺吶 °</v>
      </c>
    </row>
    <row r="2397" spans="1:3" ht="12.75" x14ac:dyDescent="0.2">
      <c r="A2397" s="1" t="s">
        <v>4307</v>
      </c>
      <c r="C2397" t="str">
        <f ca="1">IFERROR(__xludf.DUMMYFUNCTION("GOOGLETRANSLATE(B2397, ""ja"", ""en"")"),"#VALUE!")</f>
        <v>#VALUE!</v>
      </c>
    </row>
    <row r="2398" spans="1:3" ht="12.75" x14ac:dyDescent="0.2">
      <c r="A2398" s="1" t="s">
        <v>4308</v>
      </c>
      <c r="B2398" s="1" t="s">
        <v>4309</v>
      </c>
      <c r="C2398" t="str">
        <f ca="1">IFERROR(__xludf.DUMMYFUNCTION("GOOGLETRANSLATE(B2398, ""ja"", ""en"")"),"繧I繝Shi 繝繝 繧So 繧偵 cormorant 繝U繧Ke 繝医 繝O 縺励 ∪ 縺吶 n] (繝繧So縺Yo譖Ku 縺崎 Ceci 縺So荳Yu縺OTsu HDD Restful ""TsuSa繧Ke繝U繝U Prints' 轤Ke貊 @ 縺Se 縺吶 縺A縲_ｰ n] 縺昴 Kamojinagi繝U繧KeTsu 繧呈 Kashiwa縺 ◆ 繧頑 悽菴 Nagi髮Sa 貅舌 r Monuke i 縺E縺 〒 荳 nine &amp; dotConnect")</f>
        <v>繧I繝Shi 繝繝 繧So 繧偵 cormorant 繝U繧Ke 繝医 繝O 縺励 ∪ 縺吶 n] (繝繧So縺Yo譖Ku 縺崎 Ceci 縺So荳Yu縺OTsu HDD Restful "TsuSa繧Ke繝U繝U Prints' 轤Ke貊 @ 縺Se 縺吶 縺A縲_ｰ n] 縺昴 Kamojinagi繝U繧KeTsu 繧呈 Kashiwa縺 ◆ 繧頑 悽菴 Nagi髮Sa 貅舌 r Monuke i 縺E縺 〒 荳 nine &amp; dotConnect</v>
      </c>
    </row>
    <row r="2399" spans="1:3" ht="12.75" x14ac:dyDescent="0.2">
      <c r="A2399" s="1" t="s">
        <v>4310</v>
      </c>
      <c r="B2399" s="1" t="s">
        <v>4311</v>
      </c>
      <c r="C2399" t="str">
        <f ca="1">IFERROR(__xludf.DUMMYFUNCTION("GOOGLETRANSLATE(B2399, ""ja"", ""en"")"),"繧I繝Shi 繝繝 繧So 縺悟 ""翫 l 縺O縺 ∪ 縺吶 n] 繧I繝Shi 繝繧 Tsutsumioyuko @ 縺O縲 √ Go繝Shi 繝繝 Restful Seo 繧貞 flame whiskers, 縺励 ※ 縺上 □ 縺輔&gt; 縲")</f>
        <v>繧I繝Shi 繝繝 繧So 縺悟 "翫 l 縺O縺 ∪ 縺吶 n] 繧I繝Shi 繝繧 Tsutsumioyuko @ 縺O縲 √ Go繝Shi 繝繝 Restful Seo 繧貞 flame whiskers, 縺励 ※ 縺上 □ 縺輔&gt; 縲</v>
      </c>
    </row>
    <row r="2400" spans="1:3" ht="12.75" x14ac:dyDescent="0.2">
      <c r="A2400" s="1" t="s">
        <v>4312</v>
      </c>
      <c r="B2400" s="1" t="s">
        <v>4313</v>
      </c>
      <c r="C2400" t="str">
        <f ca="1">IFERROR(__xludf.DUMMYFUNCTION("GOOGLETRANSLATE(B2400, ""ja"", ""en"")"),"繧I繝Shi 繝繝 繧So 繧偵 cormorant 繝U繧Ke 繝医 繝O 縺励 ※ dotConnect ∪ 縺吶 n] Restful, 繝U繧Ke 繝医 繝O 縺悟 ® your co-☆ Restful nine ∪縺A繝U繧KeTsu 繧呈 Kashiwa縺 ◆ 繧骸 n] 譛Ya 菴薙 髮Sa 貅舌 r Monuke i 縺E縺 〒 荳 nine &amp; dotConnect")</f>
        <v>繧I繝Shi 繝繝 繧So 繧偵 cormorant 繝U繧Ke 繝医 繝O 縺励 ※ dotConnect ∪ 縺吶 n] Restful, 繝U繧Ke 繝医 繝O 縺悟 ® your co-☆ Restful nine ∪縺A繝U繧KeTsu 繧呈 Kashiwa縺 ◆ 繧骸 n] 譛Ya 菴薙 髮Sa 貅舌 r Monuke i 縺E縺 〒 荳 nine &amp; dotConnect</v>
      </c>
    </row>
    <row r="2401" spans="1:3" ht="12.75" x14ac:dyDescent="0.2">
      <c r="A2401" s="1" t="s">
        <v>4314</v>
      </c>
      <c r="B2401" s="1" t="s">
        <v>4315</v>
      </c>
      <c r="C2401" t="str">
        <f ca="1">IFERROR(__xludf.DUMMYFUNCTION("GOOGLETRANSLATE(B2401, ""ja"", ""en"")"),"繧I繝Shi 繝繝 繧So縺Yo繧, 繝U繧Ke 繝医 繝O 縺悟 ® your co @ 縺Se 縺励 ◆ 縲")</f>
        <v>繧I繝Shi 繝繝 繧So縺Yo繧, 繝U繧Ke 繝医 繝O 縺悟 ® your co @ 縺Se 縺励 ◆ 縲</v>
      </c>
    </row>
    <row r="2402" spans="1:3" ht="12.75" x14ac:dyDescent="0.2">
      <c r="A2402" s="1" t="s">
        <v>4316</v>
      </c>
      <c r="B2402" s="1" t="s">
        <v>4317</v>
      </c>
      <c r="C2402" t="str">
        <f ca="1">IFERROR(__xludf.DUMMYFUNCTION("GOOGLETRANSLATE(B2402, ""ja"", ""en"")"),"繧I繝Shi 繝繝 繧So縺Yo繧, 繝U繧Ke 繝医 繝O縺O螟A 謨励 @ 縺Se 縺励 ◆ 縲 n] 繧I繝Shi 繝繧 Sada襍Ki 蜍輔 @ dotConnect wo 蜀榊 Kowo Restful, 繝U繧Ke 繝医 繝O 繧定. after ▲ 縺O 縺上 □ 縺輔&gt; 縲")</f>
        <v>繧I繝Shi 繝繝 繧So縺Yo繧, 繝U繧Ke 繝医 繝O縺O螟A 謨励 @ 縺Se 縺励 ◆ 縲 n] 繧I繝Shi 繝繧 Sada襍Ki 蜍輔 @ dotConnect wo 蜀榊 Kowo Restful, 繝U繧Ke 繝医 繝O 繧定. after ▲ 縺O 縺上 □ 縺輔&gt; 縲</v>
      </c>
    </row>
    <row r="2403" spans="1:3" ht="12.75" x14ac:dyDescent="0.2">
      <c r="A2403" s="1" t="s">
        <v>4318</v>
      </c>
      <c r="B2403" s="1" t="s">
        <v>4319</v>
      </c>
      <c r="C2403" t="str">
        <f ca="1">IFERROR(__xludf.DUMMYFUNCTION("GOOGLETRANSLATE(B2403, ""ja"", ""en"")"),"繝輔 I Restful, 繝O縺Yo繧U 繝斐 縺O螟A 謨励 @ 縺Se 縺励 ◆ 縲 n] 繧I繝Shi 繝繧 Sada襍Ki 蜍輔 @ 縺O 蜀榊 Kowo Restful, 繝U繧Ke 繝医繝O 繧定. after ▲ 縺O 縺上 □ 縺輔&gt; 縲")</f>
        <v>繝輔 I Restful, 繝O縺Yo繧U 繝斐 縺O螟A 謨励 @ 縺Se 縺励 ◆ 縲 n] 繧I繝Shi 繝繧 Sada襍Ki 蜍輔 @ 縺O 蜀榊 Kowo Restful, 繝U繧Ke 繝医繝O 繧定. after ▲ 縺O 縺上 □ 縺輔&gt; 縲</v>
      </c>
    </row>
    <row r="2404" spans="1:3" ht="12.75" x14ac:dyDescent="0.2">
      <c r="A2404" s="1" t="s">
        <v>4320</v>
      </c>
      <c r="B2404" s="1" t="s">
        <v>4321</v>
      </c>
      <c r="C2404" t="str">
        <f ca="1">IFERROR(__xludf.DUMMYFUNCTION("GOOGLETRANSLATE(B2404, ""ja"", ""en"")"),"莉悶 繝繧 Soviet 繧貞 flame whiskers, 縺励 ∪ 縺吶 °")</f>
        <v>莉悶 繝繧 Soviet 繧貞 flame whiskers, 縺励 ∪ 縺吶 °</v>
      </c>
    </row>
    <row r="2405" spans="1:3" ht="12.75" x14ac:dyDescent="0.2">
      <c r="A2405" s="1" t="s">
        <v>4322</v>
      </c>
      <c r="B2405" s="1" t="s">
        <v>4323</v>
      </c>
      <c r="C2405" t="str">
        <f ca="1">IFERROR(__xludf.DUMMYFUNCTION("GOOGLETRANSLATE(B2405, ""ja"", ""en"")"),"繧Sa繝Shi 繝悶 Yo繝Shi繧So 繧剃 So晏Yu倥 @ 縺Se 縺吶 °")</f>
        <v>繧Sa繝Shi 繝悶 Yo繝Shi繧So 繧剃 So晏Yu倥 @ 縺Se 縺吶 °</v>
      </c>
    </row>
    <row r="2406" spans="1:3" ht="12.75" x14ac:dyDescent="0.2">
      <c r="A2406" s="1" t="s">
        <v>4324</v>
      </c>
      <c r="B2406" s="1" t="s">
        <v>4325</v>
      </c>
      <c r="C2406" t="str">
        <f ca="1">IFERROR(__xludf.DUMMYFUNCTION("GOOGLETRANSLATE(B2406, ""ja"", ""en"")"),"縺薙% 繧医 j 莉-HigeBan α Shi Kosuke ""霑斐 ☆ 縺薙 → 縺後 〒 縺阪 ↑ 縺上 ↑ 繧翫 ∪ 縺吶 n] 繧Sa繝Shi 繝悶 Yo繝Shi繧So 繧剃 click 頑嶌 縺阪 ○ 縺壹 over n ] 譁 over 隕上 ↓ 菴懈 縺吶 k 縺薙 → 繧偵 ♀ 蜍A繧 √ @ 縺Se 縺吶 n] [n] 繧Sa繝Shi 繝悶 Yo繝Shi繧So 繧剃 So晏Yu倥 @ 縺Se 縺吶 °")</f>
        <v>縺薙% 繧医 j 莉-HigeBan α Shi Kosuke "霑斐 ☆ 縺薙 → 縺後 〒 縺阪 ↑ 縺上 ↑ 繧翫 ∪ 縺吶 n] 繧Sa繝Shi 繝悶 Yo繝Shi繧So 繧剃 click 頑嶌 縺阪 ○ 縺壹 over n ] 譁 over 隕上 ↓ 菴懈 縺吶 k 縺薙 → 繧偵 ♀ 蜍A繧 √ @ 縺Se 縺吶 n] [n] 繧Sa繝Shi 繝悶 Yo繝Shi繧So 繧剃 So晏Yu倥 @ 縺Se 縺吶 °</v>
      </c>
    </row>
    <row r="2407" spans="1:3" ht="12.75" x14ac:dyDescent="0.2">
      <c r="A2407" s="1" t="s">
        <v>4326</v>
      </c>
      <c r="B2407" s="1" t="s">
        <v>4327</v>
      </c>
      <c r="C2407" t="str">
        <f ca="1">IFERROR(__xludf.DUMMYFUNCTION("GOOGLETRANSLATE(B2407, ""ja"", ""en"")"),"譁 over 縺溘 ↓ 霑Su 蜉縺 Kosuke l 縺溘 only 繝E繧 ""蠕後 Δ 繝Shi 繝峨 〒 菴So逕I縺A 縺阪 k 繝繧So縺Yo 菴懈 縺A 縺吶 n] 蜈I縺O縺Yo隕 ∫ d 繧剃 So晏Yu倥 @ 縺Se 縺吶 'after 縲 √ only 繝E繧 ""繝繧 So菴So逕I縺A 譛蛻 Subaru ° 繧峨 Osaka 〒 cricket nine a 繧句et Nina physician 縺So [n] 繧O 繝悶 to 繝医 繝E繝Shi 繧偵 縺倥 a 縺I 縺励"&amp;" ◆ dotConnect ¥ dotConnect, dotConnect nine Pride goes 疲隕 ∫ ETsu 蠑輔 ""邯吶 '繧後 ∪縺帙 s 縲 n] 譁 over 隕上 〒 繧Sa繝Shi 繝悶 Yo繝Shi繧So 繧剃 scan 懊 k 縺薙 → 繧偵 ♀ 蜍A繧 √ @ 縺Se 縺吶 n] 譌 ""蟄倥 繧Sa繝Shi 繝悶Yo繝Shi繧So縺O 荳頑 嶌縺 Osaka ☆ 繧矩 圀Tsu 縺疲 Willowbrook 諢上 ¥ 縺縺 Kosuke&gt; 縲 n] [n] Tsu"&amp;"E繧 ""繝繧 Soviet 繧剃 So晏Yu倥 @ 縺Se 縺吶°")</f>
        <v>譁 over 縺溘 ↓ 霑Su 蜉縺 Kosuke l 縺溘 only 繝E繧 "蠕後 Δ 繝Shi 繝峨 〒 菴So逕I縺A 縺阪 k 繝繧So縺Yo 菴懈 縺A 縺吶 n] 蜈I縺O縺Yo隕 ∫ d 繧剃 So晏Yu倥 @ 縺Se 縺吶 'after 縲 √ only 繝E繧 "繝繧 So菴So逕I縺A 譛蛻 Subaru ° 繧峨 Osaka 〒 cricket nine a 繧句et Nina physician 縺So [n] 繧O 繝悶 to 繝医 繝E繝Shi 繧偵 縺倥 a 縺I 縺励 ◆ dotConnect ¥ dotConnect, dotConnect nine Pride goes 疲隕 ∫ ETsu 蠑輔 "邯吶 '繧後 ∪縺帙 s 縲 n] 譁 over 隕上 〒 繧Sa繝Shi 繝悶 Yo繝Shi繧So 繧剃 scan 懊 k 縺薙 → 繧偵 ♀ 蜍A繧 √ @ 縺Se 縺吶 n] 譌 "蟄倥 繧Sa繝Shi 繝悶Yo繝Shi繧So縺O 荳頑 嶌縺 Osaka ☆ 繧矩 圀Tsu 縺疲 Willowbrook 諢上 ¥ 縺縺 Kosuke&gt; 縲 n] [n] TsuE繧 "繝繧 Soviet 繧剃 So晏Yu倥 @ 縺Se 縺吶°</v>
      </c>
    </row>
    <row r="2408" spans="1:3" ht="12.75" x14ac:dyDescent="0.2">
      <c r="A2408" s="1" t="s">
        <v>4328</v>
      </c>
      <c r="B2408" s="1" t="s">
        <v>2437</v>
      </c>
      <c r="C2408" t="str">
        <f ca="1">IFERROR(__xludf.DUMMYFUNCTION("GOOGLETRANSLATE(B2408, ""ja"", ""en"")"),"")</f>
        <v/>
      </c>
    </row>
    <row r="2409" spans="1:3" ht="12.75" x14ac:dyDescent="0.2">
      <c r="A2409" s="1" t="s">
        <v>4329</v>
      </c>
      <c r="B2409" s="1" t="s">
        <v>4330</v>
      </c>
      <c r="C2409" t="str">
        <f ca="1">IFERROR(__xludf.DUMMYFUNCTION("GOOGLETRANSLATE(B2409, ""ja"", ""en"")"),"HDD 縺Yo遨Ko 縺榊 ® Quai 驥上 '雜U 繧翫 ∪ 縺帙 s 縲 n] 繧I繝Shi 繝繧 throne 陦後 ☆ Restful nine ↓ Tsu 50MB 莉-荳翫 遨Ko 縺榊 ® Quai 驥上' 蠢wo √〒 縺吶 n] 繧I繝Shi 繝繧 Tsutsumioyuko @ 縺O縲 α Sowo √ ↑ 遨Ko 縺榊 ® Quai 驥上 r 遒Kosumire Subaru @ 縺O 縺上 □ 縺輔&gt; 縲")</f>
        <v>HDD 縺Yo遨Ko 縺榊 ® Quai 驥上 '雜U 繧翫 ∪ 縺帙 s 縲 n] 繧I繝Shi 繝繧 throne 陦後 ☆ Restful nine ↓ Tsu 50MB 莉-荳翫 遨Ko 縺榊 ® Quai 驥上' 蠢wo √〒 縺吶 n] 繧I繝Shi 繝繧 Tsutsumioyuko @ 縺O縲 α Sowo √ ↑ 遨Ko 縺榊 ® Quai 驥上 r 遒Kosumire Subaru @ 縺O 縺上 □ 縺輔&gt; 縲</v>
      </c>
    </row>
    <row r="2410" spans="1:3" ht="12.75" x14ac:dyDescent="0.2">
      <c r="A2410" s="1" t="s">
        <v>4331</v>
      </c>
      <c r="B2410" s="1" t="s">
        <v>4332</v>
      </c>
      <c r="C2410" t="str">
        <f ca="1">IFERROR(__xludf.DUMMYFUNCTION("GOOGLETRANSLATE(B2410, ""ja"", ""en"")"),"縺薙 繧Ki繧Ke繝 Β 繝繧SoTsu 莉悶 繝O繝Shi繧Ka繝Shi縺Yo繧Ki繧Ke繝 Β 繝繧 Soviet 縺A 縺吶 n] 縺薙 l 莉· HigeBan 繝医 Ο 繝輔 U 繝Shi縺Yo譖E譁_ｰ_Tsu 縺輔 l 縺Se 縺帙 s 縲 n] 縺Se 縺溘 be 繧Ke繝 Β 繝繧 Soviet 縲 √ its 繝Shi 繝悶 ® BPP Shi繧So 繧偵 its 繝Shi 繝悶 d Restful ""繝繝Yu繝Shi 繝峨 ☆ Restful nine percent 縺I縲_ｰ "&amp;"n] 雉Yu蝣E 繝溘 Ru繧I繝Shi 繝繧 偵繝 turbocharger Restful, 縺吶 k 縺薙→ TsuKo Tan 縺Se 縺帙 s 縲")</f>
        <v>縺薙 繧Ki繧Ke繝 Β 繝繧SoTsu 莉悶 繝O繝Shi繧Ka繝Shi縺Yo繧Ki繧Ke繝 Β 繝繧 Soviet 縺A 縺吶 n] 縺薙 l 莉· HigeBan 繝医 Ο 繝輔 U 繝Shi縺Yo譖E譁_ｰ_Tsu 縺輔 l 縺Se 縺帙 s 縲 n] 縺Se 縺溘 be 繧Ke繝 Β 繝繧 Soviet 縲 √ its 繝Shi 繝悶 ® BPP Shi繧So 繧偵 its 繝Shi 繝悶 d Restful "繝繝Yu繝Shi 繝峨 ☆ Restful nine percent 縺I縲_ｰ n] 雉Yu蝣E 繝溘 Ru繧I繝Shi 繝繧 偵繝 turbocharger Restful, 縺吶 k 縺薙→ TsuKo Tan 縺Se 縺帙 s 縲</v>
      </c>
    </row>
    <row r="2411" spans="1:3" ht="12.75" x14ac:dyDescent="0.2">
      <c r="A2411" s="1" t="s">
        <v>4333</v>
      </c>
      <c r="B2411" s="1" t="s">
        <v>4334</v>
      </c>
      <c r="C2411" t="str">
        <f ca="1">IFERROR(__xludf.DUMMYFUNCTION("GOOGLETRANSLATE(B2411, ""ja"", ""en"")"),"莉悶 繝O繝Shi繧Ka繝Shi縺Yo繧Ki繧Ke繝 Β 繝繧 Soviet 縲 √ its 繝Shi 繝悶 Yo繝Shi繧So 繧偵 Ο 繝Shi 繝峨 @ 縺溘% 縺I 縺後 ≠ Restful nine ◆繧_ｰ n] 繧Ki繧Ke繝 Β 繝繧 Soviet 繧偵 its 繝Shi 繝悶 ☆ Restful nine percent 縺I 縺悟 Tan 縺Se 縺帙 s 縲")</f>
        <v>莉悶 繝O繝Shi繧Ka繝Shi縺Yo繧Ki繧Ke繝 Β 繝繧 Soviet 縲 √ its 繝Shi 繝悶 Yo繝Shi繧So 繧偵 Ο 繝Shi 繝峨 @ 縺溘% 縺I 縺後 ≠ Restful nine ◆繧_ｰ n] 繧Ki繧Ke繝 Β 繝繧 Soviet 繧偵 its 繝Shi 繝悶 ☆ Restful nine percent 縺I 縺悟 Tan 縺Se 縺帙 s 縲</v>
      </c>
    </row>
    <row r="2412" spans="1:3" ht="12.75" x14ac:dyDescent="0.2">
      <c r="A2412" s="1" t="s">
        <v>4335</v>
      </c>
      <c r="B2412" s="1" t="s">
        <v>4336</v>
      </c>
      <c r="C2412" t="str">
        <f ca="1">IFERROR(__xludf.DUMMYFUNCTION("GOOGLETRANSLATE(B2412, ""ja"", ""en"")"),"縺薙 繧Sa繝Shi 繝悶 Yo繝Shi繧SoTsu 莉悶 繝O繝Shi繧Ka繝Shi縺Yo繧Sa繝Shi 繝悶 Yo繝Shi繧So縺A 縺吶 n] 縺薙 l 莉-HigeBan繝医 Ο 繝輔 U 繝Shi縺Yo譖E譁_ｰ_Tsu 縺輔 l 縺Se 縺帙 s 縲 n] 縺Se 縺溘 be 繧Ke繝 Β 繝繧 Soviet 縲 √ its 繝Shi 繝悶 Yo繝Shi繧So 繧偵its 繝Shi 繝悶 d Restful ""繝繝Yu繝Shi 繝峨 ☆ Restful nine percent 縺I縲_ｰ "&amp;"n] 雉Yu蝣E 繝溘 Ru繧I繝Shi 繝繧 偵繝 turbocharger Restful, 縺吶 k 縺薙 → Tsu Koh Tan 縺Se 縺帙 s 縲")</f>
        <v>縺薙 繧Sa繝Shi 繝悶 Yo繝Shi繧SoTsu 莉悶 繝O繝Shi繧Ka繝Shi縺Yo繧Sa繝Shi 繝悶 Yo繝Shi繧So縺A 縺吶 n] 縺薙 l 莉-HigeBan繝医 Ο 繝輔 U 繝Shi縺Yo譖E譁_ｰ_Tsu 縺輔 l 縺Se 縺帙 s 縲 n] 縺Se 縺溘 be 繧Ke繝 Β 繝繧 Soviet 縲 √ its 繝Shi 繝悶 Yo繝Shi繧So 繧偵its 繝Shi 繝悶 d Restful "繝繝Yu繝Shi 繝峨 ☆ Restful nine percent 縺I縲_ｰ n] 雉Yu蝣E 繝溘 Ru繧I繝Shi 繝繧 偵繝 turbocharger Restful, 縺吶 k 縺薙 → Tsu Koh Tan 縺Se 縺帙 s 縲</v>
      </c>
    </row>
    <row r="2413" spans="1:3" ht="12.75" x14ac:dyDescent="0.2">
      <c r="A2413" s="1" t="s">
        <v>4337</v>
      </c>
      <c r="B2413" s="1" t="s">
        <v>4338</v>
      </c>
      <c r="C2413" t="str">
        <f ca="1">IFERROR(__xludf.DUMMYFUNCTION("GOOGLETRANSLATE(B2413, ""ja"", ""en"")"),"莉悶 繝O繝Shi繧Ka繝Shi縺Yo繧Ki繧Ke繝 Β 繝繧 Soviet 縲 √ its 繝Shi 繝悶 Yo繝Shi繧So 繧偵 Ο 繝Shi 繝峨 @ 縺溘% 縺I 縺後 ≠ Restful nine ◆繧_ｰ n] 繧Sa繝Shi 繝悶 Yo繝Shi繧So 繧偵 its 繝Shi 繝悶 ☆ Restful nine percent 縺I 縺悟 Tan 縺Se 縺帙 s 縲")</f>
        <v>莉悶 繝O繝Shi繧Ka繝Shi縺Yo繧Ki繧Ke繝 Β 繝繧 Soviet 縲 √ its 繝Shi 繝悶 Yo繝Shi繧So 繧偵 Ο 繝Shi 繝峨 @ 縺溘% 縺I 縺後 ≠ Restful nine ◆繧_ｰ n] 繧Sa繝Shi 繝悶 Yo繝Shi繧So 繧偵 its 繝Shi 繝悶 ☆ Restful nine percent 縺I 縺悟 Tan 縺Se 縺帙 s 縲</v>
      </c>
    </row>
    <row r="2414" spans="1:3" ht="12.75" x14ac:dyDescent="0.2">
      <c r="A2414" s="1" t="s">
        <v>4339</v>
      </c>
      <c r="B2414" s="1" t="s">
        <v>4340</v>
      </c>
      <c r="C2414" t="str">
        <f ca="1">IFERROR(__xludf.DUMMYFUNCTION("GOOGLETRANSLATE(B2414, ""ja"", ""en"")"),"莉悶 繝O繝Shi繧Ka繝Shi縺Yo繧Ki繧Ke繝 Β 繝繧 Soviet 縲 √ its 繝Shi 繝悶 Yo繝Shi繧So 繧偵 Ο 繝Shi 繝峨 @ 縺溘% 縺I 縺後 ≠ Restful nine ◆繧_ｰ n] 繧Sa繝Shi 繝悶 Yo繝Shi繧So 繧偵 have 繝繝 Yu繝Shi 繝峨 ☆ Restful nine percent 縺I 縺悟 Tan 縺Se 縺帙 s 縲")</f>
        <v>莉悶 繝O繝Shi繧Ka繝Shi縺Yo繧Ki繧Ke繝 Β 繝繧 Soviet 縲 √ its 繝Shi 繝悶 Yo繝Shi繧So 繧偵 Ο 繝Shi 繝峨 @ 縺溘% 縺I 縺後 ≠ Restful nine ◆繧_ｰ n] 繧Sa繝Shi 繝悶 Yo繝Shi繧So 繧偵 have 繝繝 Yu繝Shi 繝峨 ☆ Restful nine percent 縺I 縺悟 Tan 縺Se 縺帙 s 縲</v>
      </c>
    </row>
    <row r="2415" spans="1:3" ht="12.75" x14ac:dyDescent="0.2">
      <c r="A2415" s="1" t="s">
        <v>4341</v>
      </c>
      <c r="B2415" s="1" t="s">
        <v>4342</v>
      </c>
      <c r="C2415" t="str">
        <f ca="1">IFERROR(__xludf.DUMMYFUNCTION("GOOGLETRANSLATE(B2415, ""ja"", ""en"")"),"莉悶 繝O繝Shi繧Ka繝Shi縺Yo繧Ki繧Ke繝 Β 繝繧 Soviet 縲 √ its 繝Shi 繝悶 Yo繝Shi繧So 繧偵 Ο 繝Shi 繝峨 @ 縺溘% 縺I 縺後 ≠ Restful nine ◆繧_ｰ n] 雉Yu蝣E 繝溘 Ru繧I繝Shi 繝繧 偵繝 turbocharger Restful, 縺吶 k 縺薙 → TsuKo Tan 縺Se 縺帙 s 縲")</f>
        <v>莉悶 繝O繝Shi繧Ka繝Shi縺Yo繧Ki繧Ke繝 Β 繝繧 Soviet 縲 √ its 繝Shi 繝悶 Yo繝Shi繧So 繧偵 Ο 繝Shi 繝峨 @ 縺溘% 縺I 縺後 ≠ Restful nine ◆繧_ｰ n] 雉Yu蝣E 繝溘 Ru繧I繝Shi 繝繧 偵繝 turbocharger Restful, 縺吶 k 縺薙 → TsuKo Tan 縺Se 縺帙 s 縲</v>
      </c>
    </row>
    <row r="2416" spans="1:3" ht="12.75" x14ac:dyDescent="0.2">
      <c r="A2416" s="1" t="s">
        <v>4343</v>
      </c>
      <c r="B2416" s="1" t="s">
        <v>4344</v>
      </c>
      <c r="C2416" t="str">
        <f ca="1">IFERROR(__xludf.DUMMYFUNCTION("GOOGLETRANSLATE(B2416, ""ja"", ""en"")"),"GoriBan '螯 Chu ¥ 繧Ki繝E繝Shi繧Ko縺Yo繧Ki繧Ke繝 Β 繝繧 Soviet 縺瑚 wo nine ▽ dotConnect nine j 縺Se 縺励 ◆ 縲 n] Prints Ξ 繧Shi繝U 繝医Go ▼ 縺Yo繧O繧Ke 繝繝 © 縲阪 r 謇 nine ↓ 蜈-繧後 ∪ 縺励 ◆ 縲")</f>
        <v>GoriBan '螯 Chu ¥ 繧Ki繝E繝Shi繧Ko縺Yo繧Ki繧Ke繝 Β 繝繧 Soviet 縺瑚 wo nine ▽ dotConnect nine j 縺Se 縺励 ◆ 縲 n] Prints Ξ 繧Shi繝U 繝医Go ▼ 縺Yo繧O繧Ke 繝繝 © 縲阪 r 謇 nine ↓ 蜈-繧後 ∪ 縺励 ◆ 縲</v>
      </c>
    </row>
    <row r="2417" spans="1:3" ht="12.75" x14ac:dyDescent="0.2">
      <c r="A2417" s="1" t="s">
        <v>4345</v>
      </c>
      <c r="B2417" s="1" t="s">
        <v>4346</v>
      </c>
      <c r="C2417" t="str">
        <f ca="1">IFERROR(__xludf.DUMMYFUNCTION("GOOGLETRANSLATE(B2417, ""ja"", ""en"")"),"譁 over 縺励&gt; Restful ""繝繝 繝医 meteorite nine ▽ dotConnect nine j 縺Se 縺帙 s 縺A 縺励 ◆ 縲")</f>
        <v>譁 over 縺励&gt; Restful "繝繝 繝医 meteorite nine ▽ dotConnect nine j 縺Se 縺帙 s 縺A 縺励 ◆ 縲</v>
      </c>
    </row>
    <row r="2418" spans="1:3" ht="12.75" x14ac:dyDescent="0.2">
      <c r="A2418" s="1" t="s">
        <v>4347</v>
      </c>
      <c r="B2418" s="1" t="s">
        <v>4348</v>
      </c>
      <c r="C2418" t="str">
        <f ca="1">IFERROR(__xludf.DUMMYFUNCTION("GOOGLETRANSLATE(B2418, ""ja"", ""en"")"),"Restful ""繝繝 繝医 繧Yu繝"" 繝U繧Sa繝O 縺輔 l 縺Se 縺励 ◆ 縲")</f>
        <v>Restful "繝繝 繝医 繧Yu繝" 繝U繧Sa繝O 縺輔 l 縺Se 縺励 ◆ 縲</v>
      </c>
    </row>
    <row r="2419" spans="1:3" ht="12.75" x14ac:dyDescent="0.2">
      <c r="A2419" s="1" t="s">
        <v>4349</v>
      </c>
      <c r="B2419" s="1" t="s">
        <v>4350</v>
      </c>
      <c r="C2419" t="str">
        <f ca="1">IFERROR(__xludf.DUMMYFUNCTION("GOOGLETRANSLATE(B2419, ""ja"", ""en"")"),"繝医 Ο 繝輔 U 繝Shi縺O problem further. After '逋Ko 逕溘 @ 縺Se 縺励 ◆ 縲 n] 繧I繝Shi 繝繧 Sada襍Ki 蜍輔 @ 縺O 縺上 □ 縺輔&gt; 縲")</f>
        <v>繝医 Ο 繝輔 U 繝Shi縺O problem further. After '逋Ko 逕溘 @ 縺Se 縺励 ◆ 縲 n] 繧I繝Shi 繝繧 Sada襍Ki 蜍輔 @ 縺O 縺上 □ 縺輔&gt; 縲</v>
      </c>
    </row>
    <row r="2420" spans="1:3" ht="12.75" x14ac:dyDescent="0.2">
      <c r="A2420" s="1" t="s">
        <v>4351</v>
      </c>
      <c r="B2420" s="1" t="s">
        <v>4352</v>
      </c>
      <c r="C2420" t="str">
        <f ca="1">IFERROR(__xludf.DUMMYFUNCTION("GOOGLETRANSLATE(B2420, ""ja"", ""en"")"),"繝医 Ο 繝輔 U 繝Shi縺O problem further. After '逋Ko 逕溘 @ 縺Se 縺励 ◆ 縲 n] (% 08x)")</f>
        <v>繝医 Ο 繝輔 U 繝Shi縺O problem further. After '逋Ko 逕溘 @ 縺Se 縺励 ◆ 縲 n] (% 08x)</v>
      </c>
    </row>
    <row r="2421" spans="1:3" ht="12.75" x14ac:dyDescent="0.2">
      <c r="A2421" s="1" t="s">
        <v>4353</v>
      </c>
      <c r="B2421" s="1" t="s">
        <v>4354</v>
      </c>
      <c r="C2421" t="str">
        <f ca="1">IFERROR(__xludf.DUMMYFUNCTION("GOOGLETRANSLATE(B2421, ""ja"", ""en"")"),"繝医 Ο 繝輔 U 繝Shi縺Yo迯I 蠕励 ↓ 螟A 謨励 @ 縺Se 縺励 ◆ 縲 n] (% 08x)")</f>
        <v>繝医 Ο 繝輔 U 繝Shi縺Yo迯I 蠕励 ↓ 螟A 謨励 @ 縺Se 縺励 ◆ 縲 n] (% 08x)</v>
      </c>
    </row>
    <row r="2422" spans="1:3" ht="12.75" x14ac:dyDescent="0.2">
      <c r="A2422" s="1" t="s">
        <v>4355</v>
      </c>
      <c r="B2422" s="1" t="s">
        <v>4356</v>
      </c>
      <c r="C2422" t="str">
        <f ca="1">IFERROR(__xludf.DUMMYFUNCTION("GOOGLETRANSLATE(B2422, ""ja"", ""en"")"),"繧I繝U繝Shi 縺檎 匱逕 溘 @ 縺Se 縺励 ◆ 縲")</f>
        <v>繧I繝U繝Shi 縺檎 匱逕 溘 @ 縺Se 縺励 ◆ 縲</v>
      </c>
    </row>
    <row r="2423" spans="1:3" ht="12.75" x14ac:dyDescent="0.2">
      <c r="A2423" s="1" t="s">
        <v>4357</v>
      </c>
      <c r="B2423" s="1" t="s">
        <v>4358</v>
      </c>
      <c r="C2423" t="str">
        <f ca="1">IFERROR(__xludf.DUMMYFUNCTION("GOOGLETRANSLATE(B2423, ""ja"", ""en"")"),"DotConnect Chu ↑ 縺溘 Sony Entertainment Network Restful ""繧O繧O繝U 繝医 [n] BPP √Ε 繝Yomonukekahigeshita '險Yu 螳壹 &amp; 繧後 ※ dotConnect k 縺溘 a 縲_ｰ n] BPP √Ε繝Yo 讖溯 繧貞 Akane逕I縺A 縺阪 ∪ 縺帙 s 縲")</f>
        <v>DotConnect Chu ↑ 縺溘 Sony Entertainment Network Restful "繧O繧O繝U 繝医 [n] BPP √Ε 繝Yomonukekahigeshita '險Yu 螳壹 &amp; 繧後 ※ dotConnect k 縺溘 a 縲_ｰ n] BPP √Ε繝Yo 讖溯 繧貞 Akane逕I縺A 縺阪 ∪ 縺帙 s 縲</v>
      </c>
    </row>
    <row r="2424" spans="1:3" ht="12.75" x14ac:dyDescent="0.2">
      <c r="A2424" s="1" t="s">
        <v>4359</v>
      </c>
      <c r="B2424" s="1" t="s">
        <v>4360</v>
      </c>
      <c r="C2424" t="str">
        <f ca="1">IFERROR(__xludf.DUMMYFUNCTION("GOOGLETRANSLATE(B2424, ""ja"", ""en"")"),"Kuyu")</f>
        <v>Kuyu</v>
      </c>
    </row>
    <row r="2425" spans="1:3" ht="12.75" x14ac:dyDescent="0.2">
      <c r="A2425" s="1" t="s">
        <v>4361</v>
      </c>
      <c r="B2425" s="1" t="s">
        <v>4360</v>
      </c>
      <c r="C2425" t="str">
        <f ca="1">IFERROR(__xludf.DUMMYFUNCTION("GOOGLETRANSLATE(B2425, ""ja"", ""en"")"),"Kuyu")</f>
        <v>Kuyu</v>
      </c>
    </row>
    <row r="2426" spans="1:3" ht="12.75" x14ac:dyDescent="0.2">
      <c r="A2426" s="1" t="s">
        <v>4362</v>
      </c>
      <c r="B2426" s="1" t="s">
        <v>4363</v>
      </c>
      <c r="C2426" t="str">
        <f ca="1">IFERROR(__xludf.DUMMYFUNCTION("GOOGLETRANSLATE(B2426, ""ja"", ""en"")"),"譁 over 隕上 its 繝Shi 繝悶 Yo繝Shi繧So 繧剃 scan unrelenting 縺励 ∪ 縺吶")</f>
        <v>譁 over 隕上 its 繝Shi 繝悶 Yo繝Shi繧So 繧剃 scan unrelenting 縺励 ∪ 縺吶</v>
      </c>
    </row>
    <row r="2427" spans="1:3" ht="12.75" x14ac:dyDescent="0.2">
      <c r="A2427" s="1" t="s">
        <v>4364</v>
      </c>
      <c r="B2427" s="1" t="s">
        <v>4365</v>
      </c>
      <c r="C2427" t="str">
        <f ca="1">IFERROR(__xludf.DUMMYFUNCTION("GOOGLETRANSLATE(B2427, ""ja"", ""en"")"),"繧Sa繝Shi 繝悶 Yo繝Shi繧So% 02d")</f>
        <v>繧Sa繝Shi 繝悶 Yo繝Shi繧So% 02d</v>
      </c>
    </row>
    <row r="2428" spans="1:3" ht="12.75" x14ac:dyDescent="0.2">
      <c r="A2428" s="1" t="s">
        <v>4366</v>
      </c>
      <c r="B2428" s="1" t="s">
        <v>4367</v>
      </c>
      <c r="C2428" t="str">
        <f ca="1">IFERROR(__xludf.DUMMYFUNCTION("GOOGLETRANSLATE(B2428, ""ja"", ""en"")"),"笘")</f>
        <v>笘</v>
      </c>
    </row>
    <row r="2429" spans="1:3" ht="12.75" x14ac:dyDescent="0.2">
      <c r="A2429" s="1" t="s">
        <v>4368</v>
      </c>
      <c r="B2429" s="1" t="s">
        <v>4369</v>
      </c>
      <c r="C2429" t="str">
        <f ca="1">IFERROR(__xludf.DUMMYFUNCTION("GOOGLETRANSLATE(B2429, ""ja"", ""en"")"),"繧Ki繧Ke繝 Β 繝繧 Seo")</f>
        <v>繧Ki繧Ke繝 Β 繝繧 Seo</v>
      </c>
    </row>
    <row r="2430" spans="1:3" ht="12.75" x14ac:dyDescent="0.2">
      <c r="A2430" s="1" t="s">
        <v>4370</v>
      </c>
      <c r="B2430" s="1" t="s">
        <v>4371</v>
      </c>
      <c r="C2430" t="str">
        <f ca="1">IFERROR(__xludf.DUMMYFUNCTION("GOOGLETRANSLATE(B2430, ""ja"", ""en"")"),"GoriBan '螯 Chu ¥ 邯Yu譁_ｰ √ 繧Ki繧Ke繝 Β 繝繧 Soviet 縺A 縺吶")</f>
        <v>GoriBan '螯 Chu ¥ 邯Yu譁_ｰ √ 繧Ki繧Ke繝 Β 繝繧 Soviet 縺A 縺吶</v>
      </c>
    </row>
    <row r="2431" spans="1:3" ht="12.75" x14ac:dyDescent="0.2">
      <c r="A2431" s="1" t="s">
        <v>4372</v>
      </c>
      <c r="B2431" s="1" t="s">
        <v>4373</v>
      </c>
      <c r="C2431" t="str">
        <f ca="1">IFERROR(__xludf.DUMMYFUNCTION("GOOGLETRANSLATE(B2431, ""ja"", ""en"")"),"繧Ki繧Ke繝 Β 繝繧 source 繧剃 scan unrelenting 縺励 ∪ 縺吶")</f>
        <v>繧Ki繧Ke繝 Β 繝繧 source 繧剃 scan unrelenting 縺励 ∪ 縺吶</v>
      </c>
    </row>
    <row r="2432" spans="1:3" ht="12.75" x14ac:dyDescent="0.2">
      <c r="A2432" s="1" t="s">
        <v>4374</v>
      </c>
      <c r="B2432" s="1" t="s">
        <v>4375</v>
      </c>
      <c r="C2432" t="str">
        <f ca="1">IFERROR(__xludf.DUMMYFUNCTION("GOOGLETRANSLATE(B2432, ""ja"", ""en"")"),"EM")</f>
        <v>EM</v>
      </c>
    </row>
    <row r="2433" spans="1:3" ht="12.75" x14ac:dyDescent="0.2">
      <c r="A2433" s="1" t="s">
        <v>4376</v>
      </c>
      <c r="B2433" s="1" t="s">
        <v>4377</v>
      </c>
      <c r="C2433" t="str">
        <f ca="1">IFERROR(__xludf.DUMMYFUNCTION("GOOGLETRANSLATE(B2433, ""ja"", ""en"")"),"AL")</f>
        <v>AL</v>
      </c>
    </row>
    <row r="2434" spans="1:3" ht="12.75" x14ac:dyDescent="0.2">
      <c r="A2434" s="1" t="s">
        <v>4378</v>
      </c>
      <c r="B2434" s="1" t="s">
        <v>4379</v>
      </c>
      <c r="C2434" t="str">
        <f ca="1">IFERROR(__xludf.DUMMYFUNCTION("GOOGLETRANSLATE(B2434, ""ja"", ""en"")"),"CLEAR")</f>
        <v>CLEAR</v>
      </c>
    </row>
    <row r="2435" spans="1:3" ht="12.75" x14ac:dyDescent="0.2">
      <c r="A2435" s="1" t="s">
        <v>4380</v>
      </c>
      <c r="B2435" s="1" t="s">
        <v>4381</v>
      </c>
      <c r="C2435" t="str">
        <f ca="1">IFERROR(__xludf.DUMMYFUNCTION("GOOGLETRANSLATE(B2435, ""ja"", ""en"")"),"繧Sa繝Shi 繝悶 Yo繝Shi繧So 縺後 ≠ 繧翫 ∪ 縺帙 s 縲")</f>
        <v>繧Sa繝Shi 繝悶 Yo繝Shi繧So 縺後 ≠ 繧翫 ∪ 縺帙 s 縲</v>
      </c>
    </row>
    <row r="2436" spans="1:3" ht="12.75" x14ac:dyDescent="0.2">
      <c r="A2436" s="1" t="s">
        <v>4382</v>
      </c>
      <c r="B2436" s="1" t="s">
        <v>4383</v>
      </c>
      <c r="C2436" t="str">
        <f ca="1">IFERROR(__xludf.DUMMYFUNCTION("GOOGLETRANSLATE(B2436, ""ja"", ""en"")"),"繧Ki繧Ke繝 Β 繝繧 Soviet 縺後 ≠ 繧翫 ∪ 縺帙 s 縲")</f>
        <v>繧Ki繧Ke繝 Β 繝繧 Soviet 縺後 ≠ 繧翫 ∪ 縺帙 s 縲</v>
      </c>
    </row>
    <row r="2437" spans="1:3" ht="12.75" x14ac:dyDescent="0.2">
      <c r="A2437" s="1" t="s">
        <v>4384</v>
      </c>
      <c r="B2437" s="1" t="s">
        <v>4385</v>
      </c>
      <c r="C2437" t="str">
        <f ca="1">IFERROR(__xludf.DUMMYFUNCTION("GOOGLETRANSLATE(B2437, ""ja"", ""en"")"),"TsuE繧 ""繝繧 Soviet 縺後 ≠ 繧翫 ∪ 縺帙 s 縲")</f>
        <v>TsuE繧 "繝繧 Soviet 縺後 ≠ 繧翫 ∪ 縺帙 s 縲</v>
      </c>
    </row>
    <row r="2438" spans="1:3" ht="12.75" x14ac:dyDescent="0.2">
      <c r="A2438" s="1" t="s">
        <v>4386</v>
      </c>
      <c r="B2438" s="1" t="s">
        <v>4387</v>
      </c>
      <c r="C2438" t="str">
        <f ca="1">IFERROR(__xludf.DUMMYFUNCTION("GOOGLETRANSLATE(B2438, ""ja"", ""en"")"),"繧Sa繝Shi 繝悶 Yo繝Shi繧So 繧偵 Ο 繝Shi 繝峨 〒 縺阪 ∪ 縺帙 s 縺A 縺励 ◆ 縲 n] 縲梧 怙蛻 Subaru ° 繧峨 Ban迥Ka 諷 nine 〒 雉Yu蝣E 繝溘 Ru繧I繝Shi 繝繧 Tsutsumika壹 ¢ 縺Se 縺吶 °")</f>
        <v>繧Sa繝Shi 繝悶 Yo繝Shi繧So 繧偵 Ο 繝Shi 繝峨 〒 縺阪 ∪ 縺帙 s 縺A 縺励 ◆ 縲 n] 縲梧 怙蛻 Subaru ° 繧峨 Ban迥Ka 諷 nine 〒 雉Yu蝣E 繝溘 Ru繧I繝Shi 繝繧 Tsutsumika壹 ¢ 縺Se 縺吶 °</v>
      </c>
    </row>
    <row r="2439" spans="1:3" ht="12.75" x14ac:dyDescent="0.2">
      <c r="A2439" s="1" t="s">
        <v>4388</v>
      </c>
      <c r="B2439" s="1" t="s">
        <v>4389</v>
      </c>
      <c r="C2439" t="str">
        <f ca="1">IFERROR(__xludf.DUMMYFUNCTION("GOOGLETRANSLATE(B2439, ""ja"", ""en"")"),"Normal")</f>
        <v>Normal</v>
      </c>
    </row>
    <row r="2440" spans="1:3" ht="12.75" x14ac:dyDescent="0.2">
      <c r="A2440" s="1" t="s">
        <v>4390</v>
      </c>
      <c r="B2440" s="1" t="s">
        <v>4391</v>
      </c>
      <c r="C2440" t="str">
        <f ca="1">IFERROR(__xludf.DUMMYFUNCTION("GOOGLETRANSLATE(B2440, ""ja"", ""en"")"),"Agricultural")</f>
        <v>Agricultural</v>
      </c>
    </row>
    <row r="2441" spans="1:3" ht="12.75" x14ac:dyDescent="0.2">
      <c r="A2441" s="1" t="s">
        <v>4392</v>
      </c>
      <c r="B2441" s="1" t="s">
        <v>397</v>
      </c>
      <c r="C2441" t="str">
        <f ca="1">IFERROR(__xludf.DUMMYFUNCTION("GOOGLETRANSLATE(B2441, ""ja"", ""en"")"),"fish")</f>
        <v>fish</v>
      </c>
    </row>
    <row r="2442" spans="1:3" ht="12.75" x14ac:dyDescent="0.2">
      <c r="A2442" s="1" t="s">
        <v>4393</v>
      </c>
      <c r="B2442" s="1" t="s">
        <v>4394</v>
      </c>
      <c r="C2442" t="str">
        <f ca="1">IFERROR(__xludf.DUMMYFUNCTION("GOOGLETRANSLATE(B2442, ""ja"", ""en"")"),"Weapon (sword)")</f>
        <v>Weapon (sword)</v>
      </c>
    </row>
    <row r="2443" spans="1:3" ht="12.75" x14ac:dyDescent="0.2">
      <c r="A2443" s="1" t="s">
        <v>4395</v>
      </c>
      <c r="B2443" s="1" t="s">
        <v>4396</v>
      </c>
      <c r="C2443" t="str">
        <f ca="1">IFERROR(__xludf.DUMMYFUNCTION("GOOGLETRANSLATE(B2443, ""ja"", ""en"")"),"Weapons (Japanese)")</f>
        <v>Weapons (Japanese)</v>
      </c>
    </row>
    <row r="2444" spans="1:3" ht="12.75" x14ac:dyDescent="0.2">
      <c r="A2444" s="1" t="s">
        <v>4397</v>
      </c>
      <c r="B2444" s="1" t="s">
        <v>4398</v>
      </c>
      <c r="C2444" t="str">
        <f ca="1">IFERROR(__xludf.DUMMYFUNCTION("GOOGLETRANSLATE(B2444, ""ja"", ""en"")"),"Weapon (gun)")</f>
        <v>Weapon (gun)</v>
      </c>
    </row>
    <row r="2445" spans="1:3" ht="12.75" x14ac:dyDescent="0.2">
      <c r="A2445" s="1" t="s">
        <v>4399</v>
      </c>
      <c r="B2445" s="1" t="s">
        <v>4400</v>
      </c>
      <c r="C2445" t="str">
        <f ca="1">IFERROR(__xludf.DUMMYFUNCTION("GOOGLETRANSLATE(B2445, ""ja"", ""en"")"),"Weapon (bullet)")</f>
        <v>Weapon (bullet)</v>
      </c>
    </row>
    <row r="2446" spans="1:3" ht="12.75" x14ac:dyDescent="0.2">
      <c r="A2446" s="1" t="s">
        <v>4401</v>
      </c>
      <c r="B2446" s="1" t="s">
        <v>4402</v>
      </c>
      <c r="C2446" t="str">
        <f ca="1">IFERROR(__xludf.DUMMYFUNCTION("GOOGLETRANSLATE(B2446, ""ja"", ""en"")"),"Armor (head)")</f>
        <v>Armor (head)</v>
      </c>
    </row>
    <row r="2447" spans="1:3" ht="12.75" x14ac:dyDescent="0.2">
      <c r="A2447" s="1" t="s">
        <v>4403</v>
      </c>
      <c r="B2447" s="1" t="s">
        <v>4404</v>
      </c>
      <c r="C2447" t="str">
        <f ca="1">IFERROR(__xludf.DUMMYFUNCTION("GOOGLETRANSLATE(B2447, ""ja"", ""en"")"),"Armor (body)")</f>
        <v>Armor (body)</v>
      </c>
    </row>
    <row r="2448" spans="1:3" ht="12.75" x14ac:dyDescent="0.2">
      <c r="A2448" s="1" t="s">
        <v>4405</v>
      </c>
      <c r="B2448" s="1" t="s">
        <v>4406</v>
      </c>
      <c r="C2448" t="str">
        <f ca="1">IFERROR(__xludf.DUMMYFUNCTION("GOOGLETRANSLATE(B2448, ""ja"", ""en"")"),"Armor (arm)")</f>
        <v>Armor (arm)</v>
      </c>
    </row>
    <row r="2449" spans="1:3" ht="12.75" x14ac:dyDescent="0.2">
      <c r="A2449" s="1" t="s">
        <v>4407</v>
      </c>
      <c r="B2449" s="1" t="s">
        <v>4408</v>
      </c>
      <c r="C2449" t="str">
        <f ca="1">IFERROR(__xludf.DUMMYFUNCTION("GOOGLETRANSLATE(B2449, ""ja"", ""en"")"),"important")</f>
        <v>important</v>
      </c>
    </row>
    <row r="2450" spans="1:3" ht="12.75" x14ac:dyDescent="0.2">
      <c r="A2450" s="1" t="s">
        <v>4409</v>
      </c>
      <c r="B2450" s="1" t="s">
        <v>4410</v>
      </c>
      <c r="C2450" t="str">
        <f ca="1">IFERROR(__xludf.DUMMYFUNCTION("GOOGLETRANSLATE(B2450, ""ja"", ""en"")"),"Bullet")</f>
        <v>Bullet</v>
      </c>
    </row>
    <row r="2451" spans="1:3" ht="12.75" x14ac:dyDescent="0.2">
      <c r="A2451" s="1" t="s">
        <v>4411</v>
      </c>
      <c r="B2451" s="1" t="s">
        <v>4412</v>
      </c>
      <c r="C2451" t="str">
        <f ca="1">IFERROR(__xludf.DUMMYFUNCTION("GOOGLETRANSLATE(B2451, ""ja"", ""en"")"),"Features")</f>
        <v>Features</v>
      </c>
    </row>
    <row r="2452" spans="1:3" ht="12.75" x14ac:dyDescent="0.2">
      <c r="A2452" s="1" t="s">
        <v>4413</v>
      </c>
      <c r="B2452" s="1" t="s">
        <v>3169</v>
      </c>
      <c r="C2452" t="str">
        <f ca="1">IFERROR(__xludf.DUMMYFUNCTION("GOOGLETRANSLATE(B2452, ""ja"", ""en"")"),"gun")</f>
        <v>gun</v>
      </c>
    </row>
    <row r="2453" spans="1:3" ht="12.75" x14ac:dyDescent="0.2">
      <c r="A2453" s="1" t="s">
        <v>4414</v>
      </c>
      <c r="B2453" s="1" t="s">
        <v>3165</v>
      </c>
      <c r="C2453" t="str">
        <f ca="1">IFERROR(__xludf.DUMMYFUNCTION("GOOGLETRANSLATE(B2453, ""ja"", ""en"")"),"sword")</f>
        <v>sword</v>
      </c>
    </row>
    <row r="2454" spans="1:3" ht="12.75" x14ac:dyDescent="0.2">
      <c r="A2454" s="1" t="s">
        <v>4415</v>
      </c>
      <c r="B2454" s="1" t="s">
        <v>4416</v>
      </c>
      <c r="C2454" t="str">
        <f ca="1">IFERROR(__xludf.DUMMYFUNCTION("GOOGLETRANSLATE(B2454, ""ja"", ""en"")"),"The N'n'n'n'n'n'n'n")</f>
        <v>The N'n'n'n'n'n'n'n</v>
      </c>
    </row>
    <row r="2455" spans="1:3" ht="12.75" x14ac:dyDescent="0.2">
      <c r="A2455" s="1" t="s">
        <v>4417</v>
      </c>
      <c r="B2455" s="1" t="s">
        <v>4418</v>
      </c>
      <c r="C2455" t="str">
        <f ca="1">IFERROR(__xludf.DUMMYFUNCTION("GOOGLETRANSLATE(B2455, ""ja"", ""en"")"),"N'n'n'n'n'n'n'n'n")</f>
        <v>N'n'n'n'n'n'n'n'n</v>
      </c>
    </row>
    <row r="2456" spans="1:3" ht="12.75" x14ac:dyDescent="0.2">
      <c r="A2456" s="1" t="s">
        <v>4419</v>
      </c>
      <c r="B2456" s="1" t="s">
        <v>2592</v>
      </c>
      <c r="C2456" t="str">
        <f ca="1">IFERROR(__xludf.DUMMYFUNCTION("GOOGLETRANSLATE(B2456, ""ja"", ""en"")"),"hand")</f>
        <v>hand</v>
      </c>
    </row>
    <row r="2457" spans="1:3" ht="12.75" x14ac:dyDescent="0.2">
      <c r="A2457" s="1" t="s">
        <v>4420</v>
      </c>
      <c r="B2457" s="1" t="s">
        <v>4421</v>
      </c>
      <c r="C2457" t="str">
        <f ca="1">IFERROR(__xludf.DUMMYFUNCTION("GOOGLETRANSLATE(B2457, ""ja"", ""en"")"),"Body")</f>
        <v>Body</v>
      </c>
    </row>
    <row r="2458" spans="1:3" ht="12.75" x14ac:dyDescent="0.2">
      <c r="A2458" s="1" t="s">
        <v>4422</v>
      </c>
      <c r="B2458" s="1" t="s">
        <v>4423</v>
      </c>
      <c r="C2458" t="str">
        <f ca="1">IFERROR(__xludf.DUMMYFUNCTION("GOOGLETRANSLATE(B2458, ""ja"", ""en"")"),"Decoration")</f>
        <v>Decoration</v>
      </c>
    </row>
    <row r="2459" spans="1:3" ht="12.75" x14ac:dyDescent="0.2">
      <c r="A2459" s="1" t="s">
        <v>4424</v>
      </c>
      <c r="B2459" s="1" t="s">
        <v>4425</v>
      </c>
      <c r="C2459" t="str">
        <f ca="1">IFERROR(__xludf.DUMMYFUNCTION("GOOGLETRANSLATE(B2459, ""ja"", ""en"")"),"%")</f>
        <v>%</v>
      </c>
    </row>
    <row r="2460" spans="1:3" ht="12.75" x14ac:dyDescent="0.2">
      <c r="A2460" s="1" t="s">
        <v>4426</v>
      </c>
      <c r="B2460" s="1" t="s">
        <v>4427</v>
      </c>
      <c r="C2460" t="str">
        <f ca="1">IFERROR(__xludf.DUMMYFUNCTION("GOOGLETRANSLATE(B2460, ""ja"", ""en"")"),"arm")</f>
        <v>arm</v>
      </c>
    </row>
    <row r="2461" spans="1:3" ht="12.75" x14ac:dyDescent="0.2">
      <c r="A2461" s="1" t="s">
        <v>4428</v>
      </c>
      <c r="B2461" s="1" t="s">
        <v>2166</v>
      </c>
      <c r="C2461" t="str">
        <f ca="1">IFERROR(__xludf.DUMMYFUNCTION("GOOGLETRANSLATE(B2461, ""ja"", ""en"")"),"Head")</f>
        <v>Head</v>
      </c>
    </row>
    <row r="2462" spans="1:3" ht="12.75" x14ac:dyDescent="0.2">
      <c r="A2462" s="1" t="s">
        <v>4429</v>
      </c>
      <c r="B2462" s="1" t="s">
        <v>2026</v>
      </c>
      <c r="C2462" t="str">
        <f ca="1">IFERROR(__xludf.DUMMYFUNCTION("GOOGLETRANSLATE(B2462, ""ja"", ""en"")"),"○")</f>
        <v>○</v>
      </c>
    </row>
    <row r="2463" spans="1:3" ht="12.75" x14ac:dyDescent="0.2">
      <c r="A2463" s="1" t="s">
        <v>4430</v>
      </c>
      <c r="B2463" s="1" t="s">
        <v>4431</v>
      </c>
      <c r="C2463" t="str">
        <f ca="1">IFERROR(__xludf.DUMMYFUNCTION("GOOGLETRANSLATE(B2463, ""ja"", ""en"")"),"wepct2700")</f>
        <v>wepct2700</v>
      </c>
    </row>
    <row r="2464" spans="1:3" ht="12.75" x14ac:dyDescent="0.2">
      <c r="A2464" s="1" t="s">
        <v>4432</v>
      </c>
      <c r="B2464" s="1" t="s">
        <v>4433</v>
      </c>
      <c r="C2464" t="str">
        <f ca="1">IFERROR(__xludf.DUMMYFUNCTION("GOOGLETRANSLATE(B2464, ""ja"", ""en"")"),"wepct2710")</f>
        <v>wepct2710</v>
      </c>
    </row>
    <row r="2465" spans="1:3" ht="12.75" x14ac:dyDescent="0.2">
      <c r="A2465" s="1" t="s">
        <v>4434</v>
      </c>
      <c r="B2465" s="1" t="s">
        <v>4435</v>
      </c>
      <c r="C2465" t="str">
        <f ca="1">IFERROR(__xludf.DUMMYFUNCTION("GOOGLETRANSLATE(B2465, ""ja"", ""en"")"),"other")</f>
        <v>other</v>
      </c>
    </row>
    <row r="2466" spans="1:3" ht="12.75" x14ac:dyDescent="0.2">
      <c r="A2466" s="1" t="s">
        <v>4436</v>
      </c>
      <c r="B2466" s="1" t="s">
        <v>4437</v>
      </c>
      <c r="C2466" t="str">
        <f ca="1">IFERROR(__xludf.DUMMYFUNCTION("GOOGLETRANSLATE(B2466, ""ja"", ""en"")"),"Roh")</f>
        <v>Roh</v>
      </c>
    </row>
    <row r="2467" spans="1:3" ht="12.75" x14ac:dyDescent="0.2">
      <c r="A2467" s="1" t="s">
        <v>4438</v>
      </c>
      <c r="B2467" s="1" t="s">
        <v>4437</v>
      </c>
      <c r="C2467" t="str">
        <f ca="1">IFERROR(__xludf.DUMMYFUNCTION("GOOGLETRANSLATE(B2467, ""ja"", ""en"")"),"Roh")</f>
        <v>Roh</v>
      </c>
    </row>
    <row r="2468" spans="1:3" ht="12.75" x14ac:dyDescent="0.2">
      <c r="A2468" s="1" t="s">
        <v>4439</v>
      </c>
      <c r="B2468" s="1" t="s">
        <v>4437</v>
      </c>
      <c r="C2468" t="str">
        <f ca="1">IFERROR(__xludf.DUMMYFUNCTION("GOOGLETRANSLATE(B2468, ""ja"", ""en"")"),"Roh")</f>
        <v>Roh</v>
      </c>
    </row>
    <row r="2469" spans="1:3" ht="12.75" x14ac:dyDescent="0.2">
      <c r="A2469" s="1" t="s">
        <v>4440</v>
      </c>
      <c r="B2469" s="1" t="s">
        <v>4441</v>
      </c>
      <c r="C2469" t="str">
        <f ca="1">IFERROR(__xludf.DUMMYFUNCTION("GOOGLETRANSLATE(B2469, ""ja"", ""en"")"),"°")</f>
        <v>°</v>
      </c>
    </row>
    <row r="2470" spans="1:3" ht="12.75" x14ac:dyDescent="0.2">
      <c r="A2470" s="1" t="s">
        <v>4442</v>
      </c>
      <c r="B2470" s="1" t="s">
        <v>4443</v>
      </c>
      <c r="C2470" t="str">
        <f ca="1">IFERROR(__xludf.DUMMYFUNCTION("GOOGLETRANSLATE(B2470, ""ja"", ""en"")"),"")</f>
        <v/>
      </c>
    </row>
    <row r="2471" spans="1:3" ht="12.75" x14ac:dyDescent="0.2">
      <c r="A2471" s="1" t="s">
        <v>4444</v>
      </c>
      <c r="B2471" s="1" t="s">
        <v>4441</v>
      </c>
      <c r="C2471" t="str">
        <f ca="1">IFERROR(__xludf.DUMMYFUNCTION("GOOGLETRANSLATE(B2471, ""ja"", ""en"")"),"°")</f>
        <v>°</v>
      </c>
    </row>
    <row r="2472" spans="1:3" ht="12.75" x14ac:dyDescent="0.2">
      <c r="A2472" s="1" t="s">
        <v>4445</v>
      </c>
      <c r="B2472" s="1" t="s">
        <v>4443</v>
      </c>
      <c r="C2472" t="str">
        <f ca="1">IFERROR(__xludf.DUMMYFUNCTION("GOOGLETRANSLATE(B2472, ""ja"", ""en"")"),"")</f>
        <v/>
      </c>
    </row>
    <row r="2473" spans="1:3" ht="12.75" x14ac:dyDescent="0.2">
      <c r="A2473" s="1" t="s">
        <v>4446</v>
      </c>
      <c r="B2473" s="1" t="s">
        <v>4441</v>
      </c>
      <c r="C2473" t="str">
        <f ca="1">IFERROR(__xludf.DUMMYFUNCTION("GOOGLETRANSLATE(B2473, ""ja"", ""en"")"),"°")</f>
        <v>°</v>
      </c>
    </row>
    <row r="2474" spans="1:3" ht="12.75" x14ac:dyDescent="0.2">
      <c r="A2474" s="1" t="s">
        <v>4447</v>
      </c>
      <c r="B2474" s="1" t="s">
        <v>4443</v>
      </c>
      <c r="C2474" t="str">
        <f ca="1">IFERROR(__xludf.DUMMYFUNCTION("GOOGLETRANSLATE(B2474, ""ja"", ""en"")"),"")</f>
        <v/>
      </c>
    </row>
    <row r="2475" spans="1:3" ht="12.75" x14ac:dyDescent="0.2">
      <c r="A2475" s="1" t="s">
        <v>4448</v>
      </c>
      <c r="B2475" s="1" t="s">
        <v>4449</v>
      </c>
      <c r="C2475" t="str">
        <f ca="1">IFERROR(__xludf.DUMMYFUNCTION("GOOGLETRANSLATE(B2475, ""ja"", ""en"")"),"Ho")</f>
        <v>Ho</v>
      </c>
    </row>
    <row r="2476" spans="1:3" ht="12.75" x14ac:dyDescent="0.2">
      <c r="A2476" s="1" t="s">
        <v>4450</v>
      </c>
      <c r="B2476" s="1" t="s">
        <v>4449</v>
      </c>
      <c r="C2476" t="str">
        <f ca="1">IFERROR(__xludf.DUMMYFUNCTION("GOOGLETRANSLATE(B2476, ""ja"", ""en"")"),"Ho")</f>
        <v>Ho</v>
      </c>
    </row>
    <row r="2477" spans="1:3" ht="12.75" x14ac:dyDescent="0.2">
      <c r="A2477" s="1" t="s">
        <v>4451</v>
      </c>
      <c r="B2477" s="1" t="s">
        <v>4449</v>
      </c>
      <c r="C2477" t="str">
        <f ca="1">IFERROR(__xludf.DUMMYFUNCTION("GOOGLETRANSLATE(B2477, ""ja"", ""en"")"),"Ho")</f>
        <v>Ho</v>
      </c>
    </row>
    <row r="2478" spans="1:3" ht="12.75" x14ac:dyDescent="0.2">
      <c r="A2478" s="1" t="s">
        <v>4452</v>
      </c>
      <c r="B2478" s="1" t="s">
        <v>4453</v>
      </c>
      <c r="C2478" t="str">
        <f ca="1">IFERROR(__xludf.DUMMYFUNCTION("GOOGLETRANSLATE(B2478, ""ja"", ""en"")"),"")</f>
        <v/>
      </c>
    </row>
    <row r="2479" spans="1:3" ht="12.75" x14ac:dyDescent="0.2">
      <c r="A2479" s="1" t="s">
        <v>4454</v>
      </c>
      <c r="B2479" s="1" t="s">
        <v>4443</v>
      </c>
      <c r="C2479" t="str">
        <f ca="1">IFERROR(__xludf.DUMMYFUNCTION("GOOGLETRANSLATE(B2479, ""ja"", ""en"")"),"")</f>
        <v/>
      </c>
    </row>
    <row r="2480" spans="1:3" ht="12.75" x14ac:dyDescent="0.2">
      <c r="A2480" s="1" t="s">
        <v>4455</v>
      </c>
      <c r="B2480" s="1" t="s">
        <v>4453</v>
      </c>
      <c r="C2480" t="str">
        <f ca="1">IFERROR(__xludf.DUMMYFUNCTION("GOOGLETRANSLATE(B2480, ""ja"", ""en"")"),"")</f>
        <v/>
      </c>
    </row>
    <row r="2481" spans="1:3" ht="12.75" x14ac:dyDescent="0.2">
      <c r="A2481" s="1" t="s">
        <v>4456</v>
      </c>
      <c r="B2481" s="1" t="s">
        <v>4443</v>
      </c>
      <c r="C2481" t="str">
        <f ca="1">IFERROR(__xludf.DUMMYFUNCTION("GOOGLETRANSLATE(B2481, ""ja"", ""en"")"),"")</f>
        <v/>
      </c>
    </row>
    <row r="2482" spans="1:3" ht="12.75" x14ac:dyDescent="0.2">
      <c r="A2482" s="1" t="s">
        <v>4457</v>
      </c>
      <c r="B2482" s="1" t="s">
        <v>4453</v>
      </c>
      <c r="C2482" t="str">
        <f ca="1">IFERROR(__xludf.DUMMYFUNCTION("GOOGLETRANSLATE(B2482, ""ja"", ""en"")"),"")</f>
        <v/>
      </c>
    </row>
    <row r="2483" spans="1:3" ht="12.75" x14ac:dyDescent="0.2">
      <c r="A2483" s="1" t="s">
        <v>4458</v>
      </c>
      <c r="B2483" s="1" t="s">
        <v>4443</v>
      </c>
      <c r="C2483" t="str">
        <f ca="1">IFERROR(__xludf.DUMMYFUNCTION("GOOGLETRANSLATE(B2483, ""ja"", ""en"")"),"")</f>
        <v/>
      </c>
    </row>
    <row r="2484" spans="1:3" ht="12.75" x14ac:dyDescent="0.2">
      <c r="A2484" s="1" t="s">
        <v>4459</v>
      </c>
      <c r="B2484" s="1" t="s">
        <v>4460</v>
      </c>
      <c r="C2484" t="str">
        <f ca="1">IFERROR(__xludf.DUMMYFUNCTION("GOOGLETRANSLATE(B2484, ""ja"", ""en"")"),"0 2 1 3 0 4 1 6 0 5 1 7 0 8 1 8 9:? @")</f>
        <v>0 2 1 3 0 4 1 6 0 5 1 7 0 8 1 8 9:? @</v>
      </c>
    </row>
    <row r="2485" spans="1:3" ht="12.75" x14ac:dyDescent="0.2">
      <c r="A2485" s="1" t="s">
        <v>4461</v>
      </c>
      <c r="B2485" s="1" t="s">
        <v>4462</v>
      </c>
      <c r="C2485" t="str">
        <f ca="1">IFERROR(__xludf.DUMMYFUNCTION("GOOGLETRANSLATE(B2485, ""ja"", ""en"")"),"fx_grass_test")</f>
        <v>fx_grass_test</v>
      </c>
    </row>
    <row r="2486" spans="1:3" ht="12.75" x14ac:dyDescent="0.2">
      <c r="A2486" s="1" t="s">
        <v>4463</v>
      </c>
      <c r="B2486" s="1" t="s">
        <v>4464</v>
      </c>
      <c r="C2486" t="str">
        <f ca="1">IFERROR(__xludf.DUMMYFUNCTION("GOOGLETRANSLATE(B2486, ""ja"", ""en"")"),"fx_blood_floor")</f>
        <v>fx_blood_floor</v>
      </c>
    </row>
    <row r="2487" spans="1:3" ht="12.75" x14ac:dyDescent="0.2">
      <c r="A2487" s="1" t="s">
        <v>4465</v>
      </c>
      <c r="B2487" s="1" t="s">
        <v>4466</v>
      </c>
      <c r="C2487" t="str">
        <f ca="1">IFERROR(__xludf.DUMMYFUNCTION("GOOGLETRANSLATE(B2487, ""ja"", ""en"")"),"fx_blood_wall")</f>
        <v>fx_blood_wall</v>
      </c>
    </row>
    <row r="2488" spans="1:3" ht="12.75" x14ac:dyDescent="0.2">
      <c r="A2488" s="1" t="s">
        <v>4467</v>
      </c>
      <c r="B2488" s="1" t="s">
        <v>4468</v>
      </c>
      <c r="C2488" t="str">
        <f ca="1">IFERROR(__xludf.DUMMYFUNCTION("GOOGLETRANSLATE(B2488, ""ja"", ""en"")"),"fx_multiple_exposure_mask")</f>
        <v>fx_multiple_exposure_mask</v>
      </c>
    </row>
    <row r="2489" spans="1:3" ht="12.75" x14ac:dyDescent="0.2">
      <c r="A2489" s="1" t="s">
        <v>4469</v>
      </c>
      <c r="B2489" s="1" t="s">
        <v>4470</v>
      </c>
      <c r="C2489" t="str">
        <f ca="1">IFERROR(__xludf.DUMMYFUNCTION("GOOGLETRANSLATE(B2489, ""ja"", ""en"")"),"fx_pan_blur")</f>
        <v>fx_pan_blur</v>
      </c>
    </row>
    <row r="2490" spans="1:3" ht="12.75" x14ac:dyDescent="0.2">
      <c r="A2490" s="1" t="s">
        <v>4471</v>
      </c>
      <c r="B2490" s="1" t="s">
        <v>4472</v>
      </c>
      <c r="C2490" t="str">
        <f ca="1">IFERROR(__xludf.DUMMYFUNCTION("GOOGLETRANSLATE(B2490, ""ja"", ""en"")"),"fx_pan_blur_mask")</f>
        <v>fx_pan_blur_mask</v>
      </c>
    </row>
    <row r="2491" spans="1:3" ht="12.75" x14ac:dyDescent="0.2">
      <c r="A2491" s="1" t="s">
        <v>4473</v>
      </c>
      <c r="B2491" s="1" t="s">
        <v>4474</v>
      </c>
      <c r="C2491" t="str">
        <f ca="1">IFERROR(__xludf.DUMMYFUNCTION("GOOGLETRANSLATE(B2491, ""ja"", ""en"")"),"fx_pan_blur_z_mask")</f>
        <v>fx_pan_blur_z_mask</v>
      </c>
    </row>
    <row r="2492" spans="1:3" ht="12.75" x14ac:dyDescent="0.2">
      <c r="A2492" s="1" t="s">
        <v>4475</v>
      </c>
      <c r="B2492" s="1" t="s">
        <v>4476</v>
      </c>
      <c r="C2492" t="str">
        <f ca="1">IFERROR(__xludf.DUMMYFUNCTION("GOOGLETRANSLATE(B2492, ""ja"", ""en"")"),"fx_dolly_blur")</f>
        <v>fx_dolly_blur</v>
      </c>
    </row>
    <row r="2493" spans="1:3" ht="12.75" x14ac:dyDescent="0.2">
      <c r="A2493" s="1" t="s">
        <v>4477</v>
      </c>
      <c r="B2493" s="1" t="s">
        <v>4478</v>
      </c>
      <c r="C2493" t="str">
        <f ca="1">IFERROR(__xludf.DUMMYFUNCTION("GOOGLETRANSLATE(B2493, ""ja"", ""en"")"),"fx_dolly_blur_mask")</f>
        <v>fx_dolly_blur_mask</v>
      </c>
    </row>
    <row r="2494" spans="1:3" ht="12.75" x14ac:dyDescent="0.2">
      <c r="A2494" s="1" t="s">
        <v>4479</v>
      </c>
      <c r="B2494" s="1" t="s">
        <v>4480</v>
      </c>
      <c r="C2494" t="str">
        <f ca="1">IFERROR(__xludf.DUMMYFUNCTION("GOOGLETRANSLATE(B2494, ""ja"", ""en"")"),"fx_dolly_blur_z_mask")</f>
        <v>fx_dolly_blur_z_mask</v>
      </c>
    </row>
    <row r="2495" spans="1:3" ht="12.75" x14ac:dyDescent="0.2">
      <c r="A2495" s="1" t="s">
        <v>4481</v>
      </c>
      <c r="B2495" s="1" t="s">
        <v>4482</v>
      </c>
      <c r="C2495" t="str">
        <f ca="1">IFERROR(__xludf.DUMMYFUNCTION("GOOGLETRANSLATE(B2495, ""ja"", ""en"")"),"fx_pan_dolly_blur")</f>
        <v>fx_pan_dolly_blur</v>
      </c>
    </row>
    <row r="2496" spans="1:3" ht="12.75" x14ac:dyDescent="0.2">
      <c r="A2496" s="1" t="s">
        <v>4483</v>
      </c>
      <c r="B2496" s="1" t="s">
        <v>4484</v>
      </c>
      <c r="C2496" t="str">
        <f ca="1">IFERROR(__xludf.DUMMYFUNCTION("GOOGLETRANSLATE(B2496, ""ja"", ""en"")"),"fx_ripple")</f>
        <v>fx_ripple</v>
      </c>
    </row>
    <row r="2497" spans="1:3" ht="12.75" x14ac:dyDescent="0.2">
      <c r="A2497" s="1" t="s">
        <v>4485</v>
      </c>
      <c r="B2497" s="1" t="s">
        <v>4486</v>
      </c>
      <c r="C2497" t="str">
        <f ca="1">IFERROR(__xludf.DUMMYFUNCTION("GOOGLETRANSLATE(B2497, ""ja"", ""en"")"),"fx_ripple2")</f>
        <v>fx_ripple2</v>
      </c>
    </row>
    <row r="2498" spans="1:3" ht="12.75" x14ac:dyDescent="0.2">
      <c r="A2498" s="1" t="s">
        <v>4487</v>
      </c>
      <c r="B2498" s="1" t="s">
        <v>4488</v>
      </c>
      <c r="C2498" t="str">
        <f ca="1">IFERROR(__xludf.DUMMYFUNCTION("GOOGLETRANSLATE(B2498, ""ja"", ""en"")"),"fx_sea_rend_hbase")</f>
        <v>fx_sea_rend_hbase</v>
      </c>
    </row>
    <row r="2499" spans="1:3" ht="12.75" x14ac:dyDescent="0.2">
      <c r="A2499" s="1" t="s">
        <v>4489</v>
      </c>
      <c r="B2499" s="1" t="s">
        <v>4490</v>
      </c>
      <c r="C2499" t="str">
        <f ca="1">IFERROR(__xludf.DUMMYFUNCTION("GOOGLETRANSLATE(B2499, ""ja"", ""en"")"),"fx_sea_rend_hbase_ac")</f>
        <v>fx_sea_rend_hbase_ac</v>
      </c>
    </row>
    <row r="2500" spans="1:3" ht="12.75" x14ac:dyDescent="0.2">
      <c r="A2500" s="1" t="s">
        <v>4491</v>
      </c>
      <c r="B2500" s="1" t="s">
        <v>4492</v>
      </c>
      <c r="C2500" t="str">
        <f ca="1">IFERROR(__xludf.DUMMYFUNCTION("GOOGLETRANSLATE(B2500, ""ja"", ""en"")"),"fx_sea_rend_vtxh")</f>
        <v>fx_sea_rend_vtxh</v>
      </c>
    </row>
    <row r="2501" spans="1:3" ht="12.75" x14ac:dyDescent="0.2">
      <c r="A2501" s="1" t="s">
        <v>4493</v>
      </c>
      <c r="B2501" s="1" t="s">
        <v>4494</v>
      </c>
      <c r="C2501" t="str">
        <f ca="1">IFERROR(__xludf.DUMMYFUNCTION("GOOGLETRANSLATE(B2501, ""ja"", ""en"")"),"fx_sea_rend_nrm")</f>
        <v>fx_sea_rend_nrm</v>
      </c>
    </row>
    <row r="2502" spans="1:3" ht="12.75" x14ac:dyDescent="0.2">
      <c r="A2502" s="1" t="s">
        <v>4495</v>
      </c>
      <c r="B2502" s="1" t="s">
        <v>4496</v>
      </c>
      <c r="C2502" t="str">
        <f ca="1">IFERROR(__xludf.DUMMYFUNCTION("GOOGLETRANSLATE(B2502, ""ja"", ""en"")"),"fx_sea_surface")</f>
        <v>fx_sea_surface</v>
      </c>
    </row>
    <row r="2503" spans="1:3" ht="12.75" x14ac:dyDescent="0.2">
      <c r="A2503" s="1" t="s">
        <v>4497</v>
      </c>
      <c r="B2503" s="1" t="s">
        <v>4498</v>
      </c>
      <c r="C2503" t="str">
        <f ca="1">IFERROR(__xludf.DUMMYFUNCTION("GOOGLETRANSLATE(B2503, ""ja"", ""en"")"),"fx_sea_surface_ex")</f>
        <v>fx_sea_surface_ex</v>
      </c>
    </row>
    <row r="2504" spans="1:3" ht="12.75" x14ac:dyDescent="0.2">
      <c r="A2504" s="1" t="s">
        <v>4499</v>
      </c>
      <c r="B2504" s="1" t="s">
        <v>4500</v>
      </c>
      <c r="C2504" t="str">
        <f ca="1">IFERROR(__xludf.DUMMYFUNCTION("GOOGLETRANSLATE(B2504, ""ja"", ""en"")"),"fx_sea_surface_transoff")</f>
        <v>fx_sea_surface_transoff</v>
      </c>
    </row>
    <row r="2505" spans="1:3" ht="12.75" x14ac:dyDescent="0.2">
      <c r="A2505" s="1" t="s">
        <v>4501</v>
      </c>
      <c r="B2505" s="1" t="s">
        <v>4502</v>
      </c>
      <c r="C2505" t="str">
        <f ca="1">IFERROR(__xludf.DUMMYFUNCTION("GOOGLETRANSLATE(B2505, ""ja"", ""en"")"),"fx_sea_rend_translation")</f>
        <v>fx_sea_rend_translation</v>
      </c>
    </row>
    <row r="2506" spans="1:3" ht="12.75" x14ac:dyDescent="0.2">
      <c r="A2506" s="1" t="s">
        <v>4503</v>
      </c>
      <c r="B2506" s="1" t="s">
        <v>4504</v>
      </c>
      <c r="C2506" t="str">
        <f ca="1">IFERROR(__xludf.DUMMYFUNCTION("GOOGLETRANSLATE(B2506, ""ja"", ""en"")"),"fx_sea_rend_translation_mesh")</f>
        <v>fx_sea_rend_translation_mesh</v>
      </c>
    </row>
    <row r="2507" spans="1:3" ht="12.75" x14ac:dyDescent="0.2">
      <c r="A2507" s="1" t="s">
        <v>4505</v>
      </c>
      <c r="B2507" s="1" t="s">
        <v>4506</v>
      </c>
      <c r="C2507" t="str">
        <f ca="1">IFERROR(__xludf.DUMMYFUNCTION("GOOGLETRANSLATE(B2507, ""ja"", ""en"")"),"fx_sea_rend_fbase")</f>
        <v>fx_sea_rend_fbase</v>
      </c>
    </row>
    <row r="2508" spans="1:3" ht="12.75" x14ac:dyDescent="0.2">
      <c r="A2508" s="1" t="s">
        <v>4507</v>
      </c>
      <c r="B2508" s="1" t="s">
        <v>4508</v>
      </c>
      <c r="C2508" t="str">
        <f ca="1">IFERROR(__xludf.DUMMYFUNCTION("GOOGLETRANSLATE(B2508, ""ja"", ""en"")"),"fx_sea_rend_ftime")</f>
        <v>fx_sea_rend_ftime</v>
      </c>
    </row>
    <row r="2509" spans="1:3" ht="12.75" x14ac:dyDescent="0.2">
      <c r="A2509" s="1" t="s">
        <v>4509</v>
      </c>
      <c r="B2509" s="1" t="s">
        <v>4510</v>
      </c>
      <c r="C2509" t="str">
        <f ca="1">IFERROR(__xludf.DUMMYFUNCTION("GOOGLETRANSLATE(B2509, ""ja"", ""en"")"),"fx_sea_rend_fptcl")</f>
        <v>fx_sea_rend_fptcl</v>
      </c>
    </row>
    <row r="2510" spans="1:3" ht="12.75" x14ac:dyDescent="0.2">
      <c r="A2510" s="1" t="s">
        <v>4511</v>
      </c>
      <c r="B2510" s="1" t="s">
        <v>4512</v>
      </c>
      <c r="C2510" t="str">
        <f ca="1">IFERROR(__xludf.DUMMYFUNCTION("GOOGLETRANSLATE(B2510, ""ja"", ""en"")"),"fx_sea_rend_wptcl")</f>
        <v>fx_sea_rend_wptcl</v>
      </c>
    </row>
    <row r="2511" spans="1:3" ht="12.75" x14ac:dyDescent="0.2">
      <c r="A2511" s="1" t="s">
        <v>4513</v>
      </c>
      <c r="B2511" s="1" t="s">
        <v>4514</v>
      </c>
      <c r="C2511" t="str">
        <f ca="1">IFERROR(__xludf.DUMMYFUNCTION("GOOGLETRANSLATE(B2511, ""ja"", ""en"")"),"fx_shockwave_depth_ofs")</f>
        <v>fx_shockwave_depth_ofs</v>
      </c>
    </row>
    <row r="2512" spans="1:3" ht="12.75" x14ac:dyDescent="0.2">
      <c r="A2512" s="1" t="s">
        <v>4515</v>
      </c>
      <c r="B2512" s="1" t="s">
        <v>4516</v>
      </c>
      <c r="C2512" t="str">
        <f ca="1">IFERROR(__xludf.DUMMYFUNCTION("GOOGLETRANSLATE(B2512, ""ja"", ""en"")"),"fx_shockwave_depth")</f>
        <v>fx_shockwave_depth</v>
      </c>
    </row>
    <row r="2513" spans="1:3" ht="12.75" x14ac:dyDescent="0.2">
      <c r="A2513" s="1" t="s">
        <v>4517</v>
      </c>
      <c r="B2513" s="1" t="s">
        <v>4518</v>
      </c>
      <c r="C2513" t="str">
        <f ca="1">IFERROR(__xludf.DUMMYFUNCTION("GOOGLETRANSLATE(B2513, ""ja"", ""en"")"),"fx_shockwave_blur")</f>
        <v>fx_shockwave_blur</v>
      </c>
    </row>
    <row r="2514" spans="1:3" ht="12.75" x14ac:dyDescent="0.2">
      <c r="A2514" s="1" t="s">
        <v>4519</v>
      </c>
      <c r="B2514" s="1" t="s">
        <v>4520</v>
      </c>
      <c r="C2514" t="str">
        <f ca="1">IFERROR(__xludf.DUMMYFUNCTION("GOOGLETRANSLATE(B2514, ""ja"", ""en"")"),"fx_shockwave_sphere")</f>
        <v>fx_shockwave_sphere</v>
      </c>
    </row>
    <row r="2515" spans="1:3" ht="12.75" x14ac:dyDescent="0.2">
      <c r="A2515" s="1" t="s">
        <v>4521</v>
      </c>
      <c r="B2515" s="1" t="s">
        <v>4522</v>
      </c>
      <c r="C2515" t="str">
        <f ca="1">IFERROR(__xludf.DUMMYFUNCTION("GOOGLETRANSLATE(B2515, ""ja"", ""en"")"),"fx_shockwave_plane")</f>
        <v>fx_shockwave_plane</v>
      </c>
    </row>
    <row r="2516" spans="1:3" ht="12.75" x14ac:dyDescent="0.2">
      <c r="A2516" s="1" t="s">
        <v>4523</v>
      </c>
      <c r="B2516" s="1" t="s">
        <v>4524</v>
      </c>
      <c r="C2516" t="str">
        <f ca="1">IFERROR(__xludf.DUMMYFUNCTION("GOOGLETRANSLATE(B2516, ""ja"", ""en"")"),"fx_cloud_seed")</f>
        <v>fx_cloud_seed</v>
      </c>
    </row>
    <row r="2517" spans="1:3" ht="12.75" x14ac:dyDescent="0.2">
      <c r="A2517" s="1" t="s">
        <v>4525</v>
      </c>
      <c r="B2517" s="1" t="s">
        <v>4526</v>
      </c>
      <c r="C2517" t="str">
        <f ca="1">IFERROR(__xludf.DUMMYFUNCTION("GOOGLETRANSLATE(B2517, ""ja"", ""en"")"),"fx_watermap")</f>
        <v>fx_watermap</v>
      </c>
    </row>
    <row r="2518" spans="1:3" ht="12.75" x14ac:dyDescent="0.2">
      <c r="A2518" s="1" t="s">
        <v>4527</v>
      </c>
      <c r="B2518" s="1" t="s">
        <v>4528</v>
      </c>
      <c r="C2518" t="str">
        <f ca="1">IFERROR(__xludf.DUMMYFUNCTION("GOOGLETRANSLATE(B2518, ""ja"", ""en"")"),"fx_watermap_ripple")</f>
        <v>fx_watermap_ripple</v>
      </c>
    </row>
    <row r="2519" spans="1:3" ht="12.75" x14ac:dyDescent="0.2">
      <c r="A2519" s="1" t="s">
        <v>4529</v>
      </c>
      <c r="B2519" s="1" t="s">
        <v>4530</v>
      </c>
      <c r="C2519" t="str">
        <f ca="1">IFERROR(__xludf.DUMMYFUNCTION("GOOGLETRANSLATE(B2519, ""ja"", ""en"")"),"fx_highlight_edge")</f>
        <v>fx_highlight_edge</v>
      </c>
    </row>
    <row r="2520" spans="1:3" ht="12.75" x14ac:dyDescent="0.2">
      <c r="A2520" s="1" t="s">
        <v>4531</v>
      </c>
      <c r="B2520" s="1" t="s">
        <v>4532</v>
      </c>
      <c r="C2520" t="str">
        <f ca="1">IFERROR(__xludf.DUMMYFUNCTION("GOOGLETRANSLATE(B2520, ""ja"", ""en"")"),"fx_highlight_flash")</f>
        <v>fx_highlight_flash</v>
      </c>
    </row>
    <row r="2521" spans="1:3" ht="12.75" x14ac:dyDescent="0.2">
      <c r="A2521" s="1" t="s">
        <v>4533</v>
      </c>
      <c r="B2521" s="1" t="s">
        <v>4534</v>
      </c>
      <c r="C2521" t="str">
        <f ca="1">IFERROR(__xludf.DUMMYFUNCTION("GOOGLETRANSLATE(B2521, ""ja"", ""en"")"),"fx_highlight_bmedge")</f>
        <v>fx_highlight_bmedge</v>
      </c>
    </row>
    <row r="2522" spans="1:3" ht="12.75" x14ac:dyDescent="0.2">
      <c r="A2522" s="1" t="s">
        <v>4535</v>
      </c>
      <c r="B2522" s="1" t="s">
        <v>4536</v>
      </c>
      <c r="C2522" t="str">
        <f ca="1">IFERROR(__xludf.DUMMYFUNCTION("GOOGLETRANSLATE(B2522, ""ja"", ""en"")"),"fx_wblur5")</f>
        <v>fx_wblur5</v>
      </c>
    </row>
    <row r="2523" spans="1:3" ht="12.75" x14ac:dyDescent="0.2">
      <c r="A2523" s="1" t="s">
        <v>4537</v>
      </c>
      <c r="B2523" s="1" t="s">
        <v>4538</v>
      </c>
      <c r="C2523" t="str">
        <f ca="1">IFERROR(__xludf.DUMMYFUNCTION("GOOGLETRANSLATE(B2523, ""ja"", ""en"")"),"fx_aura_band")</f>
        <v>fx_aura_band</v>
      </c>
    </row>
    <row r="2524" spans="1:3" ht="12.75" x14ac:dyDescent="0.2">
      <c r="A2524" s="1" t="s">
        <v>4539</v>
      </c>
      <c r="B2524" s="1" t="s">
        <v>4540</v>
      </c>
      <c r="C2524" t="str">
        <f ca="1">IFERROR(__xludf.DUMMYFUNCTION("GOOGLETRANSLATE(B2524, ""ja"", ""en"")"),"fx_aura_edge")</f>
        <v>fx_aura_edge</v>
      </c>
    </row>
    <row r="2525" spans="1:3" ht="12.75" x14ac:dyDescent="0.2">
      <c r="A2525" s="1" t="s">
        <v>4541</v>
      </c>
      <c r="B2525" s="1" t="s">
        <v>4542</v>
      </c>
      <c r="C2525" t="str">
        <f ca="1">IFERROR(__xludf.DUMMYFUNCTION("GOOGLETRANSLATE(B2525, ""ja"", ""en"")"),"fx_aura_db")</f>
        <v>fx_aura_db</v>
      </c>
    </row>
    <row r="2526" spans="1:3" ht="12.75" x14ac:dyDescent="0.2">
      <c r="A2526" s="1" t="s">
        <v>4543</v>
      </c>
      <c r="B2526" s="1" t="s">
        <v>4544</v>
      </c>
      <c r="C2526" t="str">
        <f ca="1">IFERROR(__xludf.DUMMYFUNCTION("GOOGLETRANSLATE(B2526, ""ja"", ""en"")"),"fx_restore_nrm")</f>
        <v>fx_restore_nrm</v>
      </c>
    </row>
    <row r="2527" spans="1:3" ht="12.75" x14ac:dyDescent="0.2">
      <c r="A2527" s="1" t="s">
        <v>4545</v>
      </c>
      <c r="B2527" s="1" t="s">
        <v>4546</v>
      </c>
      <c r="C2527" t="str">
        <f ca="1">IFERROR(__xludf.DUMMYFUNCTION("GOOGLETRANSLATE(B2527, ""ja"", ""en"")"),"fx_camera_blur")</f>
        <v>fx_camera_blur</v>
      </c>
    </row>
    <row r="2528" spans="1:3" ht="12.75" x14ac:dyDescent="0.2">
      <c r="A2528" s="1" t="s">
        <v>4547</v>
      </c>
      <c r="B2528" s="1" t="s">
        <v>4548</v>
      </c>
      <c r="C2528" t="str">
        <f ca="1">IFERROR(__xludf.DUMMYFUNCTION("GOOGLETRANSLATE(B2528, ""ja"", ""en"")"),"fx_ccr_hls_sc_gm_gi_of_mask")</f>
        <v>fx_ccr_hls_sc_gm_gi_of_mask</v>
      </c>
    </row>
    <row r="2529" spans="1:3" ht="12.75" x14ac:dyDescent="0.2">
      <c r="A2529" s="1" t="s">
        <v>4549</v>
      </c>
      <c r="B2529" s="1" t="s">
        <v>4550</v>
      </c>
      <c r="C2529" t="str">
        <f ca="1">IFERROR(__xludf.DUMMYFUNCTION("GOOGLETRANSLATE(B2529, ""ja"", ""en"")"),"fx_ccr_____sc_gm_gi_of_mask")</f>
        <v>fx_ccr_____sc_gm_gi_of_mask</v>
      </c>
    </row>
    <row r="2530" spans="1:3" ht="12.75" x14ac:dyDescent="0.2">
      <c r="A2530" s="1" t="s">
        <v>4551</v>
      </c>
      <c r="B2530" s="1" t="s">
        <v>4552</v>
      </c>
      <c r="C2530" t="str">
        <f ca="1">IFERROR(__xludf.DUMMYFUNCTION("GOOGLETRANSLATE(B2530, ""ja"", ""en"")"),"fx_ccr_____sc_gm_gi_of_mask_n")</f>
        <v>fx_ccr_____sc_gm_gi_of_mask_n</v>
      </c>
    </row>
    <row r="2531" spans="1:3" ht="12.75" x14ac:dyDescent="0.2">
      <c r="A2531" s="1" t="s">
        <v>4553</v>
      </c>
      <c r="B2531" s="1" t="s">
        <v>4554</v>
      </c>
      <c r="C2531" t="str">
        <f ca="1">IFERROR(__xludf.DUMMYFUNCTION("GOOGLETRANSLATE(B2531, ""ja"", ""en"")"),"fx_mgstg_bullet")</f>
        <v>fx_mgstg_bullet</v>
      </c>
    </row>
    <row r="2532" spans="1:3" ht="12.75" x14ac:dyDescent="0.2">
      <c r="A2532" s="1" t="s">
        <v>4555</v>
      </c>
      <c r="B2532" s="1" t="s">
        <v>4556</v>
      </c>
      <c r="C2532" t="str">
        <f ca="1">IFERROR(__xludf.DUMMYFUNCTION("GOOGLETRANSLATE(B2532, ""ja"", ""en"")"),"fx_rain2_add_glare")</f>
        <v>fx_rain2_add_glare</v>
      </c>
    </row>
    <row r="2533" spans="1:3" ht="12.75" x14ac:dyDescent="0.2">
      <c r="A2533" s="1" t="s">
        <v>4557</v>
      </c>
      <c r="B2533" s="1" t="s">
        <v>4558</v>
      </c>
      <c r="C2533" t="str">
        <f ca="1">IFERROR(__xludf.DUMMYFUNCTION("GOOGLETRANSLATE(B2533, ""ja"", ""en"")"),"fx_front_rain")</f>
        <v>fx_front_rain</v>
      </c>
    </row>
    <row r="2534" spans="1:3" ht="12.75" x14ac:dyDescent="0.2">
      <c r="A2534" s="1" t="s">
        <v>4559</v>
      </c>
      <c r="B2534" s="1" t="s">
        <v>4560</v>
      </c>
      <c r="C2534" t="str">
        <f ca="1">IFERROR(__xludf.DUMMYFUNCTION("GOOGLETRANSLATE(B2534, ""ja"", ""en"")"),"fx_snow")</f>
        <v>fx_snow</v>
      </c>
    </row>
    <row r="2535" spans="1:3" ht="12.75" x14ac:dyDescent="0.2">
      <c r="A2535" s="1" t="s">
        <v>4561</v>
      </c>
      <c r="B2535" s="1" t="s">
        <v>4562</v>
      </c>
      <c r="C2535" t="str">
        <f ca="1">IFERROR(__xludf.DUMMYFUNCTION("GOOGLETRANSLATE(B2535, ""ja"", ""en"")"),"fx_snow_smb_light")</f>
        <v>fx_snow_smb_light</v>
      </c>
    </row>
    <row r="2536" spans="1:3" ht="12.75" x14ac:dyDescent="0.2">
      <c r="A2536" s="1" t="s">
        <v>4563</v>
      </c>
      <c r="B2536" s="1" t="s">
        <v>4564</v>
      </c>
      <c r="C2536" t="str">
        <f ca="1">IFERROR(__xludf.DUMMYFUNCTION("GOOGLETRANSLATE(B2536, ""ja"", ""en"")"),"fx_rain_filter_op")</f>
        <v>fx_rain_filter_op</v>
      </c>
    </row>
    <row r="2537" spans="1:3" ht="12.75" x14ac:dyDescent="0.2">
      <c r="A2537" s="1" t="s">
        <v>4565</v>
      </c>
      <c r="B2537" s="1" t="s">
        <v>4566</v>
      </c>
      <c r="C2537" t="str">
        <f ca="1">IFERROR(__xludf.DUMMYFUNCTION("GOOGLETRANSLATE(B2537, ""ja"", ""en"")"),"fx_rain_filter_up")</f>
        <v>fx_rain_filter_up</v>
      </c>
    </row>
    <row r="2538" spans="1:3" ht="12.75" x14ac:dyDescent="0.2">
      <c r="A2538" s="1" t="s">
        <v>4567</v>
      </c>
      <c r="B2538" s="1" t="s">
        <v>4568</v>
      </c>
      <c r="C2538" t="str">
        <f ca="1">IFERROR(__xludf.DUMMYFUNCTION("GOOGLETRANSLATE(B2538, ""ja"", ""en"")"),"fx_reflection")</f>
        <v>fx_reflection</v>
      </c>
    </row>
    <row r="2539" spans="1:3" ht="12.75" x14ac:dyDescent="0.2">
      <c r="A2539" s="1" t="s">
        <v>4569</v>
      </c>
      <c r="B2539" s="1" t="s">
        <v>4570</v>
      </c>
      <c r="C2539" t="str">
        <f ca="1">IFERROR(__xludf.DUMMYFUNCTION("GOOGLETRANSLATE(B2539, ""ja"", ""en"")"),"fx_reflection_pool")</f>
        <v>fx_reflection_pool</v>
      </c>
    </row>
    <row r="2540" spans="1:3" ht="12.75" x14ac:dyDescent="0.2">
      <c r="A2540" s="1" t="s">
        <v>4571</v>
      </c>
      <c r="B2540" s="1" t="s">
        <v>4572</v>
      </c>
      <c r="C2540" t="str">
        <f ca="1">IFERROR(__xludf.DUMMYFUNCTION("GOOGLETRANSLATE(B2540, ""ja"", ""en"")"),"fx_reflection_waterpool")</f>
        <v>fx_reflection_waterpool</v>
      </c>
    </row>
    <row r="2541" spans="1:3" ht="12.75" x14ac:dyDescent="0.2">
      <c r="A2541" s="1" t="s">
        <v>4573</v>
      </c>
      <c r="B2541" s="1" t="s">
        <v>4574</v>
      </c>
      <c r="C2541" t="str">
        <f ca="1">IFERROR(__xludf.DUMMYFUNCTION("GOOGLETRANSLATE(B2541, ""ja"", ""en"")"),"fx_reflection_sky")</f>
        <v>fx_reflection_sky</v>
      </c>
    </row>
    <row r="2542" spans="1:3" ht="12.75" x14ac:dyDescent="0.2">
      <c r="A2542" s="1" t="s">
        <v>4575</v>
      </c>
      <c r="B2542" s="1" t="s">
        <v>4576</v>
      </c>
      <c r="C2542" t="str">
        <f ca="1">IFERROR(__xludf.DUMMYFUNCTION("GOOGLETRANSLATE(B2542, ""ja"", ""en"")"),"fx_window_rain_height")</f>
        <v>fx_window_rain_height</v>
      </c>
    </row>
    <row r="2543" spans="1:3" ht="12.75" x14ac:dyDescent="0.2">
      <c r="A2543" s="1" t="s">
        <v>4577</v>
      </c>
      <c r="B2543" s="1" t="s">
        <v>4578</v>
      </c>
      <c r="C2543" t="str">
        <f ca="1">IFERROR(__xludf.DUMMYFUNCTION("GOOGLETRANSLATE(B2543, ""ja"", ""en"")"),"fx_window_rain_nrm")</f>
        <v>fx_window_rain_nrm</v>
      </c>
    </row>
    <row r="2544" spans="1:3" ht="12.75" x14ac:dyDescent="0.2">
      <c r="A2544" s="1" t="s">
        <v>4579</v>
      </c>
      <c r="B2544" s="1" t="s">
        <v>4580</v>
      </c>
      <c r="C2544" t="str">
        <f ca="1">IFERROR(__xludf.DUMMYFUNCTION("GOOGLETRANSLATE(B2544, ""ja"", ""en"")"),"fx_window_rain")</f>
        <v>fx_window_rain</v>
      </c>
    </row>
    <row r="2545" spans="1:3" ht="12.75" x14ac:dyDescent="0.2">
      <c r="A2545" s="1" t="s">
        <v>4581</v>
      </c>
      <c r="B2545" s="1" t="s">
        <v>4582</v>
      </c>
      <c r="C2545" t="str">
        <f ca="1">IFERROR(__xludf.DUMMYFUNCTION("GOOGLETRANSLATE(B2545, ""ja"", ""en"")"),"fx_afterimage01")</f>
        <v>fx_afterimage01</v>
      </c>
    </row>
    <row r="2546" spans="1:3" ht="12.75" x14ac:dyDescent="0.2">
      <c r="A2546" s="1" t="s">
        <v>4583</v>
      </c>
      <c r="B2546" s="1" t="s">
        <v>4584</v>
      </c>
      <c r="C2546" t="str">
        <f ca="1">IFERROR(__xludf.DUMMYFUNCTION("GOOGLETRANSLATE(B2546, ""ja"", ""en"")"),"fx_glass")</f>
        <v>fx_glass</v>
      </c>
    </row>
    <row r="2547" spans="1:3" ht="12.75" x14ac:dyDescent="0.2">
      <c r="A2547" s="1" t="s">
        <v>4585</v>
      </c>
      <c r="B2547" s="1" t="s">
        <v>4586</v>
      </c>
      <c r="C2547" t="str">
        <f ca="1">IFERROR(__xludf.DUMMYFUNCTION("GOOGLETRANSLATE(B2547, ""ja"", ""en"")"),"fx_glass2")</f>
        <v>fx_glass2</v>
      </c>
    </row>
    <row r="2548" spans="1:3" ht="12.75" x14ac:dyDescent="0.2">
      <c r="A2548" s="1" t="s">
        <v>4587</v>
      </c>
      <c r="B2548" s="1" t="s">
        <v>4588</v>
      </c>
      <c r="C2548" t="str">
        <f ca="1">IFERROR(__xludf.DUMMYFUNCTION("GOOGLETRANSLATE(B2548, ""ja"", ""en"")"),"fx_flash_scat")</f>
        <v>fx_flash_scat</v>
      </c>
    </row>
    <row r="2549" spans="1:3" ht="12.75" x14ac:dyDescent="0.2">
      <c r="A2549" s="1" t="s">
        <v>4589</v>
      </c>
      <c r="B2549" s="1" t="s">
        <v>4590</v>
      </c>
      <c r="C2549" t="str">
        <f ca="1">IFERROR(__xludf.DUMMYFUNCTION("GOOGLETRANSLATE(B2549, ""ja"", ""en"")"),"fx_fishing_line")</f>
        <v>fx_fishing_line</v>
      </c>
    </row>
    <row r="2550" spans="1:3" ht="12.75" x14ac:dyDescent="0.2">
      <c r="A2550" s="1" t="s">
        <v>4591</v>
      </c>
      <c r="B2550" s="1" t="s">
        <v>4592</v>
      </c>
      <c r="C2550" t="str">
        <f ca="1">IFERROR(__xludf.DUMMYFUNCTION("GOOGLETRANSLATE(B2550, ""ja"", ""en"")"),"fx_fishing_line2")</f>
        <v>fx_fishing_line2</v>
      </c>
    </row>
    <row r="2551" spans="1:3" ht="12.75" x14ac:dyDescent="0.2">
      <c r="A2551" s="1" t="s">
        <v>4593</v>
      </c>
      <c r="B2551" s="1" t="s">
        <v>4594</v>
      </c>
      <c r="C2551" t="str">
        <f ca="1">IFERROR(__xludf.DUMMYFUNCTION("GOOGLETRANSLATE(B2551, ""ja"", ""en"")"),"fx_sl_lens_flare")</f>
        <v>fx_sl_lens_flare</v>
      </c>
    </row>
    <row r="2552" spans="1:3" ht="12.75" x14ac:dyDescent="0.2">
      <c r="A2552" s="1" t="s">
        <v>4595</v>
      </c>
      <c r="B2552" s="1" t="s">
        <v>4596</v>
      </c>
      <c r="C2552" t="str">
        <f ca="1">IFERROR(__xludf.DUMMYFUNCTION("GOOGLETRANSLATE(B2552, ""ja"", ""en"")"),"fx_sl_lens_ghost")</f>
        <v>fx_sl_lens_ghost</v>
      </c>
    </row>
    <row r="2553" spans="1:3" ht="12.75" x14ac:dyDescent="0.2">
      <c r="A2553" s="1" t="s">
        <v>4597</v>
      </c>
      <c r="B2553" s="1" t="s">
        <v>4598</v>
      </c>
      <c r="C2553" t="str">
        <f ca="1">IFERROR(__xludf.DUMMYFUNCTION("GOOGLETRANSLATE(B2553, ""ja"", ""en"")"),"fx_sl_light_mask")</f>
        <v>fx_sl_light_mask</v>
      </c>
    </row>
    <row r="2554" spans="1:3" ht="12.75" x14ac:dyDescent="0.2">
      <c r="A2554" s="1" t="s">
        <v>4599</v>
      </c>
      <c r="B2554" s="1" t="s">
        <v>4600</v>
      </c>
      <c r="C2554" t="str">
        <f ca="1">IFERROR(__xludf.DUMMYFUNCTION("GOOGLETRANSLATE(B2554, ""ja"", ""en"")"),"fx_stealth_skin")</f>
        <v>fx_stealth_skin</v>
      </c>
    </row>
    <row r="2555" spans="1:3" ht="12.75" x14ac:dyDescent="0.2">
      <c r="A2555" s="1" t="s">
        <v>4601</v>
      </c>
      <c r="B2555" s="1" t="s">
        <v>4602</v>
      </c>
      <c r="C2555" t="str">
        <f ca="1">IFERROR(__xludf.DUMMYFUNCTION("GOOGLETRANSLATE(B2555, ""ja"", ""en"")"),"fx_noise")</f>
        <v>fx_noise</v>
      </c>
    </row>
    <row r="2556" spans="1:3" ht="12.75" x14ac:dyDescent="0.2">
      <c r="A2556" s="1" t="s">
        <v>4603</v>
      </c>
      <c r="B2556" s="1" t="s">
        <v>4604</v>
      </c>
      <c r="C2556" t="str">
        <f ca="1">IFERROR(__xludf.DUMMYFUNCTION("GOOGLETRANSLATE(B2556, ""ja"", ""en"")"),"fx_perlin_noise")</f>
        <v>fx_perlin_noise</v>
      </c>
    </row>
    <row r="2557" spans="1:3" ht="12.75" x14ac:dyDescent="0.2">
      <c r="A2557" s="1" t="s">
        <v>4605</v>
      </c>
      <c r="B2557" s="1" t="s">
        <v>4606</v>
      </c>
      <c r="C2557" t="str">
        <f ca="1">IFERROR(__xludf.DUMMYFUNCTION("GOOGLETRANSLATE(B2557, ""ja"", ""en"")"),"fx_perlin_noise_with_normal")</f>
        <v>fx_perlin_noise_with_normal</v>
      </c>
    </row>
    <row r="2558" spans="1:3" ht="12.75" x14ac:dyDescent="0.2">
      <c r="A2558" s="1" t="s">
        <v>4607</v>
      </c>
      <c r="B2558" s="1" t="s">
        <v>4608</v>
      </c>
      <c r="C2558" t="str">
        <f ca="1">IFERROR(__xludf.DUMMYFUNCTION("GOOGLETRANSLATE(B2558, ""ja"", ""en"")"),"fx_perlin_noise_3d")</f>
        <v>fx_perlin_noise_3d</v>
      </c>
    </row>
    <row r="2559" spans="1:3" ht="12.75" x14ac:dyDescent="0.2">
      <c r="A2559" s="1" t="s">
        <v>4609</v>
      </c>
      <c r="B2559" s="1" t="s">
        <v>4610</v>
      </c>
      <c r="C2559" t="str">
        <f ca="1">IFERROR(__xludf.DUMMYFUNCTION("GOOGLETRANSLATE(B2559, ""ja"", ""en"")"),"fx_cloud_shadow")</f>
        <v>fx_cloud_shadow</v>
      </c>
    </row>
    <row r="2560" spans="1:3" ht="12.75" x14ac:dyDescent="0.2">
      <c r="A2560" s="1" t="s">
        <v>4611</v>
      </c>
      <c r="B2560" s="1" t="s">
        <v>4612</v>
      </c>
      <c r="C2560" t="str">
        <f ca="1">IFERROR(__xludf.DUMMYFUNCTION("GOOGLETRANSLATE(B2560, ""ja"", ""en"")"),"fx_shadowmap_skin_punch")</f>
        <v>fx_shadowmap_skin_punch</v>
      </c>
    </row>
    <row r="2561" spans="1:3" ht="12.75" x14ac:dyDescent="0.2">
      <c r="A2561" s="1" t="s">
        <v>4613</v>
      </c>
      <c r="B2561" s="1" t="s">
        <v>4614</v>
      </c>
      <c r="C2561" t="str">
        <f ca="1">IFERROR(__xludf.DUMMYFUNCTION("GOOGLETRANSLATE(B2561, ""ja"", ""en"")"),"fx_whoop_blur")</f>
        <v>fx_whoop_blur</v>
      </c>
    </row>
    <row r="2562" spans="1:3" ht="12.75" x14ac:dyDescent="0.2">
      <c r="A2562" s="1" t="s">
        <v>4615</v>
      </c>
      <c r="B2562" s="1" t="s">
        <v>4616</v>
      </c>
      <c r="C2562" t="str">
        <f ca="1">IFERROR(__xludf.DUMMYFUNCTION("GOOGLETRANSLATE(B2562, ""ja"", ""en"")"),"fx_analog_noise")</f>
        <v>fx_analog_noise</v>
      </c>
    </row>
    <row r="2563" spans="1:3" ht="12.75" x14ac:dyDescent="0.2">
      <c r="A2563" s="1" t="s">
        <v>4617</v>
      </c>
      <c r="B2563" s="1" t="s">
        <v>4618</v>
      </c>
      <c r="C2563" t="str">
        <f ca="1">IFERROR(__xludf.DUMMYFUNCTION("GOOGLETRANSLATE(B2563, ""ja"", ""en"")"),"fx_star_glare")</f>
        <v>fx_star_glare</v>
      </c>
    </row>
    <row r="2564" spans="1:3" ht="12.75" x14ac:dyDescent="0.2">
      <c r="A2564" s="1" t="s">
        <v>4619</v>
      </c>
      <c r="B2564" s="1" t="s">
        <v>4620</v>
      </c>
      <c r="C2564" t="str">
        <f ca="1">IFERROR(__xludf.DUMMYFUNCTION("GOOGLETRANSLATE(B2564, ""ja"", ""en"")"),"fx_depth_to_shadow")</f>
        <v>fx_depth_to_shadow</v>
      </c>
    </row>
    <row r="2565" spans="1:3" ht="12.75" x14ac:dyDescent="0.2">
      <c r="A2565" s="1" t="s">
        <v>4621</v>
      </c>
      <c r="B2565" s="1" t="s">
        <v>4622</v>
      </c>
      <c r="C2565" t="str">
        <f ca="1">IFERROR(__xludf.DUMMYFUNCTION("GOOGLETRANSLATE(B2565, ""ja"", ""en"")"),"fx_depth_to_shadow3")</f>
        <v>fx_depth_to_shadow3</v>
      </c>
    </row>
    <row r="2566" spans="1:3" ht="12.75" x14ac:dyDescent="0.2">
      <c r="A2566" s="1" t="s">
        <v>4623</v>
      </c>
      <c r="B2566" s="1" t="s">
        <v>4624</v>
      </c>
      <c r="C2566" t="str">
        <f ca="1">IFERROR(__xludf.DUMMYFUNCTION("GOOGLETRANSLATE(B2566, ""ja"", ""en"")"),"fx_depth_to_shadow6")</f>
        <v>fx_depth_to_shadow6</v>
      </c>
    </row>
    <row r="2567" spans="1:3" ht="12.75" x14ac:dyDescent="0.2">
      <c r="A2567" s="1" t="s">
        <v>4625</v>
      </c>
      <c r="B2567" s="1" t="s">
        <v>4626</v>
      </c>
      <c r="C2567" t="str">
        <f ca="1">IFERROR(__xludf.DUMMYFUNCTION("GOOGLETRANSLATE(B2567, ""ja"", ""en"")"),"fx_depth_to_shadow_unuse_map")</f>
        <v>fx_depth_to_shadow_unuse_map</v>
      </c>
    </row>
    <row r="2568" spans="1:3" ht="12.75" x14ac:dyDescent="0.2">
      <c r="A2568" s="1" t="s">
        <v>4627</v>
      </c>
      <c r="B2568" s="1" t="s">
        <v>4628</v>
      </c>
      <c r="C2568" t="str">
        <f ca="1">IFERROR(__xludf.DUMMYFUNCTION("GOOGLETRANSLATE(B2568, ""ja"", ""en"")"),"fx_ssao")</f>
        <v>fx_ssao</v>
      </c>
    </row>
    <row r="2569" spans="1:3" ht="12.75" x14ac:dyDescent="0.2">
      <c r="A2569" s="1" t="s">
        <v>4629</v>
      </c>
      <c r="B2569" s="1" t="s">
        <v>4630</v>
      </c>
      <c r="C2569" t="str">
        <f ca="1">IFERROR(__xludf.DUMMYFUNCTION("GOOGLETRANSLATE(B2569, ""ja"", ""en"")"),"fx_ssao_temporal_filter")</f>
        <v>fx_ssao_temporal_filter</v>
      </c>
    </row>
    <row r="2570" spans="1:3" ht="12.75" x14ac:dyDescent="0.2">
      <c r="A2570" s="1" t="s">
        <v>4631</v>
      </c>
      <c r="B2570" s="1" t="s">
        <v>4632</v>
      </c>
      <c r="C2570" t="str">
        <f ca="1">IFERROR(__xludf.DUMMYFUNCTION("GOOGLETRANSLATE(B2570, ""ja"", ""en"")"),"fx_btlcaption_blur")</f>
        <v>fx_btlcaption_blur</v>
      </c>
    </row>
    <row r="2571" spans="1:3" ht="12.75" x14ac:dyDescent="0.2">
      <c r="A2571" s="1" t="s">
        <v>4633</v>
      </c>
      <c r="B2571" s="1" t="s">
        <v>4634</v>
      </c>
      <c r="C2571" t="str">
        <f ca="1">IFERROR(__xludf.DUMMYFUNCTION("GOOGLETRANSLATE(B2571, ""ja"", ""en"")"),"fx_rigid_snow")</f>
        <v>fx_rigid_snow</v>
      </c>
    </row>
    <row r="2572" spans="1:3" ht="12.75" x14ac:dyDescent="0.2">
      <c r="A2572" s="1" t="s">
        <v>4635</v>
      </c>
      <c r="B2572" s="1" t="s">
        <v>4636</v>
      </c>
      <c r="C2572" t="str">
        <f ca="1">IFERROR(__xludf.DUMMYFUNCTION("GOOGLETRANSLATE(B2572, ""ja"", ""en"")"),"fx_texture3d")</f>
        <v>fx_texture3d</v>
      </c>
    </row>
    <row r="2573" spans="1:3" ht="12.75" x14ac:dyDescent="0.2">
      <c r="A2573" s="1" t="s">
        <v>4637</v>
      </c>
      <c r="B2573" s="1" t="s">
        <v>4638</v>
      </c>
      <c r="C2573" t="str">
        <f ca="1">IFERROR(__xludf.DUMMYFUNCTION("GOOGLETRANSLATE(B2573, ""ja"", ""en"")"),"fx_blur_sample9")</f>
        <v>fx_blur_sample9</v>
      </c>
    </row>
    <row r="2574" spans="1:3" ht="12.75" x14ac:dyDescent="0.2">
      <c r="A2574" s="1" t="s">
        <v>4639</v>
      </c>
      <c r="B2574" s="1" t="s">
        <v>4640</v>
      </c>
      <c r="C2574" t="str">
        <f ca="1">IFERROR(__xludf.DUMMYFUNCTION("GOOGLETRANSLATE(B2574, ""ja"", ""en"")"),"fx_haze_mask")</f>
        <v>fx_haze_mask</v>
      </c>
    </row>
    <row r="2575" spans="1:3" ht="12.75" x14ac:dyDescent="0.2">
      <c r="A2575" s="1" t="s">
        <v>4641</v>
      </c>
      <c r="B2575" s="1" t="s">
        <v>4642</v>
      </c>
      <c r="C2575" t="str">
        <f ca="1">IFERROR(__xludf.DUMMYFUNCTION("GOOGLETRANSLATE(B2575, ""ja"", ""en"")"),"fx_fog_wall")</f>
        <v>fx_fog_wall</v>
      </c>
    </row>
    <row r="2576" spans="1:3" ht="12.75" x14ac:dyDescent="0.2">
      <c r="A2576" s="1" t="s">
        <v>4643</v>
      </c>
      <c r="B2576" s="1" t="s">
        <v>4644</v>
      </c>
      <c r="C2576" t="str">
        <f ca="1">IFERROR(__xludf.DUMMYFUNCTION("GOOGLETRANSLATE(B2576, ""ja"", ""en"")"),"fx_glass_water_overflow")</f>
        <v>fx_glass_water_overflow</v>
      </c>
    </row>
    <row r="2577" spans="1:3" ht="12.75" x14ac:dyDescent="0.2">
      <c r="A2577" s="1" t="s">
        <v>4645</v>
      </c>
      <c r="B2577" s="1" t="s">
        <v>4646</v>
      </c>
      <c r="C2577" t="str">
        <f ca="1">IFERROR(__xludf.DUMMYFUNCTION("GOOGLETRANSLATE(B2577, ""ja"", ""en"")"),"fx_dof0")</f>
        <v>fx_dof0</v>
      </c>
    </row>
    <row r="2578" spans="1:3" ht="12.75" x14ac:dyDescent="0.2">
      <c r="A2578" s="1" t="s">
        <v>4647</v>
      </c>
      <c r="B2578" s="1" t="s">
        <v>4648</v>
      </c>
      <c r="C2578" t="str">
        <f ca="1">IFERROR(__xludf.DUMMYFUNCTION("GOOGLETRANSLATE(B2578, ""ja"", ""en"")"),"fx_dof0_light")</f>
        <v>fx_dof0_light</v>
      </c>
    </row>
    <row r="2579" spans="1:3" ht="12.75" x14ac:dyDescent="0.2">
      <c r="A2579" s="1" t="s">
        <v>4649</v>
      </c>
      <c r="B2579" s="1" t="s">
        <v>4650</v>
      </c>
      <c r="C2579" t="str">
        <f ca="1">IFERROR(__xludf.DUMMYFUNCTION("GOOGLETRANSLATE(B2579, ""ja"", ""en"")"),"fx_dof1")</f>
        <v>fx_dof1</v>
      </c>
    </row>
    <row r="2580" spans="1:3" ht="12.75" x14ac:dyDescent="0.2">
      <c r="A2580" s="1" t="s">
        <v>4651</v>
      </c>
      <c r="B2580" s="1" t="s">
        <v>4652</v>
      </c>
      <c r="C2580" t="str">
        <f ca="1">IFERROR(__xludf.DUMMYFUNCTION("GOOGLETRANSLATE(B2580, ""ja"", ""en"")"),"fx_dof2")</f>
        <v>fx_dof2</v>
      </c>
    </row>
    <row r="2581" spans="1:3" ht="12.75" x14ac:dyDescent="0.2">
      <c r="A2581" s="1" t="s">
        <v>4653</v>
      </c>
      <c r="B2581" s="1" t="s">
        <v>4654</v>
      </c>
      <c r="C2581" t="str">
        <f ca="1">IFERROR(__xludf.DUMMYFUNCTION("GOOGLETRANSLATE(B2581, ""ja"", ""en"")"),"fx_dof3")</f>
        <v>fx_dof3</v>
      </c>
    </row>
    <row r="2582" spans="1:3" ht="12.75" x14ac:dyDescent="0.2">
      <c r="A2582" s="1" t="s">
        <v>4655</v>
      </c>
      <c r="B2582" s="1" t="s">
        <v>4656</v>
      </c>
      <c r="C2582" t="str">
        <f ca="1">IFERROR(__xludf.DUMMYFUNCTION("GOOGLETRANSLATE(B2582, ""ja"", ""en"")"),"fx_dof3_mask")</f>
        <v>fx_dof3_mask</v>
      </c>
    </row>
    <row r="2583" spans="1:3" ht="12.75" x14ac:dyDescent="0.2">
      <c r="A2583" s="1" t="s">
        <v>4657</v>
      </c>
      <c r="B2583" s="1" t="s">
        <v>4658</v>
      </c>
      <c r="C2583" t="str">
        <f ca="1">IFERROR(__xludf.DUMMYFUNCTION("GOOGLETRANSLATE(B2583, ""ja"", ""en"")"),"fx_dof3_1")</f>
        <v>fx_dof3_1</v>
      </c>
    </row>
    <row r="2584" spans="1:3" ht="12.75" x14ac:dyDescent="0.2">
      <c r="A2584" s="1" t="s">
        <v>4659</v>
      </c>
      <c r="B2584" s="1" t="s">
        <v>4660</v>
      </c>
      <c r="C2584" t="str">
        <f ca="1">IFERROR(__xludf.DUMMYFUNCTION("GOOGLETRANSLATE(B2584, ""ja"", ""en"")"),"fx_dof3_2")</f>
        <v>fx_dof3_2</v>
      </c>
    </row>
    <row r="2585" spans="1:3" ht="12.75" x14ac:dyDescent="0.2">
      <c r="A2585" s="1" t="s">
        <v>4661</v>
      </c>
      <c r="B2585" s="1" t="s">
        <v>4662</v>
      </c>
      <c r="C2585" t="str">
        <f ca="1">IFERROR(__xludf.DUMMYFUNCTION("GOOGLETRANSLATE(B2585, ""ja"", ""en"")"),"fx_dof3_2_mask")</f>
        <v>fx_dof3_2_mask</v>
      </c>
    </row>
    <row r="2586" spans="1:3" ht="12.75" x14ac:dyDescent="0.2">
      <c r="A2586" s="1" t="s">
        <v>4663</v>
      </c>
      <c r="B2586" s="1" t="s">
        <v>4664</v>
      </c>
      <c r="C2586" t="str">
        <f ca="1">IFERROR(__xludf.DUMMYFUNCTION("GOOGLETRANSLATE(B2586, ""ja"", ""en"")"),"fx_simple_shadow")</f>
        <v>fx_simple_shadow</v>
      </c>
    </row>
    <row r="2587" spans="1:3" ht="12.75" x14ac:dyDescent="0.2">
      <c r="A2587" s="1" t="s">
        <v>4665</v>
      </c>
      <c r="B2587" s="1" t="s">
        <v>4666</v>
      </c>
      <c r="C2587" t="str">
        <f ca="1">IFERROR(__xludf.DUMMYFUNCTION("GOOGLETRANSLATE(B2587, ""ja"", ""en"")"),"fx_projection_light")</f>
        <v>fx_projection_light</v>
      </c>
    </row>
    <row r="2588" spans="1:3" ht="12.75" x14ac:dyDescent="0.2">
      <c r="A2588" s="1" t="s">
        <v>4667</v>
      </c>
      <c r="B2588" s="1" t="s">
        <v>4668</v>
      </c>
      <c r="C2588" t="str">
        <f ca="1">IFERROR(__xludf.DUMMYFUNCTION("GOOGLETRANSLATE(B2588, ""ja"", ""en"")"),"fx_projection_light_sdw")</f>
        <v>fx_projection_light_sdw</v>
      </c>
    </row>
    <row r="2589" spans="1:3" ht="12.75" x14ac:dyDescent="0.2">
      <c r="A2589" s="1" t="s">
        <v>4669</v>
      </c>
      <c r="B2589" s="1" t="s">
        <v>4670</v>
      </c>
      <c r="C2589" t="str">
        <f ca="1">IFERROR(__xludf.DUMMYFUNCTION("GOOGLETRANSLATE(B2589, ""ja"", ""en"")"),"fx_projection_plight")</f>
        <v>fx_projection_plight</v>
      </c>
    </row>
    <row r="2590" spans="1:3" ht="12.75" x14ac:dyDescent="0.2">
      <c r="A2590" s="1" t="s">
        <v>4671</v>
      </c>
      <c r="B2590" s="1" t="s">
        <v>4672</v>
      </c>
      <c r="C2590" t="str">
        <f ca="1">IFERROR(__xludf.DUMMYFUNCTION("GOOGLETRANSLATE(B2590, ""ja"", ""en"")"),"fx_projection_plight_sdw")</f>
        <v>fx_projection_plight_sdw</v>
      </c>
    </row>
    <row r="2591" spans="1:3" ht="12.75" x14ac:dyDescent="0.2">
      <c r="A2591" s="1" t="s">
        <v>4673</v>
      </c>
      <c r="B2591" s="1" t="s">
        <v>4674</v>
      </c>
      <c r="C2591" t="str">
        <f ca="1">IFERROR(__xludf.DUMMYFUNCTION("GOOGLETRANSLATE(B2591, ""ja"", ""en"")"),"fx_slash_warp")</f>
        <v>fx_slash_warp</v>
      </c>
    </row>
    <row r="2592" spans="1:3" ht="12.75" x14ac:dyDescent="0.2">
      <c r="A2592" s="1" t="s">
        <v>4675</v>
      </c>
      <c r="B2592" s="1" t="s">
        <v>4676</v>
      </c>
      <c r="C2592" t="str">
        <f ca="1">IFERROR(__xludf.DUMMYFUNCTION("GOOGLETRANSLATE(B2592, ""ja"", ""en"")"),"fx_projection_blood")</f>
        <v>fx_projection_blood</v>
      </c>
    </row>
    <row r="2593" spans="1:3" ht="12.75" x14ac:dyDescent="0.2">
      <c r="A2593" s="1" t="s">
        <v>4677</v>
      </c>
      <c r="B2593" s="1" t="s">
        <v>4678</v>
      </c>
      <c r="C2593" t="str">
        <f ca="1">IFERROR(__xludf.DUMMYFUNCTION("GOOGLETRANSLATE(B2593, ""ja"", ""en"")"),"fx_subtract_light")</f>
        <v>fx_subtract_light</v>
      </c>
    </row>
    <row r="2594" spans="1:3" ht="12.75" x14ac:dyDescent="0.2">
      <c r="A2594" s="1" t="s">
        <v>4679</v>
      </c>
      <c r="B2594" s="1" t="s">
        <v>4680</v>
      </c>
      <c r="C2594" t="str">
        <f ca="1">IFERROR(__xludf.DUMMYFUNCTION("GOOGLETRANSLATE(B2594, ""ja"", ""en"")"),"fx_subtract_light2")</f>
        <v>fx_subtract_light2</v>
      </c>
    </row>
    <row r="2595" spans="1:3" ht="12.75" x14ac:dyDescent="0.2">
      <c r="A2595" s="1" t="s">
        <v>4681</v>
      </c>
      <c r="B2595" s="1" t="s">
        <v>4682</v>
      </c>
      <c r="C2595" t="str">
        <f ca="1">IFERROR(__xludf.DUMMYFUNCTION("GOOGLETRANSLATE(B2595, ""ja"", ""en"")"),"fx_ink_tone")</f>
        <v>fx_ink_tone</v>
      </c>
    </row>
    <row r="2596" spans="1:3" ht="12.75" x14ac:dyDescent="0.2">
      <c r="A2596" s="1" t="s">
        <v>4683</v>
      </c>
      <c r="B2596" s="1" t="s">
        <v>4684</v>
      </c>
      <c r="C2596" t="str">
        <f ca="1">IFERROR(__xludf.DUMMYFUNCTION("GOOGLETRANSLATE(B2596, ""ja"", ""en"")"),"fx_ink_tone_ds")</f>
        <v>fx_ink_tone_ds</v>
      </c>
    </row>
    <row r="2597" spans="1:3" ht="12.75" x14ac:dyDescent="0.2">
      <c r="A2597" s="1" t="s">
        <v>4685</v>
      </c>
      <c r="B2597" s="1" t="s">
        <v>4686</v>
      </c>
      <c r="C2597" t="str">
        <f ca="1">IFERROR(__xludf.DUMMYFUNCTION("GOOGLETRANSLATE(B2597, ""ja"", ""en"")"),"fx_ink_flow")</f>
        <v>fx_ink_flow</v>
      </c>
    </row>
    <row r="2598" spans="1:3" ht="12.75" x14ac:dyDescent="0.2">
      <c r="A2598" s="1" t="s">
        <v>4687</v>
      </c>
      <c r="B2598" s="1" t="s">
        <v>4688</v>
      </c>
      <c r="C2598" t="str">
        <f ca="1">IFERROR(__xludf.DUMMYFUNCTION("GOOGLETRANSLATE(B2598, ""ja"", ""en"")"),"fx_ink_edge")</f>
        <v>fx_ink_edge</v>
      </c>
    </row>
    <row r="2599" spans="1:3" ht="12.75" x14ac:dyDescent="0.2">
      <c r="A2599" s="1" t="s">
        <v>4689</v>
      </c>
      <c r="B2599" s="1" t="s">
        <v>4690</v>
      </c>
      <c r="C2599" t="str">
        <f ca="1">IFERROR(__xludf.DUMMYFUNCTION("GOOGLETRANSLATE(B2599, ""ja"", ""en"")"),"fx_ink_paint")</f>
        <v>fx_ink_paint</v>
      </c>
    </row>
    <row r="2600" spans="1:3" ht="12.75" x14ac:dyDescent="0.2">
      <c r="A2600" s="1" t="s">
        <v>4691</v>
      </c>
      <c r="B2600" s="1" t="s">
        <v>4692</v>
      </c>
      <c r="C2600" t="str">
        <f ca="1">IFERROR(__xludf.DUMMYFUNCTION("GOOGLETRANSLATE(B2600, ""ja"", ""en"")"),"fx_ink_paper")</f>
        <v>fx_ink_paper</v>
      </c>
    </row>
    <row r="2601" spans="1:3" ht="12.75" x14ac:dyDescent="0.2">
      <c r="A2601" s="1" t="s">
        <v>4693</v>
      </c>
      <c r="B2601" s="1" t="s">
        <v>4694</v>
      </c>
      <c r="C2601" t="str">
        <f ca="1">IFERROR(__xludf.DUMMYFUNCTION("GOOGLETRANSLATE(B2601, ""ja"", ""en"")"),"fx_ink_paper_mask")</f>
        <v>fx_ink_paper_mask</v>
      </c>
    </row>
    <row r="2602" spans="1:3" ht="12.75" x14ac:dyDescent="0.2">
      <c r="A2602" s="1" t="s">
        <v>4695</v>
      </c>
      <c r="B2602" s="1" t="s">
        <v>4696</v>
      </c>
      <c r="C2602" t="str">
        <f ca="1">IFERROR(__xludf.DUMMYFUNCTION("GOOGLETRANSLATE(B2602, ""ja"", ""en"")"),"fx_ink_drop")</f>
        <v>fx_ink_drop</v>
      </c>
    </row>
    <row r="2603" spans="1:3" ht="12.75" x14ac:dyDescent="0.2">
      <c r="A2603" s="1" t="s">
        <v>4697</v>
      </c>
      <c r="B2603" s="1" t="s">
        <v>4698</v>
      </c>
      <c r="C2603" t="str">
        <f ca="1">IFERROR(__xludf.DUMMYFUNCTION("GOOGLETRANSLATE(B2603, ""ja"", ""en"")"),"fx_blind_light")</f>
        <v>fx_blind_light</v>
      </c>
    </row>
    <row r="2604" spans="1:3" ht="12.75" x14ac:dyDescent="0.2">
      <c r="A2604" s="1" t="s">
        <v>4699</v>
      </c>
      <c r="B2604" s="1" t="s">
        <v>4700</v>
      </c>
      <c r="C2604" t="str">
        <f ca="1">IFERROR(__xludf.DUMMYFUNCTION("GOOGLETRANSLATE(B2604, ""ja"", ""en"")"),"fx_blind_light_mask_p1")</f>
        <v>fx_blind_light_mask_p1</v>
      </c>
    </row>
    <row r="2605" spans="1:3" ht="12.75" x14ac:dyDescent="0.2">
      <c r="A2605" s="1" t="s">
        <v>4701</v>
      </c>
      <c r="B2605" s="1" t="s">
        <v>4702</v>
      </c>
      <c r="C2605" t="str">
        <f ca="1">IFERROR(__xludf.DUMMYFUNCTION("GOOGLETRANSLATE(B2605, ""ja"", ""en"")"),"fx_blind_light_mask_p2")</f>
        <v>fx_blind_light_mask_p2</v>
      </c>
    </row>
    <row r="2606" spans="1:3" ht="12.75" x14ac:dyDescent="0.2">
      <c r="A2606" s="1" t="s">
        <v>4703</v>
      </c>
      <c r="B2606" s="1" t="s">
        <v>4704</v>
      </c>
      <c r="C2606" t="str">
        <f ca="1">IFERROR(__xludf.DUMMYFUNCTION("GOOGLETRANSLATE(B2606, ""ja"", ""en"")"),"fx_flow_water_e")</f>
        <v>fx_flow_water_e</v>
      </c>
    </row>
    <row r="2607" spans="1:3" ht="12.75" x14ac:dyDescent="0.2">
      <c r="A2607" s="1" t="s">
        <v>4705</v>
      </c>
      <c r="B2607" s="1" t="s">
        <v>4706</v>
      </c>
      <c r="C2607" t="str">
        <f ca="1">IFERROR(__xludf.DUMMYFUNCTION("GOOGLETRANSLATE(B2607, ""ja"", ""en"")"),"fx_flow_water_en0")</f>
        <v>fx_flow_water_en0</v>
      </c>
    </row>
    <row r="2608" spans="1:3" ht="12.75" x14ac:dyDescent="0.2">
      <c r="A2608" s="1" t="s">
        <v>4707</v>
      </c>
      <c r="B2608" s="1" t="s">
        <v>4708</v>
      </c>
      <c r="C2608" t="str">
        <f ca="1">IFERROR(__xludf.DUMMYFUNCTION("GOOGLETRANSLATE(B2608, ""ja"", ""en"")"),"fx_flow_water_en01")</f>
        <v>fx_flow_water_en01</v>
      </c>
    </row>
    <row r="2609" spans="1:3" ht="12.75" x14ac:dyDescent="0.2">
      <c r="A2609" s="1" t="s">
        <v>4709</v>
      </c>
      <c r="B2609" s="1" t="s">
        <v>4710</v>
      </c>
      <c r="C2609" t="str">
        <f ca="1">IFERROR(__xludf.DUMMYFUNCTION("GOOGLETRANSLATE(B2609, ""ja"", ""en"")"),"fx_flow_water_r")</f>
        <v>fx_flow_water_r</v>
      </c>
    </row>
    <row r="2610" spans="1:3" ht="12.75" x14ac:dyDescent="0.2">
      <c r="A2610" s="1" t="s">
        <v>4711</v>
      </c>
      <c r="B2610" s="1" t="s">
        <v>4712</v>
      </c>
      <c r="C2610" t="str">
        <f ca="1">IFERROR(__xludf.DUMMYFUNCTION("GOOGLETRANSLATE(B2610, ""ja"", ""en"")"),"fx_flow_water_rn0")</f>
        <v>fx_flow_water_rn0</v>
      </c>
    </row>
    <row r="2611" spans="1:3" ht="12.75" x14ac:dyDescent="0.2">
      <c r="A2611" s="1" t="s">
        <v>4713</v>
      </c>
      <c r="B2611" s="1" t="s">
        <v>4714</v>
      </c>
      <c r="C2611" t="str">
        <f ca="1">IFERROR(__xludf.DUMMYFUNCTION("GOOGLETRANSLATE(B2611, ""ja"", ""en"")"),"fx_flow_water_rn01")</f>
        <v>fx_flow_water_rn01</v>
      </c>
    </row>
    <row r="2612" spans="1:3" ht="12.75" x14ac:dyDescent="0.2">
      <c r="A2612" s="1" t="s">
        <v>4715</v>
      </c>
      <c r="B2612" s="1" t="s">
        <v>4716</v>
      </c>
      <c r="C2612" t="str">
        <f ca="1">IFERROR(__xludf.DUMMYFUNCTION("GOOGLETRANSLATE(B2612, ""ja"", ""en"")"),"fx_mgsp_dsmpl")</f>
        <v>fx_mgsp_dsmpl</v>
      </c>
    </row>
    <row r="2613" spans="1:3" ht="12.75" x14ac:dyDescent="0.2">
      <c r="A2613" s="1" t="s">
        <v>4717</v>
      </c>
      <c r="B2613" s="1" t="s">
        <v>4718</v>
      </c>
      <c r="C2613" t="str">
        <f ca="1">IFERROR(__xludf.DUMMYFUNCTION("GOOGLETRANSLATE(B2613, ""ja"", ""en"")"),"fx_mgsp_dsmpl_last")</f>
        <v>fx_mgsp_dsmpl_last</v>
      </c>
    </row>
    <row r="2614" spans="1:3" ht="12.75" x14ac:dyDescent="0.2">
      <c r="A2614" s="1" t="s">
        <v>4719</v>
      </c>
      <c r="B2614" s="1" t="s">
        <v>4720</v>
      </c>
      <c r="C2614" t="str">
        <f ca="1">IFERROR(__xludf.DUMMYFUNCTION("GOOGLETRANSLATE(B2614, ""ja"", ""en"")"),"fx_mgsp_bg")</f>
        <v>fx_mgsp_bg</v>
      </c>
    </row>
    <row r="2615" spans="1:3" ht="12.75" x14ac:dyDescent="0.2">
      <c r="A2615" s="1" t="s">
        <v>4721</v>
      </c>
      <c r="B2615" s="1" t="s">
        <v>4722</v>
      </c>
      <c r="C2615" t="str">
        <f ca="1">IFERROR(__xludf.DUMMYFUNCTION("GOOGLETRANSLATE(B2615, ""ja"", ""en"")"),"fx_mgsp_bg_mask")</f>
        <v>fx_mgsp_bg_mask</v>
      </c>
    </row>
    <row r="2616" spans="1:3" ht="12.75" x14ac:dyDescent="0.2">
      <c r="A2616" s="1" t="s">
        <v>4723</v>
      </c>
      <c r="B2616" s="1" t="s">
        <v>4724</v>
      </c>
      <c r="C2616" t="str">
        <f ca="1">IFERROR(__xludf.DUMMYFUNCTION("GOOGLETRANSLATE(B2616, ""ja"", ""en"")"),"fx_mgsp_emy_core")</f>
        <v>fx_mgsp_emy_core</v>
      </c>
    </row>
    <row r="2617" spans="1:3" ht="12.75" x14ac:dyDescent="0.2">
      <c r="A2617" s="1" t="s">
        <v>4725</v>
      </c>
      <c r="B2617" s="1" t="s">
        <v>4726</v>
      </c>
      <c r="C2617" t="str">
        <f ca="1">IFERROR(__xludf.DUMMYFUNCTION("GOOGLETRANSLATE(B2617, ""ja"", ""en"")"),"fx_mgsp_emy_block")</f>
        <v>fx_mgsp_emy_block</v>
      </c>
    </row>
    <row r="2618" spans="1:3" ht="12.75" x14ac:dyDescent="0.2">
      <c r="A2618" s="1" t="s">
        <v>4727</v>
      </c>
      <c r="B2618" s="1" t="s">
        <v>4728</v>
      </c>
      <c r="C2618" t="str">
        <f ca="1">IFERROR(__xludf.DUMMYFUNCTION("GOOGLETRANSLATE(B2618, ""ja"", ""en"")"),"fx_mgsp_emy_block_edge")</f>
        <v>fx_mgsp_emy_block_edge</v>
      </c>
    </row>
    <row r="2619" spans="1:3" ht="12.75" x14ac:dyDescent="0.2">
      <c r="A2619" s="1" t="s">
        <v>4729</v>
      </c>
      <c r="B2619" s="1" t="s">
        <v>4730</v>
      </c>
      <c r="C2619" t="str">
        <f ca="1">IFERROR(__xludf.DUMMYFUNCTION("GOOGLETRANSLATE(B2619, ""ja"", ""en"")"),"fx_mgsp_spark")</f>
        <v>fx_mgsp_spark</v>
      </c>
    </row>
    <row r="2620" spans="1:3" ht="12.75" x14ac:dyDescent="0.2">
      <c r="A2620" s="1" t="s">
        <v>4731</v>
      </c>
      <c r="B2620" s="1" t="s">
        <v>4732</v>
      </c>
      <c r="C2620" t="str">
        <f ca="1">IFERROR(__xludf.DUMMYFUNCTION("GOOGLETRANSLATE(B2620, ""ja"", ""en"")"),"fx_mgsp_bullet")</f>
        <v>fx_mgsp_bullet</v>
      </c>
    </row>
    <row r="2621" spans="1:3" ht="12.75" x14ac:dyDescent="0.2">
      <c r="A2621" s="1" t="s">
        <v>4733</v>
      </c>
      <c r="B2621" s="1" t="s">
        <v>4734</v>
      </c>
      <c r="C2621" t="str">
        <f ca="1">IFERROR(__xludf.DUMMYFUNCTION("GOOGLETRANSLATE(B2621, ""ja"", ""en"")"),"vs_ptc_bill_xx_xx_x_x_x_x")</f>
        <v>vs_ptc_bill_xx_xx_x_x_x_x</v>
      </c>
    </row>
    <row r="2622" spans="1:3" ht="12.75" x14ac:dyDescent="0.2">
      <c r="A2622" s="1" t="s">
        <v>4735</v>
      </c>
      <c r="B2622" s="1" t="s">
        <v>4736</v>
      </c>
      <c r="C2622" t="str">
        <f ca="1">IFERROR(__xludf.DUMMYFUNCTION("GOOGLETRANSLATE(B2622, ""ja"", ""en"")"),"vs_ptc_bill_xx_xx_f_x_x_x")</f>
        <v>vs_ptc_bill_xx_xx_f_x_x_x</v>
      </c>
    </row>
    <row r="2623" spans="1:3" ht="12.75" x14ac:dyDescent="0.2">
      <c r="A2623" s="1" t="s">
        <v>4737</v>
      </c>
      <c r="B2623" s="1" t="s">
        <v>4738</v>
      </c>
      <c r="C2623" t="str">
        <f ca="1">IFERROR(__xludf.DUMMYFUNCTION("GOOGLETRANSLATE(B2623, ""ja"", ""en"")"),"vs_ptc_bill_xx_xx_x_a_x_x")</f>
        <v>vs_ptc_bill_xx_xx_x_a_x_x</v>
      </c>
    </row>
    <row r="2624" spans="1:3" ht="12.75" x14ac:dyDescent="0.2">
      <c r="A2624" s="1" t="s">
        <v>4739</v>
      </c>
      <c r="B2624" s="1" t="s">
        <v>4740</v>
      </c>
      <c r="C2624" t="str">
        <f ca="1">IFERROR(__xludf.DUMMYFUNCTION("GOOGLETRANSLATE(B2624, ""ja"", ""en"")"),"vs_ptc_bill_xx_xx_f_a_x_x")</f>
        <v>vs_ptc_bill_xx_xx_f_a_x_x</v>
      </c>
    </row>
    <row r="2625" spans="1:3" ht="12.75" x14ac:dyDescent="0.2">
      <c r="A2625" s="1" t="s">
        <v>4741</v>
      </c>
      <c r="B2625" s="1" t="s">
        <v>4742</v>
      </c>
      <c r="C2625" t="str">
        <f ca="1">IFERROR(__xludf.DUMMYFUNCTION("GOOGLETRANSLATE(B2625, ""ja"", ""en"")"),"vs_ptc_bill_xx_xx_x_x_k_x")</f>
        <v>vs_ptc_bill_xx_xx_x_x_k_x</v>
      </c>
    </row>
    <row r="2626" spans="1:3" ht="12.75" x14ac:dyDescent="0.2">
      <c r="A2626" s="1" t="s">
        <v>4743</v>
      </c>
      <c r="B2626" s="1" t="s">
        <v>4744</v>
      </c>
      <c r="C2626" t="str">
        <f ca="1">IFERROR(__xludf.DUMMYFUNCTION("GOOGLETRANSLATE(B2626, ""ja"", ""en"")"),"vs_ptc_bill_xx_xx_f_x_k_x")</f>
        <v>vs_ptc_bill_xx_xx_f_x_k_x</v>
      </c>
    </row>
    <row r="2627" spans="1:3" ht="12.75" x14ac:dyDescent="0.2">
      <c r="A2627" s="1" t="s">
        <v>4745</v>
      </c>
      <c r="B2627" s="1" t="s">
        <v>4746</v>
      </c>
      <c r="C2627" t="str">
        <f ca="1">IFERROR(__xludf.DUMMYFUNCTION("GOOGLETRANSLATE(B2627, ""ja"", ""en"")"),"vs_ptc_bill_xx_xx_x_a_k_x")</f>
        <v>vs_ptc_bill_xx_xx_x_a_k_x</v>
      </c>
    </row>
    <row r="2628" spans="1:3" ht="12.75" x14ac:dyDescent="0.2">
      <c r="A2628" s="1" t="s">
        <v>4747</v>
      </c>
      <c r="B2628" s="1" t="s">
        <v>4748</v>
      </c>
      <c r="C2628" t="str">
        <f ca="1">IFERROR(__xludf.DUMMYFUNCTION("GOOGLETRANSLATE(B2628, ""ja"", ""en"")"),"n")</f>
        <v>n</v>
      </c>
    </row>
    <row r="2629" spans="1:3" ht="12.75" x14ac:dyDescent="0.2">
      <c r="A2629" s="1" t="s">
        <v>4749</v>
      </c>
      <c r="B2629" s="1" t="s">
        <v>4750</v>
      </c>
      <c r="C2629" t="str">
        <f ca="1">IFERROR(__xludf.DUMMYFUNCTION("GOOGLETRANSLATE(B2629, ""ja"", ""en"")"),"vs_ptc_bill_xx_xx_x_x_x_n")</f>
        <v>vs_ptc_bill_xx_xx_x_x_x_n</v>
      </c>
    </row>
    <row r="2630" spans="1:3" ht="12.75" x14ac:dyDescent="0.2">
      <c r="A2630" s="1" t="s">
        <v>4751</v>
      </c>
      <c r="B2630" s="1" t="s">
        <v>4752</v>
      </c>
      <c r="C2630" t="str">
        <f ca="1">IFERROR(__xludf.DUMMYFUNCTION("GOOGLETRANSLATE(B2630, ""ja"", ""en"")"),"vs_ptc_bill_xx_xx_f_x_x_n")</f>
        <v>vs_ptc_bill_xx_xx_f_x_x_n</v>
      </c>
    </row>
    <row r="2631" spans="1:3" ht="12.75" x14ac:dyDescent="0.2">
      <c r="A2631" s="1" t="s">
        <v>4753</v>
      </c>
      <c r="B2631" s="1" t="s">
        <v>4754</v>
      </c>
      <c r="C2631" t="str">
        <f ca="1">IFERROR(__xludf.DUMMYFUNCTION("GOOGLETRANSLATE(B2631, ""ja"", ""en"")"),"vs_ptc_bill_xx_xx_x_a_x_n")</f>
        <v>vs_ptc_bill_xx_xx_x_a_x_n</v>
      </c>
    </row>
    <row r="2632" spans="1:3" ht="12.75" x14ac:dyDescent="0.2">
      <c r="A2632" s="1" t="s">
        <v>4755</v>
      </c>
      <c r="B2632" s="1" t="s">
        <v>4756</v>
      </c>
      <c r="C2632" t="str">
        <f ca="1">IFERROR(__xludf.DUMMYFUNCTION("GOOGLETRANSLATE(B2632, ""ja"", ""en"")"),"vs_ptc_bill_xx_xx_f_a_x_n")</f>
        <v>vs_ptc_bill_xx_xx_f_a_x_n</v>
      </c>
    </row>
    <row r="2633" spans="1:3" ht="12.75" x14ac:dyDescent="0.2">
      <c r="A2633" s="1" t="s">
        <v>4757</v>
      </c>
      <c r="B2633" s="1" t="s">
        <v>4758</v>
      </c>
      <c r="C2633" t="str">
        <f ca="1">IFERROR(__xludf.DUMMYFUNCTION("GOOGLETRANSLATE(B2633, ""ja"", ""en"")"),"vs_ptc_bill_xx_xx_x_x_k_n")</f>
        <v>vs_ptc_bill_xx_xx_x_x_k_n</v>
      </c>
    </row>
    <row r="2634" spans="1:3" ht="12.75" x14ac:dyDescent="0.2">
      <c r="A2634" s="1" t="s">
        <v>4759</v>
      </c>
      <c r="B2634" s="1" t="s">
        <v>4760</v>
      </c>
      <c r="C2634" t="str">
        <f ca="1">IFERROR(__xludf.DUMMYFUNCTION("GOOGLETRANSLATE(B2634, ""ja"", ""en"")"),"vs_ptc_bill_xx_xx_f_x_k_n")</f>
        <v>vs_ptc_bill_xx_xx_f_x_k_n</v>
      </c>
    </row>
    <row r="2635" spans="1:3" ht="12.75" x14ac:dyDescent="0.2">
      <c r="A2635" s="1" t="s">
        <v>4761</v>
      </c>
      <c r="B2635" s="1" t="s">
        <v>4762</v>
      </c>
      <c r="C2635" t="str">
        <f ca="1">IFERROR(__xludf.DUMMYFUNCTION("GOOGLETRANSLATE(B2635, ""ja"", ""en"")"),"vs_ptc_bill_xx_ln_x_x_x_x")</f>
        <v>vs_ptc_bill_xx_ln_x_x_x_x</v>
      </c>
    </row>
    <row r="2636" spans="1:3" ht="12.75" x14ac:dyDescent="0.2">
      <c r="A2636" s="1" t="s">
        <v>4763</v>
      </c>
      <c r="B2636" s="1" t="s">
        <v>4764</v>
      </c>
      <c r="C2636" t="str">
        <f ca="1">IFERROR(__xludf.DUMMYFUNCTION("GOOGLETRANSLATE(B2636, ""ja"", ""en"")"),"vs_ptc_bill_xx_ln_f_x_x_x")</f>
        <v>vs_ptc_bill_xx_ln_f_x_x_x</v>
      </c>
    </row>
    <row r="2637" spans="1:3" ht="12.75" x14ac:dyDescent="0.2">
      <c r="A2637" s="1" t="s">
        <v>4765</v>
      </c>
      <c r="B2637" s="1" t="s">
        <v>4766</v>
      </c>
      <c r="C2637" t="str">
        <f ca="1">IFERROR(__xludf.DUMMYFUNCTION("GOOGLETRANSLATE(B2637, ""ja"", ""en"")"),"vs_ptc_bill_xx_ln_x_x_k_x")</f>
        <v>vs_ptc_bill_xx_ln_x_x_k_x</v>
      </c>
    </row>
    <row r="2638" spans="1:3" ht="12.75" x14ac:dyDescent="0.2">
      <c r="A2638" s="1" t="s">
        <v>4767</v>
      </c>
      <c r="B2638" s="1" t="s">
        <v>4768</v>
      </c>
      <c r="C2638" t="str">
        <f ca="1">IFERROR(__xludf.DUMMYFUNCTION("GOOGLETRANSLATE(B2638, ""ja"", ""en"")"),"vs_ptc_bill_xx_ln_f_x_k_x")</f>
        <v>vs_ptc_bill_xx_ln_f_x_k_x</v>
      </c>
    </row>
    <row r="2639" spans="1:3" ht="12.75" x14ac:dyDescent="0.2">
      <c r="A2639" s="1" t="s">
        <v>4769</v>
      </c>
      <c r="B2639" s="1" t="s">
        <v>4770</v>
      </c>
      <c r="C2639" t="str">
        <f ca="1">IFERROR(__xludf.DUMMYFUNCTION("GOOGLETRANSLATE(B2639, ""ja"", ""en"")"),"vs_ptc_bill_xx_ln_x_x_x_n")</f>
        <v>vs_ptc_bill_xx_ln_x_x_x_n</v>
      </c>
    </row>
    <row r="2640" spans="1:3" ht="12.75" x14ac:dyDescent="0.2">
      <c r="A2640" s="1" t="s">
        <v>4771</v>
      </c>
      <c r="B2640" s="1" t="s">
        <v>4772</v>
      </c>
      <c r="C2640" t="str">
        <f ca="1">IFERROR(__xludf.DUMMYFUNCTION("GOOGLETRANSLATE(B2640, ""ja"", ""en"")"),"vs_ptc_bill_xx_ln_f_x_x_n")</f>
        <v>vs_ptc_bill_xx_ln_f_x_x_n</v>
      </c>
    </row>
    <row r="2641" spans="1:3" ht="12.75" x14ac:dyDescent="0.2">
      <c r="A2641" s="1" t="s">
        <v>4773</v>
      </c>
      <c r="B2641" s="1" t="s">
        <v>4774</v>
      </c>
      <c r="C2641" t="str">
        <f ca="1">IFERROR(__xludf.DUMMYFUNCTION("GOOGLETRANSLATE(B2641, ""ja"", ""en"")"),"vs_ptc_bill_xx_ln_x_x_k_n")</f>
        <v>vs_ptc_bill_xx_ln_x_x_k_n</v>
      </c>
    </row>
    <row r="2642" spans="1:3" ht="12.75" x14ac:dyDescent="0.2">
      <c r="A2642" s="1" t="s">
        <v>4775</v>
      </c>
      <c r="B2642" s="1" t="s">
        <v>4776</v>
      </c>
      <c r="C2642" t="str">
        <f ca="1">IFERROR(__xludf.DUMMYFUNCTION("GOOGLETRANSLATE(B2642, ""ja"", ""en"")"),"vs_ptc_bill_xx_ln_f_x_k_n")</f>
        <v>vs_ptc_bill_xx_ln_f_x_k_n</v>
      </c>
    </row>
    <row r="2643" spans="1:3" ht="12.75" x14ac:dyDescent="0.2">
      <c r="A2643" s="1" t="s">
        <v>4777</v>
      </c>
      <c r="B2643" s="1" t="s">
        <v>4778</v>
      </c>
      <c r="C2643" t="str">
        <f ca="1">IFERROR(__xludf.DUMMYFUNCTION("GOOGLETRANSLATE(B2643, ""ja"", ""en"")"),"vs_ptc_bill_xx_lc_x_x_x_x")</f>
        <v>vs_ptc_bill_xx_lc_x_x_x_x</v>
      </c>
    </row>
    <row r="2644" spans="1:3" ht="12.75" x14ac:dyDescent="0.2">
      <c r="A2644" s="1" t="s">
        <v>4779</v>
      </c>
      <c r="B2644" s="1" t="s">
        <v>4780</v>
      </c>
      <c r="C2644" t="str">
        <f ca="1">IFERROR(__xludf.DUMMYFUNCTION("GOOGLETRANSLATE(B2644, ""ja"", ""en"")"),"vs_ptc_bill_xx_lc_f_x_x_x")</f>
        <v>vs_ptc_bill_xx_lc_f_x_x_x</v>
      </c>
    </row>
    <row r="2645" spans="1:3" ht="12.75" x14ac:dyDescent="0.2">
      <c r="A2645" s="1" t="s">
        <v>4781</v>
      </c>
      <c r="B2645" s="1" t="s">
        <v>4782</v>
      </c>
      <c r="C2645" t="str">
        <f ca="1">IFERROR(__xludf.DUMMYFUNCTION("GOOGLETRANSLATE(B2645, ""ja"", ""en"")"),"vs_ptc_bill_xx_lc_x_x_k_x")</f>
        <v>vs_ptc_bill_xx_lc_x_x_k_x</v>
      </c>
    </row>
    <row r="2646" spans="1:3" ht="12.75" x14ac:dyDescent="0.2">
      <c r="A2646" s="1" t="s">
        <v>4783</v>
      </c>
      <c r="B2646" s="1" t="s">
        <v>4784</v>
      </c>
      <c r="C2646" t="str">
        <f ca="1">IFERROR(__xludf.DUMMYFUNCTION("GOOGLETRANSLATE(B2646, ""ja"", ""en"")"),"vs_ptc_bill_xx_lc_f_x_k_x")</f>
        <v>vs_ptc_bill_xx_lc_f_x_k_x</v>
      </c>
    </row>
    <row r="2647" spans="1:3" ht="12.75" x14ac:dyDescent="0.2">
      <c r="A2647" s="1" t="s">
        <v>4785</v>
      </c>
      <c r="B2647" s="1" t="s">
        <v>4786</v>
      </c>
      <c r="C2647" t="str">
        <f ca="1">IFERROR(__xludf.DUMMYFUNCTION("GOOGLETRANSLATE(B2647, ""ja"", ""en"")"),"vs_ptc_bill_xx_lc_x_x_x_n")</f>
        <v>vs_ptc_bill_xx_lc_x_x_x_n</v>
      </c>
    </row>
    <row r="2648" spans="1:3" ht="12.75" x14ac:dyDescent="0.2">
      <c r="A2648" s="1" t="s">
        <v>4787</v>
      </c>
      <c r="B2648" s="1" t="s">
        <v>4788</v>
      </c>
      <c r="C2648" t="str">
        <f ca="1">IFERROR(__xludf.DUMMYFUNCTION("GOOGLETRANSLATE(B2648, ""ja"", ""en"")"),"vs_ptc_bill_xx_lc_f_x_x_n")</f>
        <v>vs_ptc_bill_xx_lc_f_x_x_n</v>
      </c>
    </row>
    <row r="2649" spans="1:3" ht="12.75" x14ac:dyDescent="0.2">
      <c r="A2649" s="1" t="s">
        <v>4789</v>
      </c>
      <c r="B2649" s="1" t="s">
        <v>4790</v>
      </c>
      <c r="C2649" t="str">
        <f ca="1">IFERROR(__xludf.DUMMYFUNCTION("GOOGLETRANSLATE(B2649, ""ja"", ""en"")"),"vs_ptc_bill_xx_lc_x_x_k_n")</f>
        <v>vs_ptc_bill_xx_lc_x_x_k_n</v>
      </c>
    </row>
    <row r="2650" spans="1:3" ht="12.75" x14ac:dyDescent="0.2">
      <c r="A2650" s="1" t="s">
        <v>4791</v>
      </c>
      <c r="B2650" s="1" t="s">
        <v>4792</v>
      </c>
      <c r="C2650" t="str">
        <f ca="1">IFERROR(__xludf.DUMMYFUNCTION("GOOGLETRANSLATE(B2650, ""ja"", ""en"")"),"vs_ptc_bill_xx_lc_f_x_k_n")</f>
        <v>vs_ptc_bill_xx_lc_f_x_k_n</v>
      </c>
    </row>
    <row r="2651" spans="1:3" ht="12.75" x14ac:dyDescent="0.2">
      <c r="A2651" s="1" t="s">
        <v>4793</v>
      </c>
      <c r="B2651" s="1" t="s">
        <v>4794</v>
      </c>
      <c r="C2651" t="str">
        <f ca="1">IFERROR(__xludf.DUMMYFUNCTION("GOOGLETRANSLATE(B2651, ""ja"", ""en"")"),"vs_ptc_bill_xx_lv_x_x_x_x")</f>
        <v>vs_ptc_bill_xx_lv_x_x_x_x</v>
      </c>
    </row>
    <row r="2652" spans="1:3" ht="12.75" x14ac:dyDescent="0.2">
      <c r="A2652" s="1" t="s">
        <v>4795</v>
      </c>
      <c r="B2652" s="1" t="s">
        <v>4796</v>
      </c>
      <c r="C2652" t="str">
        <f ca="1">IFERROR(__xludf.DUMMYFUNCTION("GOOGLETRANSLATE(B2652, ""ja"", ""en"")"),"vs_ptc_bill_xx_lv_x_x_k_x")</f>
        <v>vs_ptc_bill_xx_lv_x_x_k_x</v>
      </c>
    </row>
    <row r="2653" spans="1:3" ht="12.75" x14ac:dyDescent="0.2">
      <c r="A2653" s="1" t="s">
        <v>4797</v>
      </c>
      <c r="B2653" s="1" t="s">
        <v>4798</v>
      </c>
      <c r="C2653" t="str">
        <f ca="1">IFERROR(__xludf.DUMMYFUNCTION("GOOGLETRANSLATE(B2653, ""ja"", ""en"")"),"vs_ptc_bill_xx_lv_x_x_x_n")</f>
        <v>vs_ptc_bill_xx_lv_x_x_x_n</v>
      </c>
    </row>
    <row r="2654" spans="1:3" ht="12.75" x14ac:dyDescent="0.2">
      <c r="A2654" s="1" t="s">
        <v>4799</v>
      </c>
      <c r="B2654" s="1" t="s">
        <v>4800</v>
      </c>
      <c r="C2654" t="str">
        <f ca="1">IFERROR(__xludf.DUMMYFUNCTION("GOOGLETRANSLATE(B2654, ""ja"", ""en"")"),"vs_ptc_bill_xx_lv_f_x_x_n")</f>
        <v>vs_ptc_bill_xx_lv_f_x_x_n</v>
      </c>
    </row>
    <row r="2655" spans="1:3" ht="12.75" x14ac:dyDescent="0.2">
      <c r="A2655" s="1" t="s">
        <v>4801</v>
      </c>
      <c r="B2655" s="1" t="s">
        <v>4802</v>
      </c>
      <c r="C2655" t="str">
        <f ca="1">IFERROR(__xludf.DUMMYFUNCTION("GOOGLETRANSLATE(B2655, ""ja"", ""en"")"),"vs_ptc_bill_xx_lv_x_x_k_n")</f>
        <v>vs_ptc_bill_xx_lv_x_x_k_n</v>
      </c>
    </row>
    <row r="2656" spans="1:3" ht="12.75" x14ac:dyDescent="0.2">
      <c r="A2656" s="1" t="s">
        <v>4803</v>
      </c>
      <c r="B2656" s="1" t="s">
        <v>4804</v>
      </c>
      <c r="C2656" t="str">
        <f ca="1">IFERROR(__xludf.DUMMYFUNCTION("GOOGLETRANSLATE(B2656, ""ja"", ""en"")"),"vs_ptc_bill_xx_lv_f_x_k_n")</f>
        <v>vs_ptc_bill_xx_lv_f_x_k_n</v>
      </c>
    </row>
    <row r="2657" spans="1:3" ht="12.75" x14ac:dyDescent="0.2">
      <c r="A2657" s="1" t="s">
        <v>4805</v>
      </c>
      <c r="B2657" s="1" t="s">
        <v>4806</v>
      </c>
      <c r="C2657" t="str">
        <f ca="1">IFERROR(__xludf.DUMMYFUNCTION("GOOGLETRANSLATE(B2657, ""ja"", ""en"")"),"vs_ptc_bill_mn_xx_x_x_x_x")</f>
        <v>vs_ptc_bill_mn_xx_x_x_x_x</v>
      </c>
    </row>
    <row r="2658" spans="1:3" ht="12.75" x14ac:dyDescent="0.2">
      <c r="A2658" s="1" t="s">
        <v>4807</v>
      </c>
      <c r="B2658" s="1" t="s">
        <v>4808</v>
      </c>
      <c r="C2658" t="str">
        <f ca="1">IFERROR(__xludf.DUMMYFUNCTION("GOOGLETRANSLATE(B2658, ""ja"", ""en"")"),"vs_ptc_bill_mn_xx_f_x_x_x")</f>
        <v>vs_ptc_bill_mn_xx_f_x_x_x</v>
      </c>
    </row>
    <row r="2659" spans="1:3" ht="12.75" x14ac:dyDescent="0.2">
      <c r="A2659" s="1" t="s">
        <v>4809</v>
      </c>
      <c r="B2659" s="1" t="s">
        <v>4810</v>
      </c>
      <c r="C2659" t="str">
        <f ca="1">IFERROR(__xludf.DUMMYFUNCTION("GOOGLETRANSLATE(B2659, ""ja"", ""en"")"),"vs_ptc_bill_mn_xx_x_a_x_x")</f>
        <v>vs_ptc_bill_mn_xx_x_a_x_x</v>
      </c>
    </row>
    <row r="2660" spans="1:3" ht="12.75" x14ac:dyDescent="0.2">
      <c r="A2660" s="1" t="s">
        <v>4811</v>
      </c>
      <c r="B2660" s="1" t="s">
        <v>4812</v>
      </c>
      <c r="C2660" t="str">
        <f ca="1">IFERROR(__xludf.DUMMYFUNCTION("GOOGLETRANSLATE(B2660, ""ja"", ""en"")"),"vs_ptc_bill_mn_xx_f_a_x_x")</f>
        <v>vs_ptc_bill_mn_xx_f_a_x_x</v>
      </c>
    </row>
    <row r="2661" spans="1:3" ht="12.75" x14ac:dyDescent="0.2">
      <c r="A2661" s="1" t="s">
        <v>4813</v>
      </c>
      <c r="B2661" s="1" t="s">
        <v>4814</v>
      </c>
      <c r="C2661" t="str">
        <f ca="1">IFERROR(__xludf.DUMMYFUNCTION("GOOGLETRANSLATE(B2661, ""ja"", ""en"")"),"vs_ptc_bill_mn_xx_x_x_k_x")</f>
        <v>vs_ptc_bill_mn_xx_x_x_k_x</v>
      </c>
    </row>
    <row r="2662" spans="1:3" ht="12.75" x14ac:dyDescent="0.2">
      <c r="A2662" s="1" t="s">
        <v>4815</v>
      </c>
      <c r="B2662" s="1" t="s">
        <v>4816</v>
      </c>
      <c r="C2662" t="str">
        <f ca="1">IFERROR(__xludf.DUMMYFUNCTION("GOOGLETRANSLATE(B2662, ""ja"", ""en"")"),"vs_ptc_bill_mn_xx_f_x_k_x")</f>
        <v>vs_ptc_bill_mn_xx_f_x_k_x</v>
      </c>
    </row>
    <row r="2663" spans="1:3" ht="12.75" x14ac:dyDescent="0.2">
      <c r="A2663" s="1" t="s">
        <v>4817</v>
      </c>
      <c r="B2663" s="1" t="s">
        <v>4818</v>
      </c>
      <c r="C2663" t="str">
        <f ca="1">IFERROR(__xludf.DUMMYFUNCTION("GOOGLETRANSLATE(B2663, ""ja"", ""en"")"),"vs_ptc_bill_mn_xx_x_a_k_x")</f>
        <v>vs_ptc_bill_mn_xx_x_a_k_x</v>
      </c>
    </row>
    <row r="2664" spans="1:3" ht="12.75" x14ac:dyDescent="0.2">
      <c r="A2664" s="1" t="s">
        <v>4819</v>
      </c>
      <c r="B2664" s="1" t="s">
        <v>4820</v>
      </c>
      <c r="C2664" t="str">
        <f ca="1">IFERROR(__xludf.DUMMYFUNCTION("GOOGLETRANSLATE(B2664, ""ja"", ""en"")"),"vs_ptc_bill_mn_xx_f_a_k_x")</f>
        <v>vs_ptc_bill_mn_xx_f_a_k_x</v>
      </c>
    </row>
    <row r="2665" spans="1:3" ht="12.75" x14ac:dyDescent="0.2">
      <c r="A2665" s="1" t="s">
        <v>4821</v>
      </c>
      <c r="B2665" s="1" t="s">
        <v>4822</v>
      </c>
      <c r="C2665" t="str">
        <f ca="1">IFERROR(__xludf.DUMMYFUNCTION("GOOGLETRANSLATE(B2665, ""ja"", ""en"")"),"vs_ptc_bill_mn_xx_x_x_x_n")</f>
        <v>vs_ptc_bill_mn_xx_x_x_x_n</v>
      </c>
    </row>
    <row r="2666" spans="1:3" ht="12.75" x14ac:dyDescent="0.2">
      <c r="A2666" s="1" t="s">
        <v>4823</v>
      </c>
      <c r="B2666" s="1" t="s">
        <v>4824</v>
      </c>
      <c r="C2666" t="str">
        <f ca="1">IFERROR(__xludf.DUMMYFUNCTION("GOOGLETRANSLATE(B2666, ""ja"", ""en"")"),"vs_ptc_bill_mn_xx_f_x_x_n")</f>
        <v>vs_ptc_bill_mn_xx_f_x_x_n</v>
      </c>
    </row>
    <row r="2667" spans="1:3" ht="12.75" x14ac:dyDescent="0.2">
      <c r="A2667" s="1" t="s">
        <v>4825</v>
      </c>
      <c r="B2667" s="1" t="s">
        <v>4826</v>
      </c>
      <c r="C2667" t="str">
        <f ca="1">IFERROR(__xludf.DUMMYFUNCTION("GOOGLETRANSLATE(B2667, ""ja"", ""en"")"),"vs_ptc_bill_mn_xx_x_a_x_n")</f>
        <v>vs_ptc_bill_mn_xx_x_a_x_n</v>
      </c>
    </row>
    <row r="2668" spans="1:3" ht="12.75" x14ac:dyDescent="0.2">
      <c r="A2668" s="1" t="s">
        <v>4827</v>
      </c>
      <c r="B2668" s="1" t="s">
        <v>4828</v>
      </c>
      <c r="C2668" t="str">
        <f ca="1">IFERROR(__xludf.DUMMYFUNCTION("GOOGLETRANSLATE(B2668, ""ja"", ""en"")"),"vs_ptc_bill_mn_xx_f_a_x_n")</f>
        <v>vs_ptc_bill_mn_xx_f_a_x_n</v>
      </c>
    </row>
    <row r="2669" spans="1:3" ht="12.75" x14ac:dyDescent="0.2">
      <c r="A2669" s="1" t="s">
        <v>4829</v>
      </c>
      <c r="B2669" s="1" t="s">
        <v>4830</v>
      </c>
      <c r="C2669" t="str">
        <f ca="1">IFERROR(__xludf.DUMMYFUNCTION("GOOGLETRANSLATE(B2669, ""ja"", ""en"")"),"vs_ptc_bill_mn_xx_x_x_k_n")</f>
        <v>vs_ptc_bill_mn_xx_x_x_k_n</v>
      </c>
    </row>
    <row r="2670" spans="1:3" ht="12.75" x14ac:dyDescent="0.2">
      <c r="A2670" s="1" t="s">
        <v>4831</v>
      </c>
      <c r="B2670" s="1" t="s">
        <v>4832</v>
      </c>
      <c r="C2670" t="str">
        <f ca="1">IFERROR(__xludf.DUMMYFUNCTION("GOOGLETRANSLATE(B2670, ""ja"", ""en"")"),"vs_ptc_bill_mn_xx_f_x_k_n")</f>
        <v>vs_ptc_bill_mn_xx_f_x_k_n</v>
      </c>
    </row>
    <row r="2671" spans="1:3" ht="12.75" x14ac:dyDescent="0.2">
      <c r="A2671" s="1" t="s">
        <v>4833</v>
      </c>
      <c r="B2671" s="1" t="s">
        <v>4834</v>
      </c>
      <c r="C2671" t="str">
        <f ca="1">IFERROR(__xludf.DUMMYFUNCTION("GOOGLETRANSLATE(B2671, ""ja"", ""en"")"),"vs_ptc_bill_mn_xx_x_a_k_n")</f>
        <v>vs_ptc_bill_mn_xx_x_a_k_n</v>
      </c>
    </row>
    <row r="2672" spans="1:3" ht="12.75" x14ac:dyDescent="0.2">
      <c r="A2672" s="1" t="s">
        <v>4835</v>
      </c>
      <c r="B2672" s="1" t="s">
        <v>4836</v>
      </c>
      <c r="C2672" t="str">
        <f ca="1">IFERROR(__xludf.DUMMYFUNCTION("GOOGLETRANSLATE(B2672, ""ja"", ""en"")"),"vs_ptc_bill_mn_xx_f_a_k_n")</f>
        <v>vs_ptc_bill_mn_xx_f_a_k_n</v>
      </c>
    </row>
    <row r="2673" spans="1:3" ht="12.75" x14ac:dyDescent="0.2">
      <c r="A2673" s="1" t="s">
        <v>4837</v>
      </c>
      <c r="B2673" s="1" t="s">
        <v>4838</v>
      </c>
      <c r="C2673" t="str">
        <f ca="1">IFERROR(__xludf.DUMMYFUNCTION("GOOGLETRANSLATE(B2673, ""ja"", ""en"")"),"vs_ptc_bill_mn_ln_x_x_x_x")</f>
        <v>vs_ptc_bill_mn_ln_x_x_x_x</v>
      </c>
    </row>
    <row r="2674" spans="1:3" ht="12.75" x14ac:dyDescent="0.2">
      <c r="A2674" s="1" t="s">
        <v>4839</v>
      </c>
      <c r="B2674" s="1" t="s">
        <v>4840</v>
      </c>
      <c r="C2674" t="str">
        <f ca="1">IFERROR(__xludf.DUMMYFUNCTION("GOOGLETRANSLATE(B2674, ""ja"", ""en"")"),"vs_ptc_bill_mn_ln_f_x_x_x")</f>
        <v>vs_ptc_bill_mn_ln_f_x_x_x</v>
      </c>
    </row>
    <row r="2675" spans="1:3" ht="12.75" x14ac:dyDescent="0.2">
      <c r="A2675" s="1" t="s">
        <v>4841</v>
      </c>
      <c r="B2675" s="1" t="s">
        <v>4842</v>
      </c>
      <c r="C2675" t="str">
        <f ca="1">IFERROR(__xludf.DUMMYFUNCTION("GOOGLETRANSLATE(B2675, ""ja"", ""en"")"),"vs_ptc_bill_mn_ln_x_x_k_x")</f>
        <v>vs_ptc_bill_mn_ln_x_x_k_x</v>
      </c>
    </row>
    <row r="2676" spans="1:3" ht="12.75" x14ac:dyDescent="0.2">
      <c r="A2676" s="1" t="s">
        <v>4843</v>
      </c>
      <c r="B2676" s="1" t="s">
        <v>4844</v>
      </c>
      <c r="C2676" t="str">
        <f ca="1">IFERROR(__xludf.DUMMYFUNCTION("GOOGLETRANSLATE(B2676, ""ja"", ""en"")"),"vs_ptc_bill_mn_ln_f_x_k_x")</f>
        <v>vs_ptc_bill_mn_ln_f_x_k_x</v>
      </c>
    </row>
    <row r="2677" spans="1:3" ht="12.75" x14ac:dyDescent="0.2">
      <c r="A2677" s="1" t="s">
        <v>4845</v>
      </c>
      <c r="B2677" s="1" t="s">
        <v>4846</v>
      </c>
      <c r="C2677" t="str">
        <f ca="1">IFERROR(__xludf.DUMMYFUNCTION("GOOGLETRANSLATE(B2677, ""ja"", ""en"")"),"vs_ptc_bill_mn_ln_x_x_x_n")</f>
        <v>vs_ptc_bill_mn_ln_x_x_x_n</v>
      </c>
    </row>
    <row r="2678" spans="1:3" ht="12.75" x14ac:dyDescent="0.2">
      <c r="A2678" s="1" t="s">
        <v>4847</v>
      </c>
      <c r="B2678" s="1" t="s">
        <v>4848</v>
      </c>
      <c r="C2678" t="str">
        <f ca="1">IFERROR(__xludf.DUMMYFUNCTION("GOOGLETRANSLATE(B2678, ""ja"", ""en"")"),"vs_ptc_bill_mn_ln_f_x_x_n")</f>
        <v>vs_ptc_bill_mn_ln_f_x_x_n</v>
      </c>
    </row>
    <row r="2679" spans="1:3" ht="12.75" x14ac:dyDescent="0.2">
      <c r="A2679" s="1" t="s">
        <v>4849</v>
      </c>
      <c r="B2679" s="1" t="s">
        <v>4850</v>
      </c>
      <c r="C2679" t="str">
        <f ca="1">IFERROR(__xludf.DUMMYFUNCTION("GOOGLETRANSLATE(B2679, ""ja"", ""en"")"),"vs_ptc_bill_mn_ln_x_a_x_n")</f>
        <v>vs_ptc_bill_mn_ln_x_a_x_n</v>
      </c>
    </row>
    <row r="2680" spans="1:3" ht="12.75" x14ac:dyDescent="0.2">
      <c r="A2680" s="1" t="s">
        <v>4851</v>
      </c>
      <c r="B2680" s="1" t="s">
        <v>4852</v>
      </c>
      <c r="C2680" t="str">
        <f ca="1">IFERROR(__xludf.DUMMYFUNCTION("GOOGLETRANSLATE(B2680, ""ja"", ""en"")"),"vs_ptc_bill_mn_ln_x_x_k_n")</f>
        <v>vs_ptc_bill_mn_ln_x_x_k_n</v>
      </c>
    </row>
    <row r="2681" spans="1:3" ht="12.75" x14ac:dyDescent="0.2">
      <c r="A2681" s="1" t="s">
        <v>4853</v>
      </c>
      <c r="B2681" s="1" t="s">
        <v>4854</v>
      </c>
      <c r="C2681" t="str">
        <f ca="1">IFERROR(__xludf.DUMMYFUNCTION("GOOGLETRANSLATE(B2681, ""ja"", ""en"")"),"vs_ptc_bill_mn_ln_f_x_k_n")</f>
        <v>vs_ptc_bill_mn_ln_f_x_k_n</v>
      </c>
    </row>
    <row r="2682" spans="1:3" ht="12.75" x14ac:dyDescent="0.2">
      <c r="A2682" s="1" t="s">
        <v>4855</v>
      </c>
      <c r="B2682" s="1" t="s">
        <v>4856</v>
      </c>
      <c r="C2682" t="str">
        <f ca="1">IFERROR(__xludf.DUMMYFUNCTION("GOOGLETRANSLATE(B2682, ""ja"", ""en"")"),"vs_ptc_bill_mn_lc_x_x_x_x")</f>
        <v>vs_ptc_bill_mn_lc_x_x_x_x</v>
      </c>
    </row>
    <row r="2683" spans="1:3" ht="12.75" x14ac:dyDescent="0.2">
      <c r="A2683" s="1" t="s">
        <v>4857</v>
      </c>
      <c r="B2683" s="1" t="s">
        <v>4858</v>
      </c>
      <c r="C2683" t="str">
        <f ca="1">IFERROR(__xludf.DUMMYFUNCTION("GOOGLETRANSLATE(B2683, ""ja"", ""en"")"),"vs_ptc_bill_mn_lc_f_x_x_x")</f>
        <v>vs_ptc_bill_mn_lc_f_x_x_x</v>
      </c>
    </row>
    <row r="2684" spans="1:3" ht="12.75" x14ac:dyDescent="0.2">
      <c r="A2684" s="1" t="s">
        <v>4859</v>
      </c>
      <c r="B2684" s="1" t="s">
        <v>4860</v>
      </c>
      <c r="C2684" t="str">
        <f ca="1">IFERROR(__xludf.DUMMYFUNCTION("GOOGLETRANSLATE(B2684, ""ja"", ""en"")"),"vs_ptc_bill_mn_lc_x_x_k_x")</f>
        <v>vs_ptc_bill_mn_lc_x_x_k_x</v>
      </c>
    </row>
    <row r="2685" spans="1:3" ht="12.75" x14ac:dyDescent="0.2">
      <c r="A2685" s="1" t="s">
        <v>4861</v>
      </c>
      <c r="B2685" s="1" t="s">
        <v>4862</v>
      </c>
      <c r="C2685" t="str">
        <f ca="1">IFERROR(__xludf.DUMMYFUNCTION("GOOGLETRANSLATE(B2685, ""ja"", ""en"")"),"vs_ptc_bill_mn_lc_f_x_k_x")</f>
        <v>vs_ptc_bill_mn_lc_f_x_k_x</v>
      </c>
    </row>
    <row r="2686" spans="1:3" ht="12.75" x14ac:dyDescent="0.2">
      <c r="A2686" s="1" t="s">
        <v>4863</v>
      </c>
      <c r="B2686" s="1" t="s">
        <v>4864</v>
      </c>
      <c r="C2686" t="str">
        <f ca="1">IFERROR(__xludf.DUMMYFUNCTION("GOOGLETRANSLATE(B2686, ""ja"", ""en"")"),"vs_ptc_bill_mn_lc_x_x_x_n")</f>
        <v>vs_ptc_bill_mn_lc_x_x_x_n</v>
      </c>
    </row>
    <row r="2687" spans="1:3" ht="12.75" x14ac:dyDescent="0.2">
      <c r="A2687" s="1" t="s">
        <v>4865</v>
      </c>
      <c r="B2687" s="1" t="s">
        <v>4866</v>
      </c>
      <c r="C2687" t="str">
        <f ca="1">IFERROR(__xludf.DUMMYFUNCTION("GOOGLETRANSLATE(B2687, ""ja"", ""en"")"),"vs_ptc_bill_mn_lc_x_a_x_n")</f>
        <v>vs_ptc_bill_mn_lc_x_a_x_n</v>
      </c>
    </row>
    <row r="2688" spans="1:3" ht="12.75" x14ac:dyDescent="0.2">
      <c r="A2688" s="1" t="s">
        <v>4867</v>
      </c>
      <c r="B2688" s="1" t="s">
        <v>4868</v>
      </c>
      <c r="C2688" t="str">
        <f ca="1">IFERROR(__xludf.DUMMYFUNCTION("GOOGLETRANSLATE(B2688, ""ja"", ""en"")"),"vs_ptc_bill_mn_lc_x_x_k_n")</f>
        <v>vs_ptc_bill_mn_lc_x_x_k_n</v>
      </c>
    </row>
    <row r="2689" spans="1:3" ht="12.75" x14ac:dyDescent="0.2">
      <c r="A2689" s="1" t="s">
        <v>4869</v>
      </c>
      <c r="B2689" s="1" t="s">
        <v>4870</v>
      </c>
      <c r="C2689" t="str">
        <f ca="1">IFERROR(__xludf.DUMMYFUNCTION("GOOGLETRANSLATE(B2689, ""ja"", ""en"")"),"vs_ptc_bill_mn_lc_f_x_k_n")</f>
        <v>vs_ptc_bill_mn_lc_f_x_k_n</v>
      </c>
    </row>
    <row r="2690" spans="1:3" ht="12.75" x14ac:dyDescent="0.2">
      <c r="A2690" s="1" t="s">
        <v>4871</v>
      </c>
      <c r="B2690" s="1" t="s">
        <v>4872</v>
      </c>
      <c r="C2690" t="str">
        <f ca="1">IFERROR(__xludf.DUMMYFUNCTION("GOOGLETRANSLATE(B2690, ""ja"", ""en"")"),"vs_ptc_bill_mn_lv_x_x_x_x")</f>
        <v>vs_ptc_bill_mn_lv_x_x_x_x</v>
      </c>
    </row>
    <row r="2691" spans="1:3" ht="12.75" x14ac:dyDescent="0.2">
      <c r="A2691" s="1" t="s">
        <v>4873</v>
      </c>
      <c r="B2691" s="1" t="s">
        <v>4874</v>
      </c>
      <c r="C2691" t="str">
        <f ca="1">IFERROR(__xludf.DUMMYFUNCTION("GOOGLETRANSLATE(B2691, ""ja"", ""en"")"),"vs_ptc_bill_mn_lv_f_x_x_x")</f>
        <v>vs_ptc_bill_mn_lv_f_x_x_x</v>
      </c>
    </row>
    <row r="2692" spans="1:3" ht="12.75" x14ac:dyDescent="0.2">
      <c r="A2692" s="1" t="s">
        <v>4875</v>
      </c>
      <c r="B2692" s="1" t="s">
        <v>4876</v>
      </c>
      <c r="C2692" t="str">
        <f ca="1">IFERROR(__xludf.DUMMYFUNCTION("GOOGLETRANSLATE(B2692, ""ja"", ""en"")"),"vs_ptc_bill_mn_lv_x_x_k_x")</f>
        <v>vs_ptc_bill_mn_lv_x_x_k_x</v>
      </c>
    </row>
    <row r="2693" spans="1:3" ht="12.75" x14ac:dyDescent="0.2">
      <c r="A2693" s="1" t="s">
        <v>4877</v>
      </c>
      <c r="B2693" s="1" t="s">
        <v>4878</v>
      </c>
      <c r="C2693" t="str">
        <f ca="1">IFERROR(__xludf.DUMMYFUNCTION("GOOGLETRANSLATE(B2693, ""ja"", ""en"")"),"vs_ptc_bill_mn_lv_f_x_k_x")</f>
        <v>vs_ptc_bill_mn_lv_f_x_k_x</v>
      </c>
    </row>
    <row r="2694" spans="1:3" ht="12.75" x14ac:dyDescent="0.2">
      <c r="A2694" s="1" t="s">
        <v>4879</v>
      </c>
      <c r="B2694" s="1" t="s">
        <v>4880</v>
      </c>
      <c r="C2694" t="str">
        <f ca="1">IFERROR(__xludf.DUMMYFUNCTION("GOOGLETRANSLATE(B2694, ""ja"", ""en"")"),"vs_ptc_bill_mn_lv_x_x_x_n")</f>
        <v>vs_ptc_bill_mn_lv_x_x_x_n</v>
      </c>
    </row>
    <row r="2695" spans="1:3" ht="12.75" x14ac:dyDescent="0.2">
      <c r="A2695" s="1" t="s">
        <v>4881</v>
      </c>
      <c r="B2695" s="1" t="s">
        <v>4882</v>
      </c>
      <c r="C2695" t="str">
        <f ca="1">IFERROR(__xludf.DUMMYFUNCTION("GOOGLETRANSLATE(B2695, ""ja"", ""en"")"),"vs_ptc_bill_mn_lv_f_x_x_n")</f>
        <v>vs_ptc_bill_mn_lv_f_x_x_n</v>
      </c>
    </row>
    <row r="2696" spans="1:3" ht="12.75" x14ac:dyDescent="0.2">
      <c r="A2696" s="1" t="s">
        <v>4883</v>
      </c>
      <c r="B2696" s="1" t="s">
        <v>4884</v>
      </c>
      <c r="C2696" t="str">
        <f ca="1">IFERROR(__xludf.DUMMYFUNCTION("GOOGLETRANSLATE(B2696, ""ja"", ""en"")"),"vs_ptc_bill_mn_lv_x_x_k_n")</f>
        <v>vs_ptc_bill_mn_lv_x_x_k_n</v>
      </c>
    </row>
    <row r="2697" spans="1:3" ht="12.75" x14ac:dyDescent="0.2">
      <c r="A2697" s="1" t="s">
        <v>4885</v>
      </c>
      <c r="B2697" s="1" t="s">
        <v>4886</v>
      </c>
      <c r="C2697" t="str">
        <f ca="1">IFERROR(__xludf.DUMMYFUNCTION("GOOGLETRANSLATE(B2697, ""ja"", ""en"")"),"vs_ptc_bill_mb_xx_x_x_x_x")</f>
        <v>vs_ptc_bill_mb_xx_x_x_x_x</v>
      </c>
    </row>
    <row r="2698" spans="1:3" ht="12.75" x14ac:dyDescent="0.2">
      <c r="A2698" s="1" t="s">
        <v>4887</v>
      </c>
      <c r="B2698" s="1" t="s">
        <v>4888</v>
      </c>
      <c r="C2698" t="str">
        <f ca="1">IFERROR(__xludf.DUMMYFUNCTION("GOOGLETRANSLATE(B2698, ""ja"", ""en"")"),"vs_ptc_bill_mb_xx_f_x_x_x")</f>
        <v>vs_ptc_bill_mb_xx_f_x_x_x</v>
      </c>
    </row>
    <row r="2699" spans="1:3" ht="12.75" x14ac:dyDescent="0.2">
      <c r="A2699" s="1" t="s">
        <v>4889</v>
      </c>
      <c r="B2699" s="1" t="s">
        <v>4890</v>
      </c>
      <c r="C2699" t="str">
        <f ca="1">IFERROR(__xludf.DUMMYFUNCTION("GOOGLETRANSLATE(B2699, ""ja"", ""en"")"),"vs_ptc_bill_mb_xx_x_x_k_x")</f>
        <v>vs_ptc_bill_mb_xx_x_x_k_x</v>
      </c>
    </row>
    <row r="2700" spans="1:3" ht="12.75" x14ac:dyDescent="0.2">
      <c r="A2700" s="1" t="s">
        <v>4891</v>
      </c>
      <c r="B2700" s="1" t="s">
        <v>4892</v>
      </c>
      <c r="C2700" t="str">
        <f ca="1">IFERROR(__xludf.DUMMYFUNCTION("GOOGLETRANSLATE(B2700, ""ja"", ""en"")"),"vs_ptc_bill_mb_xx_f_x_k_x")</f>
        <v>vs_ptc_bill_mb_xx_f_x_k_x</v>
      </c>
    </row>
    <row r="2701" spans="1:3" ht="12.75" x14ac:dyDescent="0.2">
      <c r="A2701" s="1" t="s">
        <v>4893</v>
      </c>
      <c r="B2701" s="1" t="s">
        <v>4894</v>
      </c>
      <c r="C2701" t="str">
        <f ca="1">IFERROR(__xludf.DUMMYFUNCTION("GOOGLETRANSLATE(B2701, ""ja"", ""en"")"),"vs_ptc_bill_mb_xx_x_x_x_n")</f>
        <v>vs_ptc_bill_mb_xx_x_x_x_n</v>
      </c>
    </row>
    <row r="2702" spans="1:3" ht="12.75" x14ac:dyDescent="0.2">
      <c r="A2702" s="1" t="s">
        <v>4895</v>
      </c>
      <c r="B2702" s="1" t="s">
        <v>4896</v>
      </c>
      <c r="C2702" t="str">
        <f ca="1">IFERROR(__xludf.DUMMYFUNCTION("GOOGLETRANSLATE(B2702, ""ja"", ""en"")"),"vs_ptc_bill_mb_xx_f_x_x_n")</f>
        <v>vs_ptc_bill_mb_xx_f_x_x_n</v>
      </c>
    </row>
    <row r="2703" spans="1:3" ht="12.75" x14ac:dyDescent="0.2">
      <c r="A2703" s="1" t="s">
        <v>4897</v>
      </c>
      <c r="B2703" s="1" t="s">
        <v>4898</v>
      </c>
      <c r="C2703" t="str">
        <f ca="1">IFERROR(__xludf.DUMMYFUNCTION("GOOGLETRANSLATE(B2703, ""ja"", ""en"")"),"vs_ptc_bill_mb_xx_x_x_k_n")</f>
        <v>vs_ptc_bill_mb_xx_x_x_k_n</v>
      </c>
    </row>
    <row r="2704" spans="1:3" ht="12.75" x14ac:dyDescent="0.2">
      <c r="A2704" s="1" t="s">
        <v>4899</v>
      </c>
      <c r="B2704" s="1" t="s">
        <v>4900</v>
      </c>
      <c r="C2704" t="str">
        <f ca="1">IFERROR(__xludf.DUMMYFUNCTION("GOOGLETRANSLATE(B2704, ""ja"", ""en"")"),"vs_ptc_bill_mb_ln_x_x_x_x")</f>
        <v>vs_ptc_bill_mb_ln_x_x_x_x</v>
      </c>
    </row>
    <row r="2705" spans="1:3" ht="12.75" x14ac:dyDescent="0.2">
      <c r="A2705" s="1" t="s">
        <v>4901</v>
      </c>
      <c r="B2705" s="1" t="s">
        <v>4902</v>
      </c>
      <c r="C2705" t="str">
        <f ca="1">IFERROR(__xludf.DUMMYFUNCTION("GOOGLETRANSLATE(B2705, ""ja"", ""en"")"),"vs_ptc_bill_mb_ln_f_x_x_x")</f>
        <v>vs_ptc_bill_mb_ln_f_x_x_x</v>
      </c>
    </row>
    <row r="2706" spans="1:3" ht="12.75" x14ac:dyDescent="0.2">
      <c r="A2706" s="1" t="s">
        <v>4903</v>
      </c>
      <c r="B2706" s="1" t="s">
        <v>4904</v>
      </c>
      <c r="C2706" t="str">
        <f ca="1">IFERROR(__xludf.DUMMYFUNCTION("GOOGLETRANSLATE(B2706, ""ja"", ""en"")"),"vs_ptc_bill_mb_ln_x_x_k_x")</f>
        <v>vs_ptc_bill_mb_ln_x_x_k_x</v>
      </c>
    </row>
    <row r="2707" spans="1:3" ht="12.75" x14ac:dyDescent="0.2">
      <c r="A2707" s="1" t="s">
        <v>4905</v>
      </c>
      <c r="B2707" s="1" t="s">
        <v>4906</v>
      </c>
      <c r="C2707" t="str">
        <f ca="1">IFERROR(__xludf.DUMMYFUNCTION("GOOGLETRANSLATE(B2707, ""ja"", ""en"")"),"vs_ptc_bill_mb_ln_f_x_k_x")</f>
        <v>vs_ptc_bill_mb_ln_f_x_k_x</v>
      </c>
    </row>
    <row r="2708" spans="1:3" ht="12.75" x14ac:dyDescent="0.2">
      <c r="A2708" s="1" t="s">
        <v>4907</v>
      </c>
      <c r="B2708" s="1" t="s">
        <v>4908</v>
      </c>
      <c r="C2708" t="str">
        <f ca="1">IFERROR(__xludf.DUMMYFUNCTION("GOOGLETRANSLATE(B2708, ""ja"", ""en"")"),"vs_ptc_bill_mb_ln_x_x_x_n")</f>
        <v>vs_ptc_bill_mb_ln_x_x_x_n</v>
      </c>
    </row>
    <row r="2709" spans="1:3" ht="12.75" x14ac:dyDescent="0.2">
      <c r="A2709" s="1" t="s">
        <v>4909</v>
      </c>
      <c r="B2709" s="1" t="s">
        <v>4910</v>
      </c>
      <c r="C2709" t="str">
        <f ca="1">IFERROR(__xludf.DUMMYFUNCTION("GOOGLETRANSLATE(B2709, ""ja"", ""en"")"),"vs_ptc_bill_mb_ln_x_x_k_n")</f>
        <v>vs_ptc_bill_mb_ln_x_x_k_n</v>
      </c>
    </row>
    <row r="2710" spans="1:3" ht="12.75" x14ac:dyDescent="0.2">
      <c r="A2710" s="1" t="s">
        <v>4911</v>
      </c>
      <c r="B2710" s="1" t="s">
        <v>4912</v>
      </c>
      <c r="C2710" t="str">
        <f ca="1">IFERROR(__xludf.DUMMYFUNCTION("GOOGLETRANSLATE(B2710, ""ja"", ""en"")"),"vs_ptc_bill_mb_ln_f_x_k_n")</f>
        <v>vs_ptc_bill_mb_ln_f_x_k_n</v>
      </c>
    </row>
    <row r="2711" spans="1:3" ht="12.75" x14ac:dyDescent="0.2">
      <c r="A2711" s="1" t="s">
        <v>4913</v>
      </c>
      <c r="B2711" s="1" t="s">
        <v>4914</v>
      </c>
      <c r="C2711" t="str">
        <f ca="1">IFERROR(__xludf.DUMMYFUNCTION("GOOGLETRANSLATE(B2711, ""ja"", ""en"")"),"vs_ptc_bill_mb_lc_x_x_x_x")</f>
        <v>vs_ptc_bill_mb_lc_x_x_x_x</v>
      </c>
    </row>
    <row r="2712" spans="1:3" ht="12.75" x14ac:dyDescent="0.2">
      <c r="A2712" s="1" t="s">
        <v>4915</v>
      </c>
      <c r="B2712" s="1" t="s">
        <v>4916</v>
      </c>
      <c r="C2712" t="str">
        <f ca="1">IFERROR(__xludf.DUMMYFUNCTION("GOOGLETRANSLATE(B2712, ""ja"", ""en"")"),"vs_ptc_bill_mb_lc_f_x_x_x")</f>
        <v>vs_ptc_bill_mb_lc_f_x_x_x</v>
      </c>
    </row>
    <row r="2713" spans="1:3" ht="12.75" x14ac:dyDescent="0.2">
      <c r="A2713" s="1" t="s">
        <v>4917</v>
      </c>
      <c r="B2713" s="1" t="s">
        <v>4918</v>
      </c>
      <c r="C2713" t="str">
        <f ca="1">IFERROR(__xludf.DUMMYFUNCTION("GOOGLETRANSLATE(B2713, ""ja"", ""en"")"),"vs_ptc_bill_mb_lc_x_x_k_x")</f>
        <v>vs_ptc_bill_mb_lc_x_x_k_x</v>
      </c>
    </row>
    <row r="2714" spans="1:3" ht="12.75" x14ac:dyDescent="0.2">
      <c r="A2714" s="1" t="s">
        <v>4919</v>
      </c>
      <c r="B2714" s="1" t="s">
        <v>4920</v>
      </c>
      <c r="C2714" t="str">
        <f ca="1">IFERROR(__xludf.DUMMYFUNCTION("GOOGLETRANSLATE(B2714, ""ja"", ""en"")"),"vs_ptc_bill_mb_lc_f_x_k_x")</f>
        <v>vs_ptc_bill_mb_lc_f_x_k_x</v>
      </c>
    </row>
    <row r="2715" spans="1:3" ht="12.75" x14ac:dyDescent="0.2">
      <c r="A2715" s="1" t="s">
        <v>4921</v>
      </c>
      <c r="B2715" s="1" t="s">
        <v>4922</v>
      </c>
      <c r="C2715" t="str">
        <f ca="1">IFERROR(__xludf.DUMMYFUNCTION("GOOGLETRANSLATE(B2715, ""ja"", ""en"")"),"vs_ptc_bill_mb_lc_x_x_x_n")</f>
        <v>vs_ptc_bill_mb_lc_x_x_x_n</v>
      </c>
    </row>
    <row r="2716" spans="1:3" ht="12.75" x14ac:dyDescent="0.2">
      <c r="A2716" s="1" t="s">
        <v>4923</v>
      </c>
      <c r="B2716" s="1" t="s">
        <v>4924</v>
      </c>
      <c r="C2716" t="str">
        <f ca="1">IFERROR(__xludf.DUMMYFUNCTION("GOOGLETRANSLATE(B2716, ""ja"", ""en"")"),"vs_ptc_bill_mb_lc_f_x_x_n")</f>
        <v>vs_ptc_bill_mb_lc_f_x_x_n</v>
      </c>
    </row>
    <row r="2717" spans="1:3" ht="12.75" x14ac:dyDescent="0.2">
      <c r="A2717" s="1" t="s">
        <v>4925</v>
      </c>
      <c r="B2717" s="1" t="s">
        <v>4926</v>
      </c>
      <c r="C2717" t="str">
        <f ca="1">IFERROR(__xludf.DUMMYFUNCTION("GOOGLETRANSLATE(B2717, ""ja"", ""en"")"),"vs_ptc_bill_mb_lc_x_x_k_n")</f>
        <v>vs_ptc_bill_mb_lc_x_x_k_n</v>
      </c>
    </row>
    <row r="2718" spans="1:3" ht="12.75" x14ac:dyDescent="0.2">
      <c r="A2718" s="1" t="s">
        <v>4927</v>
      </c>
      <c r="B2718" s="1" t="s">
        <v>4928</v>
      </c>
      <c r="C2718" t="str">
        <f ca="1">IFERROR(__xludf.DUMMYFUNCTION("GOOGLETRANSLATE(B2718, ""ja"", ""en"")"),"vs_ptc_bill_mb_lv_x_x_x_x")</f>
        <v>vs_ptc_bill_mb_lv_x_x_x_x</v>
      </c>
    </row>
    <row r="2719" spans="1:3" ht="12.75" x14ac:dyDescent="0.2">
      <c r="A2719" s="1" t="s">
        <v>4929</v>
      </c>
      <c r="B2719" s="1" t="s">
        <v>4930</v>
      </c>
      <c r="C2719" t="str">
        <f ca="1">IFERROR(__xludf.DUMMYFUNCTION("GOOGLETRANSLATE(B2719, ""ja"", ""en"")"),"vs_ptc_bill_mb_lv_f_x_x_x")</f>
        <v>vs_ptc_bill_mb_lv_f_x_x_x</v>
      </c>
    </row>
    <row r="2720" spans="1:3" ht="12.75" x14ac:dyDescent="0.2">
      <c r="A2720" s="1" t="s">
        <v>4931</v>
      </c>
      <c r="B2720" s="1" t="s">
        <v>4932</v>
      </c>
      <c r="C2720" t="str">
        <f ca="1">IFERROR(__xludf.DUMMYFUNCTION("GOOGLETRANSLATE(B2720, ""ja"", ""en"")"),"vs_ptc_bill_mb_lv_f_x_k_x")</f>
        <v>vs_ptc_bill_mb_lv_f_x_k_x</v>
      </c>
    </row>
    <row r="2721" spans="1:3" ht="12.75" x14ac:dyDescent="0.2">
      <c r="A2721" s="1" t="s">
        <v>4933</v>
      </c>
      <c r="B2721" s="1" t="s">
        <v>4934</v>
      </c>
      <c r="C2721" t="str">
        <f ca="1">IFERROR(__xludf.DUMMYFUNCTION("GOOGLETRANSLATE(B2721, ""ja"", ""en"")"),"vs_ptc_bill_mb_lv_x_x_x_n")</f>
        <v>vs_ptc_bill_mb_lv_x_x_x_n</v>
      </c>
    </row>
    <row r="2722" spans="1:3" ht="12.75" x14ac:dyDescent="0.2">
      <c r="A2722" s="1" t="s">
        <v>4935</v>
      </c>
      <c r="B2722" s="1" t="s">
        <v>4936</v>
      </c>
      <c r="C2722" t="str">
        <f ca="1">IFERROR(__xludf.DUMMYFUNCTION("GOOGLETRANSLATE(B2722, ""ja"", ""en"")"),"vs_ptc_bill_mr_xx_x_x_x_x")</f>
        <v>vs_ptc_bill_mr_xx_x_x_x_x</v>
      </c>
    </row>
    <row r="2723" spans="1:3" ht="12.75" x14ac:dyDescent="0.2">
      <c r="A2723" s="1" t="s">
        <v>4937</v>
      </c>
      <c r="B2723" s="1" t="s">
        <v>4938</v>
      </c>
      <c r="C2723" t="str">
        <f ca="1">IFERROR(__xludf.DUMMYFUNCTION("GOOGLETRANSLATE(B2723, ""ja"", ""en"")"),"vs_ptc_bill_mr_xx_f_x_x_x")</f>
        <v>vs_ptc_bill_mr_xx_f_x_x_x</v>
      </c>
    </row>
    <row r="2724" spans="1:3" ht="12.75" x14ac:dyDescent="0.2">
      <c r="A2724" s="1" t="s">
        <v>4939</v>
      </c>
      <c r="B2724" s="1" t="s">
        <v>4940</v>
      </c>
      <c r="C2724" t="str">
        <f ca="1">IFERROR(__xludf.DUMMYFUNCTION("GOOGLETRANSLATE(B2724, ""ja"", ""en"")"),"vs_ptc_bill_mr_xx_x_x_k_x")</f>
        <v>vs_ptc_bill_mr_xx_x_x_k_x</v>
      </c>
    </row>
    <row r="2725" spans="1:3" ht="12.75" x14ac:dyDescent="0.2">
      <c r="A2725" s="1" t="s">
        <v>4941</v>
      </c>
      <c r="B2725" s="1" t="s">
        <v>4942</v>
      </c>
      <c r="C2725" t="str">
        <f ca="1">IFERROR(__xludf.DUMMYFUNCTION("GOOGLETRANSLATE(B2725, ""ja"", ""en"")"),"vs_ptc_bill_mr_xx_f_x_k_x")</f>
        <v>vs_ptc_bill_mr_xx_f_x_k_x</v>
      </c>
    </row>
    <row r="2726" spans="1:3" ht="12.75" x14ac:dyDescent="0.2">
      <c r="A2726" s="1" t="s">
        <v>4943</v>
      </c>
      <c r="B2726" s="1" t="s">
        <v>4944</v>
      </c>
      <c r="C2726" t="str">
        <f ca="1">IFERROR(__xludf.DUMMYFUNCTION("GOOGLETRANSLATE(B2726, ""ja"", ""en"")"),"vs_ptc_bill_mr_xx_x_x_x_n")</f>
        <v>vs_ptc_bill_mr_xx_x_x_x_n</v>
      </c>
    </row>
    <row r="2727" spans="1:3" ht="12.75" x14ac:dyDescent="0.2">
      <c r="A2727" s="1" t="s">
        <v>4945</v>
      </c>
      <c r="B2727" s="1" t="s">
        <v>4946</v>
      </c>
      <c r="C2727" t="str">
        <f ca="1">IFERROR(__xludf.DUMMYFUNCTION("GOOGLETRANSLATE(B2727, ""ja"", ""en"")"),"vs_ptc_bill_mr_xx_f_x_x_n")</f>
        <v>vs_ptc_bill_mr_xx_f_x_x_n</v>
      </c>
    </row>
    <row r="2728" spans="1:3" ht="12.75" x14ac:dyDescent="0.2">
      <c r="A2728" s="1" t="s">
        <v>4947</v>
      </c>
      <c r="B2728" s="1" t="s">
        <v>4948</v>
      </c>
      <c r="C2728" t="str">
        <f ca="1">IFERROR(__xludf.DUMMYFUNCTION("GOOGLETRANSLATE(B2728, ""ja"", ""en"")"),"vs_ptc_bill_mr_xx_x_x_k_n")</f>
        <v>vs_ptc_bill_mr_xx_x_x_k_n</v>
      </c>
    </row>
    <row r="2729" spans="1:3" ht="12.75" x14ac:dyDescent="0.2">
      <c r="A2729" s="1" t="s">
        <v>4949</v>
      </c>
      <c r="B2729" s="1" t="s">
        <v>4950</v>
      </c>
      <c r="C2729" t="str">
        <f ca="1">IFERROR(__xludf.DUMMYFUNCTION("GOOGLETRANSLATE(B2729, ""ja"", ""en"")"),"vs_ptc_bill_mr_ln_x_x_x_x")</f>
        <v>vs_ptc_bill_mr_ln_x_x_x_x</v>
      </c>
    </row>
    <row r="2730" spans="1:3" ht="12.75" x14ac:dyDescent="0.2">
      <c r="A2730" s="1" t="s">
        <v>4951</v>
      </c>
      <c r="B2730" s="1" t="s">
        <v>4952</v>
      </c>
      <c r="C2730" t="str">
        <f ca="1">IFERROR(__xludf.DUMMYFUNCTION("GOOGLETRANSLATE(B2730, ""ja"", ""en"")"),"vs_ptc_bill_mr_ln_f_x_x_x")</f>
        <v>vs_ptc_bill_mr_ln_f_x_x_x</v>
      </c>
    </row>
    <row r="2731" spans="1:3" ht="12.75" x14ac:dyDescent="0.2">
      <c r="A2731" s="1" t="s">
        <v>4953</v>
      </c>
      <c r="B2731" s="1" t="s">
        <v>4954</v>
      </c>
      <c r="C2731" t="str">
        <f ca="1">IFERROR(__xludf.DUMMYFUNCTION("GOOGLETRANSLATE(B2731, ""ja"", ""en"")"),"vs_ptc_bill_mr_lc_x_x_x_x")</f>
        <v>vs_ptc_bill_mr_lc_x_x_x_x</v>
      </c>
    </row>
    <row r="2732" spans="1:3" ht="12.75" x14ac:dyDescent="0.2">
      <c r="A2732" s="1" t="s">
        <v>4955</v>
      </c>
      <c r="B2732" s="1" t="s">
        <v>4956</v>
      </c>
      <c r="C2732" t="str">
        <f ca="1">IFERROR(__xludf.DUMMYFUNCTION("GOOGLETRANSLATE(B2732, ""ja"", ""en"")"),"vs_ptc_bill_mr_lc_f_x_x_x")</f>
        <v>vs_ptc_bill_mr_lc_f_x_x_x</v>
      </c>
    </row>
    <row r="2733" spans="1:3" ht="12.75" x14ac:dyDescent="0.2">
      <c r="A2733" s="1" t="s">
        <v>4957</v>
      </c>
      <c r="B2733" s="1" t="s">
        <v>4958</v>
      </c>
      <c r="C2733" t="str">
        <f ca="1">IFERROR(__xludf.DUMMYFUNCTION("GOOGLETRANSLATE(B2733, ""ja"", ""en"")"),"vs_ptc_bill_mr_lc_x_x_k_x")</f>
        <v>vs_ptc_bill_mr_lc_x_x_k_x</v>
      </c>
    </row>
    <row r="2734" spans="1:3" ht="12.75" x14ac:dyDescent="0.2">
      <c r="A2734" s="1" t="s">
        <v>4959</v>
      </c>
      <c r="B2734" s="1" t="s">
        <v>4960</v>
      </c>
      <c r="C2734" t="str">
        <f ca="1">IFERROR(__xludf.DUMMYFUNCTION("GOOGLETRANSLATE(B2734, ""ja"", ""en"")"),"vs_ptc_bill_mr_lv_x_x_x_x")</f>
        <v>vs_ptc_bill_mr_lv_x_x_x_x</v>
      </c>
    </row>
    <row r="2735" spans="1:3" ht="12.75" x14ac:dyDescent="0.2">
      <c r="A2735" s="1" t="s">
        <v>4961</v>
      </c>
      <c r="B2735" s="1" t="s">
        <v>4962</v>
      </c>
      <c r="C2735" t="str">
        <f ca="1">IFERROR(__xludf.DUMMYFUNCTION("GOOGLETRANSLATE(B2735, ""ja"", ""en"")"),"vs_ptc_bill_mr_lv_f_x_x_n")</f>
        <v>vs_ptc_bill_mr_lv_f_x_x_n</v>
      </c>
    </row>
    <row r="2736" spans="1:3" ht="12.75" x14ac:dyDescent="0.2">
      <c r="A2736" s="1" t="s">
        <v>4963</v>
      </c>
      <c r="B2736" s="1" t="s">
        <v>4964</v>
      </c>
      <c r="C2736" t="str">
        <f ca="1">IFERROR(__xludf.DUMMYFUNCTION("GOOGLETRANSLATE(B2736, ""ja"", ""en"")"),"vs_ptc_bill_me_xx_x_x_x_x")</f>
        <v>vs_ptc_bill_me_xx_x_x_x_x</v>
      </c>
    </row>
    <row r="2737" spans="1:3" ht="12.75" x14ac:dyDescent="0.2">
      <c r="A2737" s="1" t="s">
        <v>4965</v>
      </c>
      <c r="B2737" s="1" t="s">
        <v>4966</v>
      </c>
      <c r="C2737" t="str">
        <f ca="1">IFERROR(__xludf.DUMMYFUNCTION("GOOGLETRANSLATE(B2737, ""ja"", ""en"")"),"vs_ptc_bill_me_xx_f_x_x_x")</f>
        <v>vs_ptc_bill_me_xx_f_x_x_x</v>
      </c>
    </row>
    <row r="2738" spans="1:3" ht="12.75" x14ac:dyDescent="0.2">
      <c r="A2738" s="1" t="s">
        <v>4967</v>
      </c>
      <c r="B2738" s="1" t="s">
        <v>4968</v>
      </c>
      <c r="C2738" t="str">
        <f ca="1">IFERROR(__xludf.DUMMYFUNCTION("GOOGLETRANSLATE(B2738, ""ja"", ""en"")"),"vs_ptc_mesh_xx_xx_x_x_x_x")</f>
        <v>vs_ptc_mesh_xx_xx_x_x_x_x</v>
      </c>
    </row>
    <row r="2739" spans="1:3" ht="12.75" x14ac:dyDescent="0.2">
      <c r="A2739" s="1" t="s">
        <v>4969</v>
      </c>
      <c r="B2739" s="1" t="s">
        <v>4970</v>
      </c>
      <c r="C2739" t="str">
        <f ca="1">IFERROR(__xludf.DUMMYFUNCTION("GOOGLETRANSLATE(B2739, ""ja"", ""en"")"),"vs_ptc_mesh_xx_xx_f_x_x_x")</f>
        <v>vs_ptc_mesh_xx_xx_f_x_x_x</v>
      </c>
    </row>
    <row r="2740" spans="1:3" ht="12.75" x14ac:dyDescent="0.2">
      <c r="A2740" s="1" t="s">
        <v>4971</v>
      </c>
      <c r="B2740" s="1" t="s">
        <v>4972</v>
      </c>
      <c r="C2740" t="str">
        <f ca="1">IFERROR(__xludf.DUMMYFUNCTION("GOOGLETRANSLATE(B2740, ""ja"", ""en"")"),"vs_ptc_mesh_xx_xx_f_a_x_x")</f>
        <v>vs_ptc_mesh_xx_xx_f_a_x_x</v>
      </c>
    </row>
    <row r="2741" spans="1:3" ht="12.75" x14ac:dyDescent="0.2">
      <c r="A2741" s="1" t="s">
        <v>4973</v>
      </c>
      <c r="B2741" s="1" t="s">
        <v>4974</v>
      </c>
      <c r="C2741" t="str">
        <f ca="1">IFERROR(__xludf.DUMMYFUNCTION("GOOGLETRANSLATE(B2741, ""ja"", ""en"")"),"vs_ptc_mesh_xx_xx_x_x_x_n")</f>
        <v>vs_ptc_mesh_xx_xx_x_x_x_n</v>
      </c>
    </row>
    <row r="2742" spans="1:3" ht="12.75" x14ac:dyDescent="0.2">
      <c r="A2742" s="1" t="s">
        <v>4975</v>
      </c>
      <c r="B2742" s="1" t="s">
        <v>4976</v>
      </c>
      <c r="C2742" t="str">
        <f ca="1">IFERROR(__xludf.DUMMYFUNCTION("GOOGLETRANSLATE(B2742, ""ja"", ""en"")"),"vs_ptc_mesh_xx_xx_f_x_x_n")</f>
        <v>vs_ptc_mesh_xx_xx_f_x_x_n</v>
      </c>
    </row>
    <row r="2743" spans="1:3" ht="12.75" x14ac:dyDescent="0.2">
      <c r="A2743" s="1" t="s">
        <v>4977</v>
      </c>
      <c r="B2743" s="1" t="s">
        <v>4978</v>
      </c>
      <c r="C2743" t="str">
        <f ca="1">IFERROR(__xludf.DUMMYFUNCTION("GOOGLETRANSLATE(B2743, ""ja"", ""en"")"),"vs_ptc_mesh_xx_ln_x_x_x_x")</f>
        <v>vs_ptc_mesh_xx_ln_x_x_x_x</v>
      </c>
    </row>
    <row r="2744" spans="1:3" ht="12.75" x14ac:dyDescent="0.2">
      <c r="A2744" s="1" t="s">
        <v>4979</v>
      </c>
      <c r="B2744" s="1" t="s">
        <v>4980</v>
      </c>
      <c r="C2744" t="str">
        <f ca="1">IFERROR(__xludf.DUMMYFUNCTION("GOOGLETRANSLATE(B2744, ""ja"", ""en"")"),"vs_ptc_mesh_xx_ln_x_x_k_x")</f>
        <v>vs_ptc_mesh_xx_ln_x_x_k_x</v>
      </c>
    </row>
    <row r="2745" spans="1:3" ht="12.75" x14ac:dyDescent="0.2">
      <c r="A2745" s="1" t="s">
        <v>4981</v>
      </c>
      <c r="B2745" s="1" t="s">
        <v>4982</v>
      </c>
      <c r="C2745" t="str">
        <f ca="1">IFERROR(__xludf.DUMMYFUNCTION("GOOGLETRANSLATE(B2745, ""ja"", ""en"")"),"vs_ptc_mesh_xx_ln_f_x_k_x")</f>
        <v>vs_ptc_mesh_xx_ln_f_x_k_x</v>
      </c>
    </row>
    <row r="2746" spans="1:3" ht="12.75" x14ac:dyDescent="0.2">
      <c r="A2746" s="1" t="s">
        <v>4983</v>
      </c>
      <c r="B2746" s="1" t="s">
        <v>4984</v>
      </c>
      <c r="C2746" t="str">
        <f ca="1">IFERROR(__xludf.DUMMYFUNCTION("GOOGLETRANSLATE(B2746, ""ja"", ""en"")"),"vs_ptc_mesh_xx_ln_x_x_x_n")</f>
        <v>vs_ptc_mesh_xx_ln_x_x_x_n</v>
      </c>
    </row>
    <row r="2747" spans="1:3" ht="12.75" x14ac:dyDescent="0.2">
      <c r="A2747" s="1" t="s">
        <v>4985</v>
      </c>
      <c r="B2747" s="1" t="s">
        <v>4986</v>
      </c>
      <c r="C2747" t="str">
        <f ca="1">IFERROR(__xludf.DUMMYFUNCTION("GOOGLETRANSLATE(B2747, ""ja"", ""en"")"),"vs_ptc_mesh_xx_lc_x_x_k_x")</f>
        <v>vs_ptc_mesh_xx_lc_x_x_k_x</v>
      </c>
    </row>
    <row r="2748" spans="1:3" ht="12.75" x14ac:dyDescent="0.2">
      <c r="A2748" s="1" t="s">
        <v>4987</v>
      </c>
      <c r="B2748" s="1" t="s">
        <v>4988</v>
      </c>
      <c r="C2748" t="str">
        <f ca="1">IFERROR(__xludf.DUMMYFUNCTION("GOOGLETRANSLATE(B2748, ""ja"", ""en"")"),"vs_ptc_mesh_xx_lc_x_x_x_n")</f>
        <v>vs_ptc_mesh_xx_lc_x_x_x_n</v>
      </c>
    </row>
    <row r="2749" spans="1:3" ht="12.75" x14ac:dyDescent="0.2">
      <c r="A2749" s="1" t="s">
        <v>4989</v>
      </c>
      <c r="B2749" s="1" t="s">
        <v>4990</v>
      </c>
      <c r="C2749" t="str">
        <f ca="1">IFERROR(__xludf.DUMMYFUNCTION("GOOGLETRANSLATE(B2749, ""ja"", ""en"")"),"vs_ptc_mesh_xx_lc_x_x_k_n")</f>
        <v>vs_ptc_mesh_xx_lc_x_x_k_n</v>
      </c>
    </row>
    <row r="2750" spans="1:3" ht="12.75" x14ac:dyDescent="0.2">
      <c r="A2750" s="1" t="s">
        <v>4991</v>
      </c>
      <c r="B2750" s="1" t="s">
        <v>4992</v>
      </c>
      <c r="C2750" t="str">
        <f ca="1">IFERROR(__xludf.DUMMYFUNCTION("GOOGLETRANSLATE(B2750, ""ja"", ""en"")"),"vs_ptc_mesh_mn_xx_x_x_x_x")</f>
        <v>vs_ptc_mesh_mn_xx_x_x_x_x</v>
      </c>
    </row>
    <row r="2751" spans="1:3" ht="12.75" x14ac:dyDescent="0.2">
      <c r="A2751" s="1" t="s">
        <v>4993</v>
      </c>
      <c r="B2751" s="1" t="s">
        <v>4994</v>
      </c>
      <c r="C2751" t="str">
        <f ca="1">IFERROR(__xludf.DUMMYFUNCTION("GOOGLETRANSLATE(B2751, ""ja"", ""en"")"),"vs_ptc_mesh_mn_xx_f_x_x_x")</f>
        <v>vs_ptc_mesh_mn_xx_f_x_x_x</v>
      </c>
    </row>
    <row r="2752" spans="1:3" ht="12.75" x14ac:dyDescent="0.2">
      <c r="A2752" s="1" t="s">
        <v>4995</v>
      </c>
      <c r="B2752" s="1" t="s">
        <v>4996</v>
      </c>
      <c r="C2752" t="str">
        <f ca="1">IFERROR(__xludf.DUMMYFUNCTION("GOOGLETRANSLATE(B2752, ""ja"", ""en"")"),"vs_ptc_mesh_mn_xx_x_x_k_x")</f>
        <v>vs_ptc_mesh_mn_xx_x_x_k_x</v>
      </c>
    </row>
    <row r="2753" spans="1:3" ht="12.75" x14ac:dyDescent="0.2">
      <c r="A2753" s="1" t="s">
        <v>4997</v>
      </c>
      <c r="B2753" s="1" t="s">
        <v>4998</v>
      </c>
      <c r="C2753" t="str">
        <f ca="1">IFERROR(__xludf.DUMMYFUNCTION("GOOGLETRANSLATE(B2753, ""ja"", ""en"")"),"vs_ptc_mesh_mn_xx_x_x_x_n")</f>
        <v>vs_ptc_mesh_mn_xx_x_x_x_n</v>
      </c>
    </row>
    <row r="2754" spans="1:3" ht="12.75" x14ac:dyDescent="0.2">
      <c r="A2754" s="1" t="s">
        <v>4999</v>
      </c>
      <c r="B2754" s="1" t="s">
        <v>5000</v>
      </c>
      <c r="C2754" t="str">
        <f ca="1">IFERROR(__xludf.DUMMYFUNCTION("GOOGLETRANSLATE(B2754, ""ja"", ""en"")"),"vs_ptc_mesh_mn_xx_f_x_x_n")</f>
        <v>vs_ptc_mesh_mn_xx_f_x_x_n</v>
      </c>
    </row>
    <row r="2755" spans="1:3" ht="12.75" x14ac:dyDescent="0.2">
      <c r="A2755" s="1" t="s">
        <v>5001</v>
      </c>
      <c r="B2755" s="1" t="s">
        <v>5002</v>
      </c>
      <c r="C2755" t="str">
        <f ca="1">IFERROR(__xludf.DUMMYFUNCTION("GOOGLETRANSLATE(B2755, ""ja"", ""en"")"),"vs_ptc_mesh_mn_lc_x_x_x_x")</f>
        <v>vs_ptc_mesh_mn_lc_x_x_x_x</v>
      </c>
    </row>
    <row r="2756" spans="1:3" ht="12.75" x14ac:dyDescent="0.2">
      <c r="A2756" s="1" t="s">
        <v>5003</v>
      </c>
      <c r="B2756" s="1" t="s">
        <v>5004</v>
      </c>
      <c r="C2756" t="str">
        <f ca="1">IFERROR(__xludf.DUMMYFUNCTION("GOOGLETRANSLATE(B2756, ""ja"", ""en"")"),"vs_ptc_mesh_mn_lc_x_x_k_x")</f>
        <v>vs_ptc_mesh_mn_lc_x_x_k_x</v>
      </c>
    </row>
    <row r="2757" spans="1:3" ht="12.75" x14ac:dyDescent="0.2">
      <c r="A2757" s="1" t="s">
        <v>5005</v>
      </c>
      <c r="B2757" s="1" t="s">
        <v>5006</v>
      </c>
      <c r="C2757" t="str">
        <f ca="1">IFERROR(__xludf.DUMMYFUNCTION("GOOGLETRANSLATE(B2757, ""ja"", ""en"")"),"vs_ptc_mesh_mn_lc_x_x_x_n")</f>
        <v>vs_ptc_mesh_mn_lc_x_x_x_n</v>
      </c>
    </row>
    <row r="2758" spans="1:3" ht="12.75" x14ac:dyDescent="0.2">
      <c r="A2758" s="1" t="s">
        <v>5007</v>
      </c>
      <c r="B2758" s="1" t="s">
        <v>5008</v>
      </c>
      <c r="C2758" t="str">
        <f ca="1">IFERROR(__xludf.DUMMYFUNCTION("GOOGLETRANSLATE(B2758, ""ja"", ""en"")"),"vs_ptc_mesh_mn_lv_x_x_x_x")</f>
        <v>vs_ptc_mesh_mn_lv_x_x_x_x</v>
      </c>
    </row>
    <row r="2759" spans="1:3" ht="12.75" x14ac:dyDescent="0.2">
      <c r="A2759" s="1" t="s">
        <v>5009</v>
      </c>
      <c r="B2759" s="1" t="s">
        <v>5010</v>
      </c>
      <c r="C2759" t="str">
        <f ca="1">IFERROR(__xludf.DUMMYFUNCTION("GOOGLETRANSLATE(B2759, ""ja"", ""en"")"),"vs_ptc_mesh_mb_xx_x_x_x_x")</f>
        <v>vs_ptc_mesh_mb_xx_x_x_x_x</v>
      </c>
    </row>
    <row r="2760" spans="1:3" ht="12.75" x14ac:dyDescent="0.2">
      <c r="A2760" s="1" t="s">
        <v>5011</v>
      </c>
      <c r="B2760" s="1" t="s">
        <v>5012</v>
      </c>
      <c r="C2760" t="str">
        <f ca="1">IFERROR(__xludf.DUMMYFUNCTION("GOOGLETRANSLATE(B2760, ""ja"", ""en"")"),"vs_ptc_mesh_mb_xx_x_x_k_x")</f>
        <v>vs_ptc_mesh_mb_xx_x_x_k_x</v>
      </c>
    </row>
    <row r="2761" spans="1:3" ht="12.75" x14ac:dyDescent="0.2">
      <c r="A2761" s="1" t="s">
        <v>5013</v>
      </c>
      <c r="B2761" s="1" t="s">
        <v>5014</v>
      </c>
      <c r="C2761" t="str">
        <f ca="1">IFERROR(__xludf.DUMMYFUNCTION("GOOGLETRANSLATE(B2761, ""ja"", ""en"")"),"vs_ptc_mesh_mb_ln_x_x_x_x")</f>
        <v>vs_ptc_mesh_mb_ln_x_x_x_x</v>
      </c>
    </row>
    <row r="2762" spans="1:3" ht="12.75" x14ac:dyDescent="0.2">
      <c r="A2762" s="1" t="s">
        <v>5015</v>
      </c>
      <c r="B2762" s="1" t="s">
        <v>5016</v>
      </c>
      <c r="C2762" t="str">
        <f ca="1">IFERROR(__xludf.DUMMYFUNCTION("GOOGLETRANSLATE(B2762, ""ja"", ""en"")"),"vs_ptc_mesh_mb_ln_x_x_k_x")</f>
        <v>vs_ptc_mesh_mb_ln_x_x_k_x</v>
      </c>
    </row>
    <row r="2763" spans="1:3" ht="12.75" x14ac:dyDescent="0.2">
      <c r="A2763" s="1" t="s">
        <v>5017</v>
      </c>
      <c r="B2763" s="1" t="s">
        <v>5018</v>
      </c>
      <c r="C2763" t="str">
        <f ca="1">IFERROR(__xludf.DUMMYFUNCTION("GOOGLETRANSLATE(B2763, ""ja"", ""en"")"),"vs_ptc_mesh_mb_ln_x_x_x_n")</f>
        <v>vs_ptc_mesh_mb_ln_x_x_x_n</v>
      </c>
    </row>
    <row r="2764" spans="1:3" ht="12.75" x14ac:dyDescent="0.2">
      <c r="A2764" s="1" t="s">
        <v>5019</v>
      </c>
      <c r="B2764" s="1" t="s">
        <v>5020</v>
      </c>
      <c r="C2764" t="str">
        <f ca="1">IFERROR(__xludf.DUMMYFUNCTION("GOOGLETRANSLATE(B2764, ""ja"", ""en"")"),"vs_ptc_mesh_mb_ln_x_x_k_n")</f>
        <v>vs_ptc_mesh_mb_ln_x_x_k_n</v>
      </c>
    </row>
    <row r="2765" spans="1:3" ht="12.75" x14ac:dyDescent="0.2">
      <c r="A2765" s="1" t="s">
        <v>5021</v>
      </c>
      <c r="B2765" s="1" t="s">
        <v>5022</v>
      </c>
      <c r="C2765" t="str">
        <f ca="1">IFERROR(__xludf.DUMMYFUNCTION("GOOGLETRANSLATE(B2765, ""ja"", ""en"")"),"vs_ptc_mesh_mb_lc_x_x_x_x")</f>
        <v>vs_ptc_mesh_mb_lc_x_x_x_x</v>
      </c>
    </row>
    <row r="2766" spans="1:3" ht="12.75" x14ac:dyDescent="0.2">
      <c r="A2766" s="1" t="s">
        <v>5023</v>
      </c>
      <c r="B2766" s="1" t="s">
        <v>5024</v>
      </c>
      <c r="C2766" t="str">
        <f ca="1">IFERROR(__xludf.DUMMYFUNCTION("GOOGLETRANSLATE(B2766, ""ja"", ""en"")"),"vs_ptc_mesh_mb_lc_x_x_x_n")</f>
        <v>vs_ptc_mesh_mb_lc_x_x_x_n</v>
      </c>
    </row>
    <row r="2767" spans="1:3" ht="12.75" x14ac:dyDescent="0.2">
      <c r="A2767" s="1" t="s">
        <v>5025</v>
      </c>
      <c r="B2767" s="1" t="s">
        <v>5026</v>
      </c>
      <c r="C2767" t="str">
        <f ca="1">IFERROR(__xludf.DUMMYFUNCTION("GOOGLETRANSLATE(B2767, ""ja"", ""en"")"),"vs_ptc_mesh_mr_xx_x_x_x_x")</f>
        <v>vs_ptc_mesh_mr_xx_x_x_x_x</v>
      </c>
    </row>
    <row r="2768" spans="1:3" ht="12.75" x14ac:dyDescent="0.2">
      <c r="A2768" s="1" t="s">
        <v>5027</v>
      </c>
      <c r="B2768" s="1" t="s">
        <v>5028</v>
      </c>
      <c r="C2768" t="str">
        <f ca="1">IFERROR(__xludf.DUMMYFUNCTION("GOOGLETRANSLATE(B2768, ""ja"", ""en"")"),"vs_ptc_mesh_mr_xx_f_x_x_x")</f>
        <v>vs_ptc_mesh_mr_xx_f_x_x_x</v>
      </c>
    </row>
    <row r="2769" spans="1:3" ht="12.75" x14ac:dyDescent="0.2">
      <c r="A2769" s="1" t="s">
        <v>5029</v>
      </c>
      <c r="B2769" s="1" t="s">
        <v>5030</v>
      </c>
      <c r="C2769" t="str">
        <f ca="1">IFERROR(__xludf.DUMMYFUNCTION("GOOGLETRANSLATE(B2769, ""ja"", ""en"")"),"vs_ptc_mesh_mr_xx_x_x_x_n")</f>
        <v>vs_ptc_mesh_mr_xx_x_x_x_n</v>
      </c>
    </row>
    <row r="2770" spans="1:3" ht="12.75" x14ac:dyDescent="0.2">
      <c r="A2770" s="1" t="s">
        <v>5031</v>
      </c>
      <c r="B2770" s="1" t="s">
        <v>5032</v>
      </c>
      <c r="C2770" t="str">
        <f ca="1">IFERROR(__xludf.DUMMYFUNCTION("GOOGLETRANSLATE(B2770, ""ja"", ""en"")"),"vs_ptc_mesh_mr_ln_x_x_x_x")</f>
        <v>vs_ptc_mesh_mr_ln_x_x_x_x</v>
      </c>
    </row>
    <row r="2771" spans="1:3" ht="12.75" x14ac:dyDescent="0.2">
      <c r="A2771" s="1" t="s">
        <v>5033</v>
      </c>
      <c r="B2771" s="1" t="s">
        <v>5034</v>
      </c>
      <c r="C2771" t="str">
        <f ca="1">IFERROR(__xludf.DUMMYFUNCTION("GOOGLETRANSLATE(B2771, ""ja"", ""en"")"),"vs_ptc_mesh_mr_ln_x_x_k_x")</f>
        <v>vs_ptc_mesh_mr_ln_x_x_k_x</v>
      </c>
    </row>
    <row r="2772" spans="1:3" ht="12.75" x14ac:dyDescent="0.2">
      <c r="A2772" s="1" t="s">
        <v>5035</v>
      </c>
      <c r="B2772" s="1" t="s">
        <v>5036</v>
      </c>
      <c r="C2772" t="str">
        <f ca="1">IFERROR(__xludf.DUMMYFUNCTION("GOOGLETRANSLATE(B2772, ""ja"", ""en"")"),"vs_ptc_mesh_me_ln_x_x_k_x")</f>
        <v>vs_ptc_mesh_me_ln_x_x_k_x</v>
      </c>
    </row>
    <row r="2773" spans="1:3" ht="12.75" x14ac:dyDescent="0.2">
      <c r="A2773" s="1" t="s">
        <v>5037</v>
      </c>
      <c r="B2773" s="1" t="s">
        <v>5038</v>
      </c>
      <c r="C2773" t="str">
        <f ca="1">IFERROR(__xludf.DUMMYFUNCTION("GOOGLETRANSLATE(B2773, ""ja"", ""en"")"),"vs_ptc_xnbb_xx_xx_x_x_x_x")</f>
        <v>vs_ptc_xnbb_xx_xx_x_x_x_x</v>
      </c>
    </row>
    <row r="2774" spans="1:3" ht="12.75" x14ac:dyDescent="0.2">
      <c r="A2774" s="1" t="s">
        <v>5039</v>
      </c>
      <c r="B2774" s="1" t="s">
        <v>5040</v>
      </c>
      <c r="C2774" t="str">
        <f ca="1">IFERROR(__xludf.DUMMYFUNCTION("GOOGLETRANSLATE(B2774, ""ja"", ""en"")"),"vs_ptc_xnbb_mn_xx_f_x_x_n")</f>
        <v>vs_ptc_xnbb_mn_xx_f_x_x_n</v>
      </c>
    </row>
    <row r="2775" spans="1:3" ht="12.75" x14ac:dyDescent="0.2">
      <c r="A2775" s="1" t="s">
        <v>5041</v>
      </c>
      <c r="B2775" s="1" t="s">
        <v>5042</v>
      </c>
      <c r="C2775" t="str">
        <f ca="1">IFERROR(__xludf.DUMMYFUNCTION("GOOGLETRANSLATE(B2775, ""ja"", ""en"")"),"vs_ptc_xnbb_mb_xx_x_x_x_x")</f>
        <v>vs_ptc_xnbb_mb_xx_x_x_x_x</v>
      </c>
    </row>
    <row r="2776" spans="1:3" ht="12.75" x14ac:dyDescent="0.2">
      <c r="A2776" s="1" t="s">
        <v>5043</v>
      </c>
      <c r="B2776" s="1" t="s">
        <v>5044</v>
      </c>
      <c r="C2776" t="str">
        <f ca="1">IFERROR(__xludf.DUMMYFUNCTION("GOOGLETRANSLATE(B2776, ""ja"", ""en"")"),"vs_ptc_msnb_xx_xx_x_x_x_x")</f>
        <v>vs_ptc_msnb_xx_xx_x_x_x_x</v>
      </c>
    </row>
    <row r="2777" spans="1:3" ht="12.75" x14ac:dyDescent="0.2">
      <c r="A2777" s="1" t="s">
        <v>5045</v>
      </c>
      <c r="B2777" s="1" t="s">
        <v>5046</v>
      </c>
      <c r="C2777" t="str">
        <f ca="1">IFERROR(__xludf.DUMMYFUNCTION("GOOGLETRANSLATE(B2777, ""ja"", ""en"")"),"vs_ptc_msnb_xx_xx_f_x_x_x")</f>
        <v>vs_ptc_msnb_xx_xx_f_x_x_x</v>
      </c>
    </row>
    <row r="2778" spans="1:3" ht="12.75" x14ac:dyDescent="0.2">
      <c r="A2778" s="1" t="s">
        <v>5047</v>
      </c>
      <c r="B2778" s="1" t="s">
        <v>5048</v>
      </c>
      <c r="C2778" t="str">
        <f ca="1">IFERROR(__xludf.DUMMYFUNCTION("GOOGLETRANSLATE(B2778, ""ja"", ""en"")"),"vs_ptc_msnb_xx_xx_x_a_x_x")</f>
        <v>vs_ptc_msnb_xx_xx_x_a_x_x</v>
      </c>
    </row>
    <row r="2779" spans="1:3" ht="12.75" x14ac:dyDescent="0.2">
      <c r="A2779" s="1" t="s">
        <v>5049</v>
      </c>
      <c r="B2779" s="1" t="s">
        <v>5050</v>
      </c>
      <c r="C2779" t="str">
        <f ca="1">IFERROR(__xludf.DUMMYFUNCTION("GOOGLETRANSLATE(B2779, ""ja"", ""en"")"),"vs_ptc_msnb_xx_xx_f_a_x_x")</f>
        <v>vs_ptc_msnb_xx_xx_f_a_x_x</v>
      </c>
    </row>
    <row r="2780" spans="1:3" ht="12.75" x14ac:dyDescent="0.2">
      <c r="A2780" s="1" t="s">
        <v>5051</v>
      </c>
      <c r="B2780" s="1" t="s">
        <v>5052</v>
      </c>
      <c r="C2780" t="str">
        <f ca="1">IFERROR(__xludf.DUMMYFUNCTION("GOOGLETRANSLATE(B2780, ""ja"", ""en"")"),"vs_ptc_msnb_xx_xx_x_x_k_x")</f>
        <v>vs_ptc_msnb_xx_xx_x_x_k_x</v>
      </c>
    </row>
    <row r="2781" spans="1:3" ht="12.75" x14ac:dyDescent="0.2">
      <c r="A2781" s="1" t="s">
        <v>5053</v>
      </c>
      <c r="B2781" s="1" t="s">
        <v>5054</v>
      </c>
      <c r="C2781" t="str">
        <f ca="1">IFERROR(__xludf.DUMMYFUNCTION("GOOGLETRANSLATE(B2781, ""ja"", ""en"")"),"vs_ptc_msnb_xx_xx_f_x_k_x")</f>
        <v>vs_ptc_msnb_xx_xx_f_x_k_x</v>
      </c>
    </row>
    <row r="2782" spans="1:3" ht="12.75" x14ac:dyDescent="0.2">
      <c r="A2782" s="1" t="s">
        <v>5055</v>
      </c>
      <c r="B2782" s="1" t="s">
        <v>5056</v>
      </c>
      <c r="C2782" t="str">
        <f ca="1">IFERROR(__xludf.DUMMYFUNCTION("GOOGLETRANSLATE(B2782, ""ja"", ""en"")"),"vs_ptc_msnb_xx_xx_x_x_x_n")</f>
        <v>vs_ptc_msnb_xx_xx_x_x_x_n</v>
      </c>
    </row>
    <row r="2783" spans="1:3" ht="12.75" x14ac:dyDescent="0.2">
      <c r="A2783" s="1" t="s">
        <v>5057</v>
      </c>
      <c r="B2783" s="1" t="s">
        <v>5058</v>
      </c>
      <c r="C2783" t="str">
        <f ca="1">IFERROR(__xludf.DUMMYFUNCTION("GOOGLETRANSLATE(B2783, ""ja"", ""en"")"),"vs_ptc_msnb_xx_xx_f_x_x_n")</f>
        <v>vs_ptc_msnb_xx_xx_f_x_x_n</v>
      </c>
    </row>
    <row r="2784" spans="1:3" ht="12.75" x14ac:dyDescent="0.2">
      <c r="A2784" s="1" t="s">
        <v>5059</v>
      </c>
      <c r="B2784" s="1" t="s">
        <v>5060</v>
      </c>
      <c r="C2784" t="str">
        <f ca="1">IFERROR(__xludf.DUMMYFUNCTION("GOOGLETRANSLATE(B2784, ""ja"", ""en"")"),"vs_ptc_msnb_xx_xx_x_x_k_n")</f>
        <v>vs_ptc_msnb_xx_xx_x_x_k_n</v>
      </c>
    </row>
    <row r="2785" spans="1:3" ht="12.75" x14ac:dyDescent="0.2">
      <c r="A2785" s="1" t="s">
        <v>5061</v>
      </c>
      <c r="B2785" s="1" t="s">
        <v>5062</v>
      </c>
      <c r="C2785" t="str">
        <f ca="1">IFERROR(__xludf.DUMMYFUNCTION("GOOGLETRANSLATE(B2785, ""ja"", ""en"")"),"vs_ptc_msnb_xx_xx_f_x_k_n")</f>
        <v>vs_ptc_msnb_xx_xx_f_x_k_n</v>
      </c>
    </row>
    <row r="2786" spans="1:3" ht="12.75" x14ac:dyDescent="0.2">
      <c r="A2786" s="1" t="s">
        <v>5063</v>
      </c>
      <c r="B2786" s="1" t="s">
        <v>5064</v>
      </c>
      <c r="C2786" t="str">
        <f ca="1">IFERROR(__xludf.DUMMYFUNCTION("GOOGLETRANSLATE(B2786, ""ja"", ""en"")"),"vs_ptc_msnb_xx_ln_x_x_x_x")</f>
        <v>vs_ptc_msnb_xx_ln_x_x_x_x</v>
      </c>
    </row>
    <row r="2787" spans="1:3" ht="12.75" x14ac:dyDescent="0.2">
      <c r="A2787" s="1" t="s">
        <v>5065</v>
      </c>
      <c r="B2787" s="1" t="s">
        <v>5066</v>
      </c>
      <c r="C2787" t="str">
        <f ca="1">IFERROR(__xludf.DUMMYFUNCTION("GOOGLETRANSLATE(B2787, ""ja"", ""en"")"),"vs_ptc_msnb_xx_ln_x_x_k_x")</f>
        <v>vs_ptc_msnb_xx_ln_x_x_k_x</v>
      </c>
    </row>
    <row r="2788" spans="1:3" ht="12.75" x14ac:dyDescent="0.2">
      <c r="A2788" s="1" t="s">
        <v>5067</v>
      </c>
      <c r="B2788" s="1" t="s">
        <v>5068</v>
      </c>
      <c r="C2788" t="str">
        <f ca="1">IFERROR(__xludf.DUMMYFUNCTION("GOOGLETRANSLATE(B2788, ""ja"", ""en"")"),"vs_ptc_msnb_xx_ln_f_x_k_x")</f>
        <v>vs_ptc_msnb_xx_ln_f_x_k_x</v>
      </c>
    </row>
    <row r="2789" spans="1:3" ht="12.75" x14ac:dyDescent="0.2">
      <c r="A2789" s="1" t="s">
        <v>5069</v>
      </c>
      <c r="B2789" s="1" t="s">
        <v>5070</v>
      </c>
      <c r="C2789" t="str">
        <f ca="1">IFERROR(__xludf.DUMMYFUNCTION("GOOGLETRANSLATE(B2789, ""ja"", ""en"")"),"vs_ptc_msnb_xx_ln_x_x_x_n")</f>
        <v>vs_ptc_msnb_xx_ln_x_x_x_n</v>
      </c>
    </row>
    <row r="2790" spans="1:3" ht="12.75" x14ac:dyDescent="0.2">
      <c r="A2790" s="1" t="s">
        <v>5071</v>
      </c>
      <c r="B2790" s="1" t="s">
        <v>5072</v>
      </c>
      <c r="C2790" t="str">
        <f ca="1">IFERROR(__xludf.DUMMYFUNCTION("GOOGLETRANSLATE(B2790, ""ja"", ""en"")"),"vs_ptc_msnb_xx_lc_x_x_x_x")</f>
        <v>vs_ptc_msnb_xx_lc_x_x_x_x</v>
      </c>
    </row>
    <row r="2791" spans="1:3" ht="12.75" x14ac:dyDescent="0.2">
      <c r="A2791" s="1" t="s">
        <v>5073</v>
      </c>
      <c r="B2791" s="1" t="s">
        <v>5074</v>
      </c>
      <c r="C2791" t="str">
        <f ca="1">IFERROR(__xludf.DUMMYFUNCTION("GOOGLETRANSLATE(B2791, ""ja"", ""en"")"),"vs_ptc_msnb_xx_lc_f_x_x_x")</f>
        <v>vs_ptc_msnb_xx_lc_f_x_x_x</v>
      </c>
    </row>
    <row r="2792" spans="1:3" ht="12.75" x14ac:dyDescent="0.2">
      <c r="A2792" s="1" t="s">
        <v>5075</v>
      </c>
      <c r="B2792" s="1" t="s">
        <v>5076</v>
      </c>
      <c r="C2792" t="str">
        <f ca="1">IFERROR(__xludf.DUMMYFUNCTION("GOOGLETRANSLATE(B2792, ""ja"", ""en"")"),"vs_ptc_msnb_xx_lc_x_x_k_x")</f>
        <v>vs_ptc_msnb_xx_lc_x_x_k_x</v>
      </c>
    </row>
    <row r="2793" spans="1:3" ht="12.75" x14ac:dyDescent="0.2">
      <c r="A2793" s="1" t="s">
        <v>5077</v>
      </c>
      <c r="B2793" s="1" t="s">
        <v>5078</v>
      </c>
      <c r="C2793" t="str">
        <f ca="1">IFERROR(__xludf.DUMMYFUNCTION("GOOGLETRANSLATE(B2793, ""ja"", ""en"")"),"vs_ptc_msnb_xx_lc_f_x_k_x")</f>
        <v>vs_ptc_msnb_xx_lc_f_x_k_x</v>
      </c>
    </row>
    <row r="2794" spans="1:3" ht="12.75" x14ac:dyDescent="0.2">
      <c r="A2794" s="1" t="s">
        <v>5079</v>
      </c>
      <c r="B2794" s="1" t="s">
        <v>5080</v>
      </c>
      <c r="C2794" t="str">
        <f ca="1">IFERROR(__xludf.DUMMYFUNCTION("GOOGLETRANSLATE(B2794, ""ja"", ""en"")"),"vs_ptc_msnb_xx_lc_x_x_x_n")</f>
        <v>vs_ptc_msnb_xx_lc_x_x_x_n</v>
      </c>
    </row>
    <row r="2795" spans="1:3" ht="12.75" x14ac:dyDescent="0.2">
      <c r="A2795" s="1" t="s">
        <v>5081</v>
      </c>
      <c r="B2795" s="1" t="s">
        <v>5082</v>
      </c>
      <c r="C2795" t="str">
        <f ca="1">IFERROR(__xludf.DUMMYFUNCTION("GOOGLETRANSLATE(B2795, ""ja"", ""en"")"),"vs_ptc_msnb_xx_lc_x_x_k_n")</f>
        <v>vs_ptc_msnb_xx_lc_x_x_k_n</v>
      </c>
    </row>
    <row r="2796" spans="1:3" ht="12.75" x14ac:dyDescent="0.2">
      <c r="A2796" s="1" t="s">
        <v>5083</v>
      </c>
      <c r="B2796" s="1" t="s">
        <v>5084</v>
      </c>
      <c r="C2796" t="str">
        <f ca="1">IFERROR(__xludf.DUMMYFUNCTION("GOOGLETRANSLATE(B2796, ""ja"", ""en"")"),"vs_ptc_msnb_xx_lv_x_x_x_x")</f>
        <v>vs_ptc_msnb_xx_lv_x_x_x_x</v>
      </c>
    </row>
    <row r="2797" spans="1:3" ht="12.75" x14ac:dyDescent="0.2">
      <c r="A2797" s="1" t="s">
        <v>5085</v>
      </c>
      <c r="B2797" s="1" t="s">
        <v>5086</v>
      </c>
      <c r="C2797" t="str">
        <f ca="1">IFERROR(__xludf.DUMMYFUNCTION("GOOGLETRANSLATE(B2797, ""ja"", ""en"")"),"vs_ptc_msnb_xx_lv_x_x_x_n")</f>
        <v>vs_ptc_msnb_xx_lv_x_x_x_n</v>
      </c>
    </row>
    <row r="2798" spans="1:3" ht="12.75" x14ac:dyDescent="0.2">
      <c r="A2798" s="1" t="s">
        <v>5087</v>
      </c>
      <c r="B2798" s="1" t="s">
        <v>5088</v>
      </c>
      <c r="C2798" t="str">
        <f ca="1">IFERROR(__xludf.DUMMYFUNCTION("GOOGLETRANSLATE(B2798, ""ja"", ""en"")"),"vs_ptc_msnb_mn_xx_x_x_x_x")</f>
        <v>vs_ptc_msnb_mn_xx_x_x_x_x</v>
      </c>
    </row>
    <row r="2799" spans="1:3" ht="12.75" x14ac:dyDescent="0.2">
      <c r="A2799" s="1" t="s">
        <v>5089</v>
      </c>
      <c r="B2799" s="1" t="s">
        <v>5090</v>
      </c>
      <c r="C2799" t="str">
        <f ca="1">IFERROR(__xludf.DUMMYFUNCTION("GOOGLETRANSLATE(B2799, ""ja"", ""en"")"),"vs_ptc_msnb_mn_xx_f_x_x_x")</f>
        <v>vs_ptc_msnb_mn_xx_f_x_x_x</v>
      </c>
    </row>
    <row r="2800" spans="1:3" ht="12.75" x14ac:dyDescent="0.2">
      <c r="A2800" s="1" t="s">
        <v>5091</v>
      </c>
      <c r="B2800" s="1" t="s">
        <v>5092</v>
      </c>
      <c r="C2800" t="str">
        <f ca="1">IFERROR(__xludf.DUMMYFUNCTION("GOOGLETRANSLATE(B2800, ""ja"", ""en"")"),"vs_ptc_msnb_mn_xx_x_a_x_x")</f>
        <v>vs_ptc_msnb_mn_xx_x_a_x_x</v>
      </c>
    </row>
    <row r="2801" spans="1:3" ht="12.75" x14ac:dyDescent="0.2">
      <c r="A2801" s="1" t="s">
        <v>5093</v>
      </c>
      <c r="B2801" s="1" t="s">
        <v>5094</v>
      </c>
      <c r="C2801" t="str">
        <f ca="1">IFERROR(__xludf.DUMMYFUNCTION("GOOGLETRANSLATE(B2801, ""ja"", ""en"")"),"vs_ptc_msnb_mn_xx_f_a_x_x")</f>
        <v>vs_ptc_msnb_mn_xx_f_a_x_x</v>
      </c>
    </row>
    <row r="2802" spans="1:3" ht="12.75" x14ac:dyDescent="0.2">
      <c r="A2802" s="1" t="s">
        <v>5095</v>
      </c>
      <c r="B2802" s="1" t="s">
        <v>5096</v>
      </c>
      <c r="C2802" t="str">
        <f ca="1">IFERROR(__xludf.DUMMYFUNCTION("GOOGLETRANSLATE(B2802, ""ja"", ""en"")"),"vs_ptc_msnb_mn_xx_x_x_k_x")</f>
        <v>vs_ptc_msnb_mn_xx_x_x_k_x</v>
      </c>
    </row>
    <row r="2803" spans="1:3" ht="12.75" x14ac:dyDescent="0.2">
      <c r="A2803" s="1" t="s">
        <v>5097</v>
      </c>
      <c r="B2803" s="1" t="s">
        <v>5098</v>
      </c>
      <c r="C2803" t="str">
        <f ca="1">IFERROR(__xludf.DUMMYFUNCTION("GOOGLETRANSLATE(B2803, ""ja"", ""en"")"),"vs_ptc_msnb_mn_xx_f_x_k_x")</f>
        <v>vs_ptc_msnb_mn_xx_f_x_k_x</v>
      </c>
    </row>
    <row r="2804" spans="1:3" ht="12.75" x14ac:dyDescent="0.2">
      <c r="A2804" s="1" t="s">
        <v>5099</v>
      </c>
      <c r="B2804" s="1" t="s">
        <v>5100</v>
      </c>
      <c r="C2804" t="str">
        <f ca="1">IFERROR(__xludf.DUMMYFUNCTION("GOOGLETRANSLATE(B2804, ""ja"", ""en"")"),"vs_ptc_msnb_mn_xx_x_a_k_x")</f>
        <v>vs_ptc_msnb_mn_xx_x_a_k_x</v>
      </c>
    </row>
    <row r="2805" spans="1:3" ht="12.75" x14ac:dyDescent="0.2">
      <c r="A2805" s="1" t="s">
        <v>5101</v>
      </c>
      <c r="B2805" s="1" t="s">
        <v>5102</v>
      </c>
      <c r="C2805" t="str">
        <f ca="1">IFERROR(__xludf.DUMMYFUNCTION("GOOGLETRANSLATE(B2805, ""ja"", ""en"")"),"vs_ptc_msnb_mn_xx_f_a_k_x")</f>
        <v>vs_ptc_msnb_mn_xx_f_a_k_x</v>
      </c>
    </row>
    <row r="2806" spans="1:3" ht="12.75" x14ac:dyDescent="0.2">
      <c r="A2806" s="1" t="s">
        <v>5103</v>
      </c>
      <c r="B2806" s="1" t="s">
        <v>5104</v>
      </c>
      <c r="C2806" t="str">
        <f ca="1">IFERROR(__xludf.DUMMYFUNCTION("GOOGLETRANSLATE(B2806, ""ja"", ""en"")"),"vs_ptc_msnb_mn_xx_x_x_x_n")</f>
        <v>vs_ptc_msnb_mn_xx_x_x_x_n</v>
      </c>
    </row>
    <row r="2807" spans="1:3" ht="12.75" x14ac:dyDescent="0.2">
      <c r="A2807" s="1" t="s">
        <v>5105</v>
      </c>
      <c r="B2807" s="1" t="s">
        <v>5106</v>
      </c>
      <c r="C2807" t="str">
        <f ca="1">IFERROR(__xludf.DUMMYFUNCTION("GOOGLETRANSLATE(B2807, ""ja"", ""en"")"),"vs_ptc_msnb_mn_xx_f_x_x_n")</f>
        <v>vs_ptc_msnb_mn_xx_f_x_x_n</v>
      </c>
    </row>
    <row r="2808" spans="1:3" ht="12.75" x14ac:dyDescent="0.2">
      <c r="A2808" s="1" t="s">
        <v>5107</v>
      </c>
      <c r="B2808" s="1" t="s">
        <v>5108</v>
      </c>
      <c r="C2808" t="str">
        <f ca="1">IFERROR(__xludf.DUMMYFUNCTION("GOOGLETRANSLATE(B2808, ""ja"", ""en"")"),"vs_ptc_msnb_mn_xx_x_x_k_n")</f>
        <v>vs_ptc_msnb_mn_xx_x_x_k_n</v>
      </c>
    </row>
    <row r="2809" spans="1:3" ht="12.75" x14ac:dyDescent="0.2">
      <c r="A2809" s="1" t="s">
        <v>5109</v>
      </c>
      <c r="B2809" s="1" t="s">
        <v>5110</v>
      </c>
      <c r="C2809" t="str">
        <f ca="1">IFERROR(__xludf.DUMMYFUNCTION("GOOGLETRANSLATE(B2809, ""ja"", ""en"")"),"vs_ptc_msnb_mn_xx_f_x_k_n")</f>
        <v>vs_ptc_msnb_mn_xx_f_x_k_n</v>
      </c>
    </row>
    <row r="2810" spans="1:3" ht="12.75" x14ac:dyDescent="0.2">
      <c r="A2810" s="1" t="s">
        <v>5111</v>
      </c>
      <c r="B2810" s="1" t="s">
        <v>5112</v>
      </c>
      <c r="C2810" t="str">
        <f ca="1">IFERROR(__xludf.DUMMYFUNCTION("GOOGLETRANSLATE(B2810, ""ja"", ""en"")"),"vs_ptc_msnb_mn_ln_x_x_k_x")</f>
        <v>vs_ptc_msnb_mn_ln_x_x_k_x</v>
      </c>
    </row>
    <row r="2811" spans="1:3" ht="12.75" x14ac:dyDescent="0.2">
      <c r="A2811" s="1" t="s">
        <v>5113</v>
      </c>
      <c r="B2811" s="1" t="s">
        <v>5114</v>
      </c>
      <c r="C2811" t="str">
        <f ca="1">IFERROR(__xludf.DUMMYFUNCTION("GOOGLETRANSLATE(B2811, ""ja"", ""en"")"),"vs_ptc_msnb_mn_ln_x_x_x_n")</f>
        <v>vs_ptc_msnb_mn_ln_x_x_x_n</v>
      </c>
    </row>
    <row r="2812" spans="1:3" ht="12.75" x14ac:dyDescent="0.2">
      <c r="A2812" s="1" t="s">
        <v>5115</v>
      </c>
      <c r="B2812" s="1" t="s">
        <v>5116</v>
      </c>
      <c r="C2812" t="str">
        <f ca="1">IFERROR(__xludf.DUMMYFUNCTION("GOOGLETRANSLATE(B2812, ""ja"", ""en"")"),"vs_ptc_msnb_mn_ln_x_x_k_n")</f>
        <v>vs_ptc_msnb_mn_ln_x_x_k_n</v>
      </c>
    </row>
    <row r="2813" spans="1:3" ht="12.75" x14ac:dyDescent="0.2">
      <c r="A2813" s="1" t="s">
        <v>5117</v>
      </c>
      <c r="B2813" s="1" t="s">
        <v>5118</v>
      </c>
      <c r="C2813" t="str">
        <f ca="1">IFERROR(__xludf.DUMMYFUNCTION("GOOGLETRANSLATE(B2813, ""ja"", ""en"")"),"vs_ptc_msnb_mn_ln_f_x_k_n")</f>
        <v>vs_ptc_msnb_mn_ln_f_x_k_n</v>
      </c>
    </row>
    <row r="2814" spans="1:3" ht="12.75" x14ac:dyDescent="0.2">
      <c r="A2814" s="1" t="s">
        <v>5119</v>
      </c>
      <c r="B2814" s="1" t="s">
        <v>5120</v>
      </c>
      <c r="C2814" t="str">
        <f ca="1">IFERROR(__xludf.DUMMYFUNCTION("GOOGLETRANSLATE(B2814, ""ja"", ""en"")"),"vs_ptc_msnb_mn_lc_x_x_x_x")</f>
        <v>vs_ptc_msnb_mn_lc_x_x_x_x</v>
      </c>
    </row>
    <row r="2815" spans="1:3" ht="12.75" x14ac:dyDescent="0.2">
      <c r="A2815" s="1" t="s">
        <v>5121</v>
      </c>
      <c r="B2815" s="1" t="s">
        <v>5122</v>
      </c>
      <c r="C2815" t="str">
        <f ca="1">IFERROR(__xludf.DUMMYFUNCTION("GOOGLETRANSLATE(B2815, ""ja"", ""en"")"),"vs_ptc_msnb_mn_lc_f_x_x_x")</f>
        <v>vs_ptc_msnb_mn_lc_f_x_x_x</v>
      </c>
    </row>
    <row r="2816" spans="1:3" ht="12.75" x14ac:dyDescent="0.2">
      <c r="A2816" s="1" t="s">
        <v>5123</v>
      </c>
      <c r="B2816" s="1" t="s">
        <v>5124</v>
      </c>
      <c r="C2816" t="str">
        <f ca="1">IFERROR(__xludf.DUMMYFUNCTION("GOOGLETRANSLATE(B2816, ""ja"", ""en"")"),"vs_ptc_msnb_mn_lc_x_x_k_x")</f>
        <v>vs_ptc_msnb_mn_lc_x_x_k_x</v>
      </c>
    </row>
    <row r="2817" spans="1:3" ht="12.75" x14ac:dyDescent="0.2">
      <c r="A2817" s="1" t="s">
        <v>5125</v>
      </c>
      <c r="B2817" s="1" t="s">
        <v>5126</v>
      </c>
      <c r="C2817" t="str">
        <f ca="1">IFERROR(__xludf.DUMMYFUNCTION("GOOGLETRANSLATE(B2817, ""ja"", ""en"")"),"vs_ptc_msnb_mn_lc_f_x_k_x")</f>
        <v>vs_ptc_msnb_mn_lc_f_x_k_x</v>
      </c>
    </row>
    <row r="2818" spans="1:3" ht="12.75" x14ac:dyDescent="0.2">
      <c r="A2818" s="1" t="s">
        <v>5127</v>
      </c>
      <c r="B2818" s="1" t="s">
        <v>5128</v>
      </c>
      <c r="C2818" t="str">
        <f ca="1">IFERROR(__xludf.DUMMYFUNCTION("GOOGLETRANSLATE(B2818, ""ja"", ""en"")"),"vs_ptc_msnb_mn_lc_f_a_k_x")</f>
        <v>vs_ptc_msnb_mn_lc_f_a_k_x</v>
      </c>
    </row>
    <row r="2819" spans="1:3" ht="12.75" x14ac:dyDescent="0.2">
      <c r="A2819" s="1" t="s">
        <v>5129</v>
      </c>
      <c r="B2819" s="1" t="s">
        <v>5130</v>
      </c>
      <c r="C2819" t="str">
        <f ca="1">IFERROR(__xludf.DUMMYFUNCTION("GOOGLETRANSLATE(B2819, ""ja"", ""en"")"),"vs_ptc_msnb_mn_lc_x_x_x_n")</f>
        <v>vs_ptc_msnb_mn_lc_x_x_x_n</v>
      </c>
    </row>
    <row r="2820" spans="1:3" ht="12.75" x14ac:dyDescent="0.2">
      <c r="A2820" s="1" t="s">
        <v>5131</v>
      </c>
      <c r="B2820" s="1" t="s">
        <v>5132</v>
      </c>
      <c r="C2820" t="str">
        <f ca="1">IFERROR(__xludf.DUMMYFUNCTION("GOOGLETRANSLATE(B2820, ""ja"", ""en"")"),"vs_ptc_msnb_mn_lc_x_x_k_n")</f>
        <v>vs_ptc_msnb_mn_lc_x_x_k_n</v>
      </c>
    </row>
    <row r="2821" spans="1:3" ht="12.75" x14ac:dyDescent="0.2">
      <c r="A2821" s="1" t="s">
        <v>5133</v>
      </c>
      <c r="B2821" s="1" t="s">
        <v>5134</v>
      </c>
      <c r="C2821" t="str">
        <f ca="1">IFERROR(__xludf.DUMMYFUNCTION("GOOGLETRANSLATE(B2821, ""ja"", ""en"")"),"vs_ptc_msnb_mn_lc_f_x_k_n")</f>
        <v>vs_ptc_msnb_mn_lc_f_x_k_n</v>
      </c>
    </row>
    <row r="2822" spans="1:3" ht="12.75" x14ac:dyDescent="0.2">
      <c r="A2822" s="1" t="s">
        <v>5135</v>
      </c>
      <c r="B2822" s="1" t="s">
        <v>5136</v>
      </c>
      <c r="C2822" t="str">
        <f ca="1">IFERROR(__xludf.DUMMYFUNCTION("GOOGLETRANSLATE(B2822, ""ja"", ""en"")"),"vs_ptc_msnb_mb_xx_x_x_x_x")</f>
        <v>vs_ptc_msnb_mb_xx_x_x_x_x</v>
      </c>
    </row>
    <row r="2823" spans="1:3" ht="12.75" x14ac:dyDescent="0.2">
      <c r="A2823" s="1" t="s">
        <v>5137</v>
      </c>
      <c r="B2823" s="1" t="s">
        <v>5138</v>
      </c>
      <c r="C2823" t="str">
        <f ca="1">IFERROR(__xludf.DUMMYFUNCTION("GOOGLETRANSLATE(B2823, ""ja"", ""en"")"),"vs_ptc_msnb_mb_xx_f_x_x_x")</f>
        <v>vs_ptc_msnb_mb_xx_f_x_x_x</v>
      </c>
    </row>
    <row r="2824" spans="1:3" ht="12.75" x14ac:dyDescent="0.2">
      <c r="A2824" s="1" t="s">
        <v>5139</v>
      </c>
      <c r="B2824" s="1" t="s">
        <v>5140</v>
      </c>
      <c r="C2824" t="str">
        <f ca="1">IFERROR(__xludf.DUMMYFUNCTION("GOOGLETRANSLATE(B2824, ""ja"", ""en"")"),"vs_ptc_msnb_mb_xx_x_a_x_x")</f>
        <v>vs_ptc_msnb_mb_xx_x_a_x_x</v>
      </c>
    </row>
    <row r="2825" spans="1:3" ht="12.75" x14ac:dyDescent="0.2">
      <c r="A2825" s="1" t="s">
        <v>5141</v>
      </c>
      <c r="B2825" s="1" t="s">
        <v>5142</v>
      </c>
      <c r="C2825" t="str">
        <f ca="1">IFERROR(__xludf.DUMMYFUNCTION("GOOGLETRANSLATE(B2825, ""ja"", ""en"")"),"vs_ptc_msnb_mb_xx_x_x_k_x")</f>
        <v>vs_ptc_msnb_mb_xx_x_x_k_x</v>
      </c>
    </row>
    <row r="2826" spans="1:3" ht="12.75" x14ac:dyDescent="0.2">
      <c r="A2826" s="1" t="s">
        <v>5143</v>
      </c>
      <c r="B2826" s="1" t="s">
        <v>5144</v>
      </c>
      <c r="C2826" t="str">
        <f ca="1">IFERROR(__xludf.DUMMYFUNCTION("GOOGLETRANSLATE(B2826, ""ja"", ""en"")"),"vs_ptc_msnb_mb_xx_f_x_k_x")</f>
        <v>vs_ptc_msnb_mb_xx_f_x_k_x</v>
      </c>
    </row>
    <row r="2827" spans="1:3" ht="12.75" x14ac:dyDescent="0.2">
      <c r="A2827" s="1" t="s">
        <v>5145</v>
      </c>
      <c r="B2827" s="1" t="s">
        <v>5146</v>
      </c>
      <c r="C2827" t="str">
        <f ca="1">IFERROR(__xludf.DUMMYFUNCTION("GOOGLETRANSLATE(B2827, ""ja"", ""en"")"),"vs_ptc_msnb_mb_xx_x_x_x_n")</f>
        <v>vs_ptc_msnb_mb_xx_x_x_x_n</v>
      </c>
    </row>
    <row r="2828" spans="1:3" ht="12.75" x14ac:dyDescent="0.2">
      <c r="A2828" s="1" t="s">
        <v>5147</v>
      </c>
      <c r="B2828" s="1" t="s">
        <v>5148</v>
      </c>
      <c r="C2828" t="str">
        <f ca="1">IFERROR(__xludf.DUMMYFUNCTION("GOOGLETRANSLATE(B2828, ""ja"", ""en"")"),"vs_ptc_msnb_mb_ln_x_x_x_x")</f>
        <v>vs_ptc_msnb_mb_ln_x_x_x_x</v>
      </c>
    </row>
    <row r="2829" spans="1:3" ht="12.75" x14ac:dyDescent="0.2">
      <c r="A2829" s="1" t="s">
        <v>5149</v>
      </c>
      <c r="B2829" s="1" t="s">
        <v>5150</v>
      </c>
      <c r="C2829" t="str">
        <f ca="1">IFERROR(__xludf.DUMMYFUNCTION("GOOGLETRANSLATE(B2829, ""ja"", ""en"")"),"vs_ptc_msnb_mb_ln_x_x_k_x")</f>
        <v>vs_ptc_msnb_mb_ln_x_x_k_x</v>
      </c>
    </row>
    <row r="2830" spans="1:3" ht="12.75" x14ac:dyDescent="0.2">
      <c r="A2830" s="1" t="s">
        <v>5151</v>
      </c>
      <c r="B2830" s="1" t="s">
        <v>5152</v>
      </c>
      <c r="C2830" t="str">
        <f ca="1">IFERROR(__xludf.DUMMYFUNCTION("GOOGLETRANSLATE(B2830, ""ja"", ""en"")"),"vs_ptc_msnb_mb_ln_x_x_x_n")</f>
        <v>vs_ptc_msnb_mb_ln_x_x_x_n</v>
      </c>
    </row>
    <row r="2831" spans="1:3" ht="12.75" x14ac:dyDescent="0.2">
      <c r="A2831" s="1" t="s">
        <v>5153</v>
      </c>
      <c r="B2831" s="1" t="s">
        <v>5154</v>
      </c>
      <c r="C2831" t="str">
        <f ca="1">IFERROR(__xludf.DUMMYFUNCTION("GOOGLETRANSLATE(B2831, ""ja"", ""en"")"),"vs_ptc_msnb_mb_ln_x_x_k_n")</f>
        <v>vs_ptc_msnb_mb_ln_x_x_k_n</v>
      </c>
    </row>
    <row r="2832" spans="1:3" ht="12.75" x14ac:dyDescent="0.2">
      <c r="A2832" s="1" t="s">
        <v>5155</v>
      </c>
      <c r="B2832" s="1" t="s">
        <v>5156</v>
      </c>
      <c r="C2832" t="str">
        <f ca="1">IFERROR(__xludf.DUMMYFUNCTION("GOOGLETRANSLATE(B2832, ""ja"", ""en"")"),"vs_ptc_msnb_mb_lc_x_x_x_x")</f>
        <v>vs_ptc_msnb_mb_lc_x_x_x_x</v>
      </c>
    </row>
    <row r="2833" spans="1:3" ht="12.75" x14ac:dyDescent="0.2">
      <c r="A2833" s="1" t="s">
        <v>5157</v>
      </c>
      <c r="B2833" s="1" t="s">
        <v>5158</v>
      </c>
      <c r="C2833" t="str">
        <f ca="1">IFERROR(__xludf.DUMMYFUNCTION("GOOGLETRANSLATE(B2833, ""ja"", ""en"")"),"vs_ptc_msnb_mb_lc_f_x_x_x")</f>
        <v>vs_ptc_msnb_mb_lc_f_x_x_x</v>
      </c>
    </row>
    <row r="2834" spans="1:3" ht="12.75" x14ac:dyDescent="0.2">
      <c r="A2834" s="1" t="s">
        <v>5159</v>
      </c>
      <c r="B2834" s="1" t="s">
        <v>5160</v>
      </c>
      <c r="C2834" t="str">
        <f ca="1">IFERROR(__xludf.DUMMYFUNCTION("GOOGLETRANSLATE(B2834, ""ja"", ""en"")"),"vs_ptc_msnb_mb_lc_x_x_k_x")</f>
        <v>vs_ptc_msnb_mb_lc_x_x_k_x</v>
      </c>
    </row>
    <row r="2835" spans="1:3" ht="12.75" x14ac:dyDescent="0.2">
      <c r="A2835" s="1" t="s">
        <v>5161</v>
      </c>
      <c r="B2835" s="1" t="s">
        <v>5162</v>
      </c>
      <c r="C2835" t="str">
        <f ca="1">IFERROR(__xludf.DUMMYFUNCTION("GOOGLETRANSLATE(B2835, ""ja"", ""en"")"),"vs_ptc_msnb_mb_lc_x_x_x_n")</f>
        <v>vs_ptc_msnb_mb_lc_x_x_x_n</v>
      </c>
    </row>
    <row r="2836" spans="1:3" ht="12.75" x14ac:dyDescent="0.2">
      <c r="A2836" s="1" t="s">
        <v>5163</v>
      </c>
      <c r="B2836" s="1" t="s">
        <v>5164</v>
      </c>
      <c r="C2836" t="str">
        <f ca="1">IFERROR(__xludf.DUMMYFUNCTION("GOOGLETRANSLATE(B2836, ""ja"", ""en"")"),"vs_ptc_msnb_mb_lc_x_x_k_n")</f>
        <v>vs_ptc_msnb_mb_lc_x_x_k_n</v>
      </c>
    </row>
    <row r="2837" spans="1:3" ht="12.75" x14ac:dyDescent="0.2">
      <c r="A2837" s="1" t="s">
        <v>5165</v>
      </c>
      <c r="B2837" s="1" t="s">
        <v>5166</v>
      </c>
      <c r="C2837" t="str">
        <f ca="1">IFERROR(__xludf.DUMMYFUNCTION("GOOGLETRANSLATE(B2837, ""ja"", ""en"")"),"vs_ptc_msnb_mb_lv_x_x_x_x")</f>
        <v>vs_ptc_msnb_mb_lv_x_x_x_x</v>
      </c>
    </row>
    <row r="2838" spans="1:3" ht="12.75" x14ac:dyDescent="0.2">
      <c r="A2838" s="1" t="s">
        <v>5167</v>
      </c>
      <c r="B2838" s="1" t="s">
        <v>5168</v>
      </c>
      <c r="C2838" t="str">
        <f ca="1">IFERROR(__xludf.DUMMYFUNCTION("GOOGLETRANSLATE(B2838, ""ja"", ""en"")"),"vs_ptc_msnb_mr_xx_x_x_x_x")</f>
        <v>vs_ptc_msnb_mr_xx_x_x_x_x</v>
      </c>
    </row>
    <row r="2839" spans="1:3" ht="12.75" x14ac:dyDescent="0.2">
      <c r="A2839" s="1" t="s">
        <v>5169</v>
      </c>
      <c r="B2839" s="1" t="s">
        <v>5170</v>
      </c>
      <c r="C2839" t="str">
        <f ca="1">IFERROR(__xludf.DUMMYFUNCTION("GOOGLETRANSLATE(B2839, ""ja"", ""en"")"),"vs_ptc_msnb_mr_xx_f_x_x_x")</f>
        <v>vs_ptc_msnb_mr_xx_f_x_x_x</v>
      </c>
    </row>
    <row r="2840" spans="1:3" ht="12.75" x14ac:dyDescent="0.2">
      <c r="A2840" s="1" t="s">
        <v>5171</v>
      </c>
      <c r="B2840" s="1" t="s">
        <v>5172</v>
      </c>
      <c r="C2840" t="str">
        <f ca="1">IFERROR(__xludf.DUMMYFUNCTION("GOOGLETRANSLATE(B2840, ""ja"", ""en"")"),"vs_ptc_msnb_mr_xx_x_x_k_x")</f>
        <v>vs_ptc_msnb_mr_xx_x_x_k_x</v>
      </c>
    </row>
    <row r="2841" spans="1:3" ht="12.75" x14ac:dyDescent="0.2">
      <c r="A2841" s="1" t="s">
        <v>5173</v>
      </c>
      <c r="B2841" s="1" t="s">
        <v>5174</v>
      </c>
      <c r="C2841" t="str">
        <f ca="1">IFERROR(__xludf.DUMMYFUNCTION("GOOGLETRANSLATE(B2841, ""ja"", ""en"")"),"vs_ptc_msnb_mr_xx_x_x_x_n")</f>
        <v>vs_ptc_msnb_mr_xx_x_x_x_n</v>
      </c>
    </row>
    <row r="2842" spans="1:3" ht="12.75" x14ac:dyDescent="0.2">
      <c r="A2842" s="1" t="s">
        <v>5175</v>
      </c>
      <c r="B2842" s="1" t="s">
        <v>5176</v>
      </c>
      <c r="C2842" t="str">
        <f ca="1">IFERROR(__xludf.DUMMYFUNCTION("GOOGLETRANSLATE(B2842, ""ja"", ""en"")"),"vs_ptc_msnb_mr_lc_x_x_x_x")</f>
        <v>vs_ptc_msnb_mr_lc_x_x_x_x</v>
      </c>
    </row>
    <row r="2843" spans="1:3" ht="12.75" x14ac:dyDescent="0.2">
      <c r="A2843" s="1" t="s">
        <v>5177</v>
      </c>
      <c r="B2843" s="1" t="s">
        <v>5178</v>
      </c>
      <c r="C2843" t="str">
        <f ca="1">IFERROR(__xludf.DUMMYFUNCTION("GOOGLETRANSLATE(B2843, ""ja"", ""en"")"),"vs_ptc_msnb_mr_lc_f_x_x_x")</f>
        <v>vs_ptc_msnb_mr_lc_f_x_x_x</v>
      </c>
    </row>
    <row r="2844" spans="1:3" ht="12.75" x14ac:dyDescent="0.2">
      <c r="A2844" s="1" t="s">
        <v>5179</v>
      </c>
      <c r="B2844" s="1" t="s">
        <v>5180</v>
      </c>
      <c r="C2844" t="str">
        <f ca="1">IFERROR(__xludf.DUMMYFUNCTION("GOOGLETRANSLATE(B2844, ""ja"", ""en"")"),"vs_ptc_msnb_mr_lc_x_x_k_x")</f>
        <v>vs_ptc_msnb_mr_lc_x_x_k_x</v>
      </c>
    </row>
    <row r="2845" spans="1:3" ht="12.75" x14ac:dyDescent="0.2">
      <c r="A2845" s="1" t="s">
        <v>5181</v>
      </c>
      <c r="B2845" s="1" t="s">
        <v>5182</v>
      </c>
      <c r="C2845" t="str">
        <f ca="1">IFERROR(__xludf.DUMMYFUNCTION("GOOGLETRANSLATE(B2845, ""ja"", ""en"")"),"vs_ptc_msnb_me_xx_x_x_x_x")</f>
        <v>vs_ptc_msnb_me_xx_x_x_x_x</v>
      </c>
    </row>
    <row r="2846" spans="1:3" ht="12.75" x14ac:dyDescent="0.2">
      <c r="A2846" s="1" t="s">
        <v>5183</v>
      </c>
      <c r="B2846" s="1" t="s">
        <v>5184</v>
      </c>
      <c r="C2846" t="str">
        <f ca="1">IFERROR(__xludf.DUMMYFUNCTION("GOOGLETRANSLATE(B2846, ""ja"", ""en"")"),"vs_ptc_msnb_me_lc_x_x_x_x")</f>
        <v>vs_ptc_msnb_me_lc_x_x_x_x</v>
      </c>
    </row>
    <row r="2847" spans="1:3" ht="12.75" x14ac:dyDescent="0.2">
      <c r="A2847" s="1" t="s">
        <v>5185</v>
      </c>
      <c r="B2847" s="1" t="s">
        <v>5186</v>
      </c>
      <c r="C2847" t="str">
        <f ca="1">IFERROR(__xludf.DUMMYFUNCTION("GOOGLETRANSLATE(B2847, ""ja"", ""en"")"),"vs_grass_instancing")</f>
        <v>vs_grass_instancing</v>
      </c>
    </row>
    <row r="2848" spans="1:3" ht="12.75" x14ac:dyDescent="0.2">
      <c r="A2848" s="1" t="s">
        <v>5187</v>
      </c>
      <c r="B2848" s="1" t="s">
        <v>5188</v>
      </c>
      <c r="C2848" t="str">
        <f ca="1">IFERROR(__xludf.DUMMYFUNCTION("GOOGLETRANSLATE(B2848, ""ja"", ""en"")"),"vs_shadow1_normal")</f>
        <v>vs_shadow1_normal</v>
      </c>
    </row>
    <row r="2849" spans="1:3" ht="12.75" x14ac:dyDescent="0.2">
      <c r="A2849" s="1" t="s">
        <v>5189</v>
      </c>
      <c r="B2849" s="1" t="s">
        <v>5190</v>
      </c>
      <c r="C2849" t="str">
        <f ca="1">IFERROR(__xludf.DUMMYFUNCTION("GOOGLETRANSLATE(B2849, ""ja"", ""en"")"),"vs_shadow1_skin")</f>
        <v>vs_shadow1_skin</v>
      </c>
    </row>
    <row r="2850" spans="1:3" ht="12.75" x14ac:dyDescent="0.2">
      <c r="A2850" s="1" t="s">
        <v>5191</v>
      </c>
      <c r="B2850" s="1" t="s">
        <v>5192</v>
      </c>
      <c r="C2850" t="str">
        <f ca="1">IFERROR(__xludf.DUMMYFUNCTION("GOOGLETRANSLATE(B2850, ""ja"", ""en"")"),"vs_shadow2_normal")</f>
        <v>vs_shadow2_normal</v>
      </c>
    </row>
    <row r="2851" spans="1:3" ht="12.75" x14ac:dyDescent="0.2">
      <c r="A2851" s="1" t="s">
        <v>5193</v>
      </c>
      <c r="B2851" s="1" t="s">
        <v>5194</v>
      </c>
      <c r="C2851" t="str">
        <f ca="1">IFERROR(__xludf.DUMMYFUNCTION("GOOGLETRANSLATE(B2851, ""ja"", ""en"")"),"vs_shadow2_skin")</f>
        <v>vs_shadow2_skin</v>
      </c>
    </row>
    <row r="2852" spans="1:3" ht="12.75" x14ac:dyDescent="0.2">
      <c r="A2852" s="1" t="s">
        <v>5195</v>
      </c>
      <c r="B2852" s="1" t="s">
        <v>5196</v>
      </c>
      <c r="C2852" t="str">
        <f ca="1">IFERROR(__xludf.DUMMYFUNCTION("GOOGLETRANSLATE(B2852, ""ja"", ""en"")"),"vs_shadowmap_normal")</f>
        <v>vs_shadowmap_normal</v>
      </c>
    </row>
    <row r="2853" spans="1:3" ht="12.75" x14ac:dyDescent="0.2">
      <c r="A2853" s="1" t="s">
        <v>5197</v>
      </c>
      <c r="B2853" s="1" t="s">
        <v>5198</v>
      </c>
      <c r="C2853" t="str">
        <f ca="1">IFERROR(__xludf.DUMMYFUNCTION("GOOGLETRANSLATE(B2853, ""ja"", ""en"")"),"vs_shadowmap_normal_pt")</f>
        <v>vs_shadowmap_normal_pt</v>
      </c>
    </row>
    <row r="2854" spans="1:3" ht="12.75" x14ac:dyDescent="0.2">
      <c r="A2854" s="1" t="s">
        <v>5199</v>
      </c>
      <c r="B2854" s="1" t="s">
        <v>5200</v>
      </c>
      <c r="C2854" t="str">
        <f ca="1">IFERROR(__xludf.DUMMYFUNCTION("GOOGLETRANSLATE(B2854, ""ja"", ""en"")"),"vs_shadowmap_skin")</f>
        <v>vs_shadowmap_skin</v>
      </c>
    </row>
    <row r="2855" spans="1:3" ht="12.75" x14ac:dyDescent="0.2">
      <c r="A2855" s="1" t="s">
        <v>5201</v>
      </c>
      <c r="B2855" s="1" t="s">
        <v>5202</v>
      </c>
      <c r="C2855" t="str">
        <f ca="1">IFERROR(__xludf.DUMMYFUNCTION("GOOGLETRANSLATE(B2855, ""ja"", ""en"")"),"vs_shadowmap_blur")</f>
        <v>vs_shadowmap_blur</v>
      </c>
    </row>
    <row r="2856" spans="1:3" ht="12.75" x14ac:dyDescent="0.2">
      <c r="A2856" s="1" t="s">
        <v>5203</v>
      </c>
      <c r="B2856" s="1" t="s">
        <v>5204</v>
      </c>
      <c r="C2856" t="str">
        <f ca="1">IFERROR(__xludf.DUMMYFUNCTION("GOOGLETRANSLATE(B2856, ""ja"", ""en"")"),"vs_shadowmap_blur_light")</f>
        <v>vs_shadowmap_blur_light</v>
      </c>
    </row>
    <row r="2857" spans="1:3" ht="12.75" x14ac:dyDescent="0.2">
      <c r="A2857" s="1" t="s">
        <v>5205</v>
      </c>
      <c r="B2857" s="1" t="s">
        <v>5206</v>
      </c>
      <c r="C2857" t="str">
        <f ca="1">IFERROR(__xludf.DUMMYFUNCTION("GOOGLETRANSLATE(B2857, ""ja"", ""en"")"),"vs_glow_pass1")</f>
        <v>vs_glow_pass1</v>
      </c>
    </row>
    <row r="2858" spans="1:3" ht="12.75" x14ac:dyDescent="0.2">
      <c r="A2858" s="1" t="s">
        <v>5207</v>
      </c>
      <c r="B2858" s="1" t="s">
        <v>5208</v>
      </c>
      <c r="C2858" t="str">
        <f ca="1">IFERROR(__xludf.DUMMYFUNCTION("GOOGLETRANSLATE(B2858, ""ja"", ""en"")"),"vs_glow_pass2")</f>
        <v>vs_glow_pass2</v>
      </c>
    </row>
    <row r="2859" spans="1:3" ht="12.75" x14ac:dyDescent="0.2">
      <c r="A2859" s="1" t="s">
        <v>5209</v>
      </c>
      <c r="B2859" s="1" t="s">
        <v>5210</v>
      </c>
      <c r="C2859" t="str">
        <f ca="1">IFERROR(__xludf.DUMMYFUNCTION("GOOGLETRANSLATE(B2859, ""ja"", ""en"")"),"vs_glow_pass2_5")</f>
        <v>vs_glow_pass2_5</v>
      </c>
    </row>
    <row r="2860" spans="1:3" ht="12.75" x14ac:dyDescent="0.2">
      <c r="A2860" s="1" t="s">
        <v>5211</v>
      </c>
      <c r="B2860" s="1" t="s">
        <v>5212</v>
      </c>
      <c r="C2860" t="str">
        <f ca="1">IFERROR(__xludf.DUMMYFUNCTION("GOOGLETRANSLATE(B2860, ""ja"", ""en"")"),"vs_shadow_volume")</f>
        <v>vs_shadow_volume</v>
      </c>
    </row>
    <row r="2861" spans="1:3" ht="12.75" x14ac:dyDescent="0.2">
      <c r="A2861" s="1" t="s">
        <v>5213</v>
      </c>
      <c r="B2861" s="1" t="s">
        <v>5214</v>
      </c>
      <c r="C2861" t="str">
        <f ca="1">IFERROR(__xludf.DUMMYFUNCTION("GOOGLETRANSLATE(B2861, ""ja"", ""en"")"),"vs_focus_blur_pass1_2_blur")</f>
        <v>vs_focus_blur_pass1_2_blur</v>
      </c>
    </row>
    <row r="2862" spans="1:3" ht="12.75" x14ac:dyDescent="0.2">
      <c r="A2862" s="1" t="s">
        <v>5215</v>
      </c>
      <c r="B2862" s="1" t="s">
        <v>5216</v>
      </c>
      <c r="C2862" t="str">
        <f ca="1">IFERROR(__xludf.DUMMYFUNCTION("GOOGLETRANSLATE(B2862, ""ja"", ""en"")"),"vs_focus_blur_pass2")</f>
        <v>vs_focus_blur_pass2</v>
      </c>
    </row>
    <row r="2863" spans="1:3" ht="12.75" x14ac:dyDescent="0.2">
      <c r="A2863" s="1" t="s">
        <v>5217</v>
      </c>
      <c r="B2863" s="1" t="s">
        <v>5218</v>
      </c>
      <c r="C2863" t="str">
        <f ca="1">IFERROR(__xludf.DUMMYFUNCTION("GOOGLETRANSLATE(B2863, ""ja"", ""en"")"),"vs_focus_blur_pass2_mask")</f>
        <v>vs_focus_blur_pass2_mask</v>
      </c>
    </row>
    <row r="2864" spans="1:3" ht="12.75" x14ac:dyDescent="0.2">
      <c r="A2864" s="1" t="s">
        <v>5219</v>
      </c>
      <c r="B2864" s="1" t="s">
        <v>5220</v>
      </c>
      <c r="C2864" t="str">
        <f ca="1">IFERROR(__xludf.DUMMYFUNCTION("GOOGLETRANSLATE(B2864, ""ja"", ""en"")"),"vs_track_ref")</f>
        <v>vs_track_ref</v>
      </c>
    </row>
    <row r="2865" spans="1:3" ht="12.75" x14ac:dyDescent="0.2">
      <c r="A2865" s="1" t="s">
        <v>5221</v>
      </c>
      <c r="B2865" s="1" t="s">
        <v>5222</v>
      </c>
      <c r="C2865" t="str">
        <f ca="1">IFERROR(__xludf.DUMMYFUNCTION("GOOGLETRANSLATE(B2865, ""ja"", ""en"")"),"vs_shadow1_normal_pt")</f>
        <v>vs_shadow1_normal_pt</v>
      </c>
    </row>
    <row r="2866" spans="1:3" ht="12.75" x14ac:dyDescent="0.2">
      <c r="A2866" s="1" t="s">
        <v>5223</v>
      </c>
      <c r="B2866" s="1" t="s">
        <v>5224</v>
      </c>
      <c r="C2866" t="str">
        <f ca="1">IFERROR(__xludf.DUMMYFUNCTION("GOOGLETRANSLATE(B2866, ""ja"", ""en"")"),"vs_shadow1_skin_pt")</f>
        <v>vs_shadow1_skin_pt</v>
      </c>
    </row>
    <row r="2867" spans="1:3" ht="12.75" x14ac:dyDescent="0.2">
      <c r="A2867" s="1" t="s">
        <v>5225</v>
      </c>
      <c r="B2867" s="1" t="s">
        <v>5226</v>
      </c>
      <c r="C2867" t="str">
        <f ca="1">IFERROR(__xludf.DUMMYFUNCTION("GOOGLETRANSLATE(B2867, ""ja"", ""en"")"),"vs_shadow2_normal_pt")</f>
        <v>vs_shadow2_normal_pt</v>
      </c>
    </row>
    <row r="2868" spans="1:3" ht="12.75" x14ac:dyDescent="0.2">
      <c r="A2868" s="1" t="s">
        <v>5227</v>
      </c>
      <c r="B2868" s="1" t="s">
        <v>5228</v>
      </c>
      <c r="C2868" t="str">
        <f ca="1">IFERROR(__xludf.DUMMYFUNCTION("GOOGLETRANSLATE(B2868, ""ja"", ""en"")"),"vs_shadow2_skin_pt")</f>
        <v>vs_shadow2_skin_pt</v>
      </c>
    </row>
    <row r="2869" spans="1:3" ht="12.75" x14ac:dyDescent="0.2">
      <c r="A2869" s="1" t="s">
        <v>5229</v>
      </c>
      <c r="B2869" s="1" t="s">
        <v>5230</v>
      </c>
      <c r="C2869" t="str">
        <f ca="1">IFERROR(__xludf.DUMMYFUNCTION("GOOGLETRANSLATE(B2869, ""ja"", ""en"")"),"vs_afterimage_mblur01")</f>
        <v>vs_afterimage_mblur01</v>
      </c>
    </row>
    <row r="2870" spans="1:3" ht="12.75" x14ac:dyDescent="0.2">
      <c r="A2870" s="1" t="s">
        <v>5231</v>
      </c>
      <c r="B2870" s="1" t="s">
        <v>5232</v>
      </c>
      <c r="C2870" t="str">
        <f ca="1">IFERROR(__xludf.DUMMYFUNCTION("GOOGLETRANSLATE(B2870, ""ja"", ""en"")"),"vs_glass_water_bf")</f>
        <v>vs_glass_water_bf</v>
      </c>
    </row>
    <row r="2871" spans="1:3" ht="12.75" x14ac:dyDescent="0.2">
      <c r="A2871" s="1" t="s">
        <v>5233</v>
      </c>
      <c r="B2871" s="1" t="s">
        <v>5234</v>
      </c>
      <c r="C2871" t="str">
        <f ca="1">IFERROR(__xludf.DUMMYFUNCTION("GOOGLETRANSLATE(B2871, ""ja"", ""en"")"),"vs_glass_water_bf2")</f>
        <v>vs_glass_water_bf2</v>
      </c>
    </row>
    <row r="2872" spans="1:3" ht="12.75" x14ac:dyDescent="0.2">
      <c r="A2872" s="1" t="s">
        <v>5235</v>
      </c>
      <c r="B2872" s="1" t="s">
        <v>5236</v>
      </c>
      <c r="C2872" t="str">
        <f ca="1">IFERROR(__xludf.DUMMYFUNCTION("GOOGLETRANSLATE(B2872, ""ja"", ""en"")"),"vs_glass_water")</f>
        <v>vs_glass_water</v>
      </c>
    </row>
    <row r="2873" spans="1:3" ht="12.75" x14ac:dyDescent="0.2">
      <c r="A2873" s="1" t="s">
        <v>5237</v>
      </c>
      <c r="B2873" s="1" t="s">
        <v>5238</v>
      </c>
      <c r="C2873" t="str">
        <f ca="1">IFERROR(__xludf.DUMMYFUNCTION("GOOGLETRANSLATE(B2873, ""ja"", ""en"")"),"vs_glass_water2")</f>
        <v>vs_glass_water2</v>
      </c>
    </row>
    <row r="2874" spans="1:3" ht="12.75" x14ac:dyDescent="0.2">
      <c r="A2874" s="1" t="s">
        <v>5239</v>
      </c>
      <c r="B2874" s="1" t="s">
        <v>5240</v>
      </c>
      <c r="C2874" t="str">
        <f ca="1">IFERROR(__xludf.DUMMYFUNCTION("GOOGLETRANSLATE(B2874, ""ja"", ""en"")"),"vs_body_damage_skin0")</f>
        <v>vs_body_damage_skin0</v>
      </c>
    </row>
    <row r="2875" spans="1:3" ht="12.75" x14ac:dyDescent="0.2">
      <c r="A2875" s="1" t="s">
        <v>5241</v>
      </c>
      <c r="B2875" s="1" t="s">
        <v>5242</v>
      </c>
      <c r="C2875" t="str">
        <f ca="1">IFERROR(__xludf.DUMMYFUNCTION("GOOGLETRANSLATE(B2875, ""ja"", ""en"")"),"vs_body_damage_skin0_sp")</f>
        <v>vs_body_damage_skin0_sp</v>
      </c>
    </row>
    <row r="2876" spans="1:3" ht="12.75" x14ac:dyDescent="0.2">
      <c r="A2876" s="1" t="s">
        <v>5243</v>
      </c>
      <c r="B2876" s="1" t="s">
        <v>5244</v>
      </c>
      <c r="C2876" t="str">
        <f ca="1">IFERROR(__xludf.DUMMYFUNCTION("GOOGLETRANSLATE(B2876, ""ja"", ""en"")"),"vs_body_shockwave_p1_skin0")</f>
        <v>vs_body_shockwave_p1_skin0</v>
      </c>
    </row>
    <row r="2877" spans="1:3" ht="12.75" x14ac:dyDescent="0.2">
      <c r="A2877" s="1" t="s">
        <v>5245</v>
      </c>
      <c r="B2877" s="1" t="s">
        <v>5246</v>
      </c>
      <c r="C2877" t="str">
        <f ca="1">IFERROR(__xludf.DUMMYFUNCTION("GOOGLETRANSLATE(B2877, ""ja"", ""en"")"),"vs_body_shockwave_skin0")</f>
        <v>vs_body_shockwave_skin0</v>
      </c>
    </row>
    <row r="2878" spans="1:3" ht="12.75" x14ac:dyDescent="0.2">
      <c r="A2878" s="1" t="s">
        <v>5247</v>
      </c>
      <c r="B2878" s="1" t="s">
        <v>5248</v>
      </c>
      <c r="C2878" t="str">
        <f ca="1">IFERROR(__xludf.DUMMYFUNCTION("GOOGLETRANSLATE(B2878, ""ja"", ""en"")"),"vs_highlight_mask_skin0")</f>
        <v>vs_highlight_mask_skin0</v>
      </c>
    </row>
    <row r="2879" spans="1:3" ht="12.75" x14ac:dyDescent="0.2">
      <c r="A2879" s="1" t="s">
        <v>5249</v>
      </c>
      <c r="B2879" s="1" t="s">
        <v>5250</v>
      </c>
      <c r="C2879" t="str">
        <f ca="1">IFERROR(__xludf.DUMMYFUNCTION("GOOGLETRANSLATE(B2879, ""ja"", ""en"")"),"vs_highlight_mask_skin0_pt")</f>
        <v>vs_highlight_mask_skin0_pt</v>
      </c>
    </row>
    <row r="2880" spans="1:3" ht="12.75" x14ac:dyDescent="0.2">
      <c r="A2880" s="1" t="s">
        <v>5251</v>
      </c>
      <c r="B2880" s="1" t="s">
        <v>5252</v>
      </c>
      <c r="C2880" t="str">
        <f ca="1">IFERROR(__xludf.DUMMYFUNCTION("GOOGLETRANSLATE(B2880, ""ja"", ""en"")"),"vs_highlight_mask_normal0")</f>
        <v>vs_highlight_mask_normal0</v>
      </c>
    </row>
    <row r="2881" spans="1:3" ht="12.75" x14ac:dyDescent="0.2">
      <c r="A2881" s="1" t="s">
        <v>5253</v>
      </c>
      <c r="B2881" s="1" t="s">
        <v>5254</v>
      </c>
      <c r="C2881" t="str">
        <f ca="1">IFERROR(__xludf.DUMMYFUNCTION("GOOGLETRANSLATE(B2881, ""ja"", ""en"")"),"vs_discoball_scat")</f>
        <v>vs_discoball_scat</v>
      </c>
    </row>
    <row r="2882" spans="1:3" ht="12.75" x14ac:dyDescent="0.2">
      <c r="A2882" s="1" t="s">
        <v>5255</v>
      </c>
      <c r="B2882" s="1" t="s">
        <v>5256</v>
      </c>
      <c r="C2882" t="str">
        <f ca="1">IFERROR(__xludf.DUMMYFUNCTION("GOOGLETRANSLATE(B2882, ""ja"", ""en"")"),"vs_down_sample_2x4")</f>
        <v>vs_down_sample_2x4</v>
      </c>
    </row>
    <row r="2883" spans="1:3" ht="12.75" x14ac:dyDescent="0.2">
      <c r="A2883" s="1" t="s">
        <v>5257</v>
      </c>
      <c r="B2883" s="1" t="s">
        <v>5258</v>
      </c>
      <c r="C2883" t="str">
        <f ca="1">IFERROR(__xludf.DUMMYFUNCTION("GOOGLETRANSLATE(B2883, ""ja"", ""en"")"),"vs_down_sample_4x4")</f>
        <v>vs_down_sample_4x4</v>
      </c>
    </row>
    <row r="2884" spans="1:3" ht="12.75" x14ac:dyDescent="0.2">
      <c r="A2884" s="1" t="s">
        <v>5259</v>
      </c>
      <c r="B2884" s="1" t="s">
        <v>5260</v>
      </c>
      <c r="C2884" t="str">
        <f ca="1">IFERROR(__xludf.DUMMYFUNCTION("GOOGLETRANSLATE(B2884, ""ja"", ""en"")"),"vs_down_sample_8x8")</f>
        <v>vs_down_sample_8x8</v>
      </c>
    </row>
    <row r="2885" spans="1:3" ht="12.75" x14ac:dyDescent="0.2">
      <c r="A2885" s="1" t="s">
        <v>5261</v>
      </c>
      <c r="B2885" s="1" t="s">
        <v>5262</v>
      </c>
      <c r="C2885" t="str">
        <f ca="1">IFERROR(__xludf.DUMMYFUNCTION("GOOGLETRANSLATE(B2885, ""ja"", ""en"")"),"vs_pack_alpha")</f>
        <v>vs_pack_alpha</v>
      </c>
    </row>
    <row r="2886" spans="1:3" ht="12.75" x14ac:dyDescent="0.2">
      <c r="A2886" s="1" t="s">
        <v>5263</v>
      </c>
      <c r="B2886" s="1" t="s">
        <v>5264</v>
      </c>
      <c r="C2886" t="str">
        <f ca="1">IFERROR(__xludf.DUMMYFUNCTION("GOOGLETRANSLATE(B2886, ""ja"", ""en"")"),"vs_lerp")</f>
        <v>vs_lerp</v>
      </c>
    </row>
    <row r="2887" spans="1:3" ht="12.75" x14ac:dyDescent="0.2">
      <c r="A2887" s="1" t="s">
        <v>5265</v>
      </c>
      <c r="B2887" s="1" t="s">
        <v>5266</v>
      </c>
      <c r="C2887" t="str">
        <f ca="1">IFERROR(__xludf.DUMMYFUNCTION("GOOGLETRANSLATE(B2887, ""ja"", ""en"")"),"vs_z_depth")</f>
        <v>vs_z_depth</v>
      </c>
    </row>
    <row r="2888" spans="1:3" ht="12.75" x14ac:dyDescent="0.2">
      <c r="A2888" s="1" t="s">
        <v>5267</v>
      </c>
      <c r="B2888" s="1" t="s">
        <v>5268</v>
      </c>
      <c r="C2888" t="str">
        <f ca="1">IFERROR(__xludf.DUMMYFUNCTION("GOOGLETRANSLATE(B2888, ""ja"", ""en"")"),"vs_hflash_edge")</f>
        <v>vs_hflash_edge</v>
      </c>
    </row>
    <row r="2889" spans="1:3" ht="12.75" x14ac:dyDescent="0.2">
      <c r="A2889" s="1" t="s">
        <v>5269</v>
      </c>
      <c r="B2889" s="1" t="s">
        <v>5270</v>
      </c>
      <c r="C2889" t="str">
        <f ca="1">IFERROR(__xludf.DUMMYFUNCTION("GOOGLETRANSLATE(B2889, ""ja"", ""en"")"),"vs_hflash_edge_cloth")</f>
        <v>vs_hflash_edge_cloth</v>
      </c>
    </row>
    <row r="2890" spans="1:3" ht="12.75" x14ac:dyDescent="0.2">
      <c r="A2890" s="1" t="s">
        <v>5271</v>
      </c>
      <c r="B2890" s="1" t="s">
        <v>5272</v>
      </c>
      <c r="C2890" t="str">
        <f ca="1">IFERROR(__xludf.DUMMYFUNCTION("GOOGLETRANSLATE(B2890, ""ja"", ""en"")"),"vs_hflash_edge_ex")</f>
        <v>vs_hflash_edge_ex</v>
      </c>
    </row>
    <row r="2891" spans="1:3" ht="12.75" x14ac:dyDescent="0.2">
      <c r="A2891" s="1" t="s">
        <v>5273</v>
      </c>
      <c r="B2891" s="1" t="s">
        <v>5274</v>
      </c>
      <c r="C2891" t="str">
        <f ca="1">IFERROR(__xludf.DUMMYFUNCTION("GOOGLETRANSLATE(B2891, ""ja"", ""en"")"),"vs_hflash_edge_ex_cloth")</f>
        <v>vs_hflash_edge_ex_cloth</v>
      </c>
    </row>
    <row r="2892" spans="1:3" ht="12.75" x14ac:dyDescent="0.2">
      <c r="A2892" s="1" t="s">
        <v>5275</v>
      </c>
      <c r="B2892" s="1" t="s">
        <v>5276</v>
      </c>
      <c r="C2892" t="str">
        <f ca="1">IFERROR(__xludf.DUMMYFUNCTION("GOOGLETRANSLATE(B2892, ""ja"", ""en"")"),"vs_perlinnoise4")</f>
        <v>vs_perlinnoise4</v>
      </c>
    </row>
    <row r="2893" spans="1:3" ht="12.75" x14ac:dyDescent="0.2">
      <c r="A2893" s="1" t="s">
        <v>5277</v>
      </c>
      <c r="B2893" s="1" t="s">
        <v>5278</v>
      </c>
      <c r="C2893" t="str">
        <f ca="1">IFERROR(__xludf.DUMMYFUNCTION("GOOGLETRANSLATE(B2893, ""ja"", ""en"")"),"vs_transform_p")</f>
        <v>vs_transform_p</v>
      </c>
    </row>
    <row r="2894" spans="1:3" ht="12.75" x14ac:dyDescent="0.2">
      <c r="A2894" s="1" t="s">
        <v>5279</v>
      </c>
      <c r="B2894" s="1" t="s">
        <v>5280</v>
      </c>
      <c r="C2894" t="str">
        <f ca="1">IFERROR(__xludf.DUMMYFUNCTION("GOOGLETRANSLATE(B2894, ""ja"", ""en"")"),"vs_w2d")</f>
        <v>vs_w2d</v>
      </c>
    </row>
    <row r="2895" spans="1:3" ht="12.75" x14ac:dyDescent="0.2">
      <c r="A2895" s="1" t="s">
        <v>5281</v>
      </c>
      <c r="B2895" s="1" t="s">
        <v>5282</v>
      </c>
      <c r="C2895" t="str">
        <f ca="1">IFERROR(__xludf.DUMMYFUNCTION("GOOGLETRANSLATE(B2895, ""ja"", ""en"")"),"vs_normal_rigid")</f>
        <v>vs_normal_rigid</v>
      </c>
    </row>
    <row r="2896" spans="1:3" ht="12.75" x14ac:dyDescent="0.2">
      <c r="A2896" s="1" t="s">
        <v>5283</v>
      </c>
      <c r="B2896" s="1" t="s">
        <v>5284</v>
      </c>
      <c r="C2896" t="str">
        <f ca="1">IFERROR(__xludf.DUMMYFUNCTION("GOOGLETRANSLATE(B2896, ""ja"", ""en"")"),"vs_normal_rigid_pt")</f>
        <v>vs_normal_rigid_pt</v>
      </c>
    </row>
    <row r="2897" spans="1:3" ht="12.75" x14ac:dyDescent="0.2">
      <c r="A2897" s="1" t="s">
        <v>5285</v>
      </c>
      <c r="B2897" s="1" t="s">
        <v>5286</v>
      </c>
      <c r="C2897" t="str">
        <f ca="1">IFERROR(__xludf.DUMMYFUNCTION("GOOGLETRANSLATE(B2897, ""ja"", ""en"")"),"vs_normal_skin")</f>
        <v>vs_normal_skin</v>
      </c>
    </row>
    <row r="2898" spans="1:3" ht="12.75" x14ac:dyDescent="0.2">
      <c r="A2898" s="1" t="s">
        <v>5287</v>
      </c>
      <c r="B2898" s="1" t="s">
        <v>5288</v>
      </c>
      <c r="C2898" t="str">
        <f ca="1">IFERROR(__xludf.DUMMYFUNCTION("GOOGLETRANSLATE(B2898, ""ja"", ""en"")"),"vs_normal_skin_pt")</f>
        <v>vs_normal_skin_pt</v>
      </c>
    </row>
    <row r="2899" spans="1:3" ht="12.75" x14ac:dyDescent="0.2">
      <c r="A2899" s="1" t="s">
        <v>5289</v>
      </c>
      <c r="B2899" s="1" t="s">
        <v>5290</v>
      </c>
      <c r="C2899" t="str">
        <f ca="1">IFERROR(__xludf.DUMMYFUNCTION("GOOGLETRANSLATE(B2899, ""ja"", ""en"")"),"vs_normal_skin_n")</f>
        <v>vs_normal_skin_n</v>
      </c>
    </row>
    <row r="2900" spans="1:3" ht="12.75" x14ac:dyDescent="0.2">
      <c r="A2900" s="1" t="s">
        <v>5291</v>
      </c>
      <c r="B2900" s="1" t="s">
        <v>5292</v>
      </c>
      <c r="C2900" t="str">
        <f ca="1">IFERROR(__xludf.DUMMYFUNCTION("GOOGLETRANSLATE(B2900, ""ja"", ""en"")"),"vs_normal_skin_n [vd]")</f>
        <v>vs_normal_skin_n [vd]</v>
      </c>
    </row>
    <row r="2901" spans="1:3" ht="12.75" x14ac:dyDescent="0.2">
      <c r="A2901" s="1" t="s">
        <v>5293</v>
      </c>
      <c r="B2901" s="1" t="s">
        <v>5294</v>
      </c>
      <c r="C2901" t="str">
        <f ca="1">IFERROR(__xludf.DUMMYFUNCTION("GOOGLETRANSLATE(B2901, ""ja"", ""en"")"),"vs_normal_skin_n_pt")</f>
        <v>vs_normal_skin_n_pt</v>
      </c>
    </row>
    <row r="2902" spans="1:3" ht="12.75" x14ac:dyDescent="0.2">
      <c r="A2902" s="1" t="s">
        <v>5295</v>
      </c>
      <c r="B2902" s="1" t="s">
        <v>5296</v>
      </c>
      <c r="C2902" t="str">
        <f ca="1">IFERROR(__xludf.DUMMYFUNCTION("GOOGLETRANSLATE(B2902, ""ja"", ""en"")"),"vs_normal_skin_n_pt [vd]")</f>
        <v>vs_normal_skin_n_pt [vd]</v>
      </c>
    </row>
    <row r="2903" spans="1:3" ht="12.75" x14ac:dyDescent="0.2">
      <c r="A2903" s="1" t="s">
        <v>5297</v>
      </c>
      <c r="B2903" s="1" t="s">
        <v>5298</v>
      </c>
      <c r="C2903" t="str">
        <f ca="1">IFERROR(__xludf.DUMMYFUNCTION("GOOGLETRANSLATE(B2903, ""ja"", ""en"")"),"vs_normal_skin_n_wk")</f>
        <v>vs_normal_skin_n_wk</v>
      </c>
    </row>
    <row r="2904" spans="1:3" ht="12.75" x14ac:dyDescent="0.2">
      <c r="A2904" s="1" t="s">
        <v>5299</v>
      </c>
      <c r="B2904" s="1" t="s">
        <v>5300</v>
      </c>
      <c r="C2904" t="str">
        <f ca="1">IFERROR(__xludf.DUMMYFUNCTION("GOOGLETRANSLATE(B2904, ""ja"", ""en"")"),"vs_depth_rigid")</f>
        <v>vs_depth_rigid</v>
      </c>
    </row>
    <row r="2905" spans="1:3" ht="12.75" x14ac:dyDescent="0.2">
      <c r="A2905" s="1" t="s">
        <v>5301</v>
      </c>
      <c r="B2905" s="1" t="s">
        <v>5302</v>
      </c>
      <c r="C2905" t="str">
        <f ca="1">IFERROR(__xludf.DUMMYFUNCTION("GOOGLETRANSLATE(B2905, ""ja"", ""en"")"),"vs_depth_rigid_pt")</f>
        <v>vs_depth_rigid_pt</v>
      </c>
    </row>
    <row r="2906" spans="1:3" ht="12.75" x14ac:dyDescent="0.2">
      <c r="A2906" s="1" t="s">
        <v>5303</v>
      </c>
      <c r="B2906" s="1" t="s">
        <v>5304</v>
      </c>
      <c r="C2906" t="str">
        <f ca="1">IFERROR(__xludf.DUMMYFUNCTION("GOOGLETRANSLATE(B2906, ""ja"", ""en"")"),"vs_depth_rigid_tree")</f>
        <v>vs_depth_rigid_tree</v>
      </c>
    </row>
    <row r="2907" spans="1:3" ht="12.75" x14ac:dyDescent="0.2">
      <c r="A2907" s="1" t="s">
        <v>5305</v>
      </c>
      <c r="B2907" s="1" t="s">
        <v>5306</v>
      </c>
      <c r="C2907" t="str">
        <f ca="1">IFERROR(__xludf.DUMMYFUNCTION("GOOGLETRANSLATE(B2907, ""ja"", ""en"")"),"vs_depth_rigid_tree_pt")</f>
        <v>vs_depth_rigid_tree_pt</v>
      </c>
    </row>
    <row r="2908" spans="1:3" ht="12.75" x14ac:dyDescent="0.2">
      <c r="A2908" s="1" t="s">
        <v>5307</v>
      </c>
      <c r="B2908" s="1" t="s">
        <v>5308</v>
      </c>
      <c r="C2908" t="str">
        <f ca="1">IFERROR(__xludf.DUMMYFUNCTION("GOOGLETRANSLATE(B2908, ""ja"", ""en"")"),"vs_depth_rigid_tree_2d")</f>
        <v>vs_depth_rigid_tree_2d</v>
      </c>
    </row>
    <row r="2909" spans="1:3" ht="12.75" x14ac:dyDescent="0.2">
      <c r="A2909" s="1" t="s">
        <v>5309</v>
      </c>
      <c r="B2909" s="1" t="s">
        <v>5310</v>
      </c>
      <c r="C2909" t="str">
        <f ca="1">IFERROR(__xludf.DUMMYFUNCTION("GOOGLETRANSLATE(B2909, ""ja"", ""en"")"),"vs_depth_rigid_tree_2d_pt")</f>
        <v>vs_depth_rigid_tree_2d_pt</v>
      </c>
    </row>
    <row r="2910" spans="1:3" ht="12.75" x14ac:dyDescent="0.2">
      <c r="A2910" s="1" t="s">
        <v>5311</v>
      </c>
      <c r="B2910" s="1" t="s">
        <v>5312</v>
      </c>
      <c r="C2910" t="str">
        <f ca="1">IFERROR(__xludf.DUMMYFUNCTION("GOOGLETRANSLATE(B2910, ""ja"", ""en"")"),"vs_depth_skin")</f>
        <v>vs_depth_skin</v>
      </c>
    </row>
    <row r="2911" spans="1:3" ht="12.75" x14ac:dyDescent="0.2">
      <c r="A2911" s="1" t="s">
        <v>5313</v>
      </c>
      <c r="B2911" s="1" t="s">
        <v>5314</v>
      </c>
      <c r="C2911" t="str">
        <f ca="1">IFERROR(__xludf.DUMMYFUNCTION("GOOGLETRANSLATE(B2911, ""ja"", ""en"")"),"vs_depth_skin_pt")</f>
        <v>vs_depth_skin_pt</v>
      </c>
    </row>
    <row r="2912" spans="1:3" ht="12.75" x14ac:dyDescent="0.2">
      <c r="A2912" s="1" t="s">
        <v>5315</v>
      </c>
      <c r="B2912" s="1" t="s">
        <v>5316</v>
      </c>
      <c r="C2912" t="str">
        <f ca="1">IFERROR(__xludf.DUMMYFUNCTION("GOOGLETRANSLATE(B2912, ""ja"", ""en"")"),"vs_velocity_rigid")</f>
        <v>vs_velocity_rigid</v>
      </c>
    </row>
    <row r="2913" spans="1:3" ht="12.75" x14ac:dyDescent="0.2">
      <c r="A2913" s="1" t="s">
        <v>5317</v>
      </c>
      <c r="B2913" s="1" t="s">
        <v>5318</v>
      </c>
      <c r="C2913" t="str">
        <f ca="1">IFERROR(__xludf.DUMMYFUNCTION("GOOGLETRANSLATE(B2913, ""ja"", ""en"")"),"vs_velocity_skin")</f>
        <v>vs_velocity_skin</v>
      </c>
    </row>
    <row r="2914" spans="1:3" ht="12.75" x14ac:dyDescent="0.2">
      <c r="A2914" s="1" t="s">
        <v>5319</v>
      </c>
      <c r="B2914" s="1" t="s">
        <v>5320</v>
      </c>
      <c r="C2914" t="str">
        <f ca="1">IFERROR(__xludf.DUMMYFUNCTION("GOOGLETRANSLATE(B2914, ""ja"", ""en"")"),"vs_depth_to_z")</f>
        <v>vs_depth_to_z</v>
      </c>
    </row>
    <row r="2915" spans="1:3" ht="12.75" x14ac:dyDescent="0.2">
      <c r="A2915" s="1" t="s">
        <v>5321</v>
      </c>
      <c r="B2915" s="1" t="s">
        <v>5322</v>
      </c>
      <c r="C2915" t="str">
        <f ca="1">IFERROR(__xludf.DUMMYFUNCTION("GOOGLETRANSLATE(B2915, ""ja"", ""en"")"),"vs_simple_skin")</f>
        <v>vs_simple_skin</v>
      </c>
    </row>
    <row r="2916" spans="1:3" ht="12.75" x14ac:dyDescent="0.2">
      <c r="A2916" s="1" t="s">
        <v>5323</v>
      </c>
      <c r="B2916" s="1" t="s">
        <v>5324</v>
      </c>
      <c r="C2916" t="str">
        <f ca="1">IFERROR(__xludf.DUMMYFUNCTION("GOOGLETRANSLATE(B2916, ""ja"", ""en"")"),"vs_simple_skin_one_color")</f>
        <v>vs_simple_skin_one_color</v>
      </c>
    </row>
    <row r="2917" spans="1:3" ht="12.75" x14ac:dyDescent="0.2">
      <c r="A2917" s="1" t="s">
        <v>5325</v>
      </c>
      <c r="B2917" s="1" t="s">
        <v>5326</v>
      </c>
      <c r="C2917" t="str">
        <f ca="1">IFERROR(__xludf.DUMMYFUNCTION("GOOGLETRANSLATE(B2917, ""ja"", ""en"")"),"vs_simple_rigid_one_color")</f>
        <v>vs_simple_rigid_one_color</v>
      </c>
    </row>
    <row r="2918" spans="1:3" ht="12.75" x14ac:dyDescent="0.2">
      <c r="A2918" s="1" t="s">
        <v>5327</v>
      </c>
      <c r="B2918" s="1" t="s">
        <v>5328</v>
      </c>
      <c r="C2918" t="str">
        <f ca="1">IFERROR(__xludf.DUMMYFUNCTION("GOOGLETRANSLATE(B2918, ""ja"", ""en"")"),"ps_ptc_xxx_x_x_x_x_x")</f>
        <v>ps_ptc_xxx_x_x_x_x_x</v>
      </c>
    </row>
    <row r="2919" spans="1:3" ht="12.75" x14ac:dyDescent="0.2">
      <c r="A2919" s="1" t="s">
        <v>5329</v>
      </c>
      <c r="B2919" s="1" t="s">
        <v>5330</v>
      </c>
      <c r="C2919" t="str">
        <f ca="1">IFERROR(__xludf.DUMMYFUNCTION("GOOGLETRANSLATE(B2919, ""ja"", ""en"")"),"ps_ptc_xxx_k_x_x_x_x")</f>
        <v>ps_ptc_xxx_k_x_x_x_x</v>
      </c>
    </row>
    <row r="2920" spans="1:3" ht="12.75" x14ac:dyDescent="0.2">
      <c r="A2920" s="1" t="s">
        <v>5331</v>
      </c>
      <c r="B2920" s="1" t="s">
        <v>5332</v>
      </c>
      <c r="C2920" t="str">
        <f ca="1">IFERROR(__xludf.DUMMYFUNCTION("GOOGLETRANSLATE(B2920, ""ja"", ""en"")"),"ps_ptc_xxx_x_m_x_x_x")</f>
        <v>ps_ptc_xxx_x_m_x_x_x</v>
      </c>
    </row>
    <row r="2921" spans="1:3" ht="12.75" x14ac:dyDescent="0.2">
      <c r="A2921" s="1" t="s">
        <v>5333</v>
      </c>
      <c r="B2921" s="1" t="s">
        <v>5334</v>
      </c>
      <c r="C2921" t="str">
        <f ca="1">IFERROR(__xludf.DUMMYFUNCTION("GOOGLETRANSLATE(B2921, ""ja"", ""en"")"),"ps_ptc_xxx_k_m_x_x_x")</f>
        <v>ps_ptc_xxx_k_m_x_x_x</v>
      </c>
    </row>
    <row r="2922" spans="1:3" ht="12.75" x14ac:dyDescent="0.2">
      <c r="A2922" s="1" t="s">
        <v>5335</v>
      </c>
      <c r="B2922" s="1" t="s">
        <v>5336</v>
      </c>
      <c r="C2922" t="str">
        <f ca="1">IFERROR(__xludf.DUMMYFUNCTION("GOOGLETRANSLATE(B2922, ""ja"", ""en"")"),"ps_ptc_xxx_x_x_s_x_x")</f>
        <v>ps_ptc_xxx_x_x_s_x_x</v>
      </c>
    </row>
    <row r="2923" spans="1:3" ht="12.75" x14ac:dyDescent="0.2">
      <c r="A2923" s="1" t="s">
        <v>5337</v>
      </c>
      <c r="B2923" s="1" t="s">
        <v>5338</v>
      </c>
      <c r="C2923" t="str">
        <f ca="1">IFERROR(__xludf.DUMMYFUNCTION("GOOGLETRANSLATE(B2923, ""ja"", ""en"")"),"ps_ptc_xxx_x_x_x_f_x")</f>
        <v>ps_ptc_xxx_x_x_x_f_x</v>
      </c>
    </row>
    <row r="2924" spans="1:3" ht="12.75" x14ac:dyDescent="0.2">
      <c r="A2924" s="1" t="s">
        <v>5339</v>
      </c>
      <c r="B2924" s="1" t="s">
        <v>5340</v>
      </c>
      <c r="C2924" t="str">
        <f ca="1">IFERROR(__xludf.DUMMYFUNCTION("GOOGLETRANSLATE(B2924, ""ja"", ""en"")"),"ps_ptc_xxx_k_x_x_f_x")</f>
        <v>ps_ptc_xxx_k_x_x_f_x</v>
      </c>
    </row>
    <row r="2925" spans="1:3" ht="12.75" x14ac:dyDescent="0.2">
      <c r="A2925" s="1" t="s">
        <v>5341</v>
      </c>
      <c r="B2925" s="1" t="s">
        <v>5342</v>
      </c>
      <c r="C2925" t="str">
        <f ca="1">IFERROR(__xludf.DUMMYFUNCTION("GOOGLETRANSLATE(B2925, ""ja"", ""en"")"),"ps_ptc_xxx_x_m_x_f_x")</f>
        <v>ps_ptc_xxx_x_m_x_f_x</v>
      </c>
    </row>
    <row r="2926" spans="1:3" ht="12.75" x14ac:dyDescent="0.2">
      <c r="A2926" s="1" t="s">
        <v>5343</v>
      </c>
      <c r="B2926" s="1" t="s">
        <v>5344</v>
      </c>
      <c r="C2926" t="str">
        <f ca="1">IFERROR(__xludf.DUMMYFUNCTION("GOOGLETRANSLATE(B2926, ""ja"", ""en"")"),"ps_ptc_xxx_x_x_x_x_a")</f>
        <v>ps_ptc_xxx_x_x_x_x_a</v>
      </c>
    </row>
    <row r="2927" spans="1:3" ht="12.75" x14ac:dyDescent="0.2">
      <c r="A2927" s="1" t="s">
        <v>5345</v>
      </c>
      <c r="B2927" s="1" t="s">
        <v>5346</v>
      </c>
      <c r="C2927" t="str">
        <f ca="1">IFERROR(__xludf.DUMMYFUNCTION("GOOGLETRANSLATE(B2927, ""ja"", ""en"")"),"ps_ptc_xxx_k_x_x_x_a")</f>
        <v>ps_ptc_xxx_k_x_x_x_a</v>
      </c>
    </row>
    <row r="2928" spans="1:3" ht="12.75" x14ac:dyDescent="0.2">
      <c r="A2928" s="1" t="s">
        <v>5347</v>
      </c>
      <c r="B2928" s="1" t="s">
        <v>5348</v>
      </c>
      <c r="C2928" t="str">
        <f ca="1">IFERROR(__xludf.DUMMYFUNCTION("GOOGLETRANSLATE(B2928, ""ja"", ""en"")"),"ps_ptc_mod_x_x_x_x_x")</f>
        <v>ps_ptc_mod_x_x_x_x_x</v>
      </c>
    </row>
    <row r="2929" spans="1:3" ht="12.75" x14ac:dyDescent="0.2">
      <c r="A2929" s="1" t="s">
        <v>5349</v>
      </c>
      <c r="B2929" s="1" t="s">
        <v>5350</v>
      </c>
      <c r="C2929" t="str">
        <f ca="1">IFERROR(__xludf.DUMMYFUNCTION("GOOGLETRANSLATE(B2929, ""ja"", ""en"")"),"ps_ptc_mod_k_x_x_x_x")</f>
        <v>ps_ptc_mod_k_x_x_x_x</v>
      </c>
    </row>
    <row r="2930" spans="1:3" ht="12.75" x14ac:dyDescent="0.2">
      <c r="A2930" s="1" t="s">
        <v>5351</v>
      </c>
      <c r="B2930" s="1" t="s">
        <v>5352</v>
      </c>
      <c r="C2930" t="str">
        <f ca="1">IFERROR(__xludf.DUMMYFUNCTION("GOOGLETRANSLATE(B2930, ""ja"", ""en"")"),"ps_ptc_mod_x_m_x_x_x")</f>
        <v>ps_ptc_mod_x_m_x_x_x</v>
      </c>
    </row>
    <row r="2931" spans="1:3" ht="12.75" x14ac:dyDescent="0.2">
      <c r="A2931" s="1" t="s">
        <v>5353</v>
      </c>
      <c r="B2931" s="1" t="s">
        <v>5354</v>
      </c>
      <c r="C2931" t="str">
        <f ca="1">IFERROR(__xludf.DUMMYFUNCTION("GOOGLETRANSLATE(B2931, ""ja"", ""en"")"),"ps_ptc_mod_x_x_s_x_x")</f>
        <v>ps_ptc_mod_x_x_s_x_x</v>
      </c>
    </row>
    <row r="2932" spans="1:3" ht="12.75" x14ac:dyDescent="0.2">
      <c r="A2932" s="1" t="s">
        <v>5355</v>
      </c>
      <c r="B2932" s="1" t="s">
        <v>5356</v>
      </c>
      <c r="C2932" t="str">
        <f ca="1">IFERROR(__xludf.DUMMYFUNCTION("GOOGLETRANSLATE(B2932, ""ja"", ""en"")"),"ps_ptc_mod_x_m_s_x_x")</f>
        <v>ps_ptc_mod_x_m_s_x_x</v>
      </c>
    </row>
    <row r="2933" spans="1:3" ht="12.75" x14ac:dyDescent="0.2">
      <c r="A2933" s="1" t="s">
        <v>5357</v>
      </c>
      <c r="B2933" s="1" t="s">
        <v>5358</v>
      </c>
      <c r="C2933" t="str">
        <f ca="1">IFERROR(__xludf.DUMMYFUNCTION("GOOGLETRANSLATE(B2933, ""ja"", ""en"")"),"ps_ptc_mod_x_x_x_f_x")</f>
        <v>ps_ptc_mod_x_x_x_f_x</v>
      </c>
    </row>
    <row r="2934" spans="1:3" ht="12.75" x14ac:dyDescent="0.2">
      <c r="A2934" s="1" t="s">
        <v>5359</v>
      </c>
      <c r="B2934" s="1" t="s">
        <v>5360</v>
      </c>
      <c r="C2934" t="str">
        <f ca="1">IFERROR(__xludf.DUMMYFUNCTION("GOOGLETRANSLATE(B2934, ""ja"", ""en"")"),"ps_ptc_mod_k_x_x_f_x")</f>
        <v>ps_ptc_mod_k_x_x_f_x</v>
      </c>
    </row>
    <row r="2935" spans="1:3" ht="12.75" x14ac:dyDescent="0.2">
      <c r="A2935" s="1" t="s">
        <v>5361</v>
      </c>
      <c r="B2935" s="1" t="s">
        <v>5362</v>
      </c>
      <c r="C2935" t="str">
        <f ca="1">IFERROR(__xludf.DUMMYFUNCTION("GOOGLETRANSLATE(B2935, ""ja"", ""en"")"),"ps_ptc_mod_x_m_x_f_x")</f>
        <v>ps_ptc_mod_x_m_x_f_x</v>
      </c>
    </row>
    <row r="2936" spans="1:3" ht="12.75" x14ac:dyDescent="0.2">
      <c r="A2936" s="1" t="s">
        <v>5363</v>
      </c>
      <c r="B2936" s="1" t="s">
        <v>5364</v>
      </c>
      <c r="C2936" t="str">
        <f ca="1">IFERROR(__xludf.DUMMYFUNCTION("GOOGLETRANSLATE(B2936, ""ja"", ""en"")"),"ps_ptc_mod_x_x_x_x_a")</f>
        <v>ps_ptc_mod_x_x_x_x_a</v>
      </c>
    </row>
    <row r="2937" spans="1:3" ht="12.75" x14ac:dyDescent="0.2">
      <c r="A2937" s="1" t="s">
        <v>5365</v>
      </c>
      <c r="B2937" s="1" t="s">
        <v>5366</v>
      </c>
      <c r="C2937" t="str">
        <f ca="1">IFERROR(__xludf.DUMMYFUNCTION("GOOGLETRANSLATE(B2937, ""ja"", ""en"")"),"ps_ptc_mod_k_x_x_x_a")</f>
        <v>ps_ptc_mod_k_x_x_x_a</v>
      </c>
    </row>
    <row r="2938" spans="1:3" ht="12.75" x14ac:dyDescent="0.2">
      <c r="A2938" s="1" t="s">
        <v>5367</v>
      </c>
      <c r="B2938" s="1" t="s">
        <v>5368</v>
      </c>
      <c r="C2938" t="str">
        <f ca="1">IFERROR(__xludf.DUMMYFUNCTION("GOOGLETRANSLATE(B2938, ""ja"", ""en"")"),"ps_ptc_mod_x_m_x_x_a")</f>
        <v>ps_ptc_mod_x_m_x_x_a</v>
      </c>
    </row>
    <row r="2939" spans="1:3" ht="12.75" x14ac:dyDescent="0.2">
      <c r="A2939" s="1" t="s">
        <v>5369</v>
      </c>
      <c r="B2939" s="1" t="s">
        <v>5370</v>
      </c>
      <c r="C2939" t="str">
        <f ca="1">IFERROR(__xludf.DUMMYFUNCTION("GOOGLETRANSLATE(B2939, ""ja"", ""en"")"),"ps_ptc_mod_x_x_x_f_a")</f>
        <v>ps_ptc_mod_x_x_x_f_a</v>
      </c>
    </row>
    <row r="2940" spans="1:3" ht="12.75" x14ac:dyDescent="0.2">
      <c r="A2940" s="1" t="s">
        <v>5371</v>
      </c>
      <c r="B2940" s="1" t="s">
        <v>5372</v>
      </c>
      <c r="C2940" t="str">
        <f ca="1">IFERROR(__xludf.DUMMYFUNCTION("GOOGLETRANSLATE(B2940, ""ja"", ""en"")"),"ps_ptc_bmp_x_x_x_x_x")</f>
        <v>ps_ptc_bmp_x_x_x_x_x</v>
      </c>
    </row>
    <row r="2941" spans="1:3" ht="12.75" x14ac:dyDescent="0.2">
      <c r="A2941" s="1" t="s">
        <v>5373</v>
      </c>
      <c r="B2941" s="1" t="s">
        <v>5374</v>
      </c>
      <c r="C2941" t="str">
        <f ca="1">IFERROR(__xludf.DUMMYFUNCTION("GOOGLETRANSLATE(B2941, ""ja"", ""en"")"),"ps_ptc_bmp_k_x_x_x_x")</f>
        <v>ps_ptc_bmp_k_x_x_x_x</v>
      </c>
    </row>
    <row r="2942" spans="1:3" ht="12.75" x14ac:dyDescent="0.2">
      <c r="A2942" s="1" t="s">
        <v>5375</v>
      </c>
      <c r="B2942" s="1" t="s">
        <v>5376</v>
      </c>
      <c r="C2942" t="str">
        <f ca="1">IFERROR(__xludf.DUMMYFUNCTION("GOOGLETRANSLATE(B2942, ""ja"", ""en"")"),"ps_ptc_bmp_x_m_x_x_x")</f>
        <v>ps_ptc_bmp_x_m_x_x_x</v>
      </c>
    </row>
    <row r="2943" spans="1:3" ht="12.75" x14ac:dyDescent="0.2">
      <c r="A2943" s="1" t="s">
        <v>5377</v>
      </c>
      <c r="B2943" s="1" t="s">
        <v>5378</v>
      </c>
      <c r="C2943" t="str">
        <f ca="1">IFERROR(__xludf.DUMMYFUNCTION("GOOGLETRANSLATE(B2943, ""ja"", ""en"")"),"ps_ptc_bmp_x_x_x_f_x")</f>
        <v>ps_ptc_bmp_x_x_x_f_x</v>
      </c>
    </row>
    <row r="2944" spans="1:3" ht="12.75" x14ac:dyDescent="0.2">
      <c r="A2944" s="1" t="s">
        <v>5379</v>
      </c>
      <c r="B2944" s="1" t="s">
        <v>5380</v>
      </c>
      <c r="C2944" t="str">
        <f ca="1">IFERROR(__xludf.DUMMYFUNCTION("GOOGLETRANSLATE(B2944, ""ja"", ""en"")"),"ps_ptc_bmp_k_x_x_f_x")</f>
        <v>ps_ptc_bmp_k_x_x_f_x</v>
      </c>
    </row>
    <row r="2945" spans="1:3" ht="12.75" x14ac:dyDescent="0.2">
      <c r="A2945" s="1" t="s">
        <v>5381</v>
      </c>
      <c r="B2945" s="1" t="s">
        <v>5382</v>
      </c>
      <c r="C2945" t="str">
        <f ca="1">IFERROR(__xludf.DUMMYFUNCTION("GOOGLETRANSLATE(B2945, ""ja"", ""en"")"),"ps_ptc_bmp_x_x_x_x_a")</f>
        <v>ps_ptc_bmp_x_x_x_x_a</v>
      </c>
    </row>
    <row r="2946" spans="1:3" ht="12.75" x14ac:dyDescent="0.2">
      <c r="A2946" s="1" t="s">
        <v>5383</v>
      </c>
      <c r="B2946" s="1" t="s">
        <v>5384</v>
      </c>
      <c r="C2946" t="str">
        <f ca="1">IFERROR(__xludf.DUMMYFUNCTION("GOOGLETRANSLATE(B2946, ""ja"", ""en"")"),"ps_ptc_bmr_x_x_x_x_x")</f>
        <v>ps_ptc_bmr_x_x_x_x_x</v>
      </c>
    </row>
    <row r="2947" spans="1:3" ht="12.75" x14ac:dyDescent="0.2">
      <c r="A2947" s="1" t="s">
        <v>5385</v>
      </c>
      <c r="B2947" s="1" t="s">
        <v>5386</v>
      </c>
      <c r="C2947" t="str">
        <f ca="1">IFERROR(__xludf.DUMMYFUNCTION("GOOGLETRANSLATE(B2947, ""ja"", ""en"")"),"ps_ptc_bmr_k_x_x_x_x")</f>
        <v>ps_ptc_bmr_k_x_x_x_x</v>
      </c>
    </row>
    <row r="2948" spans="1:3" ht="12.75" x14ac:dyDescent="0.2">
      <c r="A2948" s="1" t="s">
        <v>5387</v>
      </c>
      <c r="B2948" s="1" t="s">
        <v>5388</v>
      </c>
      <c r="C2948" t="str">
        <f ca="1">IFERROR(__xludf.DUMMYFUNCTION("GOOGLETRANSLATE(B2948, ""ja"", ""en"")"),"ps_ptc_bbp_x_x_x_x_x")</f>
        <v>ps_ptc_bbp_x_x_x_x_x</v>
      </c>
    </row>
    <row r="2949" spans="1:3" ht="12.75" x14ac:dyDescent="0.2">
      <c r="A2949" s="1" t="s">
        <v>5389</v>
      </c>
      <c r="B2949" s="1" t="s">
        <v>5390</v>
      </c>
      <c r="C2949" t="str">
        <f ca="1">IFERROR(__xludf.DUMMYFUNCTION("GOOGLETRANSLATE(B2949, ""ja"", ""en"")"),"ps_ptc_bbp_k_x_x_x_x")</f>
        <v>ps_ptc_bbp_k_x_x_x_x</v>
      </c>
    </row>
    <row r="2950" spans="1:3" ht="12.75" x14ac:dyDescent="0.2">
      <c r="A2950" s="1" t="s">
        <v>5391</v>
      </c>
      <c r="B2950" s="1" t="s">
        <v>5392</v>
      </c>
      <c r="C2950" t="str">
        <f ca="1">IFERROR(__xludf.DUMMYFUNCTION("GOOGLETRANSLATE(B2950, ""ja"", ""en"")"),"ps_ptc_bbp_x_m_x_x_x")</f>
        <v>ps_ptc_bbp_x_m_x_x_x</v>
      </c>
    </row>
    <row r="2951" spans="1:3" ht="12.75" x14ac:dyDescent="0.2">
      <c r="A2951" s="1" t="s">
        <v>5393</v>
      </c>
      <c r="B2951" s="1" t="s">
        <v>5394</v>
      </c>
      <c r="C2951" t="str">
        <f ca="1">IFERROR(__xludf.DUMMYFUNCTION("GOOGLETRANSLATE(B2951, ""ja"", ""en"")"),"ps_ptc_bbr_x_x_x_x_x")</f>
        <v>ps_ptc_bbr_x_x_x_x_x</v>
      </c>
    </row>
    <row r="2952" spans="1:3" ht="12.75" x14ac:dyDescent="0.2">
      <c r="A2952" s="1" t="s">
        <v>5395</v>
      </c>
      <c r="B2952" s="1" t="s">
        <v>5396</v>
      </c>
      <c r="C2952" t="str">
        <f ca="1">IFERROR(__xludf.DUMMYFUNCTION("GOOGLETRANSLATE(B2952, ""ja"", ""en"")"),"ps_ptc_bbr_k_x_x_x_x")</f>
        <v>ps_ptc_bbr_k_x_x_x_x</v>
      </c>
    </row>
    <row r="2953" spans="1:3" ht="12.75" x14ac:dyDescent="0.2">
      <c r="A2953" s="1" t="s">
        <v>5397</v>
      </c>
      <c r="B2953" s="1" t="s">
        <v>5398</v>
      </c>
      <c r="C2953" t="str">
        <f ca="1">IFERROR(__xludf.DUMMYFUNCTION("GOOGLETRANSLATE(B2953, ""ja"", ""en"")"),"ps_ptc_ref_x_x_x_x_x")</f>
        <v>ps_ptc_ref_x_x_x_x_x</v>
      </c>
    </row>
    <row r="2954" spans="1:3" ht="12.75" x14ac:dyDescent="0.2">
      <c r="A2954" s="1" t="s">
        <v>5399</v>
      </c>
      <c r="B2954" s="1" t="s">
        <v>5400</v>
      </c>
      <c r="C2954" t="str">
        <f ca="1">IFERROR(__xludf.DUMMYFUNCTION("GOOGLETRANSLATE(B2954, ""ja"", ""en"")"),"ps_ptc_ref_k_x_x_x_x")</f>
        <v>ps_ptc_ref_k_x_x_x_x</v>
      </c>
    </row>
    <row r="2955" spans="1:3" ht="12.75" x14ac:dyDescent="0.2">
      <c r="A2955" s="1" t="s">
        <v>5401</v>
      </c>
      <c r="B2955" s="1" t="s">
        <v>5402</v>
      </c>
      <c r="C2955" t="str">
        <f ca="1">IFERROR(__xludf.DUMMYFUNCTION("GOOGLETRANSLATE(B2955, ""ja"", ""en"")"),"ps_ptc_ref_x_m_x_x_x")</f>
        <v>ps_ptc_ref_x_m_x_x_x</v>
      </c>
    </row>
    <row r="2956" spans="1:3" ht="12.75" x14ac:dyDescent="0.2">
      <c r="A2956" s="1" t="s">
        <v>5403</v>
      </c>
      <c r="B2956" s="1" t="s">
        <v>5404</v>
      </c>
      <c r="C2956" t="str">
        <f ca="1">IFERROR(__xludf.DUMMYFUNCTION("GOOGLETRANSLATE(B2956, ""ja"", ""en"")"),"ps_ptc_ref_x_x_x_f_x")</f>
        <v>ps_ptc_ref_x_x_x_f_x</v>
      </c>
    </row>
    <row r="2957" spans="1:3" ht="12.75" x14ac:dyDescent="0.2">
      <c r="A2957" s="1" t="s">
        <v>5405</v>
      </c>
      <c r="B2957" s="1" t="s">
        <v>5406</v>
      </c>
      <c r="C2957" t="str">
        <f ca="1">IFERROR(__xludf.DUMMYFUNCTION("GOOGLETRANSLATE(B2957, ""ja"", ""en"")"),"ps_ptc_rer_x_x_x_x_x")</f>
        <v>ps_ptc_rer_x_x_x_x_x</v>
      </c>
    </row>
    <row r="2958" spans="1:3" ht="12.75" x14ac:dyDescent="0.2">
      <c r="A2958" s="1" t="s">
        <v>5407</v>
      </c>
      <c r="B2958" s="1" t="s">
        <v>5408</v>
      </c>
      <c r="C2958" t="str">
        <f ca="1">IFERROR(__xludf.DUMMYFUNCTION("GOOGLETRANSLATE(B2958, ""ja"", ""en"")"),"ps_ptc_rer_k_x_x_x_x")</f>
        <v>ps_ptc_rer_k_x_x_x_x</v>
      </c>
    </row>
    <row r="2959" spans="1:3" ht="12.75" x14ac:dyDescent="0.2">
      <c r="A2959" s="1" t="s">
        <v>5409</v>
      </c>
      <c r="B2959" s="1" t="s">
        <v>5410</v>
      </c>
      <c r="C2959" t="str">
        <f ca="1">IFERROR(__xludf.DUMMYFUNCTION("GOOGLETRANSLATE(B2959, ""ja"", ""en"")"),"ps_ptc_rbf_x_x_x_x_x")</f>
        <v>ps_ptc_rbf_x_x_x_x_x</v>
      </c>
    </row>
    <row r="2960" spans="1:3" ht="12.75" x14ac:dyDescent="0.2">
      <c r="A2960" s="1" t="s">
        <v>5411</v>
      </c>
      <c r="B2960" s="1" t="s">
        <v>5412</v>
      </c>
      <c r="C2960" t="str">
        <f ca="1">IFERROR(__xludf.DUMMYFUNCTION("GOOGLETRANSLATE(B2960, ""ja"", ""en"")"),"ps_ptc_rbf_k_x_x_x_x")</f>
        <v>ps_ptc_rbf_k_x_x_x_x</v>
      </c>
    </row>
    <row r="2961" spans="1:3" ht="12.75" x14ac:dyDescent="0.2">
      <c r="A2961" s="1" t="s">
        <v>5413</v>
      </c>
      <c r="B2961" s="1" t="s">
        <v>5414</v>
      </c>
      <c r="C2961" t="str">
        <f ca="1">IFERROR(__xludf.DUMMYFUNCTION("GOOGLETRANSLATE(B2961, ""ja"", ""en"")"),"ps_ptc_rbf_x_x_x_f_x")</f>
        <v>ps_ptc_rbf_x_x_x_f_x</v>
      </c>
    </row>
    <row r="2962" spans="1:3" ht="12.75" x14ac:dyDescent="0.2">
      <c r="A2962" s="1" t="s">
        <v>5415</v>
      </c>
      <c r="B2962" s="1" t="s">
        <v>5416</v>
      </c>
      <c r="C2962" t="str">
        <f ca="1">IFERROR(__xludf.DUMMYFUNCTION("GOOGLETRANSLATE(B2962, ""ja"", ""en"")"),"ps_ptc_rbr_x_x_x_x_x")</f>
        <v>ps_ptc_rbr_x_x_x_x_x</v>
      </c>
    </row>
    <row r="2963" spans="1:3" ht="12.75" x14ac:dyDescent="0.2">
      <c r="A2963" s="1" t="s">
        <v>5417</v>
      </c>
      <c r="B2963" s="1" t="s">
        <v>5418</v>
      </c>
      <c r="C2963" t="str">
        <f ca="1">IFERROR(__xludf.DUMMYFUNCTION("GOOGLETRANSLATE(B2963, ""ja"", ""en"")"),"ps_ptc_rbr_k_x_x_x_x")</f>
        <v>ps_ptc_rbr_k_x_x_x_x</v>
      </c>
    </row>
    <row r="2964" spans="1:3" ht="12.75" x14ac:dyDescent="0.2">
      <c r="A2964" s="1" t="s">
        <v>5419</v>
      </c>
      <c r="B2964" s="1" t="s">
        <v>5420</v>
      </c>
      <c r="C2964" t="str">
        <f ca="1">IFERROR(__xludf.DUMMYFUNCTION("GOOGLETRANSLATE(B2964, ""ja"", ""en"")"),"ps_ptc_rmp_x_x_x_x_x")</f>
        <v>ps_ptc_rmp_x_x_x_x_x</v>
      </c>
    </row>
    <row r="2965" spans="1:3" ht="12.75" x14ac:dyDescent="0.2">
      <c r="A2965" s="1" t="s">
        <v>5421</v>
      </c>
      <c r="B2965" s="1" t="s">
        <v>5422</v>
      </c>
      <c r="C2965" t="str">
        <f ca="1">IFERROR(__xludf.DUMMYFUNCTION("GOOGLETRANSLATE(B2965, ""ja"", ""en"")"),"ps_ptc_rmp_k_x_x_x_x")</f>
        <v>ps_ptc_rmp_k_x_x_x_x</v>
      </c>
    </row>
    <row r="2966" spans="1:3" ht="12.75" x14ac:dyDescent="0.2">
      <c r="A2966" s="1" t="s">
        <v>5423</v>
      </c>
      <c r="B2966" s="1" t="s">
        <v>5424</v>
      </c>
      <c r="C2966" t="str">
        <f ca="1">IFERROR(__xludf.DUMMYFUNCTION("GOOGLETRANSLATE(B2966, ""ja"", ""en"")"),"ps_ptc_meta_alp_nor_x")</f>
        <v>ps_ptc_meta_alp_nor_x</v>
      </c>
    </row>
    <row r="2967" spans="1:3" ht="12.75" x14ac:dyDescent="0.2">
      <c r="A2967" s="1" t="s">
        <v>5425</v>
      </c>
      <c r="B2967" s="1" t="s">
        <v>5426</v>
      </c>
      <c r="C2967" t="str">
        <f ca="1">IFERROR(__xludf.DUMMYFUNCTION("GOOGLETRANSLATE(B2967, ""ja"", ""en"")"),"ps_ptc_meta_alp_bmp_x")</f>
        <v>ps_ptc_meta_alp_bmp_x</v>
      </c>
    </row>
    <row r="2968" spans="1:3" ht="12.75" x14ac:dyDescent="0.2">
      <c r="A2968" s="1" t="s">
        <v>5427</v>
      </c>
      <c r="B2968" s="1" t="s">
        <v>5428</v>
      </c>
      <c r="C2968" t="str">
        <f ca="1">IFERROR(__xludf.DUMMYFUNCTION("GOOGLETRANSLATE(B2968, ""ja"", ""en"")"),"ps_ptc_meta_alp_bmp_e")</f>
        <v>ps_ptc_meta_alp_bmp_e</v>
      </c>
    </row>
    <row r="2969" spans="1:3" ht="12.75" x14ac:dyDescent="0.2">
      <c r="A2969" s="1" t="s">
        <v>5429</v>
      </c>
      <c r="B2969" s="1" t="s">
        <v>5430</v>
      </c>
      <c r="C2969" t="str">
        <f ca="1">IFERROR(__xludf.DUMMYFUNCTION("GOOGLETRANSLATE(B2969, ""ja"", ""en"")"),"ps_ptc_meta_alp_ref_x")</f>
        <v>ps_ptc_meta_alp_ref_x</v>
      </c>
    </row>
    <row r="2970" spans="1:3" ht="12.75" x14ac:dyDescent="0.2">
      <c r="A2970" s="1" t="s">
        <v>5431</v>
      </c>
      <c r="B2970" s="1" t="s">
        <v>5432</v>
      </c>
      <c r="C2970" t="str">
        <f ca="1">IFERROR(__xludf.DUMMYFUNCTION("GOOGLETRANSLATE(B2970, ""ja"", ""en"")"),"ps_ptc_meta_alp_ref_e")</f>
        <v>ps_ptc_meta_alp_ref_e</v>
      </c>
    </row>
    <row r="2971" spans="1:3" ht="12.75" x14ac:dyDescent="0.2">
      <c r="A2971" s="1" t="s">
        <v>5433</v>
      </c>
      <c r="B2971" s="1" t="s">
        <v>5434</v>
      </c>
      <c r="C2971" t="str">
        <f ca="1">IFERROR(__xludf.DUMMYFUNCTION("GOOGLETRANSLATE(B2971, ""ja"", ""en"")"),"ps_ptc_meta_col_nor_x")</f>
        <v>ps_ptc_meta_col_nor_x</v>
      </c>
    </row>
    <row r="2972" spans="1:3" ht="12.75" x14ac:dyDescent="0.2">
      <c r="A2972" s="1" t="s">
        <v>5435</v>
      </c>
      <c r="B2972" s="1" t="s">
        <v>5436</v>
      </c>
      <c r="C2972" t="str">
        <f ca="1">IFERROR(__xludf.DUMMYFUNCTION("GOOGLETRANSLATE(B2972, ""ja"", ""en"")"),"ps_ptc_meta_col_bmp_x")</f>
        <v>ps_ptc_meta_col_bmp_x</v>
      </c>
    </row>
    <row r="2973" spans="1:3" ht="12.75" x14ac:dyDescent="0.2">
      <c r="A2973" s="1" t="s">
        <v>5437</v>
      </c>
      <c r="B2973" s="1" t="s">
        <v>5438</v>
      </c>
      <c r="C2973" t="str">
        <f ca="1">IFERROR(__xludf.DUMMYFUNCTION("GOOGLETRANSLATE(B2973, ""ja"", ""en"")"),"ps_ptc_meta_col_bmp_e")</f>
        <v>ps_ptc_meta_col_bmp_e</v>
      </c>
    </row>
    <row r="2974" spans="1:3" ht="12.75" x14ac:dyDescent="0.2">
      <c r="A2974" s="1" t="s">
        <v>5439</v>
      </c>
      <c r="B2974" s="1" t="s">
        <v>5440</v>
      </c>
      <c r="C2974" t="str">
        <f ca="1">IFERROR(__xludf.DUMMYFUNCTION("GOOGLETRANSLATE(B2974, ""ja"", ""en"")"),"ps_ptc_meta_col_ref_x")</f>
        <v>ps_ptc_meta_col_ref_x</v>
      </c>
    </row>
    <row r="2975" spans="1:3" ht="12.75" x14ac:dyDescent="0.2">
      <c r="A2975" s="1" t="s">
        <v>5441</v>
      </c>
      <c r="B2975" s="1" t="s">
        <v>5442</v>
      </c>
      <c r="C2975" t="str">
        <f ca="1">IFERROR(__xludf.DUMMYFUNCTION("GOOGLETRANSLATE(B2975, ""ja"", ""en"")"),"ps_texture")</f>
        <v>ps_texture</v>
      </c>
    </row>
    <row r="2976" spans="1:3" ht="12.75" x14ac:dyDescent="0.2">
      <c r="A2976" s="1" t="s">
        <v>5443</v>
      </c>
      <c r="B2976" s="1" t="s">
        <v>5444</v>
      </c>
      <c r="C2976" t="str">
        <f ca="1">IFERROR(__xludf.DUMMYFUNCTION("GOOGLETRANSLATE(B2976, ""ja"", ""en"")"),"ps_texture_reg8")</f>
        <v>ps_texture_reg8</v>
      </c>
    </row>
    <row r="2977" spans="1:3" ht="12.75" x14ac:dyDescent="0.2">
      <c r="A2977" s="1" t="s">
        <v>5445</v>
      </c>
      <c r="B2977" s="1" t="s">
        <v>5446</v>
      </c>
      <c r="C2977" t="str">
        <f ca="1">IFERROR(__xludf.DUMMYFUNCTION("GOOGLETRANSLATE(B2977, ""ja"", ""en"")"),"ps_texture_reg24")</f>
        <v>ps_texture_reg24</v>
      </c>
    </row>
    <row r="2978" spans="1:3" ht="12.75" x14ac:dyDescent="0.2">
      <c r="A2978" s="1" t="s">
        <v>5447</v>
      </c>
      <c r="B2978" s="1" t="s">
        <v>5448</v>
      </c>
      <c r="C2978" t="str">
        <f ca="1">IFERROR(__xludf.DUMMYFUNCTION("GOOGLETRANSLATE(B2978, ""ja"", ""en"")"),"ps_texture_reg40")</f>
        <v>ps_texture_reg40</v>
      </c>
    </row>
    <row r="2979" spans="1:3" ht="12.75" x14ac:dyDescent="0.2">
      <c r="A2979" s="1" t="s">
        <v>5449</v>
      </c>
      <c r="B2979" s="1" t="s">
        <v>5450</v>
      </c>
      <c r="C2979" t="str">
        <f ca="1">IFERROR(__xludf.DUMMYFUNCTION("GOOGLETRANSLATE(B2979, ""ja"", ""en"")"),"ps_texture_a255")</f>
        <v>ps_texture_a255</v>
      </c>
    </row>
    <row r="2980" spans="1:3" ht="12.75" x14ac:dyDescent="0.2">
      <c r="A2980" s="1" t="s">
        <v>5451</v>
      </c>
      <c r="B2980" s="1" t="s">
        <v>5452</v>
      </c>
      <c r="C2980" t="str">
        <f ca="1">IFERROR(__xludf.DUMMYFUNCTION("GOOGLETRANSLATE(B2980, ""ja"", ""en"")"),"ps_texture_rgb255")</f>
        <v>ps_texture_rgb255</v>
      </c>
    </row>
    <row r="2981" spans="1:3" ht="12.75" x14ac:dyDescent="0.2">
      <c r="A2981" s="1" t="s">
        <v>5453</v>
      </c>
      <c r="B2981" s="1" t="s">
        <v>5454</v>
      </c>
      <c r="C2981" t="str">
        <f ca="1">IFERROR(__xludf.DUMMYFUNCTION("GOOGLETRANSLATE(B2981, ""ja"", ""en"")"),"ps_texture_one_color")</f>
        <v>ps_texture_one_color</v>
      </c>
    </row>
    <row r="2982" spans="1:3" ht="12.75" x14ac:dyDescent="0.2">
      <c r="A2982" s="1" t="s">
        <v>5455</v>
      </c>
      <c r="B2982" s="1" t="s">
        <v>5456</v>
      </c>
      <c r="C2982" t="str">
        <f ca="1">IFERROR(__xludf.DUMMYFUNCTION("GOOGLETRANSLATE(B2982, ""ja"", ""en"")"),"ps_black_alpha_0")</f>
        <v>ps_black_alpha_0</v>
      </c>
    </row>
    <row r="2983" spans="1:3" ht="12.75" x14ac:dyDescent="0.2">
      <c r="A2983" s="1" t="s">
        <v>5457</v>
      </c>
      <c r="B2983" s="1" t="s">
        <v>5458</v>
      </c>
      <c r="C2983" t="str">
        <f ca="1">IFERROR(__xludf.DUMMYFUNCTION("GOOGLETRANSLATE(B2983, ""ja"", ""en"")"),"ps_constant_id")</f>
        <v>ps_constant_id</v>
      </c>
    </row>
    <row r="2984" spans="1:3" ht="12.75" x14ac:dyDescent="0.2">
      <c r="A2984" s="1" t="s">
        <v>5459</v>
      </c>
      <c r="B2984" s="1" t="s">
        <v>5460</v>
      </c>
      <c r="C2984" t="str">
        <f ca="1">IFERROR(__xludf.DUMMYFUNCTION("GOOGLETRANSLATE(B2984, ""ja"", ""en"")"),"ps_texture_mask")</f>
        <v>ps_texture_mask</v>
      </c>
    </row>
    <row r="2985" spans="1:3" ht="12.75" x14ac:dyDescent="0.2">
      <c r="A2985" s="1" t="s">
        <v>5461</v>
      </c>
      <c r="B2985" s="1" t="s">
        <v>5462</v>
      </c>
      <c r="C2985" t="str">
        <f ca="1">IFERROR(__xludf.DUMMYFUNCTION("GOOGLETRANSLATE(B2985, ""ja"", ""en"")"),"ps_texture_rgbinv_a255")</f>
        <v>ps_texture_rgbinv_a255</v>
      </c>
    </row>
    <row r="2986" spans="1:3" ht="12.75" x14ac:dyDescent="0.2">
      <c r="A2986" s="1" t="s">
        <v>5463</v>
      </c>
      <c r="B2986" s="1" t="s">
        <v>5464</v>
      </c>
      <c r="C2986" t="str">
        <f ca="1">IFERROR(__xludf.DUMMYFUNCTION("GOOGLETRANSLATE(B2986, ""ja"", ""en"")"),"ps_texture_scalea")</f>
        <v>ps_texture_scalea</v>
      </c>
    </row>
    <row r="2987" spans="1:3" ht="12.75" x14ac:dyDescent="0.2">
      <c r="A2987" s="1" t="s">
        <v>5465</v>
      </c>
      <c r="B2987" s="1" t="s">
        <v>5466</v>
      </c>
      <c r="C2987" t="str">
        <f ca="1">IFERROR(__xludf.DUMMYFUNCTION("GOOGLETRANSLATE(B2987, ""ja"", ""en"")"),"ps_texture_y_threshold")</f>
        <v>ps_texture_y_threshold</v>
      </c>
    </row>
    <row r="2988" spans="1:3" ht="12.75" x14ac:dyDescent="0.2">
      <c r="A2988" s="1" t="s">
        <v>5467</v>
      </c>
      <c r="B2988" s="1" t="s">
        <v>5468</v>
      </c>
      <c r="C2988" t="str">
        <f ca="1">IFERROR(__xludf.DUMMYFUNCTION("GOOGLETRANSLATE(B2988, ""ja"", ""en"")"),"ps_texture_subtract")</f>
        <v>ps_texture_subtract</v>
      </c>
    </row>
    <row r="2989" spans="1:3" ht="12.75" x14ac:dyDescent="0.2">
      <c r="A2989" s="1" t="s">
        <v>5469</v>
      </c>
      <c r="B2989" s="1" t="s">
        <v>5470</v>
      </c>
      <c r="C2989" t="str">
        <f ca="1">IFERROR(__xludf.DUMMYFUNCTION("GOOGLETRANSLATE(B2989, ""ja"", ""en"")"),"ps_ccr_hls_sc_gm_gi_of")</f>
        <v>ps_ccr_hls_sc_gm_gi_of</v>
      </c>
    </row>
    <row r="2990" spans="1:3" ht="12.75" x14ac:dyDescent="0.2">
      <c r="A2990" s="1" t="s">
        <v>5471</v>
      </c>
      <c r="B2990" s="1" t="s">
        <v>5472</v>
      </c>
      <c r="C2990" t="str">
        <f ca="1">IFERROR(__xludf.DUMMYFUNCTION("GOOGLETRANSLATE(B2990, ""ja"", ""en"")"),"ps_ccr_hls_sc_gm_gi___")</f>
        <v>ps_ccr_hls_sc_gm_gi___</v>
      </c>
    </row>
    <row r="2991" spans="1:3" ht="12.75" x14ac:dyDescent="0.2">
      <c r="A2991" s="1" t="s">
        <v>5473</v>
      </c>
      <c r="B2991" s="1" t="s">
        <v>5474</v>
      </c>
      <c r="C2991" t="str">
        <f ca="1">IFERROR(__xludf.DUMMYFUNCTION("GOOGLETRANSLATE(B2991, ""ja"", ""en"")"),"ps_ccr_hls_sc_gm____of")</f>
        <v>ps_ccr_hls_sc_gm____of</v>
      </c>
    </row>
    <row r="2992" spans="1:3" ht="12.75" x14ac:dyDescent="0.2">
      <c r="A2992" s="1" t="s">
        <v>5475</v>
      </c>
      <c r="B2992" s="1" t="s">
        <v>5476</v>
      </c>
      <c r="C2992" t="str">
        <f ca="1">IFERROR(__xludf.DUMMYFUNCTION("GOOGLETRANSLATE(B2992, ""ja"", ""en"")"),"ps_ccr_hls_sc_gm______")</f>
        <v>ps_ccr_hls_sc_gm______</v>
      </c>
    </row>
    <row r="2993" spans="1:3" ht="12.75" x14ac:dyDescent="0.2">
      <c r="A2993" s="1" t="s">
        <v>5477</v>
      </c>
      <c r="B2993" s="1" t="s">
        <v>5478</v>
      </c>
      <c r="C2993" t="str">
        <f ca="1">IFERROR(__xludf.DUMMYFUNCTION("GOOGLETRANSLATE(B2993, ""ja"", ""en"")"),"ps_ccr_hls_sc____gi_of")</f>
        <v>ps_ccr_hls_sc____gi_of</v>
      </c>
    </row>
    <row r="2994" spans="1:3" ht="12.75" x14ac:dyDescent="0.2">
      <c r="A2994" s="1" t="s">
        <v>5479</v>
      </c>
      <c r="B2994" s="1" t="s">
        <v>5480</v>
      </c>
      <c r="C2994" t="str">
        <f ca="1">IFERROR(__xludf.DUMMYFUNCTION("GOOGLETRANSLATE(B2994, ""ja"", ""en"")"),"ps_ccr_hls_sc____gi___")</f>
        <v>ps_ccr_hls_sc____gi___</v>
      </c>
    </row>
    <row r="2995" spans="1:3" ht="12.75" x14ac:dyDescent="0.2">
      <c r="A2995" s="1" t="s">
        <v>5481</v>
      </c>
      <c r="B2995" s="1" t="s">
        <v>5482</v>
      </c>
      <c r="C2995" t="str">
        <f ca="1">IFERROR(__xludf.DUMMYFUNCTION("GOOGLETRANSLATE(B2995, ""ja"", ""en"")"),"ps_ccr_hls_sc_______of")</f>
        <v>ps_ccr_hls_sc_______of</v>
      </c>
    </row>
    <row r="2996" spans="1:3" ht="12.75" x14ac:dyDescent="0.2">
      <c r="A2996" s="1" t="s">
        <v>5483</v>
      </c>
      <c r="B2996" s="1" t="s">
        <v>5484</v>
      </c>
      <c r="C2996" t="str">
        <f ca="1">IFERROR(__xludf.DUMMYFUNCTION("GOOGLETRANSLATE(B2996, ""ja"", ""en"")"),"ps_ccr_hls_sc_________")</f>
        <v>ps_ccr_hls_sc_________</v>
      </c>
    </row>
    <row r="2997" spans="1:3" ht="12.75" x14ac:dyDescent="0.2">
      <c r="A2997" s="1" t="s">
        <v>5485</v>
      </c>
      <c r="B2997" s="1" t="s">
        <v>5486</v>
      </c>
      <c r="C2997" t="str">
        <f ca="1">IFERROR(__xludf.DUMMYFUNCTION("GOOGLETRANSLATE(B2997, ""ja"", ""en"")"),"ps_ccr_hls____gm_gi_of")</f>
        <v>ps_ccr_hls____gm_gi_of</v>
      </c>
    </row>
    <row r="2998" spans="1:3" ht="12.75" x14ac:dyDescent="0.2">
      <c r="A2998" s="1" t="s">
        <v>5487</v>
      </c>
      <c r="B2998" s="1" t="s">
        <v>5488</v>
      </c>
      <c r="C2998" t="str">
        <f ca="1">IFERROR(__xludf.DUMMYFUNCTION("GOOGLETRANSLATE(B2998, ""ja"", ""en"")"),"ps_ccr_hls____gm_gi___")</f>
        <v>ps_ccr_hls____gm_gi___</v>
      </c>
    </row>
    <row r="2999" spans="1:3" ht="12.75" x14ac:dyDescent="0.2">
      <c r="A2999" s="1" t="s">
        <v>5489</v>
      </c>
      <c r="B2999" s="1" t="s">
        <v>5490</v>
      </c>
      <c r="C2999" t="str">
        <f ca="1">IFERROR(__xludf.DUMMYFUNCTION("GOOGLETRANSLATE(B2999, ""ja"", ""en"")"),"ps_ccr_hls____gm____of")</f>
        <v>ps_ccr_hls____gm____of</v>
      </c>
    </row>
    <row r="3000" spans="1:3" ht="12.75" x14ac:dyDescent="0.2">
      <c r="A3000" s="1" t="s">
        <v>5491</v>
      </c>
      <c r="B3000" s="1" t="s">
        <v>5492</v>
      </c>
      <c r="C3000" t="str">
        <f ca="1">IFERROR(__xludf.DUMMYFUNCTION("GOOGLETRANSLATE(B3000, ""ja"", ""en"")"),"ps_ccr_hls____gm______")</f>
        <v>ps_ccr_hls____gm______</v>
      </c>
    </row>
    <row r="3001" spans="1:3" ht="12.75" x14ac:dyDescent="0.2">
      <c r="C3001" t="str">
        <f ca="1">IFERROR(__xludf.DUMMYFUNCTION("GOOGLETRANSLATE(B3001, ""ja"", ""en"")"),"#VALUE!")</f>
        <v>#VALUE!</v>
      </c>
    </row>
    <row r="3002" spans="1:3" ht="12.75" x14ac:dyDescent="0.2">
      <c r="C3002" t="str">
        <f ca="1">IFERROR(__xludf.DUMMYFUNCTION("GOOGLETRANSLATE(B3002, ""ja"", ""en"")"),"#VALUE!")</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ishin_disc_spluit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Garnet Sunset</cp:lastModifiedBy>
  <dcterms:modified xsi:type="dcterms:W3CDTF">2021-03-19T16:59:45Z</dcterms:modified>
</cp:coreProperties>
</file>