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ong\OneDrive\Máy tính\Hệ thống cc điện\"/>
    </mc:Choice>
  </mc:AlternateContent>
  <xr:revisionPtr revIDLastSave="0" documentId="13_ncr:1_{7ADB71A3-BC11-4808-8EE2-9C606C740287}" xr6:coauthVersionLast="47" xr6:coauthVersionMax="47" xr10:uidLastSave="{00000000-0000-0000-0000-000000000000}"/>
  <bookViews>
    <workbookView xWindow="2268" yWindow="2268" windowWidth="17280" windowHeight="8880" xr2:uid="{6FFBC52C-8ACB-483C-AB1A-0686CF885F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4" i="1" l="1"/>
  <c r="G495" i="1"/>
  <c r="G496" i="1"/>
  <c r="G497" i="1"/>
  <c r="G498" i="1"/>
  <c r="F494" i="1"/>
  <c r="F495" i="1"/>
  <c r="F496" i="1"/>
  <c r="F497" i="1"/>
  <c r="F498" i="1"/>
  <c r="F493" i="1"/>
  <c r="G493" i="1" s="1"/>
  <c r="G486" i="1"/>
  <c r="G487" i="1"/>
  <c r="G488" i="1"/>
  <c r="G489" i="1"/>
  <c r="G490" i="1"/>
  <c r="G491" i="1"/>
  <c r="G492" i="1"/>
  <c r="F486" i="1"/>
  <c r="F487" i="1"/>
  <c r="F488" i="1"/>
  <c r="F489" i="1"/>
  <c r="F490" i="1"/>
  <c r="F491" i="1"/>
  <c r="F492" i="1"/>
  <c r="F485" i="1"/>
  <c r="G485" i="1" s="1"/>
  <c r="G478" i="1"/>
  <c r="G479" i="1"/>
  <c r="G480" i="1"/>
  <c r="G481" i="1"/>
  <c r="G482" i="1"/>
  <c r="G483" i="1"/>
  <c r="G484" i="1"/>
  <c r="F478" i="1"/>
  <c r="F479" i="1"/>
  <c r="F480" i="1"/>
  <c r="F481" i="1"/>
  <c r="F482" i="1"/>
  <c r="F483" i="1"/>
  <c r="F484" i="1"/>
  <c r="F477" i="1"/>
  <c r="G477" i="1" s="1"/>
  <c r="G474" i="1"/>
  <c r="G475" i="1"/>
  <c r="G476" i="1"/>
  <c r="F474" i="1"/>
  <c r="F475" i="1"/>
  <c r="F476" i="1"/>
  <c r="F473" i="1"/>
  <c r="G473" i="1" s="1"/>
  <c r="G463" i="1"/>
  <c r="G464" i="1"/>
  <c r="G465" i="1"/>
  <c r="G466" i="1"/>
  <c r="G467" i="1"/>
  <c r="G468" i="1"/>
  <c r="G469" i="1"/>
  <c r="G470" i="1"/>
  <c r="G471" i="1"/>
  <c r="G472" i="1"/>
  <c r="F463" i="1"/>
  <c r="F464" i="1"/>
  <c r="F465" i="1"/>
  <c r="F466" i="1"/>
  <c r="F467" i="1"/>
  <c r="F468" i="1"/>
  <c r="F469" i="1"/>
  <c r="F470" i="1"/>
  <c r="F471" i="1"/>
  <c r="F472" i="1"/>
  <c r="F462" i="1"/>
  <c r="G462" i="1" s="1"/>
  <c r="G453" i="1"/>
  <c r="G454" i="1"/>
  <c r="G455" i="1"/>
  <c r="G456" i="1"/>
  <c r="G457" i="1"/>
  <c r="G458" i="1"/>
  <c r="G459" i="1"/>
  <c r="G460" i="1"/>
  <c r="G461" i="1"/>
  <c r="F454" i="1"/>
  <c r="F455" i="1"/>
  <c r="F456" i="1"/>
  <c r="F457" i="1"/>
  <c r="F458" i="1"/>
  <c r="F459" i="1"/>
  <c r="F460" i="1"/>
  <c r="F461" i="1"/>
  <c r="F453" i="1"/>
  <c r="G447" i="1"/>
  <c r="G448" i="1"/>
  <c r="G449" i="1"/>
  <c r="G450" i="1"/>
  <c r="G451" i="1"/>
  <c r="G452" i="1"/>
  <c r="G446" i="1"/>
  <c r="F447" i="1"/>
  <c r="F448" i="1"/>
  <c r="F449" i="1"/>
  <c r="F450" i="1"/>
  <c r="F451" i="1"/>
  <c r="F452" i="1"/>
  <c r="F446" i="1"/>
  <c r="V436" i="1"/>
  <c r="V437" i="1"/>
  <c r="V438" i="1"/>
  <c r="V435" i="1"/>
  <c r="U436" i="1"/>
  <c r="U437" i="1"/>
  <c r="U438" i="1"/>
  <c r="U435" i="1"/>
  <c r="T436" i="1"/>
  <c r="T437" i="1"/>
  <c r="T438" i="1"/>
  <c r="T435" i="1"/>
  <c r="S436" i="1"/>
  <c r="S437" i="1"/>
  <c r="S438" i="1"/>
  <c r="S439" i="1"/>
  <c r="S440" i="1"/>
  <c r="S441" i="1"/>
  <c r="S435" i="1"/>
  <c r="R436" i="1"/>
  <c r="R437" i="1"/>
  <c r="R438" i="1"/>
  <c r="R439" i="1"/>
  <c r="T439" i="1" s="1"/>
  <c r="U439" i="1" s="1"/>
  <c r="V439" i="1" s="1"/>
  <c r="R440" i="1"/>
  <c r="T440" i="1" s="1"/>
  <c r="U440" i="1" s="1"/>
  <c r="V440" i="1" s="1"/>
  <c r="R441" i="1"/>
  <c r="T441" i="1" s="1"/>
  <c r="U441" i="1" s="1"/>
  <c r="V441" i="1" s="1"/>
  <c r="R435" i="1"/>
  <c r="Q441" i="1"/>
  <c r="Q440" i="1"/>
  <c r="Q439" i="1"/>
  <c r="H419" i="1"/>
  <c r="Q438" i="1"/>
  <c r="Q437" i="1"/>
  <c r="Q436" i="1"/>
  <c r="Q435" i="1"/>
  <c r="P441" i="1"/>
  <c r="P440" i="1"/>
  <c r="P439" i="1"/>
  <c r="P438" i="1"/>
  <c r="P437" i="1"/>
  <c r="P435" i="1"/>
  <c r="P436" i="1"/>
  <c r="M436" i="1"/>
  <c r="M437" i="1"/>
  <c r="M438" i="1"/>
  <c r="M439" i="1"/>
  <c r="M440" i="1"/>
  <c r="M441" i="1"/>
  <c r="M435" i="1"/>
  <c r="L436" i="1"/>
  <c r="L437" i="1"/>
  <c r="L438" i="1"/>
  <c r="L439" i="1"/>
  <c r="L440" i="1"/>
  <c r="L441" i="1"/>
  <c r="L435" i="1"/>
  <c r="H436" i="1"/>
  <c r="H437" i="1"/>
  <c r="H438" i="1"/>
  <c r="H439" i="1"/>
  <c r="H440" i="1"/>
  <c r="H441" i="1"/>
  <c r="H435" i="1"/>
  <c r="H412" i="1"/>
  <c r="H411" i="1"/>
  <c r="H418" i="1"/>
  <c r="H413" i="1"/>
  <c r="H414" i="1" s="1"/>
  <c r="H415" i="1" s="1"/>
  <c r="D402" i="1"/>
  <c r="D403" i="1"/>
  <c r="D404" i="1"/>
  <c r="D405" i="1"/>
  <c r="D406" i="1"/>
  <c r="D407" i="1"/>
  <c r="D401" i="1"/>
  <c r="E402" i="1"/>
  <c r="E403" i="1"/>
  <c r="E404" i="1"/>
  <c r="E405" i="1"/>
  <c r="E406" i="1"/>
  <c r="E407" i="1"/>
  <c r="E401" i="1"/>
  <c r="C402" i="1"/>
  <c r="C403" i="1"/>
  <c r="C404" i="1"/>
  <c r="C405" i="1"/>
  <c r="C406" i="1"/>
  <c r="C407" i="1"/>
  <c r="C401" i="1"/>
  <c r="D390" i="1"/>
  <c r="D392" i="1"/>
  <c r="D393" i="1"/>
  <c r="D394" i="1"/>
  <c r="D395" i="1"/>
  <c r="D396" i="1"/>
  <c r="D397" i="1"/>
  <c r="D391" i="1"/>
  <c r="F378" i="1"/>
  <c r="F379" i="1"/>
  <c r="F380" i="1"/>
  <c r="F381" i="1"/>
  <c r="F382" i="1"/>
  <c r="F383" i="1"/>
  <c r="F384" i="1"/>
  <c r="F385" i="1"/>
  <c r="F377" i="1"/>
  <c r="G385" i="1"/>
  <c r="G384" i="1"/>
  <c r="G378" i="1"/>
  <c r="G379" i="1"/>
  <c r="G380" i="1"/>
  <c r="G381" i="1"/>
  <c r="G382" i="1"/>
  <c r="G383" i="1"/>
  <c r="G377" i="1"/>
  <c r="E384" i="1"/>
  <c r="E385" i="1"/>
  <c r="E378" i="1"/>
  <c r="E379" i="1"/>
  <c r="E380" i="1"/>
  <c r="E381" i="1"/>
  <c r="E382" i="1"/>
  <c r="E383" i="1"/>
  <c r="E377" i="1"/>
  <c r="F367" i="1"/>
  <c r="F368" i="1"/>
  <c r="F369" i="1"/>
  <c r="F370" i="1"/>
  <c r="F371" i="1"/>
  <c r="F372" i="1"/>
  <c r="F373" i="1"/>
  <c r="F366" i="1"/>
  <c r="E367" i="1"/>
  <c r="E368" i="1"/>
  <c r="E369" i="1"/>
  <c r="E370" i="1"/>
  <c r="E371" i="1"/>
  <c r="E372" i="1"/>
  <c r="E373" i="1"/>
  <c r="E366" i="1"/>
  <c r="D367" i="1"/>
  <c r="D368" i="1"/>
  <c r="D369" i="1"/>
  <c r="D370" i="1"/>
  <c r="D371" i="1"/>
  <c r="D372" i="1"/>
  <c r="D373" i="1"/>
  <c r="D366" i="1"/>
  <c r="E345" i="1"/>
  <c r="E346" i="1"/>
  <c r="E347" i="1"/>
  <c r="C358" i="1" s="1"/>
  <c r="E348" i="1"/>
  <c r="E349" i="1"/>
  <c r="E350" i="1"/>
  <c r="E351" i="1"/>
  <c r="E344" i="1"/>
  <c r="F356" i="1"/>
  <c r="F357" i="1"/>
  <c r="F358" i="1"/>
  <c r="F359" i="1"/>
  <c r="F360" i="1"/>
  <c r="F361" i="1"/>
  <c r="F362" i="1"/>
  <c r="F355" i="1"/>
  <c r="E356" i="1"/>
  <c r="E357" i="1"/>
  <c r="E358" i="1"/>
  <c r="E359" i="1"/>
  <c r="E360" i="1"/>
  <c r="E361" i="1"/>
  <c r="E362" i="1"/>
  <c r="E355" i="1"/>
  <c r="D356" i="1"/>
  <c r="D357" i="1"/>
  <c r="D358" i="1"/>
  <c r="D359" i="1"/>
  <c r="D360" i="1"/>
  <c r="D361" i="1"/>
  <c r="D362" i="1"/>
  <c r="D355" i="1"/>
  <c r="C356" i="1"/>
  <c r="C357" i="1"/>
  <c r="C359" i="1"/>
  <c r="C360" i="1"/>
  <c r="C361" i="1"/>
  <c r="C362" i="1"/>
  <c r="C355" i="1"/>
  <c r="F345" i="1"/>
  <c r="F346" i="1"/>
  <c r="F347" i="1"/>
  <c r="F348" i="1"/>
  <c r="F349" i="1"/>
  <c r="F350" i="1"/>
  <c r="F351" i="1"/>
  <c r="F344" i="1"/>
  <c r="D345" i="1"/>
  <c r="D346" i="1"/>
  <c r="D347" i="1"/>
  <c r="D348" i="1"/>
  <c r="D349" i="1"/>
  <c r="D350" i="1"/>
  <c r="D351" i="1"/>
  <c r="D344" i="1"/>
  <c r="G340" i="1"/>
  <c r="D340" i="1"/>
  <c r="I340" i="1"/>
  <c r="D333" i="1"/>
  <c r="G333" i="1" s="1"/>
  <c r="D334" i="1"/>
  <c r="D335" i="1"/>
  <c r="G335" i="1" s="1"/>
  <c r="D336" i="1"/>
  <c r="D337" i="1"/>
  <c r="I337" i="1" s="1"/>
  <c r="D338" i="1"/>
  <c r="I338" i="1" s="1"/>
  <c r="D339" i="1"/>
  <c r="D332" i="1"/>
  <c r="I333" i="1"/>
  <c r="I334" i="1"/>
  <c r="I335" i="1"/>
  <c r="I336" i="1"/>
  <c r="I339" i="1"/>
  <c r="G334" i="1"/>
  <c r="G336" i="1"/>
  <c r="G338" i="1"/>
  <c r="G339" i="1"/>
  <c r="G332" i="1"/>
  <c r="I332" i="1"/>
  <c r="G322" i="1"/>
  <c r="G323" i="1"/>
  <c r="G324" i="1"/>
  <c r="G325" i="1"/>
  <c r="G326" i="1"/>
  <c r="G327" i="1"/>
  <c r="G328" i="1"/>
  <c r="G321" i="1"/>
  <c r="D322" i="1"/>
  <c r="D323" i="1"/>
  <c r="D324" i="1"/>
  <c r="D325" i="1"/>
  <c r="D326" i="1"/>
  <c r="D327" i="1"/>
  <c r="D328" i="1"/>
  <c r="D321" i="1"/>
  <c r="P310" i="1"/>
  <c r="P311" i="1"/>
  <c r="P312" i="1"/>
  <c r="P313" i="1"/>
  <c r="P314" i="1"/>
  <c r="P315" i="1"/>
  <c r="P316" i="1"/>
  <c r="P309" i="1"/>
  <c r="O310" i="1"/>
  <c r="O311" i="1"/>
  <c r="O312" i="1"/>
  <c r="O313" i="1"/>
  <c r="O314" i="1"/>
  <c r="O315" i="1"/>
  <c r="O316" i="1"/>
  <c r="O309" i="1"/>
  <c r="N310" i="1"/>
  <c r="N311" i="1"/>
  <c r="N312" i="1"/>
  <c r="N313" i="1"/>
  <c r="N314" i="1"/>
  <c r="N315" i="1"/>
  <c r="N316" i="1"/>
  <c r="N309" i="1"/>
  <c r="M310" i="1"/>
  <c r="M311" i="1"/>
  <c r="M312" i="1"/>
  <c r="M313" i="1"/>
  <c r="M314" i="1"/>
  <c r="M315" i="1"/>
  <c r="M316" i="1"/>
  <c r="M309" i="1"/>
  <c r="L310" i="1"/>
  <c r="L311" i="1"/>
  <c r="L312" i="1"/>
  <c r="L313" i="1"/>
  <c r="L314" i="1"/>
  <c r="L315" i="1"/>
  <c r="L316" i="1"/>
  <c r="L309" i="1"/>
  <c r="K310" i="1"/>
  <c r="K311" i="1"/>
  <c r="K312" i="1"/>
  <c r="K313" i="1"/>
  <c r="K314" i="1"/>
  <c r="K315" i="1"/>
  <c r="K316" i="1"/>
  <c r="K309" i="1"/>
  <c r="J310" i="1"/>
  <c r="J311" i="1"/>
  <c r="J312" i="1"/>
  <c r="J313" i="1"/>
  <c r="J314" i="1"/>
  <c r="J315" i="1"/>
  <c r="J316" i="1"/>
  <c r="J309" i="1"/>
  <c r="I310" i="1"/>
  <c r="I311" i="1"/>
  <c r="I312" i="1"/>
  <c r="I313" i="1"/>
  <c r="I314" i="1"/>
  <c r="I315" i="1"/>
  <c r="I316" i="1"/>
  <c r="I309" i="1"/>
  <c r="E310" i="1"/>
  <c r="E311" i="1"/>
  <c r="E312" i="1"/>
  <c r="E313" i="1"/>
  <c r="E314" i="1"/>
  <c r="E315" i="1"/>
  <c r="E316" i="1"/>
  <c r="E309" i="1"/>
  <c r="D310" i="1"/>
  <c r="D311" i="1"/>
  <c r="D312" i="1"/>
  <c r="D313" i="1"/>
  <c r="D314" i="1"/>
  <c r="D315" i="1"/>
  <c r="D316" i="1"/>
  <c r="D309" i="1"/>
  <c r="C310" i="1"/>
  <c r="C311" i="1"/>
  <c r="C312" i="1"/>
  <c r="C313" i="1"/>
  <c r="C314" i="1"/>
  <c r="C315" i="1"/>
  <c r="C316" i="1"/>
  <c r="C309" i="1"/>
  <c r="N299" i="1"/>
  <c r="N300" i="1"/>
  <c r="N301" i="1"/>
  <c r="N302" i="1"/>
  <c r="N303" i="1"/>
  <c r="N304" i="1"/>
  <c r="N305" i="1"/>
  <c r="N298" i="1"/>
  <c r="M299" i="1"/>
  <c r="M300" i="1"/>
  <c r="M301" i="1"/>
  <c r="M302" i="1"/>
  <c r="M303" i="1"/>
  <c r="M304" i="1"/>
  <c r="M305" i="1"/>
  <c r="M298" i="1"/>
  <c r="K299" i="1"/>
  <c r="K300" i="1"/>
  <c r="K301" i="1"/>
  <c r="K302" i="1"/>
  <c r="K303" i="1"/>
  <c r="K304" i="1"/>
  <c r="K305" i="1"/>
  <c r="K298" i="1"/>
  <c r="J299" i="1"/>
  <c r="J300" i="1"/>
  <c r="J301" i="1"/>
  <c r="J302" i="1"/>
  <c r="J303" i="1"/>
  <c r="J304" i="1"/>
  <c r="J305" i="1"/>
  <c r="J298" i="1"/>
  <c r="I299" i="1"/>
  <c r="I300" i="1"/>
  <c r="I301" i="1"/>
  <c r="I302" i="1"/>
  <c r="I303" i="1"/>
  <c r="I304" i="1"/>
  <c r="I305" i="1"/>
  <c r="I298" i="1"/>
  <c r="H299" i="1"/>
  <c r="H300" i="1"/>
  <c r="H301" i="1"/>
  <c r="H302" i="1"/>
  <c r="H303" i="1"/>
  <c r="H304" i="1"/>
  <c r="H305" i="1"/>
  <c r="H298" i="1"/>
  <c r="C293" i="1"/>
  <c r="C292" i="1"/>
  <c r="C291" i="1"/>
  <c r="C290" i="1"/>
  <c r="C289" i="1"/>
  <c r="D285" i="1"/>
  <c r="D286" i="1"/>
  <c r="C283" i="1"/>
  <c r="D278" i="1"/>
  <c r="E278" i="1"/>
  <c r="F278" i="1"/>
  <c r="C278" i="1"/>
  <c r="F276" i="1"/>
  <c r="E276" i="1"/>
  <c r="D276" i="1"/>
  <c r="C276" i="1"/>
  <c r="D277" i="1"/>
  <c r="E277" i="1"/>
  <c r="F277" i="1"/>
  <c r="C277" i="1"/>
  <c r="D271" i="1"/>
  <c r="E271" i="1"/>
  <c r="F271" i="1"/>
  <c r="C271" i="1"/>
  <c r="F270" i="1"/>
  <c r="F269" i="1"/>
  <c r="E270" i="1"/>
  <c r="E269" i="1"/>
  <c r="D269" i="1"/>
  <c r="D270" i="1"/>
  <c r="C270" i="1"/>
  <c r="C269" i="1"/>
  <c r="Q266" i="1"/>
  <c r="H266" i="1"/>
  <c r="Q259" i="1"/>
  <c r="Q260" i="1"/>
  <c r="Q261" i="1"/>
  <c r="Q262" i="1"/>
  <c r="Q263" i="1"/>
  <c r="Q264" i="1"/>
  <c r="Q265" i="1"/>
  <c r="Q258" i="1"/>
  <c r="P259" i="1"/>
  <c r="P260" i="1"/>
  <c r="P261" i="1"/>
  <c r="P262" i="1"/>
  <c r="P263" i="1"/>
  <c r="P264" i="1"/>
  <c r="P265" i="1"/>
  <c r="P258" i="1"/>
  <c r="O259" i="1"/>
  <c r="O260" i="1"/>
  <c r="O261" i="1"/>
  <c r="O262" i="1"/>
  <c r="O263" i="1"/>
  <c r="O264" i="1"/>
  <c r="O265" i="1"/>
  <c r="O258" i="1"/>
  <c r="M259" i="1"/>
  <c r="M260" i="1"/>
  <c r="M261" i="1"/>
  <c r="M262" i="1"/>
  <c r="M263" i="1"/>
  <c r="M264" i="1"/>
  <c r="M265" i="1"/>
  <c r="M258" i="1"/>
  <c r="H258" i="1"/>
  <c r="H259" i="1"/>
  <c r="H260" i="1"/>
  <c r="H261" i="1"/>
  <c r="H262" i="1"/>
  <c r="H263" i="1"/>
  <c r="H264" i="1"/>
  <c r="H265" i="1"/>
  <c r="H257" i="1"/>
  <c r="D259" i="1"/>
  <c r="D260" i="1"/>
  <c r="D261" i="1"/>
  <c r="D262" i="1"/>
  <c r="D263" i="1"/>
  <c r="D264" i="1"/>
  <c r="D265" i="1"/>
  <c r="D258" i="1"/>
  <c r="Q254" i="1"/>
  <c r="H254" i="1"/>
  <c r="Q253" i="1"/>
  <c r="Q252" i="1"/>
  <c r="Q251" i="1"/>
  <c r="Q250" i="1"/>
  <c r="Q249" i="1"/>
  <c r="Q248" i="1"/>
  <c r="Q247" i="1"/>
  <c r="P248" i="1"/>
  <c r="P249" i="1"/>
  <c r="P250" i="1"/>
  <c r="P251" i="1"/>
  <c r="P252" i="1"/>
  <c r="P253" i="1"/>
  <c r="P247" i="1"/>
  <c r="O248" i="1"/>
  <c r="O249" i="1"/>
  <c r="O250" i="1"/>
  <c r="O251" i="1"/>
  <c r="O252" i="1"/>
  <c r="O253" i="1"/>
  <c r="O247" i="1"/>
  <c r="N248" i="1"/>
  <c r="N249" i="1"/>
  <c r="N250" i="1"/>
  <c r="N251" i="1"/>
  <c r="N252" i="1"/>
  <c r="N253" i="1"/>
  <c r="N247" i="1"/>
  <c r="M248" i="1"/>
  <c r="M249" i="1"/>
  <c r="M250" i="1"/>
  <c r="M251" i="1"/>
  <c r="M252" i="1"/>
  <c r="M253" i="1"/>
  <c r="M247" i="1"/>
  <c r="H247" i="1"/>
  <c r="H248" i="1"/>
  <c r="H249" i="1"/>
  <c r="H250" i="1"/>
  <c r="H251" i="1"/>
  <c r="H252" i="1"/>
  <c r="H253" i="1"/>
  <c r="H246" i="1"/>
  <c r="D248" i="1"/>
  <c r="D249" i="1"/>
  <c r="D250" i="1"/>
  <c r="D251" i="1"/>
  <c r="D252" i="1"/>
  <c r="D253" i="1"/>
  <c r="D247" i="1"/>
  <c r="S239" i="1"/>
  <c r="S231" i="1"/>
  <c r="S232" i="1"/>
  <c r="S233" i="1"/>
  <c r="S234" i="1"/>
  <c r="S235" i="1"/>
  <c r="S236" i="1"/>
  <c r="S237" i="1"/>
  <c r="S238" i="1"/>
  <c r="S230" i="1"/>
  <c r="R231" i="1"/>
  <c r="R232" i="1"/>
  <c r="R233" i="1"/>
  <c r="R234" i="1"/>
  <c r="R235" i="1"/>
  <c r="R236" i="1"/>
  <c r="R237" i="1"/>
  <c r="R238" i="1"/>
  <c r="R230" i="1"/>
  <c r="Q231" i="1"/>
  <c r="Q232" i="1"/>
  <c r="Q233" i="1"/>
  <c r="Q234" i="1"/>
  <c r="Q235" i="1"/>
  <c r="Q236" i="1"/>
  <c r="Q237" i="1"/>
  <c r="Q238" i="1"/>
  <c r="Q230" i="1"/>
  <c r="O231" i="1"/>
  <c r="O232" i="1"/>
  <c r="O233" i="1"/>
  <c r="O234" i="1"/>
  <c r="O235" i="1"/>
  <c r="O236" i="1"/>
  <c r="O237" i="1"/>
  <c r="O238" i="1"/>
  <c r="O230" i="1"/>
  <c r="I239" i="1"/>
  <c r="I231" i="1"/>
  <c r="I232" i="1"/>
  <c r="I233" i="1"/>
  <c r="I234" i="1"/>
  <c r="I235" i="1"/>
  <c r="I236" i="1"/>
  <c r="I237" i="1"/>
  <c r="I238" i="1"/>
  <c r="I230" i="1"/>
  <c r="H231" i="1"/>
  <c r="H232" i="1"/>
  <c r="H233" i="1"/>
  <c r="H234" i="1"/>
  <c r="H235" i="1"/>
  <c r="H236" i="1"/>
  <c r="H237" i="1"/>
  <c r="H238" i="1"/>
  <c r="H230" i="1"/>
  <c r="E238" i="1"/>
  <c r="I203" i="1"/>
  <c r="E182" i="1"/>
  <c r="K183" i="1"/>
  <c r="K182" i="1"/>
  <c r="E183" i="1"/>
  <c r="D175" i="1"/>
  <c r="D169" i="1"/>
  <c r="D170" i="1"/>
  <c r="E170" i="1" s="1"/>
  <c r="D171" i="1"/>
  <c r="D172" i="1"/>
  <c r="D173" i="1"/>
  <c r="D174" i="1"/>
  <c r="E236" i="1" s="1"/>
  <c r="D168" i="1"/>
  <c r="E231" i="1"/>
  <c r="E233" i="1"/>
  <c r="E234" i="1"/>
  <c r="E235" i="1"/>
  <c r="E237" i="1"/>
  <c r="E230" i="1"/>
  <c r="S226" i="1"/>
  <c r="S218" i="1"/>
  <c r="S219" i="1"/>
  <c r="S220" i="1"/>
  <c r="S221" i="1"/>
  <c r="S222" i="1"/>
  <c r="S223" i="1"/>
  <c r="S224" i="1"/>
  <c r="S225" i="1"/>
  <c r="R218" i="1"/>
  <c r="R219" i="1"/>
  <c r="R220" i="1"/>
  <c r="R221" i="1"/>
  <c r="R222" i="1"/>
  <c r="R223" i="1"/>
  <c r="R224" i="1"/>
  <c r="R225" i="1"/>
  <c r="R217" i="1"/>
  <c r="S217" i="1" s="1"/>
  <c r="N225" i="1"/>
  <c r="N224" i="1"/>
  <c r="N218" i="1"/>
  <c r="N219" i="1"/>
  <c r="N220" i="1"/>
  <c r="N221" i="1"/>
  <c r="N222" i="1"/>
  <c r="N223" i="1"/>
  <c r="N217" i="1"/>
  <c r="I226" i="1"/>
  <c r="I218" i="1"/>
  <c r="I219" i="1"/>
  <c r="I220" i="1"/>
  <c r="I221" i="1"/>
  <c r="I222" i="1"/>
  <c r="I223" i="1"/>
  <c r="I224" i="1"/>
  <c r="I225" i="1"/>
  <c r="I217" i="1"/>
  <c r="H218" i="1"/>
  <c r="H219" i="1"/>
  <c r="H220" i="1"/>
  <c r="H221" i="1"/>
  <c r="H222" i="1"/>
  <c r="H223" i="1"/>
  <c r="H224" i="1"/>
  <c r="H225" i="1"/>
  <c r="H217" i="1"/>
  <c r="E225" i="1"/>
  <c r="E224" i="1"/>
  <c r="E218" i="1"/>
  <c r="E219" i="1"/>
  <c r="E220" i="1"/>
  <c r="E221" i="1"/>
  <c r="E222" i="1"/>
  <c r="E223" i="1"/>
  <c r="E217" i="1"/>
  <c r="L207" i="1"/>
  <c r="L208" i="1"/>
  <c r="L209" i="1"/>
  <c r="J208" i="1"/>
  <c r="J209" i="1"/>
  <c r="H207" i="1"/>
  <c r="H206" i="1"/>
  <c r="H208" i="1"/>
  <c r="H209" i="1"/>
  <c r="F203" i="1"/>
  <c r="F204" i="1"/>
  <c r="F205" i="1"/>
  <c r="F202" i="1"/>
  <c r="F200" i="1"/>
  <c r="F201" i="1"/>
  <c r="F206" i="1"/>
  <c r="F207" i="1"/>
  <c r="F208" i="1"/>
  <c r="F209" i="1"/>
  <c r="L202" i="1"/>
  <c r="L203" i="1"/>
  <c r="L204" i="1"/>
  <c r="L205" i="1"/>
  <c r="L206" i="1"/>
  <c r="K207" i="1"/>
  <c r="K206" i="1"/>
  <c r="J206" i="1"/>
  <c r="J207" i="1"/>
  <c r="G207" i="1"/>
  <c r="G206" i="1"/>
  <c r="D207" i="1"/>
  <c r="D206" i="1"/>
  <c r="J204" i="1"/>
  <c r="J205" i="1"/>
  <c r="I205" i="1"/>
  <c r="H202" i="1"/>
  <c r="H203" i="1"/>
  <c r="H204" i="1"/>
  <c r="H205" i="1"/>
  <c r="D202" i="1"/>
  <c r="E205" i="1"/>
  <c r="D205" i="1"/>
  <c r="E204" i="1"/>
  <c r="D204" i="1"/>
  <c r="E203" i="1"/>
  <c r="D203" i="1"/>
  <c r="E202" i="1"/>
  <c r="L194" i="1"/>
  <c r="L195" i="1"/>
  <c r="L196" i="1"/>
  <c r="H194" i="1"/>
  <c r="H195" i="1"/>
  <c r="H196" i="1"/>
  <c r="J198" i="1"/>
  <c r="J199" i="1"/>
  <c r="J200" i="1"/>
  <c r="J201" i="1"/>
  <c r="J197" i="1"/>
  <c r="F198" i="1"/>
  <c r="F199" i="1"/>
  <c r="F197" i="1"/>
  <c r="L198" i="1"/>
  <c r="L199" i="1"/>
  <c r="L200" i="1"/>
  <c r="L201" i="1"/>
  <c r="L197" i="1"/>
  <c r="H201" i="1"/>
  <c r="H200" i="1"/>
  <c r="H199" i="1"/>
  <c r="H198" i="1"/>
  <c r="H197" i="1"/>
  <c r="J196" i="1"/>
  <c r="F192" i="1"/>
  <c r="F193" i="1"/>
  <c r="F194" i="1"/>
  <c r="F195" i="1"/>
  <c r="F196" i="1"/>
  <c r="J193" i="1"/>
  <c r="J194" i="1"/>
  <c r="J195" i="1"/>
  <c r="J192" i="1"/>
  <c r="L192" i="1"/>
  <c r="L193" i="1"/>
  <c r="H193" i="1"/>
  <c r="H192" i="1"/>
  <c r="L191" i="1"/>
  <c r="L210" i="1" s="1"/>
  <c r="J191" i="1"/>
  <c r="H191" i="1"/>
  <c r="H210" i="1" s="1"/>
  <c r="F191" i="1"/>
  <c r="Q184" i="1"/>
  <c r="Q183" i="1"/>
  <c r="Q182" i="1"/>
  <c r="P182" i="1"/>
  <c r="P183" i="1"/>
  <c r="O178" i="1"/>
  <c r="P178" i="1" s="1"/>
  <c r="Q178" i="1" s="1"/>
  <c r="O169" i="1"/>
  <c r="O171" i="1"/>
  <c r="P171" i="1" s="1"/>
  <c r="S171" i="1" s="1"/>
  <c r="O172" i="1"/>
  <c r="P172" i="1" s="1"/>
  <c r="O173" i="1"/>
  <c r="P173" i="1" s="1"/>
  <c r="S173" i="1" s="1"/>
  <c r="O174" i="1"/>
  <c r="P174" i="1" s="1"/>
  <c r="O175" i="1"/>
  <c r="O168" i="1"/>
  <c r="P168" i="1" s="1"/>
  <c r="S168" i="1" s="1"/>
  <c r="P175" i="1"/>
  <c r="P169" i="1"/>
  <c r="F184" i="1"/>
  <c r="E184" i="1"/>
  <c r="F183" i="1"/>
  <c r="D178" i="1"/>
  <c r="E178" i="1" s="1"/>
  <c r="F178" i="1" s="1"/>
  <c r="H171" i="1"/>
  <c r="H175" i="1"/>
  <c r="G169" i="1"/>
  <c r="G171" i="1"/>
  <c r="G172" i="1"/>
  <c r="E169" i="1"/>
  <c r="H169" i="1" s="1"/>
  <c r="E171" i="1"/>
  <c r="E172" i="1"/>
  <c r="H172" i="1" s="1"/>
  <c r="E173" i="1"/>
  <c r="G173" i="1" s="1"/>
  <c r="E174" i="1"/>
  <c r="G174" i="1" s="1"/>
  <c r="E175" i="1"/>
  <c r="G175" i="1" s="1"/>
  <c r="E168" i="1"/>
  <c r="H168" i="1" s="1"/>
  <c r="Q162" i="1"/>
  <c r="Q161" i="1"/>
  <c r="Q160" i="1"/>
  <c r="P161" i="1"/>
  <c r="P160" i="1"/>
  <c r="E162" i="1"/>
  <c r="E161" i="1"/>
  <c r="E160" i="1"/>
  <c r="F162" i="1"/>
  <c r="F163" i="1"/>
  <c r="E163" i="1"/>
  <c r="F161" i="1"/>
  <c r="F160" i="1"/>
  <c r="S147" i="1"/>
  <c r="S148" i="1"/>
  <c r="S149" i="1"/>
  <c r="S150" i="1"/>
  <c r="S151" i="1"/>
  <c r="S152" i="1"/>
  <c r="S146" i="1"/>
  <c r="P147" i="1"/>
  <c r="P148" i="1"/>
  <c r="P149" i="1"/>
  <c r="P150" i="1"/>
  <c r="P151" i="1"/>
  <c r="P152" i="1"/>
  <c r="R147" i="1"/>
  <c r="R148" i="1"/>
  <c r="R149" i="1"/>
  <c r="R150" i="1"/>
  <c r="R151" i="1"/>
  <c r="R152" i="1"/>
  <c r="R146" i="1"/>
  <c r="O156" i="1"/>
  <c r="O155" i="1"/>
  <c r="P156" i="1"/>
  <c r="Q156" i="1" s="1"/>
  <c r="Q155" i="1"/>
  <c r="P155" i="1"/>
  <c r="P146" i="1"/>
  <c r="O147" i="1"/>
  <c r="O148" i="1"/>
  <c r="O149" i="1"/>
  <c r="O150" i="1"/>
  <c r="O151" i="1"/>
  <c r="O152" i="1"/>
  <c r="O146" i="1"/>
  <c r="F156" i="1"/>
  <c r="F155" i="1"/>
  <c r="E156" i="1"/>
  <c r="E155" i="1"/>
  <c r="D156" i="1"/>
  <c r="D155" i="1"/>
  <c r="H147" i="1"/>
  <c r="H148" i="1"/>
  <c r="H149" i="1"/>
  <c r="H150" i="1"/>
  <c r="H151" i="1"/>
  <c r="H152" i="1"/>
  <c r="H146" i="1"/>
  <c r="G147" i="1"/>
  <c r="G148" i="1"/>
  <c r="G149" i="1"/>
  <c r="G150" i="1"/>
  <c r="G151" i="1"/>
  <c r="G152" i="1"/>
  <c r="G146" i="1"/>
  <c r="E147" i="1"/>
  <c r="E148" i="1"/>
  <c r="E149" i="1"/>
  <c r="E150" i="1"/>
  <c r="E151" i="1"/>
  <c r="E152" i="1"/>
  <c r="E146" i="1"/>
  <c r="D147" i="1"/>
  <c r="D148" i="1"/>
  <c r="D149" i="1"/>
  <c r="D150" i="1"/>
  <c r="D151" i="1"/>
  <c r="D152" i="1"/>
  <c r="D146" i="1"/>
  <c r="P143" i="1"/>
  <c r="P142" i="1"/>
  <c r="P137" i="1"/>
  <c r="P138" i="1"/>
  <c r="P139" i="1"/>
  <c r="P140" i="1"/>
  <c r="P141" i="1"/>
  <c r="P136" i="1"/>
  <c r="O137" i="1"/>
  <c r="O138" i="1"/>
  <c r="O139" i="1"/>
  <c r="O140" i="1"/>
  <c r="O141" i="1"/>
  <c r="O142" i="1"/>
  <c r="O143" i="1"/>
  <c r="O136" i="1"/>
  <c r="N137" i="1"/>
  <c r="N138" i="1"/>
  <c r="N139" i="1"/>
  <c r="N140" i="1"/>
  <c r="N141" i="1"/>
  <c r="N142" i="1"/>
  <c r="N143" i="1"/>
  <c r="N136" i="1"/>
  <c r="M143" i="1"/>
  <c r="M142" i="1"/>
  <c r="M137" i="1"/>
  <c r="M138" i="1"/>
  <c r="M139" i="1"/>
  <c r="M140" i="1"/>
  <c r="M141" i="1"/>
  <c r="M136" i="1"/>
  <c r="G137" i="1"/>
  <c r="G138" i="1"/>
  <c r="G139" i="1"/>
  <c r="G140" i="1"/>
  <c r="G141" i="1"/>
  <c r="G142" i="1"/>
  <c r="G136" i="1"/>
  <c r="F137" i="1"/>
  <c r="F138" i="1"/>
  <c r="F139" i="1"/>
  <c r="F140" i="1"/>
  <c r="F141" i="1"/>
  <c r="F142" i="1"/>
  <c r="F136" i="1"/>
  <c r="E142" i="1"/>
  <c r="D142" i="1"/>
  <c r="E141" i="1"/>
  <c r="D141" i="1"/>
  <c r="E140" i="1"/>
  <c r="D140" i="1"/>
  <c r="E139" i="1"/>
  <c r="D139" i="1"/>
  <c r="E138" i="1"/>
  <c r="D138" i="1"/>
  <c r="E137" i="1"/>
  <c r="E136" i="1"/>
  <c r="D137" i="1"/>
  <c r="D136" i="1"/>
  <c r="C131" i="1"/>
  <c r="C130" i="1"/>
  <c r="J121" i="1"/>
  <c r="J122" i="1"/>
  <c r="J123" i="1"/>
  <c r="J124" i="1"/>
  <c r="J125" i="1"/>
  <c r="J126" i="1"/>
  <c r="J127" i="1"/>
  <c r="J128" i="1"/>
  <c r="J120" i="1"/>
  <c r="I121" i="1"/>
  <c r="I122" i="1"/>
  <c r="I123" i="1"/>
  <c r="I124" i="1"/>
  <c r="I125" i="1"/>
  <c r="I126" i="1"/>
  <c r="I127" i="1"/>
  <c r="I128" i="1"/>
  <c r="I120" i="1"/>
  <c r="F121" i="1"/>
  <c r="F122" i="1"/>
  <c r="F123" i="1"/>
  <c r="F124" i="1"/>
  <c r="F125" i="1"/>
  <c r="F126" i="1"/>
  <c r="F127" i="1"/>
  <c r="F128" i="1"/>
  <c r="F120" i="1"/>
  <c r="E120" i="1"/>
  <c r="E121" i="1"/>
  <c r="E122" i="1"/>
  <c r="E123" i="1"/>
  <c r="E124" i="1"/>
  <c r="E125" i="1"/>
  <c r="E126" i="1"/>
  <c r="E127" i="1"/>
  <c r="E128" i="1"/>
  <c r="D121" i="1"/>
  <c r="D122" i="1"/>
  <c r="D123" i="1"/>
  <c r="D124" i="1"/>
  <c r="D125" i="1"/>
  <c r="D126" i="1"/>
  <c r="D127" i="1"/>
  <c r="D128" i="1"/>
  <c r="D120" i="1"/>
  <c r="C121" i="1"/>
  <c r="C122" i="1"/>
  <c r="C123" i="1"/>
  <c r="C124" i="1"/>
  <c r="C125" i="1"/>
  <c r="C126" i="1"/>
  <c r="C127" i="1"/>
  <c r="C128" i="1"/>
  <c r="C120" i="1"/>
  <c r="J116" i="1"/>
  <c r="K116" i="1"/>
  <c r="L116" i="1"/>
  <c r="M116" i="1"/>
  <c r="H116" i="1"/>
  <c r="K108" i="1"/>
  <c r="K109" i="1"/>
  <c r="K110" i="1"/>
  <c r="K111" i="1"/>
  <c r="K112" i="1"/>
  <c r="K113" i="1"/>
  <c r="K114" i="1"/>
  <c r="K115" i="1"/>
  <c r="K107" i="1"/>
  <c r="L114" i="1"/>
  <c r="M108" i="1"/>
  <c r="M109" i="1"/>
  <c r="M110" i="1"/>
  <c r="M111" i="1"/>
  <c r="M112" i="1"/>
  <c r="M113" i="1"/>
  <c r="M114" i="1"/>
  <c r="M115" i="1"/>
  <c r="J108" i="1"/>
  <c r="J109" i="1"/>
  <c r="J110" i="1"/>
  <c r="J111" i="1"/>
  <c r="J112" i="1"/>
  <c r="J113" i="1"/>
  <c r="J114" i="1"/>
  <c r="J115" i="1"/>
  <c r="J107" i="1"/>
  <c r="M107" i="1" s="1"/>
  <c r="L113" i="1"/>
  <c r="L108" i="1"/>
  <c r="L109" i="1"/>
  <c r="L110" i="1"/>
  <c r="L111" i="1"/>
  <c r="L112" i="1"/>
  <c r="L115" i="1"/>
  <c r="L107" i="1"/>
  <c r="H115" i="1"/>
  <c r="H114" i="1"/>
  <c r="H113" i="1"/>
  <c r="H108" i="1"/>
  <c r="H109" i="1"/>
  <c r="H110" i="1"/>
  <c r="H111" i="1"/>
  <c r="H112" i="1"/>
  <c r="H107" i="1"/>
  <c r="V45" i="1"/>
  <c r="V80" i="1"/>
  <c r="X80" i="1" s="1"/>
  <c r="Y80" i="1" s="1"/>
  <c r="K97" i="1" s="1"/>
  <c r="D98" i="1"/>
  <c r="E98" i="1"/>
  <c r="G97" i="1"/>
  <c r="G96" i="1"/>
  <c r="G95" i="1"/>
  <c r="G94" i="1"/>
  <c r="G93" i="1"/>
  <c r="G92" i="1"/>
  <c r="G91" i="1"/>
  <c r="C96" i="1"/>
  <c r="C95" i="1"/>
  <c r="L80" i="1"/>
  <c r="M80" i="1" s="1"/>
  <c r="L67" i="1"/>
  <c r="M67" i="1" s="1"/>
  <c r="I54" i="1"/>
  <c r="T54" i="1" s="1"/>
  <c r="F95" i="1" s="1"/>
  <c r="L54" i="1"/>
  <c r="M54" i="1" s="1"/>
  <c r="L15" i="1"/>
  <c r="M15" i="1" s="1"/>
  <c r="L29" i="1"/>
  <c r="L45" i="1"/>
  <c r="M45" i="1"/>
  <c r="H49" i="1" s="1"/>
  <c r="M29" i="1"/>
  <c r="H40" i="1" s="1"/>
  <c r="G4" i="1"/>
  <c r="G5" i="1"/>
  <c r="G6" i="1"/>
  <c r="G7" i="1"/>
  <c r="G8" i="1"/>
  <c r="G9" i="1"/>
  <c r="G10" i="1"/>
  <c r="H9" i="1"/>
  <c r="H8" i="1"/>
  <c r="I3" i="1"/>
  <c r="T3" i="1" s="1"/>
  <c r="F91" i="1" s="1"/>
  <c r="M3" i="1"/>
  <c r="H7" i="1" s="1"/>
  <c r="L3" i="1"/>
  <c r="D87" i="1"/>
  <c r="I80" i="1" s="1"/>
  <c r="T80" i="1" s="1"/>
  <c r="F97" i="1" s="1"/>
  <c r="G82" i="1"/>
  <c r="G87" i="1" s="1"/>
  <c r="G83" i="1"/>
  <c r="G84" i="1"/>
  <c r="G85" i="1"/>
  <c r="G86" i="1"/>
  <c r="G81" i="1"/>
  <c r="D76" i="1"/>
  <c r="I67" i="1" s="1"/>
  <c r="T67" i="1" s="1"/>
  <c r="F96" i="1" s="1"/>
  <c r="G75" i="1"/>
  <c r="G74" i="1"/>
  <c r="G73" i="1"/>
  <c r="G72" i="1"/>
  <c r="G69" i="1"/>
  <c r="G70" i="1"/>
  <c r="G71" i="1"/>
  <c r="G68" i="1"/>
  <c r="D63" i="1"/>
  <c r="G62" i="1"/>
  <c r="G56" i="1"/>
  <c r="G57" i="1"/>
  <c r="G58" i="1"/>
  <c r="G59" i="1"/>
  <c r="G60" i="1"/>
  <c r="G61" i="1"/>
  <c r="G55" i="1"/>
  <c r="D50" i="1"/>
  <c r="I45" i="1" s="1"/>
  <c r="T45" i="1" s="1"/>
  <c r="F94" i="1" s="1"/>
  <c r="G47" i="1"/>
  <c r="G48" i="1"/>
  <c r="G49" i="1"/>
  <c r="G46" i="1"/>
  <c r="D41" i="1"/>
  <c r="C93" i="1" s="1"/>
  <c r="D25" i="1"/>
  <c r="C92" i="1" s="1"/>
  <c r="G40" i="1"/>
  <c r="G39" i="1"/>
  <c r="G38" i="1"/>
  <c r="G37" i="1"/>
  <c r="G31" i="1"/>
  <c r="G32" i="1"/>
  <c r="G33" i="1"/>
  <c r="G34" i="1"/>
  <c r="G35" i="1"/>
  <c r="G36" i="1"/>
  <c r="G24" i="1"/>
  <c r="G23" i="1"/>
  <c r="G22" i="1"/>
  <c r="G21" i="1"/>
  <c r="G30" i="1"/>
  <c r="G17" i="1"/>
  <c r="G18" i="1"/>
  <c r="G19" i="1"/>
  <c r="G20" i="1"/>
  <c r="G16" i="1"/>
  <c r="D11" i="1"/>
  <c r="C91" i="1" s="1"/>
  <c r="H420" i="1" l="1"/>
  <c r="H421" i="1" s="1"/>
  <c r="H422" i="1" s="1"/>
  <c r="G337" i="1"/>
  <c r="F210" i="1"/>
  <c r="I202" i="1"/>
  <c r="J202" i="1" s="1"/>
  <c r="F182" i="1"/>
  <c r="F185" i="1" s="1"/>
  <c r="J203" i="1"/>
  <c r="H170" i="1"/>
  <c r="G170" i="1"/>
  <c r="E232" i="1"/>
  <c r="H174" i="1"/>
  <c r="H173" i="1"/>
  <c r="O170" i="1"/>
  <c r="P170" i="1" s="1"/>
  <c r="S170" i="1" s="1"/>
  <c r="S169" i="1"/>
  <c r="R169" i="1"/>
  <c r="S172" i="1"/>
  <c r="R172" i="1"/>
  <c r="S174" i="1"/>
  <c r="R174" i="1"/>
  <c r="S175" i="1"/>
  <c r="R175" i="1"/>
  <c r="R173" i="1"/>
  <c r="R168" i="1"/>
  <c r="R171" i="1"/>
  <c r="G168" i="1"/>
  <c r="F164" i="1"/>
  <c r="H97" i="1"/>
  <c r="W80" i="1"/>
  <c r="I97" i="1" s="1"/>
  <c r="H23" i="1"/>
  <c r="H19" i="1"/>
  <c r="H24" i="1"/>
  <c r="H20" i="1"/>
  <c r="H21" i="1"/>
  <c r="C98" i="1"/>
  <c r="B97" i="1"/>
  <c r="P80" i="1"/>
  <c r="C94" i="1"/>
  <c r="H10" i="1"/>
  <c r="C97" i="1"/>
  <c r="G98" i="1"/>
  <c r="H4" i="1"/>
  <c r="O3" i="1" s="1"/>
  <c r="I15" i="1"/>
  <c r="T15" i="1" s="1"/>
  <c r="F92" i="1" s="1"/>
  <c r="F98" i="1" s="1"/>
  <c r="H6" i="1"/>
  <c r="G50" i="1"/>
  <c r="H5" i="1"/>
  <c r="N3" i="1" s="1"/>
  <c r="Q3" i="1" s="1"/>
  <c r="I29" i="1"/>
  <c r="T29" i="1" s="1"/>
  <c r="F93" i="1" s="1"/>
  <c r="J97" i="1"/>
  <c r="H86" i="1"/>
  <c r="H85" i="1"/>
  <c r="H84" i="1"/>
  <c r="H83" i="1"/>
  <c r="H82" i="1"/>
  <c r="H81" i="1"/>
  <c r="N80" i="1" s="1"/>
  <c r="H75" i="1"/>
  <c r="H74" i="1"/>
  <c r="H73" i="1"/>
  <c r="H72" i="1"/>
  <c r="H71" i="1"/>
  <c r="H70" i="1"/>
  <c r="H69" i="1"/>
  <c r="H68" i="1"/>
  <c r="H62" i="1"/>
  <c r="H61" i="1"/>
  <c r="H60" i="1"/>
  <c r="H59" i="1"/>
  <c r="H58" i="1"/>
  <c r="H57" i="1"/>
  <c r="H56" i="1"/>
  <c r="H55" i="1"/>
  <c r="O54" i="1" s="1"/>
  <c r="H18" i="1"/>
  <c r="H22" i="1"/>
  <c r="H17" i="1"/>
  <c r="H46" i="1"/>
  <c r="H47" i="1"/>
  <c r="H48" i="1"/>
  <c r="H39" i="1"/>
  <c r="H33" i="1"/>
  <c r="H32" i="1"/>
  <c r="H30" i="1"/>
  <c r="H38" i="1"/>
  <c r="H37" i="1"/>
  <c r="H31" i="1"/>
  <c r="H36" i="1"/>
  <c r="H35" i="1"/>
  <c r="H34" i="1"/>
  <c r="H16" i="1"/>
  <c r="O15" i="1" s="1"/>
  <c r="G76" i="1"/>
  <c r="G41" i="1"/>
  <c r="G63" i="1"/>
  <c r="G25" i="1"/>
  <c r="G11" i="1"/>
  <c r="J210" i="1" l="1"/>
  <c r="R170" i="1"/>
  <c r="N29" i="1"/>
  <c r="B95" i="1"/>
  <c r="P54" i="1"/>
  <c r="V54" i="1" s="1"/>
  <c r="P45" i="1"/>
  <c r="B94" i="1"/>
  <c r="B96" i="1"/>
  <c r="P67" i="1"/>
  <c r="V67" i="1" s="1"/>
  <c r="O67" i="1"/>
  <c r="R67" i="1" s="1"/>
  <c r="B93" i="1"/>
  <c r="P29" i="1"/>
  <c r="V29" i="1" s="1"/>
  <c r="P3" i="1"/>
  <c r="B91" i="1"/>
  <c r="P15" i="1"/>
  <c r="V15" i="1" s="1"/>
  <c r="B92" i="1"/>
  <c r="O29" i="1"/>
  <c r="R29" i="1" s="1"/>
  <c r="Q80" i="1"/>
  <c r="O80" i="1"/>
  <c r="R80" i="1" s="1"/>
  <c r="N67" i="1"/>
  <c r="Q67" i="1" s="1"/>
  <c r="R54" i="1"/>
  <c r="N54" i="1"/>
  <c r="Q54" i="1" s="1"/>
  <c r="R15" i="1"/>
  <c r="N15" i="1"/>
  <c r="Q15" i="1" s="1"/>
  <c r="O45" i="1"/>
  <c r="R45" i="1" s="1"/>
  <c r="N45" i="1"/>
  <c r="Q45" i="1" s="1"/>
  <c r="Q29" i="1"/>
  <c r="R3" i="1" l="1"/>
  <c r="V3" i="1"/>
  <c r="W45" i="1"/>
  <c r="I94" i="1" s="1"/>
  <c r="H94" i="1"/>
  <c r="X45" i="1"/>
  <c r="H93" i="1"/>
  <c r="X29" i="1"/>
  <c r="W29" i="1"/>
  <c r="I93" i="1" s="1"/>
  <c r="X67" i="1"/>
  <c r="H96" i="1"/>
  <c r="W67" i="1"/>
  <c r="I96" i="1" s="1"/>
  <c r="H95" i="1"/>
  <c r="X54" i="1"/>
  <c r="W54" i="1"/>
  <c r="I95" i="1" s="1"/>
  <c r="B98" i="1"/>
  <c r="H92" i="1"/>
  <c r="X15" i="1"/>
  <c r="W15" i="1"/>
  <c r="I92" i="1" s="1"/>
  <c r="Y67" i="1" l="1"/>
  <c r="K96" i="1" s="1"/>
  <c r="J96" i="1"/>
  <c r="Y29" i="1"/>
  <c r="K93" i="1" s="1"/>
  <c r="J93" i="1"/>
  <c r="Y15" i="1"/>
  <c r="K92" i="1" s="1"/>
  <c r="J92" i="1"/>
  <c r="X3" i="1"/>
  <c r="W3" i="1"/>
  <c r="I91" i="1" s="1"/>
  <c r="I98" i="1" s="1"/>
  <c r="B102" i="1" s="1"/>
  <c r="H91" i="1"/>
  <c r="H98" i="1" s="1"/>
  <c r="B101" i="1" s="1"/>
  <c r="J94" i="1"/>
  <c r="Y45" i="1"/>
  <c r="K94" i="1" s="1"/>
  <c r="Y54" i="1"/>
  <c r="K95" i="1" s="1"/>
  <c r="J95" i="1"/>
  <c r="Y3" i="1" l="1"/>
  <c r="K91" i="1" s="1"/>
  <c r="K98" i="1" s="1"/>
  <c r="J91" i="1"/>
  <c r="J98" i="1" s="1"/>
</calcChain>
</file>

<file path=xl/sharedStrings.xml><?xml version="1.0" encoding="utf-8"?>
<sst xmlns="http://schemas.openxmlformats.org/spreadsheetml/2006/main" count="1304" uniqueCount="468">
  <si>
    <t>Nhóm 1</t>
  </si>
  <si>
    <t>STT</t>
  </si>
  <si>
    <t>Kí hiệu</t>
  </si>
  <si>
    <t>Tên máy</t>
  </si>
  <si>
    <t>Nhãn máy</t>
  </si>
  <si>
    <t>Pđm (KW)</t>
  </si>
  <si>
    <t>Số lượng</t>
  </si>
  <si>
    <t>1 máy</t>
  </si>
  <si>
    <t>Toàn bộ</t>
  </si>
  <si>
    <t>Máy tiện ren</t>
  </si>
  <si>
    <t>Máy tiện tự động</t>
  </si>
  <si>
    <t>I6I6</t>
  </si>
  <si>
    <r>
      <t>T</t>
    </r>
    <r>
      <rPr>
        <sz val="11"/>
        <color theme="1"/>
        <rFont val="Calibri"/>
        <family val="2"/>
      </rPr>
      <t>Г</t>
    </r>
    <r>
      <rPr>
        <sz val="11"/>
        <color theme="1"/>
        <rFont val="Calibri"/>
        <family val="2"/>
        <scheme val="minor"/>
      </rPr>
      <t>-IM</t>
    </r>
  </si>
  <si>
    <t>2A-62</t>
  </si>
  <si>
    <t>I615M</t>
  </si>
  <si>
    <t>Máy tiện rê vôn ve</t>
  </si>
  <si>
    <t>IA-I8</t>
  </si>
  <si>
    <t>Máy phay vạn năng</t>
  </si>
  <si>
    <t>678M</t>
  </si>
  <si>
    <t>Máy phay ngang</t>
  </si>
  <si>
    <t>Ʃ</t>
  </si>
  <si>
    <t>Nhóm 2</t>
  </si>
  <si>
    <t>Máy phay đứng</t>
  </si>
  <si>
    <t>6K82</t>
  </si>
  <si>
    <t>6K-12Г</t>
  </si>
  <si>
    <t>Máy mài</t>
  </si>
  <si>
    <t>Máy bào ngang</t>
  </si>
  <si>
    <t>7A35</t>
  </si>
  <si>
    <t>Máy xọc</t>
  </si>
  <si>
    <t>Ш3A</t>
  </si>
  <si>
    <t>máy khoan vạn năng</t>
  </si>
  <si>
    <t>A135</t>
  </si>
  <si>
    <t>Máy doa ngang</t>
  </si>
  <si>
    <t>Máy khoa hướng tâm</t>
  </si>
  <si>
    <t>Nhóm 3</t>
  </si>
  <si>
    <t>Máy mài phẳng</t>
  </si>
  <si>
    <t>CK-371</t>
  </si>
  <si>
    <t>Máy mài tròn</t>
  </si>
  <si>
    <t>3153M</t>
  </si>
  <si>
    <t>Máy mài trong</t>
  </si>
  <si>
    <t>3A24</t>
  </si>
  <si>
    <t>Máy mài dao cắt gọt</t>
  </si>
  <si>
    <t>Máy mài sắc vạn năng</t>
  </si>
  <si>
    <t>3A-64</t>
  </si>
  <si>
    <t>Máy khoan bàn</t>
  </si>
  <si>
    <t>HC-12A</t>
  </si>
  <si>
    <t>Máy ép kiểu trục khuỷu</t>
  </si>
  <si>
    <t>K113</t>
  </si>
  <si>
    <t>Máy mài phá</t>
  </si>
  <si>
    <t>3M634</t>
  </si>
  <si>
    <t>Cưa tay</t>
  </si>
  <si>
    <t>Cưa máy</t>
  </si>
  <si>
    <t>Nhóm 4</t>
  </si>
  <si>
    <t>H-30</t>
  </si>
  <si>
    <t>Lò điện khiển buồng</t>
  </si>
  <si>
    <t>Lò điện khiển đứng</t>
  </si>
  <si>
    <t>Ц-25</t>
  </si>
  <si>
    <t>Lò kiểu bể</t>
  </si>
  <si>
    <t>B-20</t>
  </si>
  <si>
    <t>Bể điện phân</t>
  </si>
  <si>
    <t>Пb21</t>
  </si>
  <si>
    <t>Nhóm 5</t>
  </si>
  <si>
    <t>IK620</t>
  </si>
  <si>
    <t>1A-62</t>
  </si>
  <si>
    <r>
      <t>6</t>
    </r>
    <r>
      <rPr>
        <sz val="11"/>
        <color theme="1"/>
        <rFont val="Calibri"/>
        <family val="2"/>
      </rPr>
      <t>П80Г</t>
    </r>
  </si>
  <si>
    <t>Máy phat răng</t>
  </si>
  <si>
    <r>
      <t>5</t>
    </r>
    <r>
      <rPr>
        <sz val="11"/>
        <color theme="1"/>
        <rFont val="Calibri"/>
        <family val="2"/>
      </rPr>
      <t>Д32</t>
    </r>
  </si>
  <si>
    <t>Máy khoan đứng</t>
  </si>
  <si>
    <t>Búa khí nén</t>
  </si>
  <si>
    <t>П-54</t>
  </si>
  <si>
    <t>П-412</t>
  </si>
  <si>
    <t>Nhóm 6</t>
  </si>
  <si>
    <t>Quạt</t>
  </si>
  <si>
    <t>CT324</t>
  </si>
  <si>
    <t>3T-634</t>
  </si>
  <si>
    <t>Koan điện</t>
  </si>
  <si>
    <t>Máy cắt</t>
  </si>
  <si>
    <t>Nhóm 7</t>
  </si>
  <si>
    <t>Bàn nguội</t>
  </si>
  <si>
    <t>Máy cuốn dây</t>
  </si>
  <si>
    <t>Bàn thí nghiệm</t>
  </si>
  <si>
    <t>Bề tắm có đốt nóng</t>
  </si>
  <si>
    <t>Tủ xấy</t>
  </si>
  <si>
    <t>Khoan bàn</t>
  </si>
  <si>
    <r>
      <t>Máy biến áp hàn (cos</t>
    </r>
    <r>
      <rPr>
        <sz val="11"/>
        <color theme="1"/>
        <rFont val="Calibri"/>
        <family val="2"/>
      </rPr>
      <t>ⱷ=0.35</t>
    </r>
    <r>
      <rPr>
        <sz val="11"/>
        <color theme="1"/>
        <rFont val="Calibri"/>
        <family val="2"/>
        <scheme val="minor"/>
      </rPr>
      <t>)</t>
    </r>
  </si>
  <si>
    <t>n*hq</t>
  </si>
  <si>
    <r>
      <t>cos</t>
    </r>
    <r>
      <rPr>
        <sz val="11"/>
        <color theme="1"/>
        <rFont val="Calibri"/>
        <family val="2"/>
      </rPr>
      <t>ⱷ</t>
    </r>
  </si>
  <si>
    <t>n1</t>
  </si>
  <si>
    <t>Pmax</t>
  </si>
  <si>
    <t>1/2 Pmax</t>
  </si>
  <si>
    <t>n</t>
  </si>
  <si>
    <t>P</t>
  </si>
  <si>
    <t>P1</t>
  </si>
  <si>
    <t>n*</t>
  </si>
  <si>
    <t>P*</t>
  </si>
  <si>
    <t>nhq</t>
  </si>
  <si>
    <t>So sánh với 1/2Pmax</t>
  </si>
  <si>
    <t>Ksd</t>
  </si>
  <si>
    <t>Kmax</t>
  </si>
  <si>
    <t>Ptt(KW)</t>
  </si>
  <si>
    <t>Qtt(KVAr)</t>
  </si>
  <si>
    <t>Stt (KVA)</t>
  </si>
  <si>
    <t>Itt(A)</t>
  </si>
  <si>
    <t>Tổng hợp kết quả từng nhóm</t>
  </si>
  <si>
    <t>Nhóm</t>
  </si>
  <si>
    <t>Ptt (Kw)</t>
  </si>
  <si>
    <t>Qtt (KVAr)</t>
  </si>
  <si>
    <t>PƩ (KW)</t>
  </si>
  <si>
    <t>Kdt</t>
  </si>
  <si>
    <t>Pdl</t>
  </si>
  <si>
    <t>Qdl</t>
  </si>
  <si>
    <t>Bảng phụ tải của nhà máy luyện kim đen</t>
  </si>
  <si>
    <t>TT</t>
  </si>
  <si>
    <t>Tên Phân xưởng</t>
  </si>
  <si>
    <t>Phân xưởng (PX) luyện gang</t>
  </si>
  <si>
    <t>PX lò Martin</t>
  </si>
  <si>
    <t>PX máy cán phôi tấm</t>
  </si>
  <si>
    <t>PX cán nóng</t>
  </si>
  <si>
    <t xml:space="preserve">PX cán nguội </t>
  </si>
  <si>
    <t>PX tôn</t>
  </si>
  <si>
    <t>PX sửa chữa cơ khí</t>
  </si>
  <si>
    <t>Trạm bơm</t>
  </si>
  <si>
    <t>Ban Quản lý và Phòng Thí nghiệm</t>
  </si>
  <si>
    <t>Chiếu sáng phân xưởng</t>
  </si>
  <si>
    <t>Công suất đặt (kW)</t>
  </si>
  <si>
    <t>theo tính toán</t>
  </si>
  <si>
    <t>Theo diện tichs</t>
  </si>
  <si>
    <t>Loại hộ tiêu thụ</t>
  </si>
  <si>
    <t>I</t>
  </si>
  <si>
    <t>III</t>
  </si>
  <si>
    <t>Diện tích (m2)</t>
  </si>
  <si>
    <t>Knc</t>
  </si>
  <si>
    <t>Cosⱷ</t>
  </si>
  <si>
    <t>Pdl (kW)</t>
  </si>
  <si>
    <t>p0 (W/m2)</t>
  </si>
  <si>
    <t>Pcs (kW)</t>
  </si>
  <si>
    <t>Qpx (kVAr)</t>
  </si>
  <si>
    <t>Spx (kVA)</t>
  </si>
  <si>
    <t>Ppx (kW)</t>
  </si>
  <si>
    <t>tọa độ X (mm)</t>
  </si>
  <si>
    <t>tọa độ Y (mm)</t>
  </si>
  <si>
    <t>R (mm)</t>
  </si>
  <si>
    <t>Độ lớn góc phụ tải chiếu sáng</t>
  </si>
  <si>
    <t>Tọa độ x0</t>
  </si>
  <si>
    <t>Tọa độ y0</t>
  </si>
  <si>
    <t>Tâm phụ tải</t>
  </si>
  <si>
    <t>B1 (1)</t>
  </si>
  <si>
    <t>Xác định, lựa chọn máy biến áp dùng 7 TBA</t>
  </si>
  <si>
    <t xml:space="preserve">B2 (2) </t>
  </si>
  <si>
    <t>B3 (3+9)</t>
  </si>
  <si>
    <t>B4 (4)</t>
  </si>
  <si>
    <t>B5 (5+7)</t>
  </si>
  <si>
    <t>B6 (6)</t>
  </si>
  <si>
    <t>B7 (8)</t>
  </si>
  <si>
    <t>Trạm</t>
  </si>
  <si>
    <t>Sđm B (kVA)</t>
  </si>
  <si>
    <t>số lượng MBA</t>
  </si>
  <si>
    <t>Sđm MBA (kVA)</t>
  </si>
  <si>
    <t>Phương án 8 TBA</t>
  </si>
  <si>
    <t>B2 (2)</t>
  </si>
  <si>
    <t>B3 (3)</t>
  </si>
  <si>
    <t xml:space="preserve"> B4 (4)</t>
  </si>
  <si>
    <t>B5 (5)</t>
  </si>
  <si>
    <t>B7 (7+9)</t>
  </si>
  <si>
    <t>B8 (8)</t>
  </si>
  <si>
    <t>Nhánh</t>
  </si>
  <si>
    <t>TBATT-B1</t>
  </si>
  <si>
    <t>stt</t>
  </si>
  <si>
    <t>TBATT-B2</t>
  </si>
  <si>
    <t>TBATT-B3</t>
  </si>
  <si>
    <t>TBATT-B4</t>
  </si>
  <si>
    <t>TBATT-B5</t>
  </si>
  <si>
    <t>TBATT-B6</t>
  </si>
  <si>
    <t>TBATT-B7</t>
  </si>
  <si>
    <t>TBATT-B8</t>
  </si>
  <si>
    <t>Udm(kV)</t>
  </si>
  <si>
    <t>Phương án 1 TBATT+7TBAPX</t>
  </si>
  <si>
    <t>I lvmax(A)</t>
  </si>
  <si>
    <t>Sdm(kVA)</t>
  </si>
  <si>
    <t>Jkt (A/mm2)</t>
  </si>
  <si>
    <t>Fkt (mm2)</t>
  </si>
  <si>
    <t>Isc (A)</t>
  </si>
  <si>
    <t>Chọn F(mm2)</t>
  </si>
  <si>
    <t>Icp (A)</t>
  </si>
  <si>
    <t>B5-PX7</t>
  </si>
  <si>
    <t>B3-PX9</t>
  </si>
  <si>
    <t>Phương án 2: TPPTT+7TBAPX</t>
  </si>
  <si>
    <t>Tính toán kinh tế</t>
  </si>
  <si>
    <t>L (m)</t>
  </si>
  <si>
    <t>Dây 10kV 70mm2</t>
  </si>
  <si>
    <t>Mã dây</t>
  </si>
  <si>
    <t>Loại dây</t>
  </si>
  <si>
    <t>Độ dài</t>
  </si>
  <si>
    <t>Đơn giá (trđ/m)</t>
  </si>
  <si>
    <t>Dây 10kV 35mm2</t>
  </si>
  <si>
    <t>AXV/CTS-W 1x35-24kV</t>
  </si>
  <si>
    <t>Thành tiền (trđ)</t>
  </si>
  <si>
    <t>Dây 10kV 50mm2</t>
  </si>
  <si>
    <t>AXV/CTS-W 1x50-24kV</t>
  </si>
  <si>
    <t>AXV/CTS-W 1x70-24kV</t>
  </si>
  <si>
    <t>AV 1x185 (V-75)</t>
  </si>
  <si>
    <t>Dây 0,6/1kV 185mm2</t>
  </si>
  <si>
    <t>Tổng</t>
  </si>
  <si>
    <t>Dây 35kV 50mm2</t>
  </si>
  <si>
    <t>ADATA/CTS-W 1x50-40.5kV</t>
  </si>
  <si>
    <t>Phương án 3: TBATT+8TBAPX</t>
  </si>
  <si>
    <t>Phương án 4: TPPTT+8TBAPX</t>
  </si>
  <si>
    <t>CHỈ TIÊU KINH TẾ</t>
  </si>
  <si>
    <t>Thiết bị điện</t>
  </si>
  <si>
    <t>Đơn vị</t>
  </si>
  <si>
    <t>Đơn giá (Tr đ)</t>
  </si>
  <si>
    <t>Phương án 1</t>
  </si>
  <si>
    <t>số lượng</t>
  </si>
  <si>
    <t>Phương án 2</t>
  </si>
  <si>
    <t>Phương án 3</t>
  </si>
  <si>
    <t>Phương án 4</t>
  </si>
  <si>
    <t>MBA 35/10kV 7500kVA</t>
  </si>
  <si>
    <t>Chiếc</t>
  </si>
  <si>
    <t>MBA 10/0.4kV 1800kVA</t>
  </si>
  <si>
    <t>MBA 10/0.4kV 1500kVA</t>
  </si>
  <si>
    <t>MBA 10/0.4kV 1250kVA</t>
  </si>
  <si>
    <t>MBA 10/0.4kV 1000KVA</t>
  </si>
  <si>
    <t>MBA 10/0.4kV 630kVA</t>
  </si>
  <si>
    <t>MBA 35/0.4kV 1800kVA</t>
  </si>
  <si>
    <t>MBA 35/0.4kV 1500kVA</t>
  </si>
  <si>
    <t>MBA 35/0.4kV 1250kVA</t>
  </si>
  <si>
    <t>MBA 35/0.4kV 1000kVA</t>
  </si>
  <si>
    <t>MBA 35/0.4kV 630kVA</t>
  </si>
  <si>
    <t>m</t>
  </si>
  <si>
    <t>Thành tiền (Trđ)</t>
  </si>
  <si>
    <t>Máy cắt 36GI-E16  hãng Schdeiner</t>
  </si>
  <si>
    <t>Máy cắt 3AF 154-4 hãng ABB</t>
  </si>
  <si>
    <t>Tổn thất điện năng trên dây</t>
  </si>
  <si>
    <t>F (mm2)</t>
  </si>
  <si>
    <t>Sdm (kVA)</t>
  </si>
  <si>
    <t>R (Ω)</t>
  </si>
  <si>
    <t>r0 (Ω/km)</t>
  </si>
  <si>
    <t>∆A(kWh)</t>
  </si>
  <si>
    <t xml:space="preserve">Tổng </t>
  </si>
  <si>
    <t>Udm (kV)</t>
  </si>
  <si>
    <t>Tính toán tổn hao MBA</t>
  </si>
  <si>
    <t>TBATT</t>
  </si>
  <si>
    <t>B1</t>
  </si>
  <si>
    <t>B2</t>
  </si>
  <si>
    <t>B3</t>
  </si>
  <si>
    <t>B4</t>
  </si>
  <si>
    <t>B5</t>
  </si>
  <si>
    <t>B6</t>
  </si>
  <si>
    <t>B7</t>
  </si>
  <si>
    <t>Số máy</t>
  </si>
  <si>
    <t>Stt (kVA)</t>
  </si>
  <si>
    <t>Trạm biến áp</t>
  </si>
  <si>
    <t>SdmB (kVA)</t>
  </si>
  <si>
    <t>∆P0 (kW)</t>
  </si>
  <si>
    <t>∆Pn (kW)</t>
  </si>
  <si>
    <t>TPPTT</t>
  </si>
  <si>
    <t>B8</t>
  </si>
  <si>
    <t>Tổn thất điện năng MBA</t>
  </si>
  <si>
    <t>Tổng hợp hàm chi phí tín toán</t>
  </si>
  <si>
    <t>Vốn đầu tư (Tr đ)</t>
  </si>
  <si>
    <t>Tổn thất điện năng</t>
  </si>
  <si>
    <t>Hàm chi phí tính toán</t>
  </si>
  <si>
    <t>Xht</t>
  </si>
  <si>
    <t>Sn (MVA)</t>
  </si>
  <si>
    <t>L (km)</t>
  </si>
  <si>
    <t>X0</t>
  </si>
  <si>
    <t>R0</t>
  </si>
  <si>
    <t>N1</t>
  </si>
  <si>
    <t>Z</t>
  </si>
  <si>
    <t>X</t>
  </si>
  <si>
    <t>R</t>
  </si>
  <si>
    <t>In1</t>
  </si>
  <si>
    <t>ixk</t>
  </si>
  <si>
    <t>N2</t>
  </si>
  <si>
    <t>Điểm ngắn mạch</t>
  </si>
  <si>
    <t>Tính toán ngắn mạch</t>
  </si>
  <si>
    <t>N2-1</t>
  </si>
  <si>
    <t>N2-2</t>
  </si>
  <si>
    <t>N2-3</t>
  </si>
  <si>
    <t>N2-4</t>
  </si>
  <si>
    <t>N2-5</t>
  </si>
  <si>
    <t>N2-6</t>
  </si>
  <si>
    <t>N2-7</t>
  </si>
  <si>
    <t>N2-8</t>
  </si>
  <si>
    <t>Xn1</t>
  </si>
  <si>
    <t>L (M)</t>
  </si>
  <si>
    <r>
      <t>x0 (</t>
    </r>
    <r>
      <rPr>
        <sz val="11"/>
        <color theme="1"/>
        <rFont val="Calibri"/>
        <family val="2"/>
      </rPr>
      <t>Ω/km)</t>
    </r>
  </si>
  <si>
    <t>Xn2-i</t>
  </si>
  <si>
    <t>Rn1</t>
  </si>
  <si>
    <t>Rn2-i</t>
  </si>
  <si>
    <t>i</t>
  </si>
  <si>
    <t>Zn2-i</t>
  </si>
  <si>
    <t>In (kA)</t>
  </si>
  <si>
    <t>Un (kV)</t>
  </si>
  <si>
    <t>I xk (kA)</t>
  </si>
  <si>
    <t>N3</t>
  </si>
  <si>
    <t>N3-1</t>
  </si>
  <si>
    <t>N3-2</t>
  </si>
  <si>
    <t>N3-3</t>
  </si>
  <si>
    <t>N3-4</t>
  </si>
  <si>
    <t>N3-5</t>
  </si>
  <si>
    <t>N3-6</t>
  </si>
  <si>
    <t>N3-7</t>
  </si>
  <si>
    <t>N3-8</t>
  </si>
  <si>
    <t>∆Un%</t>
  </si>
  <si>
    <t>∆Pn</t>
  </si>
  <si>
    <t>Rba (Ω)</t>
  </si>
  <si>
    <t>Xba (Ω)</t>
  </si>
  <si>
    <t>Rbi (Ω)</t>
  </si>
  <si>
    <t>Xbi (Ω)</t>
  </si>
  <si>
    <t>Zbi (Ω)</t>
  </si>
  <si>
    <t>In (kA) 35</t>
  </si>
  <si>
    <t>In (kA) 0.4</t>
  </si>
  <si>
    <t>I xkN</t>
  </si>
  <si>
    <t>Kiểm tra ổn định nhiệt</t>
  </si>
  <si>
    <t>Tuyến cáp</t>
  </si>
  <si>
    <t>TPPTT-B1</t>
  </si>
  <si>
    <t>TPPTT-B2</t>
  </si>
  <si>
    <t>TPPTT-B3</t>
  </si>
  <si>
    <t>TPPTT-B4</t>
  </si>
  <si>
    <t>TPPTT-B5</t>
  </si>
  <si>
    <t>TPPTT-B6</t>
  </si>
  <si>
    <t>TPPTT-B7</t>
  </si>
  <si>
    <t>TPPTT-B8</t>
  </si>
  <si>
    <t>I n (kA)</t>
  </si>
  <si>
    <t>α</t>
  </si>
  <si>
    <t>Tqđ</t>
  </si>
  <si>
    <t>Fodn</t>
  </si>
  <si>
    <t>Kết luận</t>
  </si>
  <si>
    <t>Thỏa mãn</t>
  </si>
  <si>
    <t>Kiểm tra máy cắt</t>
  </si>
  <si>
    <t>TBA</t>
  </si>
  <si>
    <t>Loại</t>
  </si>
  <si>
    <t>36GI-E16</t>
  </si>
  <si>
    <t>In=I''</t>
  </si>
  <si>
    <t>Iodn/todn (kA/s)</t>
  </si>
  <si>
    <t>Iodn=Icdm</t>
  </si>
  <si>
    <t>In*tqd/todn</t>
  </si>
  <si>
    <t>Iodd</t>
  </si>
  <si>
    <t>Ixk</t>
  </si>
  <si>
    <t>16/3</t>
  </si>
  <si>
    <t>TBATG-TPPTT</t>
  </si>
  <si>
    <t>S (kVA)</t>
  </si>
  <si>
    <t>I lvmax (A)</t>
  </si>
  <si>
    <t>I'' (kA)</t>
  </si>
  <si>
    <t>Chọn cầu chì cao áp</t>
  </si>
  <si>
    <t>Cầu chì</t>
  </si>
  <si>
    <t>3GD1 608-5B</t>
  </si>
  <si>
    <t>3GD1 606-5B</t>
  </si>
  <si>
    <t>3GD1 603-5B</t>
  </si>
  <si>
    <t>Chọn cầu dao cao áp</t>
  </si>
  <si>
    <t>I xkn</t>
  </si>
  <si>
    <t>Icp</t>
  </si>
  <si>
    <t>NPS 36 A2/A1</t>
  </si>
  <si>
    <t>Cầu dao</t>
  </si>
  <si>
    <t>Chọn Áp tô mát tổng</t>
  </si>
  <si>
    <t>3GD1 605-5B</t>
  </si>
  <si>
    <t>Udm (kVA)</t>
  </si>
  <si>
    <t>I''(A)</t>
  </si>
  <si>
    <t>Áp tô mát</t>
  </si>
  <si>
    <t>M40</t>
  </si>
  <si>
    <t>M32</t>
  </si>
  <si>
    <t>M25</t>
  </si>
  <si>
    <t>M16</t>
  </si>
  <si>
    <t>Chọn Áp tô mát phân đoạn</t>
  </si>
  <si>
    <t>B1-PX1</t>
  </si>
  <si>
    <t>B8-PX8</t>
  </si>
  <si>
    <t>B2-PX2</t>
  </si>
  <si>
    <t>B3-PX3</t>
  </si>
  <si>
    <t>B4-PX4</t>
  </si>
  <si>
    <t>B6-PX6</t>
  </si>
  <si>
    <t>B5-PX5</t>
  </si>
  <si>
    <t>B7-PX9</t>
  </si>
  <si>
    <t>B7-PX7</t>
  </si>
  <si>
    <t>Itt (A)</t>
  </si>
  <si>
    <t>M20</t>
  </si>
  <si>
    <t>M08</t>
  </si>
  <si>
    <t>Chọn áp tô mát cho tủ phân phối</t>
  </si>
  <si>
    <t>Áp tô mát tổng</t>
  </si>
  <si>
    <t>TPP-TĐL1</t>
  </si>
  <si>
    <t>TPP-TĐL2</t>
  </si>
  <si>
    <t>TPP-TĐL3</t>
  </si>
  <si>
    <t>TPP-TĐL4</t>
  </si>
  <si>
    <t>TPP-TĐL5</t>
  </si>
  <si>
    <t>TPP-TĐL6</t>
  </si>
  <si>
    <t>TPP-TĐL7</t>
  </si>
  <si>
    <t>Nhóm thiết bị</t>
  </si>
  <si>
    <t>NS 225E</t>
  </si>
  <si>
    <t>NC 100H</t>
  </si>
  <si>
    <t>NC 100L</t>
  </si>
  <si>
    <t>Idm (A)</t>
  </si>
  <si>
    <t>Chọn cáp tủ phân phối đến tủ động lực</t>
  </si>
  <si>
    <t>Ikt (A)</t>
  </si>
  <si>
    <t>Idmap (A)</t>
  </si>
  <si>
    <t xml:space="preserve"> Loại cáp</t>
  </si>
  <si>
    <t>4G 16</t>
  </si>
  <si>
    <t>4G 50</t>
  </si>
  <si>
    <t>4G 10</t>
  </si>
  <si>
    <t>Thông số ngắn mạch hạ áp</t>
  </si>
  <si>
    <t>Rb</t>
  </si>
  <si>
    <t>Xb</t>
  </si>
  <si>
    <t>TG1</t>
  </si>
  <si>
    <t>r</t>
  </si>
  <si>
    <t>x</t>
  </si>
  <si>
    <t>TG2</t>
  </si>
  <si>
    <t>Ap M40</t>
  </si>
  <si>
    <t>ra1</t>
  </si>
  <si>
    <t>xa1</t>
  </si>
  <si>
    <t>Ap M08</t>
  </si>
  <si>
    <t>ra2</t>
  </si>
  <si>
    <t>xa2</t>
  </si>
  <si>
    <t>Ap NC100L</t>
  </si>
  <si>
    <t>ra3</t>
  </si>
  <si>
    <t>xa3</t>
  </si>
  <si>
    <t>Cáp tổng</t>
  </si>
  <si>
    <t>rc1</t>
  </si>
  <si>
    <t>xc1</t>
  </si>
  <si>
    <t>Cáp hạ áp</t>
  </si>
  <si>
    <t>Rc2</t>
  </si>
  <si>
    <t>Xc2</t>
  </si>
  <si>
    <t>Cáp 4g 16</t>
  </si>
  <si>
    <t>Rc3</t>
  </si>
  <si>
    <t>Xc3</t>
  </si>
  <si>
    <t>Ngắn mạch hạ áp</t>
  </si>
  <si>
    <t>R1</t>
  </si>
  <si>
    <t>X1</t>
  </si>
  <si>
    <t>Z1</t>
  </si>
  <si>
    <t>ftt</t>
  </si>
  <si>
    <t>R2</t>
  </si>
  <si>
    <t>X2</t>
  </si>
  <si>
    <t>Z2</t>
  </si>
  <si>
    <t>In2</t>
  </si>
  <si>
    <t>Ftt</t>
  </si>
  <si>
    <t>Thông số áp tô mát</t>
  </si>
  <si>
    <r>
      <t>Ra3 (m</t>
    </r>
    <r>
      <rPr>
        <sz val="11"/>
        <color theme="1"/>
        <rFont val="Calibri"/>
        <family val="2"/>
      </rPr>
      <t>Ω)</t>
    </r>
  </si>
  <si>
    <t>Xa3 (mΩ)</t>
  </si>
  <si>
    <t>Cáp</t>
  </si>
  <si>
    <t>L(m)</t>
  </si>
  <si>
    <t>Rc3 (mΩ)</t>
  </si>
  <si>
    <t>Xc3 (mΩ)</t>
  </si>
  <si>
    <t>R0 (mΩ/m)</t>
  </si>
  <si>
    <r>
      <t>L0 (m</t>
    </r>
    <r>
      <rPr>
        <sz val="11"/>
        <color theme="1"/>
        <rFont val="Calibri"/>
        <family val="2"/>
      </rPr>
      <t>Ω/m)</t>
    </r>
  </si>
  <si>
    <t>RTG2 (mΩ)</t>
  </si>
  <si>
    <t>XTG2 (mΩ)</t>
  </si>
  <si>
    <t>R2 (mΩ)</t>
  </si>
  <si>
    <t>X2 (mΩ)</t>
  </si>
  <si>
    <t>R3 (mΩ)</t>
  </si>
  <si>
    <t>X3 (mΩ)</t>
  </si>
  <si>
    <t>Z3 (mΩ)</t>
  </si>
  <si>
    <t>In3 (kA)</t>
  </si>
  <si>
    <t>Ftt (mm2)</t>
  </si>
  <si>
    <t>Icdm (kA)</t>
  </si>
  <si>
    <t>Phụ tải</t>
  </si>
  <si>
    <t>Pdm (kW)</t>
  </si>
  <si>
    <t>Itt (kW)</t>
  </si>
  <si>
    <t>Dây dẫn</t>
  </si>
  <si>
    <t>Mã hiệu</t>
  </si>
  <si>
    <t>Chọn dây dẫn và Áp tô mát cho các thiết bị</t>
  </si>
  <si>
    <t>N4</t>
  </si>
  <si>
    <t>N5</t>
  </si>
  <si>
    <t>N6</t>
  </si>
  <si>
    <t>N7</t>
  </si>
  <si>
    <t>4G 1,5</t>
  </si>
  <si>
    <t>4G 2,5</t>
  </si>
  <si>
    <t>Udm (V)</t>
  </si>
  <si>
    <t>C60a</t>
  </si>
  <si>
    <t>4G ,5</t>
  </si>
  <si>
    <t>Máy biến áp hàn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</si>
</sst>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048F1-7E4C-4337-8EE3-E62D47FFA143}">
  <dimension ref="A1:Y498"/>
  <sheetViews>
    <sheetView tabSelected="1" topLeftCell="A472" workbookViewId="0">
      <selection activeCell="J473" sqref="J473"/>
    </sheetView>
  </sheetViews>
  <sheetFormatPr defaultRowHeight="14.4" x14ac:dyDescent="0.3"/>
  <cols>
    <col min="1" max="1" width="3" customWidth="1"/>
    <col min="2" max="2" width="14.33203125" customWidth="1"/>
    <col min="3" max="3" width="7.5546875" customWidth="1"/>
    <col min="4" max="4" width="19.44140625" customWidth="1"/>
    <col min="5" max="5" width="8.5546875" customWidth="1"/>
    <col min="6" max="6" width="8.21875" customWidth="1"/>
    <col min="7" max="7" width="9" customWidth="1"/>
    <col min="8" max="8" width="9.21875" customWidth="1"/>
    <col min="9" max="9" width="8.77734375" customWidth="1"/>
    <col min="10" max="10" width="7.88671875" customWidth="1"/>
    <col min="11" max="11" width="11.21875" customWidth="1"/>
    <col min="12" max="12" width="9.6640625" customWidth="1"/>
    <col min="13" max="13" width="10.88671875" customWidth="1"/>
    <col min="16" max="16" width="7.33203125" customWidth="1"/>
    <col min="17" max="17" width="6.77734375" customWidth="1"/>
    <col min="20" max="20" width="6.77734375" customWidth="1"/>
  </cols>
  <sheetData>
    <row r="1" spans="1:25" x14ac:dyDescent="0.3">
      <c r="A1" t="s">
        <v>0</v>
      </c>
    </row>
    <row r="2" spans="1:25" ht="15" customHeight="1" x14ac:dyDescent="0.3">
      <c r="A2" t="s">
        <v>1</v>
      </c>
      <c r="B2" t="s">
        <v>2</v>
      </c>
      <c r="C2" t="s">
        <v>3</v>
      </c>
      <c r="D2" t="s">
        <v>6</v>
      </c>
      <c r="E2" t="s">
        <v>4</v>
      </c>
      <c r="F2" t="s">
        <v>5</v>
      </c>
      <c r="H2" t="s">
        <v>96</v>
      </c>
      <c r="I2" t="s">
        <v>90</v>
      </c>
      <c r="J2" t="s">
        <v>86</v>
      </c>
      <c r="K2" t="s">
        <v>97</v>
      </c>
      <c r="L2" t="s">
        <v>88</v>
      </c>
      <c r="M2" t="s">
        <v>89</v>
      </c>
      <c r="N2" t="s">
        <v>87</v>
      </c>
      <c r="O2" t="s">
        <v>92</v>
      </c>
      <c r="P2" t="s">
        <v>91</v>
      </c>
      <c r="Q2" t="s">
        <v>93</v>
      </c>
      <c r="R2" t="s">
        <v>94</v>
      </c>
      <c r="S2" t="s">
        <v>85</v>
      </c>
      <c r="T2" t="s">
        <v>95</v>
      </c>
      <c r="U2" t="s">
        <v>98</v>
      </c>
      <c r="V2" t="s">
        <v>99</v>
      </c>
      <c r="W2" t="s">
        <v>100</v>
      </c>
      <c r="X2" t="s">
        <v>101</v>
      </c>
      <c r="Y2" t="s">
        <v>102</v>
      </c>
    </row>
    <row r="3" spans="1:25" x14ac:dyDescent="0.3">
      <c r="F3" t="s">
        <v>7</v>
      </c>
      <c r="G3" t="s">
        <v>8</v>
      </c>
      <c r="I3">
        <f>D11</f>
        <v>12</v>
      </c>
      <c r="J3">
        <v>0.6</v>
      </c>
      <c r="K3">
        <v>0.2</v>
      </c>
      <c r="L3">
        <f>MAX(F4:F10)</f>
        <v>14</v>
      </c>
      <c r="M3">
        <f>L3/2</f>
        <v>7</v>
      </c>
      <c r="N3">
        <f>SUMPRODUCT(D4:D10,H4:H10)</f>
        <v>2</v>
      </c>
      <c r="O3">
        <f>SUMPRODUCT(G4:G10,H4:H10)</f>
        <v>28</v>
      </c>
      <c r="P3">
        <f>G11</f>
        <v>70</v>
      </c>
      <c r="Q3">
        <f>N3/I3</f>
        <v>0.16666666666666666</v>
      </c>
      <c r="R3">
        <f>O3/P3</f>
        <v>0.4</v>
      </c>
      <c r="S3">
        <v>0.67</v>
      </c>
      <c r="T3">
        <f>I3*S3</f>
        <v>8.0400000000000009</v>
      </c>
      <c r="U3">
        <v>1.99</v>
      </c>
      <c r="V3">
        <f>U3*P3*K3</f>
        <v>27.860000000000003</v>
      </c>
      <c r="W3">
        <f>V3*4/3</f>
        <v>37.146666666666668</v>
      </c>
      <c r="X3">
        <f>V3/0.6</f>
        <v>46.433333333333337</v>
      </c>
      <c r="Y3">
        <f>X3/(SQRT(3)*0.38)</f>
        <v>70.548151314135865</v>
      </c>
    </row>
    <row r="4" spans="1:25" x14ac:dyDescent="0.3">
      <c r="A4">
        <v>1</v>
      </c>
      <c r="B4">
        <v>1</v>
      </c>
      <c r="C4" t="s">
        <v>9</v>
      </c>
      <c r="D4">
        <v>1</v>
      </c>
      <c r="E4" t="s">
        <v>11</v>
      </c>
      <c r="F4">
        <v>5</v>
      </c>
      <c r="G4">
        <f>D4*F4</f>
        <v>5</v>
      </c>
      <c r="H4">
        <f>COUNTIF(F4,"&gt;="&amp;M3)</f>
        <v>0</v>
      </c>
    </row>
    <row r="5" spans="1:25" x14ac:dyDescent="0.3">
      <c r="A5">
        <v>2</v>
      </c>
      <c r="B5">
        <v>2</v>
      </c>
      <c r="C5" t="s">
        <v>10</v>
      </c>
      <c r="D5">
        <v>3</v>
      </c>
      <c r="E5" t="s">
        <v>12</v>
      </c>
      <c r="F5">
        <v>5</v>
      </c>
      <c r="G5">
        <f t="shared" ref="G5:G10" si="0">D5*F5</f>
        <v>15</v>
      </c>
      <c r="H5">
        <f>COUNTIF(F5,"&gt;="&amp;M3)</f>
        <v>0</v>
      </c>
    </row>
    <row r="6" spans="1:25" x14ac:dyDescent="0.3">
      <c r="A6">
        <v>3</v>
      </c>
      <c r="B6">
        <v>3</v>
      </c>
      <c r="C6" t="s">
        <v>10</v>
      </c>
      <c r="D6">
        <v>2</v>
      </c>
      <c r="E6" t="s">
        <v>13</v>
      </c>
      <c r="F6">
        <v>14</v>
      </c>
      <c r="G6">
        <f t="shared" si="0"/>
        <v>28</v>
      </c>
      <c r="H6">
        <f>COUNTIF(F6,"&gt;="&amp;M3)</f>
        <v>1</v>
      </c>
    </row>
    <row r="7" spans="1:25" x14ac:dyDescent="0.3">
      <c r="A7">
        <v>4</v>
      </c>
      <c r="B7">
        <v>4</v>
      </c>
      <c r="C7" t="s">
        <v>10</v>
      </c>
      <c r="D7">
        <v>2</v>
      </c>
      <c r="E7" t="s">
        <v>14</v>
      </c>
      <c r="F7">
        <v>6</v>
      </c>
      <c r="G7">
        <f t="shared" si="0"/>
        <v>12</v>
      </c>
      <c r="H7">
        <f>COUNTIF(F7,"&gt;="&amp;M3)</f>
        <v>0</v>
      </c>
    </row>
    <row r="8" spans="1:25" x14ac:dyDescent="0.3">
      <c r="A8">
        <v>5</v>
      </c>
      <c r="B8">
        <v>5</v>
      </c>
      <c r="C8" t="s">
        <v>10</v>
      </c>
      <c r="D8">
        <v>1</v>
      </c>
      <c r="F8">
        <v>2</v>
      </c>
      <c r="G8">
        <f t="shared" si="0"/>
        <v>2</v>
      </c>
      <c r="H8">
        <f>COUNTIF(F8,"&gt;="&amp;M3)</f>
        <v>0</v>
      </c>
    </row>
    <row r="9" spans="1:25" x14ac:dyDescent="0.3">
      <c r="A9">
        <v>6</v>
      </c>
      <c r="B9">
        <v>6</v>
      </c>
      <c r="C9" t="s">
        <v>15</v>
      </c>
      <c r="D9">
        <v>1</v>
      </c>
      <c r="E9" t="s">
        <v>16</v>
      </c>
      <c r="F9">
        <v>2</v>
      </c>
      <c r="G9">
        <f t="shared" si="0"/>
        <v>2</v>
      </c>
      <c r="H9">
        <f>COUNTIF(F9,"&gt;="&amp;M3)</f>
        <v>0</v>
      </c>
    </row>
    <row r="10" spans="1:25" ht="15" thickBot="1" x14ac:dyDescent="0.35">
      <c r="A10">
        <v>7</v>
      </c>
      <c r="B10">
        <v>7</v>
      </c>
      <c r="C10" t="s">
        <v>17</v>
      </c>
      <c r="D10">
        <v>2</v>
      </c>
      <c r="E10" t="s">
        <v>18</v>
      </c>
      <c r="F10">
        <v>3</v>
      </c>
      <c r="G10">
        <f t="shared" si="0"/>
        <v>6</v>
      </c>
      <c r="H10">
        <f>COUNTIF(F10,"&gt;="&amp;M3)</f>
        <v>0</v>
      </c>
    </row>
    <row r="11" spans="1:25" ht="17.399999999999999" thickBot="1" x14ac:dyDescent="0.35">
      <c r="A11" s="1" t="s">
        <v>20</v>
      </c>
      <c r="D11">
        <f t="shared" ref="D11" si="1">SUM(D3:D10)</f>
        <v>12</v>
      </c>
      <c r="G11">
        <f>SUM(G3:G10)</f>
        <v>70</v>
      </c>
    </row>
    <row r="12" spans="1:25" ht="17.399999999999999" thickBot="1" x14ac:dyDescent="0.35">
      <c r="A12" s="1"/>
    </row>
    <row r="13" spans="1:25" x14ac:dyDescent="0.3">
      <c r="A13" t="s">
        <v>21</v>
      </c>
    </row>
    <row r="14" spans="1:25" x14ac:dyDescent="0.3">
      <c r="A14" t="s">
        <v>1</v>
      </c>
      <c r="B14" t="s">
        <v>2</v>
      </c>
      <c r="C14" t="s">
        <v>3</v>
      </c>
      <c r="D14" t="s">
        <v>6</v>
      </c>
      <c r="E14" t="s">
        <v>4</v>
      </c>
      <c r="F14" t="s">
        <v>5</v>
      </c>
      <c r="H14" t="s">
        <v>96</v>
      </c>
      <c r="I14" t="s">
        <v>90</v>
      </c>
      <c r="J14" t="s">
        <v>86</v>
      </c>
      <c r="K14" t="s">
        <v>97</v>
      </c>
      <c r="L14" t="s">
        <v>88</v>
      </c>
      <c r="M14" t="s">
        <v>89</v>
      </c>
      <c r="N14" t="s">
        <v>87</v>
      </c>
      <c r="O14" t="s">
        <v>92</v>
      </c>
      <c r="P14" t="s">
        <v>91</v>
      </c>
      <c r="Q14" t="s">
        <v>93</v>
      </c>
      <c r="R14" t="s">
        <v>94</v>
      </c>
      <c r="S14" t="s">
        <v>85</v>
      </c>
      <c r="T14" t="s">
        <v>95</v>
      </c>
      <c r="U14" t="s">
        <v>98</v>
      </c>
      <c r="V14" t="s">
        <v>99</v>
      </c>
      <c r="W14" t="s">
        <v>100</v>
      </c>
      <c r="X14" t="s">
        <v>101</v>
      </c>
      <c r="Y14" t="s">
        <v>102</v>
      </c>
    </row>
    <row r="15" spans="1:25" x14ac:dyDescent="0.3">
      <c r="F15" t="s">
        <v>7</v>
      </c>
      <c r="G15" t="s">
        <v>8</v>
      </c>
      <c r="I15">
        <f>D25</f>
        <v>11</v>
      </c>
      <c r="J15">
        <v>0.6</v>
      </c>
      <c r="K15">
        <v>0.2</v>
      </c>
      <c r="L15">
        <f>MAX(F16:F24)</f>
        <v>14</v>
      </c>
      <c r="M15">
        <f>L15/2</f>
        <v>7</v>
      </c>
      <c r="N15">
        <f>SUMPRODUCT(D16:D24,H16:H24)</f>
        <v>5</v>
      </c>
      <c r="O15">
        <f>SUMPRODUCT(G16:G24,H16:H24)</f>
        <v>53</v>
      </c>
      <c r="P15">
        <f>G25</f>
        <v>72</v>
      </c>
      <c r="Q15">
        <f>N15/I15</f>
        <v>0.45454545454545453</v>
      </c>
      <c r="R15">
        <f>O15/P15</f>
        <v>0.73611111111111116</v>
      </c>
      <c r="S15">
        <v>0.7</v>
      </c>
      <c r="T15">
        <f>I15*S15</f>
        <v>7.6999999999999993</v>
      </c>
      <c r="U15">
        <v>1.99</v>
      </c>
      <c r="V15">
        <f>U15*P15*K15</f>
        <v>28.656000000000002</v>
      </c>
      <c r="W15">
        <f>V15*4/3</f>
        <v>38.208000000000006</v>
      </c>
      <c r="X15">
        <f>V15/0.6</f>
        <v>47.760000000000005</v>
      </c>
      <c r="Y15">
        <f>X15/(SQRT(3)*0.38)</f>
        <v>72.563812780254025</v>
      </c>
    </row>
    <row r="16" spans="1:25" x14ac:dyDescent="0.3">
      <c r="A16">
        <v>1</v>
      </c>
      <c r="B16">
        <v>8</v>
      </c>
      <c r="C16" t="s">
        <v>19</v>
      </c>
      <c r="D16">
        <v>1</v>
      </c>
      <c r="F16">
        <v>2</v>
      </c>
      <c r="G16">
        <f>D16*F16</f>
        <v>2</v>
      </c>
      <c r="H16">
        <f>COUNTIF(F16,"&gt;="&amp;M15)</f>
        <v>0</v>
      </c>
    </row>
    <row r="17" spans="1:25" x14ac:dyDescent="0.3">
      <c r="A17">
        <v>2</v>
      </c>
      <c r="B17">
        <v>9</v>
      </c>
      <c r="C17" t="s">
        <v>22</v>
      </c>
      <c r="D17">
        <v>2</v>
      </c>
      <c r="E17" t="s">
        <v>23</v>
      </c>
      <c r="F17">
        <v>14</v>
      </c>
      <c r="G17">
        <f t="shared" ref="G17:G20" si="2">D17*F17</f>
        <v>28</v>
      </c>
      <c r="H17">
        <f>COUNTIF(F17,"&gt;="&amp;M15)</f>
        <v>1</v>
      </c>
    </row>
    <row r="18" spans="1:25" x14ac:dyDescent="0.3">
      <c r="A18">
        <v>3</v>
      </c>
      <c r="B18">
        <v>10</v>
      </c>
      <c r="C18" t="s">
        <v>22</v>
      </c>
      <c r="D18">
        <v>1</v>
      </c>
      <c r="E18" t="s">
        <v>24</v>
      </c>
      <c r="F18">
        <v>7</v>
      </c>
      <c r="G18">
        <f t="shared" si="2"/>
        <v>7</v>
      </c>
      <c r="H18">
        <f>COUNTIF(F18,"&gt;="&amp;M15)</f>
        <v>1</v>
      </c>
    </row>
    <row r="19" spans="1:25" x14ac:dyDescent="0.3">
      <c r="A19">
        <v>4</v>
      </c>
      <c r="B19">
        <v>11</v>
      </c>
      <c r="C19" t="s">
        <v>25</v>
      </c>
      <c r="D19">
        <v>1</v>
      </c>
      <c r="F19">
        <v>2</v>
      </c>
      <c r="G19">
        <f t="shared" si="2"/>
        <v>2</v>
      </c>
      <c r="H19">
        <f>COUNTIF(F19,"&gt;="&amp;M15)</f>
        <v>0</v>
      </c>
    </row>
    <row r="20" spans="1:25" x14ac:dyDescent="0.3">
      <c r="A20">
        <v>5</v>
      </c>
      <c r="B20">
        <v>12</v>
      </c>
      <c r="C20" t="s">
        <v>26</v>
      </c>
      <c r="D20">
        <v>2</v>
      </c>
      <c r="E20" t="s">
        <v>27</v>
      </c>
      <c r="F20">
        <v>9</v>
      </c>
      <c r="G20">
        <f t="shared" si="2"/>
        <v>18</v>
      </c>
      <c r="H20">
        <f>COUNTIF(F20,"&gt;="&amp;M15)</f>
        <v>1</v>
      </c>
    </row>
    <row r="21" spans="1:25" x14ac:dyDescent="0.3">
      <c r="A21">
        <v>6</v>
      </c>
      <c r="B21">
        <v>14</v>
      </c>
      <c r="C21" t="s">
        <v>28</v>
      </c>
      <c r="D21">
        <v>1</v>
      </c>
      <c r="E21">
        <v>7417</v>
      </c>
      <c r="F21">
        <v>3</v>
      </c>
      <c r="G21">
        <f>D21*F21</f>
        <v>3</v>
      </c>
      <c r="H21">
        <f>COUNTIF(F21,"&gt;="&amp;M15)</f>
        <v>0</v>
      </c>
    </row>
    <row r="22" spans="1:25" x14ac:dyDescent="0.3">
      <c r="A22">
        <v>7</v>
      </c>
      <c r="B22">
        <v>15</v>
      </c>
      <c r="C22" t="s">
        <v>30</v>
      </c>
      <c r="D22">
        <v>1</v>
      </c>
      <c r="E22" t="s">
        <v>31</v>
      </c>
      <c r="F22">
        <v>5</v>
      </c>
      <c r="G22">
        <f>D22*F22</f>
        <v>5</v>
      </c>
      <c r="H22">
        <f>COUNTIF(F22,"&gt;="&amp;M15)</f>
        <v>0</v>
      </c>
    </row>
    <row r="23" spans="1:25" x14ac:dyDescent="0.3">
      <c r="A23">
        <v>8</v>
      </c>
      <c r="B23">
        <v>16</v>
      </c>
      <c r="C23" t="s">
        <v>32</v>
      </c>
      <c r="D23">
        <v>1</v>
      </c>
      <c r="E23">
        <v>2613</v>
      </c>
      <c r="F23">
        <v>5</v>
      </c>
      <c r="G23">
        <f>D23*F23</f>
        <v>5</v>
      </c>
      <c r="H23">
        <f>COUNTIF(F23,"&gt;="&amp;M15)</f>
        <v>0</v>
      </c>
    </row>
    <row r="24" spans="1:25" x14ac:dyDescent="0.3">
      <c r="A24">
        <v>9</v>
      </c>
      <c r="B24">
        <v>17</v>
      </c>
      <c r="C24" t="s">
        <v>33</v>
      </c>
      <c r="D24">
        <v>1</v>
      </c>
      <c r="E24">
        <v>4522</v>
      </c>
      <c r="F24">
        <v>2</v>
      </c>
      <c r="G24">
        <f>D24*F24</f>
        <v>2</v>
      </c>
      <c r="H24">
        <f>COUNTIF(F24,"&gt;="&amp;M15)</f>
        <v>0</v>
      </c>
    </row>
    <row r="25" spans="1:25" x14ac:dyDescent="0.3">
      <c r="A25" s="3" t="s">
        <v>20</v>
      </c>
      <c r="D25">
        <f>SUM(D16:D24)</f>
        <v>11</v>
      </c>
      <c r="G25">
        <f>SUM(G16:G24)</f>
        <v>72</v>
      </c>
    </row>
    <row r="27" spans="1:25" x14ac:dyDescent="0.3">
      <c r="A27" t="s">
        <v>34</v>
      </c>
    </row>
    <row r="28" spans="1:25" ht="15" customHeight="1" x14ac:dyDescent="0.3">
      <c r="A28" t="s">
        <v>1</v>
      </c>
      <c r="B28" t="s">
        <v>2</v>
      </c>
      <c r="C28" t="s">
        <v>3</v>
      </c>
      <c r="D28" t="s">
        <v>6</v>
      </c>
      <c r="E28" t="s">
        <v>4</v>
      </c>
      <c r="F28" t="s">
        <v>5</v>
      </c>
      <c r="H28" t="s">
        <v>96</v>
      </c>
      <c r="I28" t="s">
        <v>90</v>
      </c>
      <c r="J28" t="s">
        <v>86</v>
      </c>
      <c r="K28" t="s">
        <v>97</v>
      </c>
      <c r="L28" t="s">
        <v>88</v>
      </c>
      <c r="M28" t="s">
        <v>89</v>
      </c>
      <c r="N28" t="s">
        <v>87</v>
      </c>
      <c r="O28" t="s">
        <v>92</v>
      </c>
      <c r="P28" t="s">
        <v>91</v>
      </c>
      <c r="Q28" t="s">
        <v>93</v>
      </c>
      <c r="R28" t="s">
        <v>94</v>
      </c>
      <c r="S28" t="s">
        <v>85</v>
      </c>
      <c r="T28" t="s">
        <v>95</v>
      </c>
      <c r="U28" t="s">
        <v>98</v>
      </c>
      <c r="V28" t="s">
        <v>99</v>
      </c>
      <c r="W28" t="s">
        <v>100</v>
      </c>
      <c r="X28" t="s">
        <v>101</v>
      </c>
      <c r="Y28" t="s">
        <v>102</v>
      </c>
    </row>
    <row r="29" spans="1:25" x14ac:dyDescent="0.3">
      <c r="F29" t="s">
        <v>7</v>
      </c>
      <c r="G29" t="s">
        <v>8</v>
      </c>
      <c r="I29">
        <f>D41</f>
        <v>16</v>
      </c>
      <c r="J29">
        <v>0.6</v>
      </c>
      <c r="K29">
        <v>0.2</v>
      </c>
      <c r="L29">
        <f>MAX(F30:F40)</f>
        <v>9</v>
      </c>
      <c r="M29">
        <f>L29/2</f>
        <v>4.5</v>
      </c>
      <c r="N29">
        <f>SUMPRODUCT(D30:D40,H30:H40)</f>
        <v>7</v>
      </c>
      <c r="O29">
        <f>SUMPRODUCT(G30:G40,H30:H40)</f>
        <v>56</v>
      </c>
      <c r="P29">
        <f>G41</f>
        <v>73</v>
      </c>
      <c r="Q29">
        <f>N29/I29</f>
        <v>0.4375</v>
      </c>
      <c r="R29">
        <f>O29/P29</f>
        <v>0.76712328767123283</v>
      </c>
      <c r="S29">
        <v>0.7</v>
      </c>
      <c r="T29">
        <f>I29*S29</f>
        <v>11.2</v>
      </c>
      <c r="U29">
        <v>1.75</v>
      </c>
      <c r="V29">
        <f>U29*P29*K29</f>
        <v>25.55</v>
      </c>
      <c r="W29">
        <f>V29*4/3</f>
        <v>34.06666666666667</v>
      </c>
      <c r="X29">
        <f>V29/0.6</f>
        <v>42.583333333333336</v>
      </c>
      <c r="Y29">
        <f>X29/(SQRT(3)*0.38)</f>
        <v>64.698681481556761</v>
      </c>
    </row>
    <row r="30" spans="1:25" x14ac:dyDescent="0.3">
      <c r="A30">
        <v>1</v>
      </c>
      <c r="B30">
        <v>13</v>
      </c>
      <c r="C30" t="s">
        <v>28</v>
      </c>
      <c r="D30">
        <v>4</v>
      </c>
      <c r="E30" s="2" t="s">
        <v>29</v>
      </c>
      <c r="F30">
        <v>8</v>
      </c>
      <c r="G30">
        <f>D30*F30</f>
        <v>32</v>
      </c>
      <c r="H30">
        <f>COUNTIF(F30,"&gt;="&amp;M29)</f>
        <v>1</v>
      </c>
    </row>
    <row r="31" spans="1:25" x14ac:dyDescent="0.3">
      <c r="A31">
        <v>2</v>
      </c>
      <c r="B31">
        <v>18</v>
      </c>
      <c r="C31" t="s">
        <v>35</v>
      </c>
      <c r="D31">
        <v>2</v>
      </c>
      <c r="E31" t="s">
        <v>36</v>
      </c>
      <c r="F31">
        <v>9</v>
      </c>
      <c r="G31">
        <f t="shared" ref="G31:G40" si="3">D31*F31</f>
        <v>18</v>
      </c>
      <c r="H31">
        <f>COUNTIF(F31,"&gt;="&amp;M29)</f>
        <v>1</v>
      </c>
    </row>
    <row r="32" spans="1:25" x14ac:dyDescent="0.3">
      <c r="A32">
        <v>3</v>
      </c>
      <c r="B32">
        <v>19</v>
      </c>
      <c r="C32" t="s">
        <v>37</v>
      </c>
      <c r="D32">
        <v>1</v>
      </c>
      <c r="E32" t="s">
        <v>38</v>
      </c>
      <c r="F32">
        <v>6</v>
      </c>
      <c r="G32">
        <f t="shared" si="3"/>
        <v>6</v>
      </c>
      <c r="H32">
        <f>COUNTIF(F32,"&gt;="&amp;M29)</f>
        <v>1</v>
      </c>
    </row>
    <row r="33" spans="1:25" x14ac:dyDescent="0.3">
      <c r="A33">
        <v>4</v>
      </c>
      <c r="B33">
        <v>20</v>
      </c>
      <c r="C33" t="s">
        <v>39</v>
      </c>
      <c r="D33">
        <v>1</v>
      </c>
      <c r="E33" t="s">
        <v>40</v>
      </c>
      <c r="F33">
        <v>3</v>
      </c>
      <c r="G33">
        <f t="shared" si="3"/>
        <v>3</v>
      </c>
      <c r="H33">
        <f>COUNTIF(F33,"&gt;="&amp;M29)</f>
        <v>0</v>
      </c>
    </row>
    <row r="34" spans="1:25" x14ac:dyDescent="0.3">
      <c r="A34">
        <v>5</v>
      </c>
      <c r="B34">
        <v>21</v>
      </c>
      <c r="C34" t="s">
        <v>41</v>
      </c>
      <c r="D34">
        <v>1</v>
      </c>
      <c r="E34">
        <v>3628</v>
      </c>
      <c r="F34">
        <v>3</v>
      </c>
      <c r="G34">
        <f t="shared" si="3"/>
        <v>3</v>
      </c>
      <c r="H34">
        <f>COUNTIF(F34,"&gt;="&amp;M29)</f>
        <v>0</v>
      </c>
    </row>
    <row r="35" spans="1:25" x14ac:dyDescent="0.3">
      <c r="A35">
        <v>6</v>
      </c>
      <c r="B35">
        <v>22</v>
      </c>
      <c r="C35" t="s">
        <v>42</v>
      </c>
      <c r="D35">
        <v>1</v>
      </c>
      <c r="E35" t="s">
        <v>43</v>
      </c>
      <c r="F35">
        <v>1</v>
      </c>
      <c r="G35">
        <f t="shared" si="3"/>
        <v>1</v>
      </c>
      <c r="H35">
        <f>COUNTIF(F35,"&gt;="&amp;M29)</f>
        <v>0</v>
      </c>
    </row>
    <row r="36" spans="1:25" x14ac:dyDescent="0.3">
      <c r="A36">
        <v>7</v>
      </c>
      <c r="B36">
        <v>23</v>
      </c>
      <c r="C36" t="s">
        <v>44</v>
      </c>
      <c r="D36">
        <v>2</v>
      </c>
      <c r="E36" t="s">
        <v>45</v>
      </c>
      <c r="F36">
        <v>1</v>
      </c>
      <c r="G36">
        <f t="shared" si="3"/>
        <v>2</v>
      </c>
      <c r="H36">
        <f>COUNTIF(F36,"&gt;="&amp;M29)</f>
        <v>0</v>
      </c>
    </row>
    <row r="37" spans="1:25" x14ac:dyDescent="0.3">
      <c r="A37">
        <v>8</v>
      </c>
      <c r="B37">
        <v>24</v>
      </c>
      <c r="C37" t="s">
        <v>46</v>
      </c>
      <c r="D37">
        <v>1</v>
      </c>
      <c r="E37" t="s">
        <v>47</v>
      </c>
      <c r="F37">
        <v>2</v>
      </c>
      <c r="G37">
        <f t="shared" si="3"/>
        <v>2</v>
      </c>
      <c r="H37">
        <f>COUNTIF(F37,"&gt;="&amp;M29)</f>
        <v>0</v>
      </c>
    </row>
    <row r="38" spans="1:25" x14ac:dyDescent="0.3">
      <c r="A38">
        <v>9</v>
      </c>
      <c r="B38">
        <v>27</v>
      </c>
      <c r="C38" t="s">
        <v>48</v>
      </c>
      <c r="D38">
        <v>1</v>
      </c>
      <c r="E38" t="s">
        <v>49</v>
      </c>
      <c r="F38">
        <v>3</v>
      </c>
      <c r="G38">
        <f t="shared" si="3"/>
        <v>3</v>
      </c>
      <c r="H38">
        <f>COUNTIF(F38,"&gt;="&amp;M29)</f>
        <v>0</v>
      </c>
    </row>
    <row r="39" spans="1:25" x14ac:dyDescent="0.3">
      <c r="A39">
        <v>10</v>
      </c>
      <c r="B39">
        <v>28</v>
      </c>
      <c r="C39" t="s">
        <v>50</v>
      </c>
      <c r="D39">
        <v>1</v>
      </c>
      <c r="F39">
        <v>1</v>
      </c>
      <c r="G39">
        <f t="shared" si="3"/>
        <v>1</v>
      </c>
      <c r="H39">
        <f>COUNTIF(F39,"&gt;="&amp;M29)</f>
        <v>0</v>
      </c>
    </row>
    <row r="40" spans="1:25" x14ac:dyDescent="0.3">
      <c r="A40">
        <v>11</v>
      </c>
      <c r="B40">
        <v>29</v>
      </c>
      <c r="C40" t="s">
        <v>51</v>
      </c>
      <c r="D40">
        <v>1</v>
      </c>
      <c r="E40">
        <v>872</v>
      </c>
      <c r="F40">
        <v>2</v>
      </c>
      <c r="G40">
        <f t="shared" si="3"/>
        <v>2</v>
      </c>
      <c r="H40">
        <f>COUNTIF(F40,"&gt;="&amp;M29)</f>
        <v>0</v>
      </c>
    </row>
    <row r="41" spans="1:25" x14ac:dyDescent="0.3">
      <c r="A41" s="3" t="s">
        <v>20</v>
      </c>
      <c r="D41">
        <f t="shared" ref="D41" si="4">SUM(D30:D40)</f>
        <v>16</v>
      </c>
      <c r="G41">
        <f>SUM(G30:G40)</f>
        <v>73</v>
      </c>
    </row>
    <row r="43" spans="1:25" x14ac:dyDescent="0.3">
      <c r="A43" t="s">
        <v>52</v>
      </c>
    </row>
    <row r="44" spans="1:25" ht="15" customHeight="1" x14ac:dyDescent="0.3">
      <c r="A44" t="s">
        <v>1</v>
      </c>
      <c r="B44" t="s">
        <v>2</v>
      </c>
      <c r="C44" t="s">
        <v>3</v>
      </c>
      <c r="D44" t="s">
        <v>6</v>
      </c>
      <c r="E44" t="s">
        <v>4</v>
      </c>
      <c r="F44" t="s">
        <v>5</v>
      </c>
      <c r="H44" t="s">
        <v>96</v>
      </c>
      <c r="I44" t="s">
        <v>90</v>
      </c>
      <c r="J44" t="s">
        <v>86</v>
      </c>
      <c r="K44" t="s">
        <v>97</v>
      </c>
      <c r="L44" t="s">
        <v>88</v>
      </c>
      <c r="M44" t="s">
        <v>89</v>
      </c>
      <c r="N44" t="s">
        <v>87</v>
      </c>
      <c r="O44" t="s">
        <v>92</v>
      </c>
      <c r="P44" t="s">
        <v>91</v>
      </c>
      <c r="Q44" t="s">
        <v>93</v>
      </c>
      <c r="R44" t="s">
        <v>94</v>
      </c>
      <c r="S44" t="s">
        <v>85</v>
      </c>
      <c r="T44" t="s">
        <v>95</v>
      </c>
      <c r="U44" t="s">
        <v>98</v>
      </c>
      <c r="V44" t="s">
        <v>99</v>
      </c>
      <c r="W44" t="s">
        <v>100</v>
      </c>
      <c r="X44" t="s">
        <v>101</v>
      </c>
      <c r="Y44" t="s">
        <v>102</v>
      </c>
    </row>
    <row r="45" spans="1:25" x14ac:dyDescent="0.3">
      <c r="F45" t="s">
        <v>7</v>
      </c>
      <c r="G45" t="s">
        <v>8</v>
      </c>
      <c r="I45">
        <f>D50</f>
        <v>4</v>
      </c>
      <c r="J45">
        <v>0.6</v>
      </c>
      <c r="K45">
        <v>0.2</v>
      </c>
      <c r="L45">
        <f>MAX(F46:F49)</f>
        <v>30</v>
      </c>
      <c r="M45">
        <f>L45/2</f>
        <v>15</v>
      </c>
      <c r="N45">
        <f>SUMPRODUCT(D46:D54,H46:H54)</f>
        <v>3</v>
      </c>
      <c r="O45">
        <f>SUMPRODUCT(G46:G54,H46:H54)</f>
        <v>85</v>
      </c>
      <c r="P45">
        <f>G50</f>
        <v>95</v>
      </c>
      <c r="Q45">
        <f>N45/I45</f>
        <v>0.75</v>
      </c>
      <c r="R45">
        <f>O45/P45</f>
        <v>0.89473684210526316</v>
      </c>
      <c r="S45">
        <v>0.85</v>
      </c>
      <c r="T45">
        <f>I45*S45</f>
        <v>3.4</v>
      </c>
      <c r="U45">
        <v>2.64</v>
      </c>
      <c r="V45">
        <f>0.9*P45</f>
        <v>85.5</v>
      </c>
      <c r="W45">
        <f>V45*4/3</f>
        <v>114</v>
      </c>
      <c r="X45">
        <f>V45/0.6</f>
        <v>142.5</v>
      </c>
      <c r="Y45">
        <f>X45/(SQRT(3)*0.38)</f>
        <v>216.50635094610968</v>
      </c>
    </row>
    <row r="46" spans="1:25" x14ac:dyDescent="0.3">
      <c r="A46">
        <v>1</v>
      </c>
      <c r="B46">
        <v>31</v>
      </c>
      <c r="C46" t="s">
        <v>54</v>
      </c>
      <c r="D46">
        <v>1</v>
      </c>
      <c r="E46" t="s">
        <v>53</v>
      </c>
      <c r="F46">
        <v>30</v>
      </c>
      <c r="G46">
        <f>D46*F46</f>
        <v>30</v>
      </c>
      <c r="H46">
        <f>COUNTIF(F46,"&gt;="&amp;M45)</f>
        <v>1</v>
      </c>
    </row>
    <row r="47" spans="1:25" x14ac:dyDescent="0.3">
      <c r="A47">
        <v>2</v>
      </c>
      <c r="B47">
        <v>32</v>
      </c>
      <c r="C47" t="s">
        <v>55</v>
      </c>
      <c r="D47">
        <v>1</v>
      </c>
      <c r="E47" s="2" t="s">
        <v>56</v>
      </c>
      <c r="F47" s="2">
        <v>25</v>
      </c>
      <c r="G47">
        <f t="shared" ref="G47:G49" si="5">D47*F47</f>
        <v>25</v>
      </c>
      <c r="H47">
        <f>COUNTIF(F47,"&gt;="&amp;M45)</f>
        <v>1</v>
      </c>
    </row>
    <row r="48" spans="1:25" x14ac:dyDescent="0.3">
      <c r="A48">
        <v>3</v>
      </c>
      <c r="B48">
        <v>33</v>
      </c>
      <c r="C48" t="s">
        <v>57</v>
      </c>
      <c r="D48">
        <v>1</v>
      </c>
      <c r="E48" s="2" t="s">
        <v>58</v>
      </c>
      <c r="F48" s="2">
        <v>30</v>
      </c>
      <c r="G48">
        <f t="shared" si="5"/>
        <v>30</v>
      </c>
      <c r="H48">
        <f>COUNTIF(F48,"&gt;="&amp;M45)</f>
        <v>1</v>
      </c>
    </row>
    <row r="49" spans="1:25" x14ac:dyDescent="0.3">
      <c r="A49">
        <v>4</v>
      </c>
      <c r="B49">
        <v>34</v>
      </c>
      <c r="C49" t="s">
        <v>59</v>
      </c>
      <c r="D49">
        <v>1</v>
      </c>
      <c r="E49" s="2" t="s">
        <v>60</v>
      </c>
      <c r="F49" s="2">
        <v>10</v>
      </c>
      <c r="G49">
        <f t="shared" si="5"/>
        <v>10</v>
      </c>
      <c r="H49">
        <f>COUNTIF(F49,"&gt;="&amp;M45)</f>
        <v>0</v>
      </c>
    </row>
    <row r="50" spans="1:25" x14ac:dyDescent="0.3">
      <c r="A50" s="3" t="s">
        <v>20</v>
      </c>
      <c r="D50">
        <f>SUM(D46:D49)</f>
        <v>4</v>
      </c>
      <c r="G50">
        <f>SUM(G46:G49)</f>
        <v>95</v>
      </c>
    </row>
    <row r="52" spans="1:25" x14ac:dyDescent="0.3">
      <c r="A52" t="s">
        <v>61</v>
      </c>
    </row>
    <row r="53" spans="1:25" ht="15" customHeight="1" x14ac:dyDescent="0.3">
      <c r="A53" t="s">
        <v>1</v>
      </c>
      <c r="B53" t="s">
        <v>2</v>
      </c>
      <c r="C53" t="s">
        <v>3</v>
      </c>
      <c r="D53" t="s">
        <v>6</v>
      </c>
      <c r="E53" t="s">
        <v>4</v>
      </c>
      <c r="F53" t="s">
        <v>5</v>
      </c>
      <c r="H53" t="s">
        <v>96</v>
      </c>
      <c r="I53" t="s">
        <v>90</v>
      </c>
      <c r="J53" t="s">
        <v>86</v>
      </c>
      <c r="K53" t="s">
        <v>97</v>
      </c>
      <c r="L53" t="s">
        <v>88</v>
      </c>
      <c r="M53" t="s">
        <v>89</v>
      </c>
      <c r="N53" t="s">
        <v>87</v>
      </c>
      <c r="O53" t="s">
        <v>92</v>
      </c>
      <c r="P53" t="s">
        <v>91</v>
      </c>
      <c r="Q53" t="s">
        <v>93</v>
      </c>
      <c r="R53" t="s">
        <v>94</v>
      </c>
      <c r="S53" t="s">
        <v>85</v>
      </c>
      <c r="T53" t="s">
        <v>95</v>
      </c>
      <c r="U53" t="s">
        <v>98</v>
      </c>
      <c r="V53" t="s">
        <v>99</v>
      </c>
      <c r="W53" t="s">
        <v>100</v>
      </c>
      <c r="X53" t="s">
        <v>101</v>
      </c>
      <c r="Y53" t="s">
        <v>102</v>
      </c>
    </row>
    <row r="54" spans="1:25" x14ac:dyDescent="0.3">
      <c r="F54" t="s">
        <v>7</v>
      </c>
      <c r="G54" t="s">
        <v>8</v>
      </c>
      <c r="I54">
        <f>D63</f>
        <v>9</v>
      </c>
      <c r="J54">
        <v>0.6</v>
      </c>
      <c r="K54">
        <v>0.2</v>
      </c>
      <c r="L54">
        <f>MAX(F55:F65)</f>
        <v>10</v>
      </c>
      <c r="M54">
        <f>L54/2</f>
        <v>5</v>
      </c>
      <c r="N54">
        <f>SUMPRODUCT(D55:D65,H55:H65)</f>
        <v>5</v>
      </c>
      <c r="O54">
        <f>SUMPRODUCT(G55:G62,H55:H62)</f>
        <v>39</v>
      </c>
      <c r="P54">
        <f>G63</f>
        <v>51</v>
      </c>
      <c r="Q54">
        <f>N54/I54</f>
        <v>0.55555555555555558</v>
      </c>
      <c r="R54">
        <f>O54/P54</f>
        <v>0.76470588235294112</v>
      </c>
      <c r="S54">
        <v>0.82</v>
      </c>
      <c r="T54">
        <f>I54*S54</f>
        <v>7.38</v>
      </c>
      <c r="U54">
        <v>2.1</v>
      </c>
      <c r="V54">
        <f>U54*P54*K54</f>
        <v>21.42</v>
      </c>
      <c r="W54">
        <f>V54*4/3</f>
        <v>28.560000000000002</v>
      </c>
      <c r="X54">
        <f>V54/0.6</f>
        <v>35.700000000000003</v>
      </c>
      <c r="Y54">
        <f>X54/(SQRT(3)*0.38)</f>
        <v>54.240538447551693</v>
      </c>
    </row>
    <row r="55" spans="1:25" x14ac:dyDescent="0.3">
      <c r="A55">
        <v>1</v>
      </c>
      <c r="B55">
        <v>43</v>
      </c>
      <c r="C55" t="s">
        <v>9</v>
      </c>
      <c r="D55">
        <v>2</v>
      </c>
      <c r="E55" t="s">
        <v>62</v>
      </c>
      <c r="F55">
        <v>10</v>
      </c>
      <c r="G55">
        <f>D55*F55</f>
        <v>20</v>
      </c>
      <c r="H55">
        <f>COUNTIF(F55,"&gt;="&amp;M54)</f>
        <v>1</v>
      </c>
    </row>
    <row r="56" spans="1:25" x14ac:dyDescent="0.3">
      <c r="A56">
        <v>2</v>
      </c>
      <c r="B56">
        <v>44</v>
      </c>
      <c r="C56" t="s">
        <v>9</v>
      </c>
      <c r="D56">
        <v>1</v>
      </c>
      <c r="E56" t="s">
        <v>63</v>
      </c>
      <c r="F56">
        <v>7</v>
      </c>
      <c r="G56">
        <f t="shared" ref="G56:G61" si="6">D56*F56</f>
        <v>7</v>
      </c>
      <c r="H56">
        <f>COUNTIF(F56,"&gt;="&amp;M54)</f>
        <v>1</v>
      </c>
    </row>
    <row r="57" spans="1:25" x14ac:dyDescent="0.3">
      <c r="A57">
        <v>3</v>
      </c>
      <c r="B57">
        <v>45</v>
      </c>
      <c r="C57" t="s">
        <v>9</v>
      </c>
      <c r="D57">
        <v>1</v>
      </c>
      <c r="E57">
        <v>1616</v>
      </c>
      <c r="F57">
        <v>5</v>
      </c>
      <c r="G57">
        <f t="shared" si="6"/>
        <v>5</v>
      </c>
      <c r="H57">
        <f>COUNTIF(F57,"&gt;="&amp;M54)</f>
        <v>1</v>
      </c>
    </row>
    <row r="58" spans="1:25" x14ac:dyDescent="0.3">
      <c r="A58">
        <v>4</v>
      </c>
      <c r="B58">
        <v>46</v>
      </c>
      <c r="C58" t="s">
        <v>19</v>
      </c>
      <c r="D58">
        <v>1</v>
      </c>
      <c r="E58" t="s">
        <v>64</v>
      </c>
      <c r="F58">
        <v>3</v>
      </c>
      <c r="G58">
        <f t="shared" si="6"/>
        <v>3</v>
      </c>
      <c r="H58">
        <f>COUNTIF(F58,"&gt;="&amp;M54)</f>
        <v>0</v>
      </c>
    </row>
    <row r="59" spans="1:25" x14ac:dyDescent="0.3">
      <c r="A59">
        <v>5</v>
      </c>
      <c r="B59">
        <v>47</v>
      </c>
      <c r="C59" t="s">
        <v>17</v>
      </c>
      <c r="D59">
        <v>1</v>
      </c>
      <c r="E59">
        <v>578</v>
      </c>
      <c r="F59">
        <v>3</v>
      </c>
      <c r="G59">
        <f t="shared" si="6"/>
        <v>3</v>
      </c>
      <c r="H59">
        <f>COUNTIF(F59,"&gt;="&amp;M54)</f>
        <v>0</v>
      </c>
    </row>
    <row r="60" spans="1:25" x14ac:dyDescent="0.3">
      <c r="A60">
        <v>6</v>
      </c>
      <c r="B60">
        <v>48</v>
      </c>
      <c r="C60" t="s">
        <v>65</v>
      </c>
      <c r="D60">
        <v>1</v>
      </c>
      <c r="E60" t="s">
        <v>66</v>
      </c>
      <c r="F60">
        <v>3</v>
      </c>
      <c r="G60">
        <f t="shared" si="6"/>
        <v>3</v>
      </c>
      <c r="H60">
        <f>COUNTIF(F60,"&gt;="&amp;M54)</f>
        <v>0</v>
      </c>
    </row>
    <row r="61" spans="1:25" x14ac:dyDescent="0.3">
      <c r="A61">
        <v>7</v>
      </c>
      <c r="B61">
        <v>49</v>
      </c>
      <c r="C61" t="s">
        <v>28</v>
      </c>
      <c r="D61">
        <v>1</v>
      </c>
      <c r="E61">
        <v>7417</v>
      </c>
      <c r="F61">
        <v>3</v>
      </c>
      <c r="G61">
        <f t="shared" si="6"/>
        <v>3</v>
      </c>
      <c r="H61">
        <f>COUNTIF(F61,"&gt;="&amp;M54)</f>
        <v>0</v>
      </c>
    </row>
    <row r="62" spans="1:25" x14ac:dyDescent="0.3">
      <c r="A62">
        <v>8</v>
      </c>
      <c r="B62">
        <v>51</v>
      </c>
      <c r="C62" t="s">
        <v>37</v>
      </c>
      <c r="D62">
        <v>1</v>
      </c>
      <c r="F62">
        <v>7</v>
      </c>
      <c r="G62">
        <f>D62*F62</f>
        <v>7</v>
      </c>
      <c r="H62">
        <f>COUNTIF(F62,"&gt;="&amp;M54)</f>
        <v>1</v>
      </c>
    </row>
    <row r="63" spans="1:25" x14ac:dyDescent="0.3">
      <c r="A63" s="3" t="s">
        <v>20</v>
      </c>
      <c r="D63">
        <f>SUM(D55:D62)</f>
        <v>9</v>
      </c>
      <c r="G63">
        <f>SUM(G55:G62)</f>
        <v>51</v>
      </c>
    </row>
    <row r="65" spans="1:25" x14ac:dyDescent="0.3">
      <c r="A65" t="s">
        <v>71</v>
      </c>
    </row>
    <row r="66" spans="1:25" ht="15" customHeight="1" x14ac:dyDescent="0.3">
      <c r="A66" t="s">
        <v>1</v>
      </c>
      <c r="B66" t="s">
        <v>2</v>
      </c>
      <c r="C66" t="s">
        <v>3</v>
      </c>
      <c r="D66" t="s">
        <v>6</v>
      </c>
      <c r="E66" t="s">
        <v>4</v>
      </c>
      <c r="F66" t="s">
        <v>5</v>
      </c>
      <c r="H66" t="s">
        <v>96</v>
      </c>
      <c r="I66" t="s">
        <v>90</v>
      </c>
      <c r="J66" t="s">
        <v>86</v>
      </c>
      <c r="K66" t="s">
        <v>97</v>
      </c>
      <c r="L66" t="s">
        <v>88</v>
      </c>
      <c r="M66" t="s">
        <v>89</v>
      </c>
      <c r="N66" t="s">
        <v>87</v>
      </c>
      <c r="O66" t="s">
        <v>92</v>
      </c>
      <c r="P66" t="s">
        <v>91</v>
      </c>
      <c r="Q66" t="s">
        <v>93</v>
      </c>
      <c r="R66" t="s">
        <v>94</v>
      </c>
      <c r="S66" t="s">
        <v>85</v>
      </c>
      <c r="T66" t="s">
        <v>95</v>
      </c>
      <c r="U66" t="s">
        <v>98</v>
      </c>
      <c r="V66" t="s">
        <v>99</v>
      </c>
      <c r="W66" t="s">
        <v>100</v>
      </c>
      <c r="X66" t="s">
        <v>101</v>
      </c>
      <c r="Y66" t="s">
        <v>102</v>
      </c>
    </row>
    <row r="67" spans="1:25" x14ac:dyDescent="0.3">
      <c r="F67" t="s">
        <v>7</v>
      </c>
      <c r="G67" t="s">
        <v>8</v>
      </c>
      <c r="I67">
        <f>D76</f>
        <v>10</v>
      </c>
      <c r="J67">
        <v>0.6</v>
      </c>
      <c r="K67">
        <v>0.2</v>
      </c>
      <c r="L67">
        <f>MAX(F68:F75)</f>
        <v>10</v>
      </c>
      <c r="M67">
        <f>L67/2</f>
        <v>5</v>
      </c>
      <c r="N67">
        <f>SUMPRODUCT(D68:D78,H68:H78)</f>
        <v>4</v>
      </c>
      <c r="O67">
        <f>SUMPRODUCT(G68:G75,H68:H75)</f>
        <v>34.4</v>
      </c>
      <c r="P67">
        <f>G76</f>
        <v>46.4</v>
      </c>
      <c r="Q67">
        <f>N67/I67</f>
        <v>0.4</v>
      </c>
      <c r="R67">
        <f>O67/P67</f>
        <v>0.74137931034482762</v>
      </c>
      <c r="S67">
        <v>0.63</v>
      </c>
      <c r="T67">
        <f>I67*S67</f>
        <v>6.3</v>
      </c>
      <c r="U67">
        <v>2.2400000000000002</v>
      </c>
      <c r="V67">
        <f>U67*P67*K67</f>
        <v>20.787200000000002</v>
      </c>
      <c r="W67">
        <f>V67*4/3</f>
        <v>27.716266666666669</v>
      </c>
      <c r="X67">
        <f>V67/0.6</f>
        <v>34.64533333333334</v>
      </c>
      <c r="Y67">
        <f>X67/(SQRT(3)*0.38)</f>
        <v>52.638138226748211</v>
      </c>
    </row>
    <row r="68" spans="1:25" x14ac:dyDescent="0.3">
      <c r="A68">
        <v>1</v>
      </c>
      <c r="B68">
        <v>50</v>
      </c>
      <c r="C68" t="s">
        <v>26</v>
      </c>
      <c r="D68">
        <v>2</v>
      </c>
      <c r="F68">
        <v>8</v>
      </c>
      <c r="G68">
        <f>D68*F68</f>
        <v>16</v>
      </c>
      <c r="H68">
        <f>COUNTIF(F68,"&gt;="&amp;M67)</f>
        <v>1</v>
      </c>
    </row>
    <row r="69" spans="1:25" x14ac:dyDescent="0.3">
      <c r="A69">
        <v>2</v>
      </c>
      <c r="B69">
        <v>52</v>
      </c>
      <c r="C69" t="s">
        <v>67</v>
      </c>
      <c r="D69">
        <v>1</v>
      </c>
      <c r="F69">
        <v>2</v>
      </c>
      <c r="G69">
        <f t="shared" ref="G69:G75" si="7">D69*F69</f>
        <v>2</v>
      </c>
      <c r="H69">
        <f>COUNTIF(F69,"&gt;="&amp;M67)</f>
        <v>0</v>
      </c>
    </row>
    <row r="70" spans="1:25" x14ac:dyDescent="0.3">
      <c r="A70">
        <v>3</v>
      </c>
      <c r="B70">
        <v>53</v>
      </c>
      <c r="C70" t="s">
        <v>68</v>
      </c>
      <c r="D70">
        <v>1</v>
      </c>
      <c r="E70" s="2" t="s">
        <v>70</v>
      </c>
      <c r="F70" s="2">
        <v>10</v>
      </c>
      <c r="G70">
        <f t="shared" si="7"/>
        <v>10</v>
      </c>
      <c r="H70">
        <f>COUNTIF(F70,"&gt;="&amp;M67)</f>
        <v>1</v>
      </c>
    </row>
    <row r="71" spans="1:25" x14ac:dyDescent="0.3">
      <c r="A71">
        <v>4</v>
      </c>
      <c r="B71">
        <v>54</v>
      </c>
      <c r="C71" t="s">
        <v>72</v>
      </c>
      <c r="D71">
        <v>2</v>
      </c>
      <c r="F71" s="2">
        <v>2</v>
      </c>
      <c r="G71">
        <f t="shared" si="7"/>
        <v>4</v>
      </c>
      <c r="H71">
        <f>COUNTIF(F71,"&gt;="&amp;M67)</f>
        <v>0</v>
      </c>
    </row>
    <row r="72" spans="1:25" x14ac:dyDescent="0.3">
      <c r="A72">
        <v>5</v>
      </c>
      <c r="B72">
        <v>57</v>
      </c>
      <c r="C72" t="s">
        <v>84</v>
      </c>
      <c r="D72">
        <v>1</v>
      </c>
      <c r="E72" t="s">
        <v>73</v>
      </c>
      <c r="F72" s="2">
        <v>8.4</v>
      </c>
      <c r="G72">
        <f t="shared" si="7"/>
        <v>8.4</v>
      </c>
      <c r="H72">
        <f>COUNTIF(F72,"&gt;="&amp;M67)</f>
        <v>1</v>
      </c>
    </row>
    <row r="73" spans="1:25" x14ac:dyDescent="0.3">
      <c r="A73">
        <v>6</v>
      </c>
      <c r="B73">
        <v>58</v>
      </c>
      <c r="C73" t="s">
        <v>48</v>
      </c>
      <c r="D73">
        <v>1</v>
      </c>
      <c r="E73" t="s">
        <v>74</v>
      </c>
      <c r="F73" s="2">
        <v>3</v>
      </c>
      <c r="G73">
        <f t="shared" si="7"/>
        <v>3</v>
      </c>
      <c r="H73">
        <f>COUNTIF(F73,"&gt;="&amp;M67)</f>
        <v>0</v>
      </c>
    </row>
    <row r="74" spans="1:25" x14ac:dyDescent="0.3">
      <c r="A74">
        <v>7</v>
      </c>
      <c r="B74">
        <v>59</v>
      </c>
      <c r="C74" t="s">
        <v>75</v>
      </c>
      <c r="D74">
        <v>1</v>
      </c>
      <c r="E74" s="2" t="s">
        <v>69</v>
      </c>
      <c r="F74" s="2">
        <v>1</v>
      </c>
      <c r="G74">
        <f t="shared" si="7"/>
        <v>1</v>
      </c>
      <c r="H74">
        <f>COUNTIF(F74,"&gt;="&amp;M67)</f>
        <v>0</v>
      </c>
    </row>
    <row r="75" spans="1:25" x14ac:dyDescent="0.3">
      <c r="A75">
        <v>8</v>
      </c>
      <c r="B75">
        <v>60</v>
      </c>
      <c r="C75" t="s">
        <v>76</v>
      </c>
      <c r="D75">
        <v>1</v>
      </c>
      <c r="E75">
        <v>872</v>
      </c>
      <c r="F75" s="2">
        <v>2</v>
      </c>
      <c r="G75">
        <f t="shared" si="7"/>
        <v>2</v>
      </c>
      <c r="H75">
        <f>COUNTIF(F75,"&gt;="&amp;M67)</f>
        <v>0</v>
      </c>
    </row>
    <row r="76" spans="1:25" x14ac:dyDescent="0.3">
      <c r="A76" s="3" t="s">
        <v>20</v>
      </c>
      <c r="D76">
        <f>SUM(D68:D75)</f>
        <v>10</v>
      </c>
      <c r="G76">
        <f>SUM(G68:G75)</f>
        <v>46.4</v>
      </c>
    </row>
    <row r="78" spans="1:25" x14ac:dyDescent="0.3">
      <c r="A78" t="s">
        <v>77</v>
      </c>
    </row>
    <row r="79" spans="1:25" ht="15" customHeight="1" x14ac:dyDescent="0.3">
      <c r="A79" t="s">
        <v>1</v>
      </c>
      <c r="B79" t="s">
        <v>2</v>
      </c>
      <c r="C79" t="s">
        <v>3</v>
      </c>
      <c r="D79" t="s">
        <v>6</v>
      </c>
      <c r="E79" t="s">
        <v>4</v>
      </c>
      <c r="F79" t="s">
        <v>5</v>
      </c>
      <c r="H79" t="s">
        <v>96</v>
      </c>
      <c r="I79" t="s">
        <v>90</v>
      </c>
      <c r="J79" t="s">
        <v>86</v>
      </c>
      <c r="K79" t="s">
        <v>97</v>
      </c>
      <c r="L79" t="s">
        <v>88</v>
      </c>
      <c r="M79" t="s">
        <v>89</v>
      </c>
      <c r="N79" t="s">
        <v>87</v>
      </c>
      <c r="O79" t="s">
        <v>92</v>
      </c>
      <c r="P79" t="s">
        <v>91</v>
      </c>
      <c r="Q79" t="s">
        <v>93</v>
      </c>
      <c r="R79" t="s">
        <v>94</v>
      </c>
      <c r="S79" t="s">
        <v>85</v>
      </c>
      <c r="T79" t="s">
        <v>95</v>
      </c>
      <c r="U79" t="s">
        <v>98</v>
      </c>
      <c r="V79" t="s">
        <v>99</v>
      </c>
      <c r="W79" t="s">
        <v>100</v>
      </c>
      <c r="X79" t="s">
        <v>101</v>
      </c>
      <c r="Y79" t="s">
        <v>102</v>
      </c>
    </row>
    <row r="80" spans="1:25" x14ac:dyDescent="0.3">
      <c r="F80" t="s">
        <v>7</v>
      </c>
      <c r="G80" t="s">
        <v>8</v>
      </c>
      <c r="I80">
        <f>D87</f>
        <v>8</v>
      </c>
      <c r="J80">
        <v>0.6</v>
      </c>
      <c r="K80">
        <v>0.2</v>
      </c>
      <c r="L80">
        <f>MAX(F81:F86)</f>
        <v>15</v>
      </c>
      <c r="M80">
        <f>L80/2</f>
        <v>7.5</v>
      </c>
      <c r="N80">
        <f>SUMPRODUCT(D81:D86,H81:H86)</f>
        <v>1</v>
      </c>
      <c r="O80">
        <f>SUMPRODUCT(G81:G88,H81:H88)</f>
        <v>15</v>
      </c>
      <c r="P80">
        <f>G87</f>
        <v>26</v>
      </c>
      <c r="Q80">
        <f>N80/I80</f>
        <v>0.125</v>
      </c>
      <c r="R80">
        <f>O80/P80</f>
        <v>0.57692307692307687</v>
      </c>
      <c r="S80">
        <v>0.37</v>
      </c>
      <c r="T80">
        <f>I80*S80</f>
        <v>2.96</v>
      </c>
      <c r="U80">
        <v>2.64</v>
      </c>
      <c r="V80">
        <f>0.9*P80</f>
        <v>23.400000000000002</v>
      </c>
      <c r="W80">
        <f>V80*4/3</f>
        <v>31.200000000000003</v>
      </c>
      <c r="X80">
        <f>V80/0.6</f>
        <v>39.000000000000007</v>
      </c>
      <c r="Y80">
        <f>X80/(SQRT(3)*0.38)</f>
        <v>59.254369732619502</v>
      </c>
    </row>
    <row r="81" spans="1:11" x14ac:dyDescent="0.3">
      <c r="A81">
        <v>1</v>
      </c>
      <c r="B81">
        <v>65</v>
      </c>
      <c r="C81" t="s">
        <v>78</v>
      </c>
      <c r="D81">
        <v>3</v>
      </c>
      <c r="F81">
        <v>1</v>
      </c>
      <c r="G81">
        <f>D81*F81</f>
        <v>3</v>
      </c>
      <c r="H81">
        <f>COUNTIF(F81,"&gt;="&amp;M80)</f>
        <v>0</v>
      </c>
    </row>
    <row r="82" spans="1:11" x14ac:dyDescent="0.3">
      <c r="A82">
        <v>2</v>
      </c>
      <c r="B82">
        <v>66</v>
      </c>
      <c r="C82" t="s">
        <v>79</v>
      </c>
      <c r="D82">
        <v>1</v>
      </c>
      <c r="F82">
        <v>1</v>
      </c>
      <c r="G82">
        <f t="shared" ref="G82:G86" si="8">D82*F82</f>
        <v>1</v>
      </c>
      <c r="H82">
        <f>COUNTIF(F82,"&gt;="&amp;M80)</f>
        <v>0</v>
      </c>
    </row>
    <row r="83" spans="1:11" x14ac:dyDescent="0.3">
      <c r="A83">
        <v>3</v>
      </c>
      <c r="B83">
        <v>67</v>
      </c>
      <c r="C83" t="s">
        <v>80</v>
      </c>
      <c r="D83">
        <v>1</v>
      </c>
      <c r="F83">
        <v>15</v>
      </c>
      <c r="G83">
        <f t="shared" si="8"/>
        <v>15</v>
      </c>
      <c r="H83">
        <f>COUNTIF(F83,"&gt;="&amp;M80)</f>
        <v>1</v>
      </c>
    </row>
    <row r="84" spans="1:11" x14ac:dyDescent="0.3">
      <c r="A84">
        <v>4</v>
      </c>
      <c r="B84">
        <v>68</v>
      </c>
      <c r="C84" t="s">
        <v>81</v>
      </c>
      <c r="D84">
        <v>1</v>
      </c>
      <c r="F84">
        <v>4</v>
      </c>
      <c r="G84">
        <f t="shared" si="8"/>
        <v>4</v>
      </c>
      <c r="H84">
        <f>COUNTIF(F84,"&gt;="&amp;M80)</f>
        <v>0</v>
      </c>
    </row>
    <row r="85" spans="1:11" x14ac:dyDescent="0.3">
      <c r="A85">
        <v>5</v>
      </c>
      <c r="B85">
        <v>69</v>
      </c>
      <c r="C85" t="s">
        <v>82</v>
      </c>
      <c r="D85">
        <v>1</v>
      </c>
      <c r="F85">
        <v>2</v>
      </c>
      <c r="G85">
        <f t="shared" si="8"/>
        <v>2</v>
      </c>
      <c r="H85">
        <f>COUNTIF(F85,"&gt;="&amp;M80)</f>
        <v>0</v>
      </c>
    </row>
    <row r="86" spans="1:11" x14ac:dyDescent="0.3">
      <c r="A86">
        <v>6</v>
      </c>
      <c r="B86">
        <v>70</v>
      </c>
      <c r="C86" t="s">
        <v>83</v>
      </c>
      <c r="D86">
        <v>1</v>
      </c>
      <c r="E86" t="s">
        <v>45</v>
      </c>
      <c r="F86">
        <v>1</v>
      </c>
      <c r="G86">
        <f t="shared" si="8"/>
        <v>1</v>
      </c>
      <c r="H86">
        <f>COUNTIF(F86,"&gt;="&amp;M80)</f>
        <v>0</v>
      </c>
    </row>
    <row r="87" spans="1:11" x14ac:dyDescent="0.3">
      <c r="A87" s="3" t="s">
        <v>20</v>
      </c>
      <c r="D87">
        <f>SUM(D81:D86)</f>
        <v>8</v>
      </c>
      <c r="G87">
        <f>SUM(G81:G86)</f>
        <v>26</v>
      </c>
    </row>
    <row r="89" spans="1:11" x14ac:dyDescent="0.3">
      <c r="A89" t="s">
        <v>103</v>
      </c>
    </row>
    <row r="90" spans="1:11" x14ac:dyDescent="0.3">
      <c r="A90" t="s">
        <v>104</v>
      </c>
      <c r="B90" t="s">
        <v>107</v>
      </c>
      <c r="C90" t="s">
        <v>90</v>
      </c>
      <c r="D90" t="s">
        <v>97</v>
      </c>
      <c r="E90" t="s">
        <v>86</v>
      </c>
      <c r="F90" t="s">
        <v>95</v>
      </c>
      <c r="G90" t="s">
        <v>98</v>
      </c>
      <c r="H90" t="s">
        <v>105</v>
      </c>
      <c r="I90" t="s">
        <v>106</v>
      </c>
      <c r="J90" t="s">
        <v>101</v>
      </c>
      <c r="K90" t="s">
        <v>102</v>
      </c>
    </row>
    <row r="91" spans="1:11" x14ac:dyDescent="0.3">
      <c r="A91">
        <v>1</v>
      </c>
      <c r="B91">
        <f>G11</f>
        <v>70</v>
      </c>
      <c r="C91">
        <f>D11</f>
        <v>12</v>
      </c>
      <c r="D91">
        <v>0.2</v>
      </c>
      <c r="E91">
        <v>0.6</v>
      </c>
      <c r="F91">
        <f t="shared" ref="F91:K91" si="9">T3</f>
        <v>8.0400000000000009</v>
      </c>
      <c r="G91">
        <f t="shared" si="9"/>
        <v>1.99</v>
      </c>
      <c r="H91">
        <f t="shared" si="9"/>
        <v>27.860000000000003</v>
      </c>
      <c r="I91">
        <f t="shared" si="9"/>
        <v>37.146666666666668</v>
      </c>
      <c r="J91">
        <f t="shared" si="9"/>
        <v>46.433333333333337</v>
      </c>
      <c r="K91">
        <f t="shared" si="9"/>
        <v>70.548151314135865</v>
      </c>
    </row>
    <row r="92" spans="1:11" x14ac:dyDescent="0.3">
      <c r="A92">
        <v>2</v>
      </c>
      <c r="B92">
        <f>G25</f>
        <v>72</v>
      </c>
      <c r="C92">
        <f>D25</f>
        <v>11</v>
      </c>
      <c r="D92">
        <v>0.2</v>
      </c>
      <c r="E92">
        <v>0.6</v>
      </c>
      <c r="F92">
        <f t="shared" ref="F92:K92" si="10">T15</f>
        <v>7.6999999999999993</v>
      </c>
      <c r="G92">
        <f t="shared" si="10"/>
        <v>1.99</v>
      </c>
      <c r="H92">
        <f t="shared" si="10"/>
        <v>28.656000000000002</v>
      </c>
      <c r="I92">
        <f t="shared" si="10"/>
        <v>38.208000000000006</v>
      </c>
      <c r="J92">
        <f t="shared" si="10"/>
        <v>47.760000000000005</v>
      </c>
      <c r="K92">
        <f t="shared" si="10"/>
        <v>72.563812780254025</v>
      </c>
    </row>
    <row r="93" spans="1:11" x14ac:dyDescent="0.3">
      <c r="A93">
        <v>3</v>
      </c>
      <c r="B93">
        <f>G41</f>
        <v>73</v>
      </c>
      <c r="C93">
        <f>D41</f>
        <v>16</v>
      </c>
      <c r="D93">
        <v>0.2</v>
      </c>
      <c r="E93">
        <v>0.6</v>
      </c>
      <c r="F93">
        <f t="shared" ref="F93:K93" si="11">T29</f>
        <v>11.2</v>
      </c>
      <c r="G93">
        <f t="shared" si="11"/>
        <v>1.75</v>
      </c>
      <c r="H93">
        <f t="shared" si="11"/>
        <v>25.55</v>
      </c>
      <c r="I93">
        <f t="shared" si="11"/>
        <v>34.06666666666667</v>
      </c>
      <c r="J93">
        <f t="shared" si="11"/>
        <v>42.583333333333336</v>
      </c>
      <c r="K93">
        <f t="shared" si="11"/>
        <v>64.698681481556761</v>
      </c>
    </row>
    <row r="94" spans="1:11" x14ac:dyDescent="0.3">
      <c r="A94">
        <v>4</v>
      </c>
      <c r="B94">
        <f>G50</f>
        <v>95</v>
      </c>
      <c r="C94">
        <f>D50</f>
        <v>4</v>
      </c>
      <c r="D94">
        <v>0.2</v>
      </c>
      <c r="E94">
        <v>0.6</v>
      </c>
      <c r="F94">
        <f t="shared" ref="F94:K94" si="12">T45</f>
        <v>3.4</v>
      </c>
      <c r="G94">
        <f t="shared" si="12"/>
        <v>2.64</v>
      </c>
      <c r="H94">
        <f t="shared" si="12"/>
        <v>85.5</v>
      </c>
      <c r="I94">
        <f t="shared" si="12"/>
        <v>114</v>
      </c>
      <c r="J94">
        <f t="shared" si="12"/>
        <v>142.5</v>
      </c>
      <c r="K94">
        <f t="shared" si="12"/>
        <v>216.50635094610968</v>
      </c>
    </row>
    <row r="95" spans="1:11" x14ac:dyDescent="0.3">
      <c r="A95">
        <v>5</v>
      </c>
      <c r="B95">
        <f>G63</f>
        <v>51</v>
      </c>
      <c r="C95">
        <f>D63</f>
        <v>9</v>
      </c>
      <c r="D95">
        <v>0.2</v>
      </c>
      <c r="E95">
        <v>0.6</v>
      </c>
      <c r="F95">
        <f t="shared" ref="F95:K95" si="13">T54</f>
        <v>7.38</v>
      </c>
      <c r="G95">
        <f t="shared" si="13"/>
        <v>2.1</v>
      </c>
      <c r="H95">
        <f t="shared" si="13"/>
        <v>21.42</v>
      </c>
      <c r="I95">
        <f t="shared" si="13"/>
        <v>28.560000000000002</v>
      </c>
      <c r="J95">
        <f t="shared" si="13"/>
        <v>35.700000000000003</v>
      </c>
      <c r="K95">
        <f t="shared" si="13"/>
        <v>54.240538447551693</v>
      </c>
    </row>
    <row r="96" spans="1:11" x14ac:dyDescent="0.3">
      <c r="A96">
        <v>6</v>
      </c>
      <c r="B96">
        <f>G76</f>
        <v>46.4</v>
      </c>
      <c r="C96">
        <f>D76</f>
        <v>10</v>
      </c>
      <c r="D96">
        <v>0.2</v>
      </c>
      <c r="E96">
        <v>0.6</v>
      </c>
      <c r="F96">
        <f t="shared" ref="F96:K96" si="14">T67</f>
        <v>6.3</v>
      </c>
      <c r="G96">
        <f t="shared" si="14"/>
        <v>2.2400000000000002</v>
      </c>
      <c r="H96">
        <f t="shared" si="14"/>
        <v>20.787200000000002</v>
      </c>
      <c r="I96">
        <f t="shared" si="14"/>
        <v>27.716266666666669</v>
      </c>
      <c r="J96">
        <f t="shared" si="14"/>
        <v>34.64533333333334</v>
      </c>
      <c r="K96">
        <f t="shared" si="14"/>
        <v>52.638138226748211</v>
      </c>
    </row>
    <row r="97" spans="1:13" x14ac:dyDescent="0.3">
      <c r="A97">
        <v>7</v>
      </c>
      <c r="B97">
        <f>G87</f>
        <v>26</v>
      </c>
      <c r="C97">
        <f>D87</f>
        <v>8</v>
      </c>
      <c r="D97">
        <v>0.2</v>
      </c>
      <c r="E97">
        <v>0.6</v>
      </c>
      <c r="F97">
        <f t="shared" ref="F97:K97" si="15">T80</f>
        <v>2.96</v>
      </c>
      <c r="G97">
        <f t="shared" si="15"/>
        <v>2.64</v>
      </c>
      <c r="H97">
        <f>V80</f>
        <v>23.400000000000002</v>
      </c>
      <c r="I97">
        <f t="shared" si="15"/>
        <v>31.200000000000003</v>
      </c>
      <c r="J97">
        <f t="shared" si="15"/>
        <v>39.000000000000007</v>
      </c>
      <c r="K97">
        <f t="shared" si="15"/>
        <v>59.254369732619502</v>
      </c>
    </row>
    <row r="98" spans="1:13" x14ac:dyDescent="0.3">
      <c r="A98" t="s">
        <v>20</v>
      </c>
      <c r="B98">
        <f>SUM(B91:B97)</f>
        <v>433.4</v>
      </c>
      <c r="C98">
        <f t="shared" ref="C98:K98" si="16">SUM(C91:C97)</f>
        <v>70</v>
      </c>
      <c r="D98">
        <f t="shared" si="16"/>
        <v>1.4</v>
      </c>
      <c r="E98">
        <f t="shared" si="16"/>
        <v>4.2</v>
      </c>
      <c r="F98">
        <f t="shared" si="16"/>
        <v>46.98</v>
      </c>
      <c r="G98">
        <f t="shared" si="16"/>
        <v>15.350000000000001</v>
      </c>
      <c r="H98">
        <f t="shared" si="16"/>
        <v>233.17320000000001</v>
      </c>
      <c r="I98">
        <f t="shared" si="16"/>
        <v>310.89760000000001</v>
      </c>
      <c r="J98">
        <f t="shared" si="16"/>
        <v>388.62199999999996</v>
      </c>
      <c r="K98">
        <f t="shared" si="16"/>
        <v>590.45004292897568</v>
      </c>
    </row>
    <row r="100" spans="1:13" x14ac:dyDescent="0.3">
      <c r="A100" t="s">
        <v>108</v>
      </c>
      <c r="B100">
        <v>0.8</v>
      </c>
    </row>
    <row r="101" spans="1:13" x14ac:dyDescent="0.3">
      <c r="A101" t="s">
        <v>109</v>
      </c>
      <c r="B101">
        <f>B100*H98</f>
        <v>186.53856000000002</v>
      </c>
    </row>
    <row r="102" spans="1:13" x14ac:dyDescent="0.3">
      <c r="A102" t="s">
        <v>110</v>
      </c>
      <c r="B102">
        <f>B100*I98</f>
        <v>248.71808000000001</v>
      </c>
    </row>
    <row r="104" spans="1:13" x14ac:dyDescent="0.3">
      <c r="A104" t="s">
        <v>111</v>
      </c>
    </row>
    <row r="106" spans="1:13" x14ac:dyDescent="0.3">
      <c r="A106" t="s">
        <v>112</v>
      </c>
      <c r="B106" t="s">
        <v>113</v>
      </c>
      <c r="C106" t="s">
        <v>124</v>
      </c>
      <c r="D106" t="s">
        <v>127</v>
      </c>
      <c r="E106" t="s">
        <v>130</v>
      </c>
      <c r="F106" t="s">
        <v>131</v>
      </c>
      <c r="G106" t="s">
        <v>132</v>
      </c>
      <c r="H106" t="s">
        <v>133</v>
      </c>
      <c r="I106" t="s">
        <v>134</v>
      </c>
      <c r="J106" t="s">
        <v>135</v>
      </c>
      <c r="K106" t="s">
        <v>138</v>
      </c>
      <c r="L106" t="s">
        <v>136</v>
      </c>
      <c r="M106" t="s">
        <v>137</v>
      </c>
    </row>
    <row r="107" spans="1:13" x14ac:dyDescent="0.3">
      <c r="A107">
        <v>1</v>
      </c>
      <c r="B107" t="s">
        <v>114</v>
      </c>
      <c r="C107">
        <v>4000</v>
      </c>
      <c r="D107" t="s">
        <v>128</v>
      </c>
      <c r="E107">
        <v>5224.5</v>
      </c>
      <c r="F107">
        <v>0.65</v>
      </c>
      <c r="G107">
        <v>0.8</v>
      </c>
      <c r="H107">
        <f>F107*C107</f>
        <v>2600</v>
      </c>
      <c r="I107">
        <v>15</v>
      </c>
      <c r="J107">
        <f>I107*E107/1000</f>
        <v>78.367500000000007</v>
      </c>
      <c r="K107">
        <f>H107+J107</f>
        <v>2678.3674999999998</v>
      </c>
      <c r="L107">
        <f t="shared" ref="L107:L112" si="17">H107*SQRT(1-(G107^2))/G107</f>
        <v>1949.9999999999993</v>
      </c>
      <c r="M107">
        <f t="shared" ref="M107:M115" si="18">SQRT((H107+J107)^2+(L107^2))</f>
        <v>3313.0276885435542</v>
      </c>
    </row>
    <row r="108" spans="1:13" x14ac:dyDescent="0.3">
      <c r="A108">
        <v>2</v>
      </c>
      <c r="B108" t="s">
        <v>115</v>
      </c>
      <c r="C108">
        <v>3500</v>
      </c>
      <c r="D108" t="s">
        <v>128</v>
      </c>
      <c r="E108">
        <v>3645</v>
      </c>
      <c r="F108">
        <v>0.65</v>
      </c>
      <c r="G108">
        <v>0.8</v>
      </c>
      <c r="H108">
        <f t="shared" ref="H108:H112" si="19">F108*C108</f>
        <v>2275</v>
      </c>
      <c r="I108">
        <v>15</v>
      </c>
      <c r="J108">
        <f t="shared" ref="J108:J115" si="20">I108*E108/1000</f>
        <v>54.674999999999997</v>
      </c>
      <c r="K108">
        <f t="shared" ref="K108:K115" si="21">H108+J108</f>
        <v>2329.6750000000002</v>
      </c>
      <c r="L108">
        <f t="shared" si="17"/>
        <v>1706.2499999999995</v>
      </c>
      <c r="M108">
        <f t="shared" si="18"/>
        <v>2887.6763440740724</v>
      </c>
    </row>
    <row r="109" spans="1:13" x14ac:dyDescent="0.3">
      <c r="A109">
        <v>3</v>
      </c>
      <c r="B109" t="s">
        <v>116</v>
      </c>
      <c r="C109">
        <v>2000</v>
      </c>
      <c r="D109" t="s">
        <v>128</v>
      </c>
      <c r="E109">
        <v>1640.25</v>
      </c>
      <c r="F109">
        <v>0.65</v>
      </c>
      <c r="G109">
        <v>0.8</v>
      </c>
      <c r="H109">
        <f t="shared" si="19"/>
        <v>1300</v>
      </c>
      <c r="I109">
        <v>15</v>
      </c>
      <c r="J109">
        <f t="shared" si="20"/>
        <v>24.603750000000002</v>
      </c>
      <c r="K109">
        <f t="shared" si="21"/>
        <v>1324.60375</v>
      </c>
      <c r="L109">
        <f t="shared" si="17"/>
        <v>974.99999999999966</v>
      </c>
      <c r="M109">
        <f t="shared" si="18"/>
        <v>1644.7492497381056</v>
      </c>
    </row>
    <row r="110" spans="1:13" x14ac:dyDescent="0.3">
      <c r="A110">
        <v>4</v>
      </c>
      <c r="B110" t="s">
        <v>117</v>
      </c>
      <c r="C110">
        <v>2800</v>
      </c>
      <c r="D110" t="s">
        <v>128</v>
      </c>
      <c r="E110">
        <v>4839.75</v>
      </c>
      <c r="F110">
        <v>0.65</v>
      </c>
      <c r="G110">
        <v>0.8</v>
      </c>
      <c r="H110">
        <f t="shared" si="19"/>
        <v>1820</v>
      </c>
      <c r="I110">
        <v>15</v>
      </c>
      <c r="J110">
        <f t="shared" si="20"/>
        <v>72.596249999999998</v>
      </c>
      <c r="K110">
        <f t="shared" si="21"/>
        <v>1892.5962500000001</v>
      </c>
      <c r="L110">
        <f t="shared" si="17"/>
        <v>1364.9999999999995</v>
      </c>
      <c r="M110">
        <f t="shared" si="18"/>
        <v>2333.4835687259642</v>
      </c>
    </row>
    <row r="111" spans="1:13" x14ac:dyDescent="0.3">
      <c r="A111">
        <v>5</v>
      </c>
      <c r="B111" t="s">
        <v>118</v>
      </c>
      <c r="C111">
        <v>3000</v>
      </c>
      <c r="D111" t="s">
        <v>128</v>
      </c>
      <c r="E111">
        <v>1913.625</v>
      </c>
      <c r="F111">
        <v>0.65</v>
      </c>
      <c r="G111">
        <v>0.8</v>
      </c>
      <c r="H111">
        <f t="shared" si="19"/>
        <v>1950</v>
      </c>
      <c r="I111">
        <v>15</v>
      </c>
      <c r="J111">
        <f t="shared" si="20"/>
        <v>28.704374999999999</v>
      </c>
      <c r="K111">
        <f t="shared" si="21"/>
        <v>1978.704375</v>
      </c>
      <c r="L111">
        <f t="shared" si="17"/>
        <v>1462.4999999999995</v>
      </c>
      <c r="M111">
        <f t="shared" si="18"/>
        <v>2460.5237762810057</v>
      </c>
    </row>
    <row r="112" spans="1:13" x14ac:dyDescent="0.3">
      <c r="A112">
        <v>6</v>
      </c>
      <c r="B112" t="s">
        <v>119</v>
      </c>
      <c r="C112">
        <v>2500</v>
      </c>
      <c r="D112" t="s">
        <v>128</v>
      </c>
      <c r="E112">
        <v>5001.75</v>
      </c>
      <c r="F112">
        <v>0.65</v>
      </c>
      <c r="G112">
        <v>0.8</v>
      </c>
      <c r="H112">
        <f t="shared" si="19"/>
        <v>1625</v>
      </c>
      <c r="I112">
        <v>12</v>
      </c>
      <c r="J112">
        <f t="shared" si="20"/>
        <v>60.021000000000001</v>
      </c>
      <c r="K112">
        <f t="shared" si="21"/>
        <v>1685.021</v>
      </c>
      <c r="L112">
        <f t="shared" si="17"/>
        <v>1218.7499999999995</v>
      </c>
      <c r="M112">
        <f t="shared" si="18"/>
        <v>2079.5786431248516</v>
      </c>
    </row>
    <row r="113" spans="1:13" x14ac:dyDescent="0.3">
      <c r="A113">
        <v>7</v>
      </c>
      <c r="B113" t="s">
        <v>120</v>
      </c>
      <c r="C113" t="s">
        <v>125</v>
      </c>
      <c r="D113" t="s">
        <v>129</v>
      </c>
      <c r="E113">
        <v>1255.5</v>
      </c>
      <c r="G113">
        <v>0.63700000000000001</v>
      </c>
      <c r="H113">
        <f>B101</f>
        <v>186.53856000000002</v>
      </c>
      <c r="I113">
        <v>15</v>
      </c>
      <c r="J113">
        <f t="shared" si="20"/>
        <v>18.8325</v>
      </c>
      <c r="K113">
        <f t="shared" si="21"/>
        <v>205.37106000000003</v>
      </c>
      <c r="L113">
        <f>B102</f>
        <v>248.71808000000001</v>
      </c>
      <c r="M113">
        <f t="shared" si="18"/>
        <v>322.54915223018338</v>
      </c>
    </row>
    <row r="114" spans="1:13" x14ac:dyDescent="0.3">
      <c r="A114">
        <v>8</v>
      </c>
      <c r="B114" t="s">
        <v>121</v>
      </c>
      <c r="C114">
        <v>1000</v>
      </c>
      <c r="D114" t="s">
        <v>128</v>
      </c>
      <c r="E114">
        <v>1549.125</v>
      </c>
      <c r="F114">
        <v>0.8</v>
      </c>
      <c r="G114">
        <v>0.7</v>
      </c>
      <c r="H114">
        <f>C114*F114</f>
        <v>800</v>
      </c>
      <c r="I114">
        <v>12</v>
      </c>
      <c r="J114">
        <f t="shared" si="20"/>
        <v>18.589500000000001</v>
      </c>
      <c r="K114">
        <f t="shared" si="21"/>
        <v>818.58950000000004</v>
      </c>
      <c r="L114">
        <f>H114*SQRT(1-(G114^2))/G114</f>
        <v>816.16324897632569</v>
      </c>
      <c r="M114">
        <f t="shared" si="18"/>
        <v>1155.9460274986207</v>
      </c>
    </row>
    <row r="115" spans="1:13" x14ac:dyDescent="0.3">
      <c r="A115">
        <v>9</v>
      </c>
      <c r="B115" t="s">
        <v>122</v>
      </c>
      <c r="C115">
        <v>320</v>
      </c>
      <c r="D115" t="s">
        <v>129</v>
      </c>
      <c r="E115">
        <v>2754</v>
      </c>
      <c r="F115">
        <v>0.8</v>
      </c>
      <c r="G115">
        <v>0.9</v>
      </c>
      <c r="H115">
        <f>C115*F115</f>
        <v>256</v>
      </c>
      <c r="I115">
        <v>20</v>
      </c>
      <c r="J115">
        <f t="shared" si="20"/>
        <v>55.08</v>
      </c>
      <c r="K115">
        <f t="shared" si="21"/>
        <v>311.08</v>
      </c>
      <c r="L115">
        <f>H115*SQRT(1-(G115^2))/G115</f>
        <v>123.98645883849025</v>
      </c>
      <c r="M115">
        <f t="shared" si="18"/>
        <v>334.87819931328562</v>
      </c>
    </row>
    <row r="116" spans="1:13" x14ac:dyDescent="0.3">
      <c r="A116">
        <v>10</v>
      </c>
      <c r="B116" t="s">
        <v>123</v>
      </c>
      <c r="C116" t="s">
        <v>126</v>
      </c>
      <c r="H116">
        <f>SUM(H107:H115)</f>
        <v>12812.538560000001</v>
      </c>
      <c r="J116">
        <f t="shared" ref="J116:M116" si="22">SUM(J107:J115)</f>
        <v>411.46987499999994</v>
      </c>
      <c r="K116">
        <f t="shared" si="22"/>
        <v>13224.008435</v>
      </c>
      <c r="L116">
        <f t="shared" si="22"/>
        <v>9866.3677878148137</v>
      </c>
      <c r="M116">
        <f t="shared" si="22"/>
        <v>16532.412649529648</v>
      </c>
    </row>
    <row r="119" spans="1:13" ht="27" customHeight="1" x14ac:dyDescent="0.3">
      <c r="A119" t="s">
        <v>112</v>
      </c>
      <c r="B119" t="s">
        <v>113</v>
      </c>
      <c r="C119" t="s">
        <v>133</v>
      </c>
      <c r="D119" t="s">
        <v>135</v>
      </c>
      <c r="E119" t="s">
        <v>138</v>
      </c>
      <c r="F119" t="s">
        <v>137</v>
      </c>
      <c r="G119" t="s">
        <v>139</v>
      </c>
      <c r="H119" t="s">
        <v>140</v>
      </c>
      <c r="I119" t="s">
        <v>141</v>
      </c>
      <c r="J119" t="s">
        <v>142</v>
      </c>
    </row>
    <row r="120" spans="1:13" x14ac:dyDescent="0.3">
      <c r="A120">
        <v>1</v>
      </c>
      <c r="B120" t="s">
        <v>114</v>
      </c>
      <c r="C120" s="4">
        <f>H107</f>
        <v>2600</v>
      </c>
      <c r="D120" s="4">
        <f>J107</f>
        <v>78.367500000000007</v>
      </c>
      <c r="E120" s="4">
        <f>K107</f>
        <v>2678.3674999999998</v>
      </c>
      <c r="F120" s="4">
        <f>M107</f>
        <v>3313.0276885435542</v>
      </c>
      <c r="G120">
        <v>110</v>
      </c>
      <c r="H120">
        <v>44</v>
      </c>
      <c r="I120" s="4">
        <f>SQRT(F120/(3.14*4))</f>
        <v>16.241184989162392</v>
      </c>
      <c r="J120" s="4">
        <f>360*D120/E120</f>
        <v>10.533393942392149</v>
      </c>
    </row>
    <row r="121" spans="1:13" x14ac:dyDescent="0.3">
      <c r="A121">
        <v>2</v>
      </c>
      <c r="B121" t="s">
        <v>115</v>
      </c>
      <c r="C121" s="4">
        <f t="shared" ref="C121:C128" si="23">H108</f>
        <v>2275</v>
      </c>
      <c r="D121" s="4">
        <f t="shared" ref="D121:D128" si="24">J108</f>
        <v>54.674999999999997</v>
      </c>
      <c r="E121" s="4">
        <f t="shared" ref="E121:E128" si="25">K108</f>
        <v>2329.6750000000002</v>
      </c>
      <c r="F121" s="4">
        <f t="shared" ref="F121:F128" si="26">M108</f>
        <v>2887.6763440740724</v>
      </c>
      <c r="G121">
        <v>106</v>
      </c>
      <c r="H121">
        <v>17</v>
      </c>
      <c r="I121" s="4">
        <f t="shared" ref="I121:I128" si="27">SQRT(F121/(3.14*4))</f>
        <v>15.162801091769706</v>
      </c>
      <c r="J121" s="4">
        <f t="shared" ref="J121:J128" si="28">360*D121/E121</f>
        <v>8.4488179681715252</v>
      </c>
    </row>
    <row r="122" spans="1:13" x14ac:dyDescent="0.3">
      <c r="A122">
        <v>3</v>
      </c>
      <c r="B122" t="s">
        <v>116</v>
      </c>
      <c r="C122" s="4">
        <f t="shared" si="23"/>
        <v>1300</v>
      </c>
      <c r="D122" s="4">
        <f t="shared" si="24"/>
        <v>24.603750000000002</v>
      </c>
      <c r="E122" s="4">
        <f t="shared" si="25"/>
        <v>1324.60375</v>
      </c>
      <c r="F122" s="4">
        <f t="shared" si="26"/>
        <v>1644.7492497381056</v>
      </c>
      <c r="G122">
        <v>66</v>
      </c>
      <c r="H122">
        <v>22</v>
      </c>
      <c r="I122" s="4">
        <f t="shared" si="27"/>
        <v>11.443398681632649</v>
      </c>
      <c r="J122" s="4">
        <f t="shared" si="28"/>
        <v>6.6867921821903344</v>
      </c>
    </row>
    <row r="123" spans="1:13" x14ac:dyDescent="0.3">
      <c r="A123">
        <v>4</v>
      </c>
      <c r="B123" t="s">
        <v>117</v>
      </c>
      <c r="C123" s="4">
        <f t="shared" si="23"/>
        <v>1820</v>
      </c>
      <c r="D123" s="4">
        <f t="shared" si="24"/>
        <v>72.596249999999998</v>
      </c>
      <c r="E123" s="4">
        <f t="shared" si="25"/>
        <v>1892.5962500000001</v>
      </c>
      <c r="F123" s="4">
        <f t="shared" si="26"/>
        <v>2333.4835687259642</v>
      </c>
      <c r="G123">
        <v>62</v>
      </c>
      <c r="H123">
        <v>38</v>
      </c>
      <c r="I123" s="4">
        <f t="shared" si="27"/>
        <v>13.630367138784431</v>
      </c>
      <c r="J123" s="4">
        <f t="shared" si="28"/>
        <v>13.808888187324685</v>
      </c>
    </row>
    <row r="124" spans="1:13" x14ac:dyDescent="0.3">
      <c r="A124">
        <v>5</v>
      </c>
      <c r="B124" t="s">
        <v>118</v>
      </c>
      <c r="C124" s="4">
        <f t="shared" si="23"/>
        <v>1950</v>
      </c>
      <c r="D124" s="4">
        <f t="shared" si="24"/>
        <v>28.704374999999999</v>
      </c>
      <c r="E124" s="4">
        <f t="shared" si="25"/>
        <v>1978.704375</v>
      </c>
      <c r="F124" s="4">
        <f t="shared" si="26"/>
        <v>2460.5237762810057</v>
      </c>
      <c r="G124">
        <v>26</v>
      </c>
      <c r="H124">
        <v>39</v>
      </c>
      <c r="I124" s="4">
        <f t="shared" si="27"/>
        <v>13.99648436374885</v>
      </c>
      <c r="J124" s="4">
        <f t="shared" si="28"/>
        <v>5.22239457827044</v>
      </c>
    </row>
    <row r="125" spans="1:13" x14ac:dyDescent="0.3">
      <c r="A125">
        <v>6</v>
      </c>
      <c r="B125" t="s">
        <v>119</v>
      </c>
      <c r="C125" s="4">
        <f t="shared" si="23"/>
        <v>1625</v>
      </c>
      <c r="D125" s="4">
        <f t="shared" si="24"/>
        <v>60.021000000000001</v>
      </c>
      <c r="E125" s="4">
        <f t="shared" si="25"/>
        <v>1685.021</v>
      </c>
      <c r="F125" s="4">
        <f t="shared" si="26"/>
        <v>2079.5786431248516</v>
      </c>
      <c r="G125">
        <v>63</v>
      </c>
      <c r="H125">
        <v>64</v>
      </c>
      <c r="I125" s="4">
        <f t="shared" si="27"/>
        <v>12.867460822535833</v>
      </c>
      <c r="J125" s="4">
        <f t="shared" si="28"/>
        <v>12.823317928975367</v>
      </c>
    </row>
    <row r="126" spans="1:13" x14ac:dyDescent="0.3">
      <c r="A126">
        <v>7</v>
      </c>
      <c r="B126" t="s">
        <v>120</v>
      </c>
      <c r="C126" s="4">
        <f t="shared" si="23"/>
        <v>186.53856000000002</v>
      </c>
      <c r="D126" s="4">
        <f t="shared" si="24"/>
        <v>18.8325</v>
      </c>
      <c r="E126" s="4">
        <f t="shared" si="25"/>
        <v>205.37106000000003</v>
      </c>
      <c r="F126" s="4">
        <f t="shared" si="26"/>
        <v>322.54915223018338</v>
      </c>
      <c r="G126">
        <v>22</v>
      </c>
      <c r="H126">
        <v>53</v>
      </c>
      <c r="I126" s="4">
        <f t="shared" si="27"/>
        <v>5.0676093956104751</v>
      </c>
      <c r="J126" s="4">
        <f t="shared" si="28"/>
        <v>33.011954069867485</v>
      </c>
    </row>
    <row r="127" spans="1:13" x14ac:dyDescent="0.3">
      <c r="A127">
        <v>8</v>
      </c>
      <c r="B127" t="s">
        <v>121</v>
      </c>
      <c r="C127" s="4">
        <f t="shared" si="23"/>
        <v>800</v>
      </c>
      <c r="D127" s="4">
        <f t="shared" si="24"/>
        <v>18.589500000000001</v>
      </c>
      <c r="E127" s="4">
        <f t="shared" si="25"/>
        <v>818.58950000000004</v>
      </c>
      <c r="F127" s="4">
        <f t="shared" si="26"/>
        <v>1155.9460274986207</v>
      </c>
      <c r="G127">
        <v>112</v>
      </c>
      <c r="H127">
        <v>67</v>
      </c>
      <c r="I127" s="4">
        <f t="shared" si="27"/>
        <v>9.5934310539469063</v>
      </c>
      <c r="J127" s="4">
        <f t="shared" si="28"/>
        <v>8.1753064264811606</v>
      </c>
    </row>
    <row r="128" spans="1:13" x14ac:dyDescent="0.3">
      <c r="A128">
        <v>9</v>
      </c>
      <c r="B128" t="s">
        <v>122</v>
      </c>
      <c r="C128" s="4">
        <f t="shared" si="23"/>
        <v>256</v>
      </c>
      <c r="D128" s="4">
        <f t="shared" si="24"/>
        <v>55.08</v>
      </c>
      <c r="E128" s="4">
        <f t="shared" si="25"/>
        <v>311.08</v>
      </c>
      <c r="F128" s="4">
        <f t="shared" si="26"/>
        <v>334.87819931328562</v>
      </c>
      <c r="G128">
        <v>32</v>
      </c>
      <c r="H128">
        <v>10</v>
      </c>
      <c r="I128" s="4">
        <f t="shared" si="27"/>
        <v>5.1635527512933361</v>
      </c>
      <c r="J128" s="4">
        <f t="shared" si="28"/>
        <v>63.741802751703744</v>
      </c>
    </row>
    <row r="129" spans="2:18" x14ac:dyDescent="0.3">
      <c r="B129" t="s">
        <v>145</v>
      </c>
    </row>
    <row r="130" spans="2:18" x14ac:dyDescent="0.3">
      <c r="B130" t="s">
        <v>143</v>
      </c>
      <c r="C130" s="4">
        <f>SUMPRODUCT(G120:G128,F120:F128)/SUM(F120:F128)</f>
        <v>76.578138248835259</v>
      </c>
    </row>
    <row r="131" spans="2:18" x14ac:dyDescent="0.3">
      <c r="B131" t="s">
        <v>144</v>
      </c>
      <c r="C131">
        <f>SUMPRODUCT(F120:F128,H120:H128)/SUM(F120:F128)</f>
        <v>39.115059628522417</v>
      </c>
    </row>
    <row r="133" spans="2:18" x14ac:dyDescent="0.3">
      <c r="C133" s="8" t="s">
        <v>147</v>
      </c>
      <c r="L133" s="8" t="s">
        <v>158</v>
      </c>
    </row>
    <row r="134" spans="2:18" ht="16.2" customHeight="1" x14ac:dyDescent="0.3"/>
    <row r="135" spans="2:18" x14ac:dyDescent="0.3">
      <c r="C135" t="s">
        <v>154</v>
      </c>
      <c r="D135" t="s">
        <v>138</v>
      </c>
      <c r="E135" t="s">
        <v>136</v>
      </c>
      <c r="F135" t="s">
        <v>137</v>
      </c>
      <c r="G135" t="s">
        <v>155</v>
      </c>
      <c r="H135" t="s">
        <v>156</v>
      </c>
      <c r="I135" t="s">
        <v>157</v>
      </c>
      <c r="L135" t="s">
        <v>154</v>
      </c>
      <c r="M135" t="s">
        <v>138</v>
      </c>
      <c r="N135" t="s">
        <v>136</v>
      </c>
      <c r="O135" t="s">
        <v>137</v>
      </c>
      <c r="P135" t="s">
        <v>155</v>
      </c>
      <c r="Q135" t="s">
        <v>156</v>
      </c>
      <c r="R135" t="s">
        <v>157</v>
      </c>
    </row>
    <row r="136" spans="2:18" x14ac:dyDescent="0.3">
      <c r="B136">
        <v>1</v>
      </c>
      <c r="C136" t="s">
        <v>146</v>
      </c>
      <c r="D136" s="4">
        <f>E120</f>
        <v>2678.3674999999998</v>
      </c>
      <c r="E136">
        <f>L107</f>
        <v>1949.9999999999993</v>
      </c>
      <c r="F136" s="4">
        <f>SQRT(D136^2+E136^2)</f>
        <v>3313.0276885435542</v>
      </c>
      <c r="G136" s="4">
        <f>F136/2</f>
        <v>1656.5138442717771</v>
      </c>
      <c r="H136">
        <v>2</v>
      </c>
      <c r="I136">
        <v>1800</v>
      </c>
      <c r="L136" t="s">
        <v>146</v>
      </c>
      <c r="M136" s="4">
        <f>E120</f>
        <v>2678.3674999999998</v>
      </c>
      <c r="N136" s="4">
        <f>L107</f>
        <v>1949.9999999999993</v>
      </c>
      <c r="O136">
        <f>SQRT(M136^2+N136^2)</f>
        <v>3313.0276885435542</v>
      </c>
      <c r="P136">
        <f>O136/2</f>
        <v>1656.5138442717771</v>
      </c>
      <c r="Q136">
        <v>2</v>
      </c>
      <c r="R136">
        <v>1800</v>
      </c>
    </row>
    <row r="137" spans="2:18" x14ac:dyDescent="0.3">
      <c r="B137">
        <v>2</v>
      </c>
      <c r="C137" t="s">
        <v>148</v>
      </c>
      <c r="D137" s="4">
        <f>E121</f>
        <v>2329.6750000000002</v>
      </c>
      <c r="E137">
        <f>L108</f>
        <v>1706.2499999999995</v>
      </c>
      <c r="F137" s="4">
        <f t="shared" ref="F137:F142" si="29">SQRT(D137^2+E137^2)</f>
        <v>2887.6763440740724</v>
      </c>
      <c r="G137" s="4">
        <f t="shared" ref="G137:G142" si="30">F137/2</f>
        <v>1443.8381720370362</v>
      </c>
      <c r="H137">
        <v>2</v>
      </c>
      <c r="I137">
        <v>1500</v>
      </c>
      <c r="L137" t="s">
        <v>159</v>
      </c>
      <c r="M137" s="4">
        <f t="shared" ref="M137:M141" si="31">E121</f>
        <v>2329.6750000000002</v>
      </c>
      <c r="N137" s="4">
        <f t="shared" ref="N137:N143" si="32">L108</f>
        <v>1706.2499999999995</v>
      </c>
      <c r="O137">
        <f t="shared" ref="O137:O143" si="33">SQRT(M137^2+N137^2)</f>
        <v>2887.6763440740724</v>
      </c>
      <c r="P137">
        <f t="shared" ref="P137:P141" si="34">O137/2</f>
        <v>1443.8381720370362</v>
      </c>
      <c r="Q137">
        <v>2</v>
      </c>
      <c r="R137">
        <v>1500</v>
      </c>
    </row>
    <row r="138" spans="2:18" x14ac:dyDescent="0.3">
      <c r="B138">
        <v>3</v>
      </c>
      <c r="C138" t="s">
        <v>149</v>
      </c>
      <c r="D138" s="4">
        <f>E122+E128</f>
        <v>1635.6837499999999</v>
      </c>
      <c r="E138">
        <f>L109+L115</f>
        <v>1098.9864588384899</v>
      </c>
      <c r="F138" s="4">
        <f t="shared" si="29"/>
        <v>1970.5919330811303</v>
      </c>
      <c r="G138" s="4">
        <f t="shared" si="30"/>
        <v>985.29596654056513</v>
      </c>
      <c r="H138">
        <v>2</v>
      </c>
      <c r="I138">
        <v>1000</v>
      </c>
      <c r="L138" t="s">
        <v>160</v>
      </c>
      <c r="M138" s="4">
        <f t="shared" si="31"/>
        <v>1324.60375</v>
      </c>
      <c r="N138" s="4">
        <f t="shared" si="32"/>
        <v>974.99999999999966</v>
      </c>
      <c r="O138">
        <f t="shared" si="33"/>
        <v>1644.7492497381056</v>
      </c>
      <c r="P138">
        <f t="shared" si="34"/>
        <v>822.37462486905281</v>
      </c>
      <c r="Q138">
        <v>2</v>
      </c>
      <c r="R138">
        <v>1000</v>
      </c>
    </row>
    <row r="139" spans="2:18" x14ac:dyDescent="0.3">
      <c r="B139">
        <v>4</v>
      </c>
      <c r="C139" t="s">
        <v>150</v>
      </c>
      <c r="D139" s="4">
        <f>E123</f>
        <v>1892.5962500000001</v>
      </c>
      <c r="E139">
        <f>L110</f>
        <v>1364.9999999999995</v>
      </c>
      <c r="F139" s="4">
        <f t="shared" si="29"/>
        <v>2333.4835687259642</v>
      </c>
      <c r="G139" s="4">
        <f t="shared" si="30"/>
        <v>1166.7417843629821</v>
      </c>
      <c r="H139">
        <v>2</v>
      </c>
      <c r="I139">
        <v>1250</v>
      </c>
      <c r="L139" t="s">
        <v>161</v>
      </c>
      <c r="M139" s="4">
        <f t="shared" si="31"/>
        <v>1892.5962500000001</v>
      </c>
      <c r="N139" s="4">
        <f t="shared" si="32"/>
        <v>1364.9999999999995</v>
      </c>
      <c r="O139">
        <f t="shared" si="33"/>
        <v>2333.4835687259642</v>
      </c>
      <c r="P139">
        <f t="shared" si="34"/>
        <v>1166.7417843629821</v>
      </c>
      <c r="Q139">
        <v>2</v>
      </c>
      <c r="R139">
        <v>1250</v>
      </c>
    </row>
    <row r="140" spans="2:18" x14ac:dyDescent="0.3">
      <c r="B140">
        <v>5</v>
      </c>
      <c r="C140" t="s">
        <v>151</v>
      </c>
      <c r="D140" s="4">
        <f>E124+E126</f>
        <v>2184.0754350000002</v>
      </c>
      <c r="E140">
        <f>L111+L113</f>
        <v>1711.2180799999996</v>
      </c>
      <c r="F140" s="4">
        <f t="shared" si="29"/>
        <v>2774.6085891688085</v>
      </c>
      <c r="G140" s="4">
        <f t="shared" si="30"/>
        <v>1387.3042945844043</v>
      </c>
      <c r="H140">
        <v>2</v>
      </c>
      <c r="I140">
        <v>1500</v>
      </c>
      <c r="L140" t="s">
        <v>162</v>
      </c>
      <c r="M140" s="4">
        <f t="shared" si="31"/>
        <v>1978.704375</v>
      </c>
      <c r="N140" s="4">
        <f t="shared" si="32"/>
        <v>1462.4999999999995</v>
      </c>
      <c r="O140">
        <f t="shared" si="33"/>
        <v>2460.5237762810057</v>
      </c>
      <c r="P140">
        <f t="shared" si="34"/>
        <v>1230.2618881405028</v>
      </c>
      <c r="Q140">
        <v>2</v>
      </c>
      <c r="R140">
        <v>1250</v>
      </c>
    </row>
    <row r="141" spans="2:18" x14ac:dyDescent="0.3">
      <c r="B141">
        <v>6</v>
      </c>
      <c r="C141" t="s">
        <v>152</v>
      </c>
      <c r="D141" s="4">
        <f>E125</f>
        <v>1685.021</v>
      </c>
      <c r="E141">
        <f>L112</f>
        <v>1218.7499999999995</v>
      </c>
      <c r="F141" s="4">
        <f t="shared" si="29"/>
        <v>2079.5786431248516</v>
      </c>
      <c r="G141" s="4">
        <f t="shared" si="30"/>
        <v>1039.7893215624258</v>
      </c>
      <c r="H141">
        <v>2</v>
      </c>
      <c r="I141">
        <v>1250</v>
      </c>
      <c r="L141" t="s">
        <v>152</v>
      </c>
      <c r="M141" s="4">
        <f t="shared" si="31"/>
        <v>1685.021</v>
      </c>
      <c r="N141" s="4">
        <f t="shared" si="32"/>
        <v>1218.7499999999995</v>
      </c>
      <c r="O141">
        <f t="shared" si="33"/>
        <v>2079.5786431248516</v>
      </c>
      <c r="P141">
        <f t="shared" si="34"/>
        <v>1039.7893215624258</v>
      </c>
      <c r="Q141">
        <v>2</v>
      </c>
      <c r="R141">
        <v>1250</v>
      </c>
    </row>
    <row r="142" spans="2:18" x14ac:dyDescent="0.3">
      <c r="B142">
        <v>7</v>
      </c>
      <c r="C142" t="s">
        <v>153</v>
      </c>
      <c r="D142" s="4">
        <f>E127</f>
        <v>818.58950000000004</v>
      </c>
      <c r="E142">
        <f>L114</f>
        <v>816.16324897632569</v>
      </c>
      <c r="F142" s="4">
        <f t="shared" si="29"/>
        <v>1155.9460274986207</v>
      </c>
      <c r="G142" s="4">
        <f t="shared" si="30"/>
        <v>577.97301374931033</v>
      </c>
      <c r="H142">
        <v>2</v>
      </c>
      <c r="I142">
        <v>630</v>
      </c>
      <c r="L142" t="s">
        <v>163</v>
      </c>
      <c r="M142" s="4">
        <f>E126+E128</f>
        <v>516.45105999999998</v>
      </c>
      <c r="N142" s="4">
        <f t="shared" si="32"/>
        <v>248.71808000000001</v>
      </c>
      <c r="O142">
        <f t="shared" si="33"/>
        <v>573.22105744120211</v>
      </c>
      <c r="P142">
        <f>O142</f>
        <v>573.22105744120211</v>
      </c>
      <c r="Q142">
        <v>1</v>
      </c>
      <c r="R142">
        <v>630</v>
      </c>
    </row>
    <row r="143" spans="2:18" x14ac:dyDescent="0.3">
      <c r="L143" t="s">
        <v>164</v>
      </c>
      <c r="M143" s="4">
        <f>E127</f>
        <v>818.58950000000004</v>
      </c>
      <c r="N143" s="4">
        <f t="shared" si="32"/>
        <v>816.16324897632569</v>
      </c>
      <c r="O143">
        <f t="shared" si="33"/>
        <v>1155.9460274986207</v>
      </c>
      <c r="P143">
        <f>O143/2</f>
        <v>577.97301374931033</v>
      </c>
      <c r="Q143">
        <v>2</v>
      </c>
      <c r="R143">
        <v>630</v>
      </c>
    </row>
    <row r="144" spans="2:18" x14ac:dyDescent="0.3">
      <c r="B144" s="8" t="s">
        <v>176</v>
      </c>
      <c r="L144" s="8" t="s">
        <v>186</v>
      </c>
    </row>
    <row r="145" spans="1:22" x14ac:dyDescent="0.3">
      <c r="A145" t="s">
        <v>167</v>
      </c>
      <c r="B145" t="s">
        <v>165</v>
      </c>
      <c r="C145" t="s">
        <v>175</v>
      </c>
      <c r="D145" t="s">
        <v>178</v>
      </c>
      <c r="E145" t="s">
        <v>177</v>
      </c>
      <c r="F145" t="s">
        <v>179</v>
      </c>
      <c r="G145" t="s">
        <v>180</v>
      </c>
      <c r="H145" t="s">
        <v>181</v>
      </c>
      <c r="I145" t="s">
        <v>182</v>
      </c>
      <c r="J145" t="s">
        <v>183</v>
      </c>
      <c r="K145" t="s">
        <v>188</v>
      </c>
      <c r="L145" t="s">
        <v>167</v>
      </c>
      <c r="M145" t="s">
        <v>165</v>
      </c>
      <c r="N145" t="s">
        <v>175</v>
      </c>
      <c r="O145" t="s">
        <v>178</v>
      </c>
      <c r="P145" t="s">
        <v>177</v>
      </c>
      <c r="Q145" t="s">
        <v>179</v>
      </c>
      <c r="R145" t="s">
        <v>180</v>
      </c>
      <c r="S145" t="s">
        <v>181</v>
      </c>
      <c r="T145" t="s">
        <v>182</v>
      </c>
      <c r="U145" t="s">
        <v>183</v>
      </c>
      <c r="V145" t="s">
        <v>188</v>
      </c>
    </row>
    <row r="146" spans="1:22" x14ac:dyDescent="0.3">
      <c r="A146">
        <v>1</v>
      </c>
      <c r="B146" t="s">
        <v>166</v>
      </c>
      <c r="C146">
        <v>10</v>
      </c>
      <c r="D146" s="4">
        <f>F136</f>
        <v>3313.0276885435542</v>
      </c>
      <c r="E146" s="4">
        <f>D146/((2*1.732*C146))</f>
        <v>95.641676921003295</v>
      </c>
      <c r="F146">
        <v>1.6</v>
      </c>
      <c r="G146" s="4">
        <f>E146/F146</f>
        <v>59.77604807562706</v>
      </c>
      <c r="H146">
        <f>2*E146</f>
        <v>191.28335384200659</v>
      </c>
      <c r="I146">
        <v>70</v>
      </c>
      <c r="J146">
        <v>265</v>
      </c>
      <c r="K146">
        <v>81</v>
      </c>
      <c r="L146">
        <v>1</v>
      </c>
      <c r="M146" t="s">
        <v>166</v>
      </c>
      <c r="N146">
        <v>35</v>
      </c>
      <c r="O146" s="4">
        <f>D146</f>
        <v>3313.0276885435542</v>
      </c>
      <c r="P146" s="4">
        <f>O146/(2*1.732*N146)</f>
        <v>27.326193406000943</v>
      </c>
      <c r="Q146">
        <v>1.6</v>
      </c>
      <c r="R146" s="4">
        <f>P146/Q146</f>
        <v>17.078870878750589</v>
      </c>
      <c r="S146" s="4">
        <f>P146*2</f>
        <v>54.652386812001886</v>
      </c>
      <c r="T146">
        <v>50</v>
      </c>
      <c r="U146">
        <v>215</v>
      </c>
      <c r="V146">
        <v>81</v>
      </c>
    </row>
    <row r="147" spans="1:22" x14ac:dyDescent="0.3">
      <c r="A147">
        <v>2</v>
      </c>
      <c r="B147" t="s">
        <v>168</v>
      </c>
      <c r="C147">
        <v>10</v>
      </c>
      <c r="D147" s="4">
        <f t="shared" ref="D147:D152" si="35">F137</f>
        <v>2887.6763440740724</v>
      </c>
      <c r="E147" s="4">
        <f t="shared" ref="E147:E152" si="36">D147/((2*1.732*C147))</f>
        <v>83.362481064494006</v>
      </c>
      <c r="F147">
        <v>1.6</v>
      </c>
      <c r="G147" s="4">
        <f t="shared" ref="G147:G152" si="37">E147/F147</f>
        <v>52.10155066530875</v>
      </c>
      <c r="H147">
        <f t="shared" ref="H147:H152" si="38">2*E147</f>
        <v>166.72496212898801</v>
      </c>
      <c r="I147">
        <v>50</v>
      </c>
      <c r="J147">
        <v>215</v>
      </c>
      <c r="K147">
        <v>135</v>
      </c>
      <c r="L147">
        <v>2</v>
      </c>
      <c r="M147" t="s">
        <v>168</v>
      </c>
      <c r="N147">
        <v>35</v>
      </c>
      <c r="O147" s="4">
        <f t="shared" ref="O147:O152" si="39">D147</f>
        <v>2887.6763440740724</v>
      </c>
      <c r="P147" s="4">
        <f t="shared" ref="P147:P152" si="40">O147/(2*1.732*N147)</f>
        <v>23.817851732712576</v>
      </c>
      <c r="Q147">
        <v>1.6</v>
      </c>
      <c r="R147" s="4">
        <f t="shared" ref="R147:R152" si="41">P147/Q147</f>
        <v>14.886157332945359</v>
      </c>
      <c r="S147" s="4">
        <f t="shared" ref="S147:S152" si="42">P147*2</f>
        <v>47.635703465425152</v>
      </c>
      <c r="T147">
        <v>50</v>
      </c>
      <c r="U147">
        <v>215</v>
      </c>
      <c r="V147">
        <v>135</v>
      </c>
    </row>
    <row r="148" spans="1:22" x14ac:dyDescent="0.3">
      <c r="A148">
        <v>3</v>
      </c>
      <c r="B148" t="s">
        <v>169</v>
      </c>
      <c r="C148">
        <v>10</v>
      </c>
      <c r="D148" s="4">
        <f t="shared" si="35"/>
        <v>1970.5919330811303</v>
      </c>
      <c r="E148" s="4">
        <f t="shared" si="36"/>
        <v>56.887757883404454</v>
      </c>
      <c r="F148">
        <v>1.6</v>
      </c>
      <c r="G148" s="4">
        <f t="shared" si="37"/>
        <v>35.554848677127779</v>
      </c>
      <c r="H148">
        <f t="shared" si="38"/>
        <v>113.77551576680891</v>
      </c>
      <c r="I148">
        <v>35</v>
      </c>
      <c r="J148">
        <v>170</v>
      </c>
      <c r="K148">
        <v>108</v>
      </c>
      <c r="L148">
        <v>3</v>
      </c>
      <c r="M148" t="s">
        <v>169</v>
      </c>
      <c r="N148">
        <v>35</v>
      </c>
      <c r="O148" s="4">
        <f t="shared" si="39"/>
        <v>1970.5919330811303</v>
      </c>
      <c r="P148" s="4">
        <f t="shared" si="40"/>
        <v>16.253645109544131</v>
      </c>
      <c r="Q148">
        <v>1.6</v>
      </c>
      <c r="R148" s="4">
        <f t="shared" si="41"/>
        <v>10.158528193465081</v>
      </c>
      <c r="S148" s="4">
        <f t="shared" si="42"/>
        <v>32.507290219088262</v>
      </c>
      <c r="T148">
        <v>50</v>
      </c>
      <c r="U148">
        <v>215</v>
      </c>
      <c r="V148">
        <v>108</v>
      </c>
    </row>
    <row r="149" spans="1:22" x14ac:dyDescent="0.3">
      <c r="A149">
        <v>4</v>
      </c>
      <c r="B149" t="s">
        <v>170</v>
      </c>
      <c r="C149">
        <v>10</v>
      </c>
      <c r="D149" s="4">
        <f t="shared" si="35"/>
        <v>2333.4835687259642</v>
      </c>
      <c r="E149" s="4">
        <f t="shared" si="36"/>
        <v>67.363844362758783</v>
      </c>
      <c r="F149">
        <v>1.6</v>
      </c>
      <c r="G149" s="4">
        <f t="shared" si="37"/>
        <v>42.102402726724236</v>
      </c>
      <c r="H149">
        <f t="shared" si="38"/>
        <v>134.72768872551757</v>
      </c>
      <c r="I149">
        <v>50</v>
      </c>
      <c r="J149">
        <v>215</v>
      </c>
      <c r="K149">
        <v>90</v>
      </c>
      <c r="L149">
        <v>4</v>
      </c>
      <c r="M149" t="s">
        <v>170</v>
      </c>
      <c r="N149">
        <v>35</v>
      </c>
      <c r="O149" s="4">
        <f t="shared" si="39"/>
        <v>2333.4835687259642</v>
      </c>
      <c r="P149" s="4">
        <f t="shared" si="40"/>
        <v>19.24681267507394</v>
      </c>
      <c r="Q149">
        <v>1.6</v>
      </c>
      <c r="R149" s="4">
        <f t="shared" si="41"/>
        <v>12.029257921921213</v>
      </c>
      <c r="S149" s="4">
        <f t="shared" si="42"/>
        <v>38.49362535014788</v>
      </c>
      <c r="T149">
        <v>50</v>
      </c>
      <c r="U149">
        <v>215</v>
      </c>
      <c r="V149">
        <v>90</v>
      </c>
    </row>
    <row r="150" spans="1:22" x14ac:dyDescent="0.3">
      <c r="A150">
        <v>5</v>
      </c>
      <c r="B150" t="s">
        <v>171</v>
      </c>
      <c r="C150">
        <v>10</v>
      </c>
      <c r="D150" s="4">
        <f t="shared" si="35"/>
        <v>2774.6085891688085</v>
      </c>
      <c r="E150" s="4">
        <f t="shared" si="36"/>
        <v>80.098400380161905</v>
      </c>
      <c r="F150">
        <v>1.6</v>
      </c>
      <c r="G150" s="4">
        <f t="shared" si="37"/>
        <v>50.061500237601187</v>
      </c>
      <c r="H150">
        <f t="shared" si="38"/>
        <v>160.19680076032381</v>
      </c>
      <c r="I150">
        <v>50</v>
      </c>
      <c r="J150">
        <v>215</v>
      </c>
      <c r="K150">
        <v>342</v>
      </c>
      <c r="L150">
        <v>5</v>
      </c>
      <c r="M150" t="s">
        <v>171</v>
      </c>
      <c r="N150">
        <v>35</v>
      </c>
      <c r="O150" s="4">
        <f t="shared" si="39"/>
        <v>2774.6085891688085</v>
      </c>
      <c r="P150" s="4">
        <f t="shared" si="40"/>
        <v>22.885257251474833</v>
      </c>
      <c r="Q150">
        <v>1.6</v>
      </c>
      <c r="R150" s="4">
        <f t="shared" si="41"/>
        <v>14.30328578217177</v>
      </c>
      <c r="S150" s="4">
        <f t="shared" si="42"/>
        <v>45.770514502949666</v>
      </c>
      <c r="T150">
        <v>50</v>
      </c>
      <c r="U150">
        <v>215</v>
      </c>
      <c r="V150">
        <v>342</v>
      </c>
    </row>
    <row r="151" spans="1:22" x14ac:dyDescent="0.3">
      <c r="A151">
        <v>6</v>
      </c>
      <c r="B151" t="s">
        <v>172</v>
      </c>
      <c r="C151">
        <v>10</v>
      </c>
      <c r="D151" s="4">
        <f t="shared" si="35"/>
        <v>2079.5786431248516</v>
      </c>
      <c r="E151" s="4">
        <f t="shared" si="36"/>
        <v>60.034025494366382</v>
      </c>
      <c r="F151">
        <v>1.6</v>
      </c>
      <c r="G151" s="4">
        <f t="shared" si="37"/>
        <v>37.521265933978988</v>
      </c>
      <c r="H151">
        <f t="shared" si="38"/>
        <v>120.06805098873276</v>
      </c>
      <c r="I151">
        <v>35</v>
      </c>
      <c r="J151">
        <v>170</v>
      </c>
      <c r="K151">
        <v>126</v>
      </c>
      <c r="L151">
        <v>6</v>
      </c>
      <c r="M151" t="s">
        <v>172</v>
      </c>
      <c r="N151">
        <v>35</v>
      </c>
      <c r="O151" s="4">
        <f t="shared" si="39"/>
        <v>2079.5786431248516</v>
      </c>
      <c r="P151" s="4">
        <f t="shared" si="40"/>
        <v>17.15257871267611</v>
      </c>
      <c r="Q151">
        <v>1.6</v>
      </c>
      <c r="R151" s="4">
        <f t="shared" si="41"/>
        <v>10.720361695422568</v>
      </c>
      <c r="S151" s="4">
        <f t="shared" si="42"/>
        <v>34.30515742535222</v>
      </c>
      <c r="T151">
        <v>50</v>
      </c>
      <c r="U151">
        <v>215</v>
      </c>
      <c r="V151">
        <v>126</v>
      </c>
    </row>
    <row r="152" spans="1:22" x14ac:dyDescent="0.3">
      <c r="A152">
        <v>7</v>
      </c>
      <c r="B152" t="s">
        <v>173</v>
      </c>
      <c r="C152">
        <v>10</v>
      </c>
      <c r="D152" s="4">
        <f t="shared" si="35"/>
        <v>1155.9460274986207</v>
      </c>
      <c r="E152" s="4">
        <f t="shared" si="36"/>
        <v>33.370266382754636</v>
      </c>
      <c r="F152">
        <v>1.6</v>
      </c>
      <c r="G152" s="4">
        <f t="shared" si="37"/>
        <v>20.856416489221647</v>
      </c>
      <c r="H152">
        <f t="shared" si="38"/>
        <v>66.740532765509272</v>
      </c>
      <c r="I152">
        <v>35</v>
      </c>
      <c r="J152">
        <v>170</v>
      </c>
      <c r="K152">
        <v>234</v>
      </c>
      <c r="L152">
        <v>7</v>
      </c>
      <c r="M152" t="s">
        <v>173</v>
      </c>
      <c r="N152">
        <v>35</v>
      </c>
      <c r="O152" s="4">
        <f t="shared" si="39"/>
        <v>1155.9460274986207</v>
      </c>
      <c r="P152" s="4">
        <f t="shared" si="40"/>
        <v>9.5343618236441827</v>
      </c>
      <c r="Q152">
        <v>1.6</v>
      </c>
      <c r="R152" s="4">
        <f t="shared" si="41"/>
        <v>5.9589761397776142</v>
      </c>
      <c r="S152" s="4">
        <f t="shared" si="42"/>
        <v>19.068723647288365</v>
      </c>
      <c r="T152">
        <v>50</v>
      </c>
      <c r="U152">
        <v>215</v>
      </c>
      <c r="V152">
        <v>234</v>
      </c>
    </row>
    <row r="154" spans="1:22" x14ac:dyDescent="0.3">
      <c r="A154" t="s">
        <v>167</v>
      </c>
      <c r="B154" t="s">
        <v>165</v>
      </c>
      <c r="C154" t="s">
        <v>175</v>
      </c>
      <c r="D154" t="s">
        <v>178</v>
      </c>
      <c r="E154" t="s">
        <v>177</v>
      </c>
      <c r="F154" t="s">
        <v>181</v>
      </c>
      <c r="G154" t="s">
        <v>182</v>
      </c>
      <c r="H154" t="s">
        <v>183</v>
      </c>
      <c r="I154" t="s">
        <v>188</v>
      </c>
      <c r="L154" t="s">
        <v>167</v>
      </c>
      <c r="M154" t="s">
        <v>165</v>
      </c>
      <c r="N154" t="s">
        <v>175</v>
      </c>
      <c r="O154" t="s">
        <v>178</v>
      </c>
      <c r="P154" t="s">
        <v>177</v>
      </c>
      <c r="Q154" t="s">
        <v>181</v>
      </c>
      <c r="R154" t="s">
        <v>182</v>
      </c>
      <c r="S154" t="s">
        <v>183</v>
      </c>
      <c r="T154" t="s">
        <v>188</v>
      </c>
    </row>
    <row r="155" spans="1:22" x14ac:dyDescent="0.3">
      <c r="A155">
        <v>1</v>
      </c>
      <c r="B155" t="s">
        <v>184</v>
      </c>
      <c r="C155">
        <v>0.4</v>
      </c>
      <c r="D155" s="4">
        <f>M113</f>
        <v>322.54915223018338</v>
      </c>
      <c r="E155" s="4">
        <f>D155/(1.732*C155)</f>
        <v>465.57325668329003</v>
      </c>
      <c r="F155" s="4">
        <f>E155</f>
        <v>465.57325668329003</v>
      </c>
      <c r="G155">
        <v>185</v>
      </c>
      <c r="H155">
        <v>500</v>
      </c>
      <c r="I155">
        <v>45</v>
      </c>
      <c r="L155">
        <v>1</v>
      </c>
      <c r="M155" t="s">
        <v>184</v>
      </c>
      <c r="N155">
        <v>0.4</v>
      </c>
      <c r="O155" s="4">
        <f>D155</f>
        <v>322.54915223018338</v>
      </c>
      <c r="P155" s="4">
        <f>O155/(1.732*N155)</f>
        <v>465.57325668329003</v>
      </c>
      <c r="Q155" s="4">
        <f>P155</f>
        <v>465.57325668329003</v>
      </c>
      <c r="R155">
        <v>185</v>
      </c>
      <c r="S155">
        <v>500</v>
      </c>
      <c r="T155">
        <v>45</v>
      </c>
    </row>
    <row r="156" spans="1:22" x14ac:dyDescent="0.3">
      <c r="A156">
        <v>2</v>
      </c>
      <c r="B156" t="s">
        <v>185</v>
      </c>
      <c r="C156">
        <v>0.4</v>
      </c>
      <c r="D156" s="4">
        <f>M115</f>
        <v>334.87819931328562</v>
      </c>
      <c r="E156" s="4">
        <f>D156/(1.732*C156)</f>
        <v>483.36922533672862</v>
      </c>
      <c r="F156" s="4">
        <f>E156</f>
        <v>483.36922533672862</v>
      </c>
      <c r="G156">
        <v>185</v>
      </c>
      <c r="H156">
        <v>500</v>
      </c>
      <c r="I156">
        <v>252</v>
      </c>
      <c r="L156">
        <v>2</v>
      </c>
      <c r="M156" t="s">
        <v>185</v>
      </c>
      <c r="N156">
        <v>0.4</v>
      </c>
      <c r="O156" s="4">
        <f>D156</f>
        <v>334.87819931328562</v>
      </c>
      <c r="P156" s="4">
        <f>O156/(1.732*N156)</f>
        <v>483.36922533672862</v>
      </c>
      <c r="Q156" s="4">
        <f>P156</f>
        <v>483.36922533672862</v>
      </c>
      <c r="R156">
        <v>185</v>
      </c>
      <c r="S156">
        <v>500</v>
      </c>
      <c r="T156">
        <v>252</v>
      </c>
    </row>
    <row r="158" spans="1:22" x14ac:dyDescent="0.3">
      <c r="B158" t="s">
        <v>187</v>
      </c>
      <c r="L158" t="s">
        <v>187</v>
      </c>
    </row>
    <row r="159" spans="1:22" x14ac:dyDescent="0.3">
      <c r="B159" t="s">
        <v>191</v>
      </c>
      <c r="C159" t="s">
        <v>190</v>
      </c>
      <c r="D159" t="s">
        <v>193</v>
      </c>
      <c r="E159" t="s">
        <v>192</v>
      </c>
      <c r="F159" t="s">
        <v>196</v>
      </c>
      <c r="M159" t="s">
        <v>191</v>
      </c>
      <c r="N159" t="s">
        <v>190</v>
      </c>
      <c r="O159" t="s">
        <v>193</v>
      </c>
      <c r="P159" t="s">
        <v>192</v>
      </c>
      <c r="Q159" t="s">
        <v>196</v>
      </c>
    </row>
    <row r="160" spans="1:22" x14ac:dyDescent="0.3">
      <c r="B160" t="s">
        <v>194</v>
      </c>
      <c r="C160" t="s">
        <v>195</v>
      </c>
      <c r="D160">
        <v>7.0400000000000004E-2</v>
      </c>
      <c r="E160">
        <f>2*(K151+K152+K148)</f>
        <v>936</v>
      </c>
      <c r="F160">
        <f>E160*D160</f>
        <v>65.894400000000005</v>
      </c>
      <c r="M160" t="s">
        <v>203</v>
      </c>
      <c r="N160" t="s">
        <v>204</v>
      </c>
      <c r="O160">
        <v>0.152</v>
      </c>
      <c r="P160">
        <f>SUM(V146:V152)*2</f>
        <v>2232</v>
      </c>
      <c r="Q160">
        <f>P160*O160</f>
        <v>339.26400000000001</v>
      </c>
    </row>
    <row r="161" spans="1:22" x14ac:dyDescent="0.3">
      <c r="B161" t="s">
        <v>197</v>
      </c>
      <c r="C161" t="s">
        <v>198</v>
      </c>
      <c r="D161">
        <v>7.6799999999999993E-2</v>
      </c>
      <c r="E161">
        <f>2*(K150+K149+K147)</f>
        <v>1134</v>
      </c>
      <c r="F161">
        <f>E161*D161</f>
        <v>87.091199999999986</v>
      </c>
      <c r="M161" t="s">
        <v>201</v>
      </c>
      <c r="N161" t="s">
        <v>200</v>
      </c>
      <c r="O161">
        <v>8.6999999999999994E-2</v>
      </c>
      <c r="P161">
        <f>SUM(T155:T156)</f>
        <v>297</v>
      </c>
      <c r="Q161">
        <f>P161*O161</f>
        <v>25.838999999999999</v>
      </c>
    </row>
    <row r="162" spans="1:22" x14ac:dyDescent="0.3">
      <c r="B162" t="s">
        <v>189</v>
      </c>
      <c r="C162" t="s">
        <v>199</v>
      </c>
      <c r="D162">
        <v>8.8999999999999996E-2</v>
      </c>
      <c r="E162">
        <f>K146*2</f>
        <v>162</v>
      </c>
      <c r="F162">
        <f t="shared" ref="F162:F163" si="43">E162*D162</f>
        <v>14.417999999999999</v>
      </c>
      <c r="M162" t="s">
        <v>202</v>
      </c>
      <c r="Q162">
        <f>SUM(Q160:Q161)</f>
        <v>365.10300000000001</v>
      </c>
    </row>
    <row r="163" spans="1:22" x14ac:dyDescent="0.3">
      <c r="B163" t="s">
        <v>201</v>
      </c>
      <c r="C163" t="s">
        <v>200</v>
      </c>
      <c r="D163">
        <v>8.6999999999999994E-2</v>
      </c>
      <c r="E163">
        <f>I155+I156</f>
        <v>297</v>
      </c>
      <c r="F163">
        <f t="shared" si="43"/>
        <v>25.838999999999999</v>
      </c>
    </row>
    <row r="164" spans="1:22" x14ac:dyDescent="0.3">
      <c r="B164" t="s">
        <v>202</v>
      </c>
      <c r="F164">
        <f>SUM(F160:F163)</f>
        <v>193.24259999999998</v>
      </c>
    </row>
    <row r="166" spans="1:22" x14ac:dyDescent="0.3">
      <c r="B166" s="8" t="s">
        <v>205</v>
      </c>
      <c r="L166" s="8" t="s">
        <v>206</v>
      </c>
    </row>
    <row r="167" spans="1:22" x14ac:dyDescent="0.3">
      <c r="A167" t="s">
        <v>167</v>
      </c>
      <c r="B167" t="s">
        <v>165</v>
      </c>
      <c r="C167" t="s">
        <v>175</v>
      </c>
      <c r="D167" t="s">
        <v>178</v>
      </c>
      <c r="E167" t="s">
        <v>177</v>
      </c>
      <c r="F167" t="s">
        <v>179</v>
      </c>
      <c r="G167" t="s">
        <v>180</v>
      </c>
      <c r="H167" t="s">
        <v>181</v>
      </c>
      <c r="I167" t="s">
        <v>182</v>
      </c>
      <c r="J167" t="s">
        <v>183</v>
      </c>
      <c r="K167" t="s">
        <v>188</v>
      </c>
      <c r="L167" t="s">
        <v>167</v>
      </c>
      <c r="M167" t="s">
        <v>165</v>
      </c>
      <c r="N167" t="s">
        <v>175</v>
      </c>
      <c r="O167" t="s">
        <v>178</v>
      </c>
      <c r="P167" t="s">
        <v>177</v>
      </c>
      <c r="Q167" t="s">
        <v>179</v>
      </c>
      <c r="R167" t="s">
        <v>180</v>
      </c>
      <c r="S167" t="s">
        <v>181</v>
      </c>
      <c r="T167" t="s">
        <v>182</v>
      </c>
      <c r="U167" t="s">
        <v>183</v>
      </c>
      <c r="V167" t="s">
        <v>188</v>
      </c>
    </row>
    <row r="168" spans="1:22" x14ac:dyDescent="0.3">
      <c r="A168">
        <v>1</v>
      </c>
      <c r="B168" t="s">
        <v>166</v>
      </c>
      <c r="C168">
        <v>10</v>
      </c>
      <c r="D168" s="4">
        <f>O136</f>
        <v>3313.0276885435542</v>
      </c>
      <c r="E168" s="4">
        <f>D168/((2*1.732*C168))</f>
        <v>95.641676921003295</v>
      </c>
      <c r="F168">
        <v>1.6</v>
      </c>
      <c r="G168" s="4">
        <f>E168/F168</f>
        <v>59.77604807562706</v>
      </c>
      <c r="H168" s="4">
        <f>2*E168</f>
        <v>191.28335384200659</v>
      </c>
      <c r="I168">
        <v>70</v>
      </c>
      <c r="J168">
        <v>215</v>
      </c>
      <c r="K168">
        <v>81</v>
      </c>
      <c r="L168">
        <v>1</v>
      </c>
      <c r="M168" t="s">
        <v>166</v>
      </c>
      <c r="N168">
        <v>35</v>
      </c>
      <c r="O168" s="4">
        <f>D168</f>
        <v>3313.0276885435542</v>
      </c>
      <c r="P168" s="4">
        <f>O168/((2*1.732*N168))</f>
        <v>27.326193406000943</v>
      </c>
      <c r="Q168">
        <v>1.6</v>
      </c>
      <c r="R168" s="4">
        <f>P168/Q168</f>
        <v>17.078870878750589</v>
      </c>
      <c r="S168" s="4">
        <f>2*P168</f>
        <v>54.652386812001886</v>
      </c>
      <c r="T168">
        <v>50</v>
      </c>
      <c r="U168">
        <v>215</v>
      </c>
      <c r="V168">
        <v>81</v>
      </c>
    </row>
    <row r="169" spans="1:22" x14ac:dyDescent="0.3">
      <c r="A169">
        <v>2</v>
      </c>
      <c r="B169" t="s">
        <v>168</v>
      </c>
      <c r="C169">
        <v>10</v>
      </c>
      <c r="D169" s="4">
        <f t="shared" ref="D169:D175" si="44">O137</f>
        <v>2887.6763440740724</v>
      </c>
      <c r="E169" s="4">
        <f t="shared" ref="E169:E175" si="45">D169/((2*1.732*C169))</f>
        <v>83.362481064494006</v>
      </c>
      <c r="F169">
        <v>1.6</v>
      </c>
      <c r="G169" s="4">
        <f t="shared" ref="G169:G175" si="46">E169/F169</f>
        <v>52.10155066530875</v>
      </c>
      <c r="H169" s="4">
        <f t="shared" ref="H169:H175" si="47">2*E169</f>
        <v>166.72496212898801</v>
      </c>
      <c r="I169">
        <v>50</v>
      </c>
      <c r="J169">
        <v>215</v>
      </c>
      <c r="K169">
        <v>135</v>
      </c>
      <c r="L169">
        <v>2</v>
      </c>
      <c r="M169" t="s">
        <v>168</v>
      </c>
      <c r="N169">
        <v>35</v>
      </c>
      <c r="O169" s="4">
        <f t="shared" ref="O169:O175" si="48">D169</f>
        <v>2887.6763440740724</v>
      </c>
      <c r="P169" s="4">
        <f t="shared" ref="P169:P175" si="49">O169/((2*1.732*N169))</f>
        <v>23.817851732712576</v>
      </c>
      <c r="Q169">
        <v>1.6</v>
      </c>
      <c r="R169" s="4">
        <f t="shared" ref="R169:R175" si="50">P169/Q169</f>
        <v>14.886157332945359</v>
      </c>
      <c r="S169" s="4">
        <f t="shared" ref="S169:S175" si="51">2*P169</f>
        <v>47.635703465425152</v>
      </c>
      <c r="T169">
        <v>50</v>
      </c>
      <c r="U169">
        <v>215</v>
      </c>
      <c r="V169">
        <v>135</v>
      </c>
    </row>
    <row r="170" spans="1:22" x14ac:dyDescent="0.3">
      <c r="A170">
        <v>3</v>
      </c>
      <c r="B170" t="s">
        <v>169</v>
      </c>
      <c r="C170">
        <v>10</v>
      </c>
      <c r="D170" s="4">
        <f t="shared" si="44"/>
        <v>1644.7492497381056</v>
      </c>
      <c r="E170" s="4">
        <f t="shared" si="45"/>
        <v>47.48121390698919</v>
      </c>
      <c r="F170">
        <v>1.6</v>
      </c>
      <c r="G170" s="4">
        <f t="shared" si="46"/>
        <v>29.675758691868243</v>
      </c>
      <c r="H170" s="4">
        <f t="shared" si="47"/>
        <v>94.96242781397838</v>
      </c>
      <c r="I170">
        <v>35</v>
      </c>
      <c r="J170">
        <v>170</v>
      </c>
      <c r="K170">
        <v>108</v>
      </c>
      <c r="L170">
        <v>3</v>
      </c>
      <c r="M170" t="s">
        <v>169</v>
      </c>
      <c r="N170">
        <v>35</v>
      </c>
      <c r="O170" s="4">
        <f t="shared" si="48"/>
        <v>1644.7492497381056</v>
      </c>
      <c r="P170" s="4">
        <f t="shared" si="49"/>
        <v>13.566061116282627</v>
      </c>
      <c r="Q170">
        <v>1.6</v>
      </c>
      <c r="R170" s="4">
        <f t="shared" si="50"/>
        <v>8.478788197676641</v>
      </c>
      <c r="S170" s="4">
        <f t="shared" si="51"/>
        <v>27.132122232565255</v>
      </c>
      <c r="T170">
        <v>50</v>
      </c>
      <c r="U170">
        <v>215</v>
      </c>
      <c r="V170">
        <v>108</v>
      </c>
    </row>
    <row r="171" spans="1:22" x14ac:dyDescent="0.3">
      <c r="A171">
        <v>4</v>
      </c>
      <c r="B171" t="s">
        <v>170</v>
      </c>
      <c r="C171">
        <v>10</v>
      </c>
      <c r="D171" s="4">
        <f t="shared" si="44"/>
        <v>2333.4835687259642</v>
      </c>
      <c r="E171" s="4">
        <f t="shared" si="45"/>
        <v>67.363844362758783</v>
      </c>
      <c r="F171">
        <v>1.6</v>
      </c>
      <c r="G171" s="4">
        <f t="shared" si="46"/>
        <v>42.102402726724236</v>
      </c>
      <c r="H171" s="4">
        <f t="shared" si="47"/>
        <v>134.72768872551757</v>
      </c>
      <c r="I171">
        <v>50</v>
      </c>
      <c r="J171">
        <v>170</v>
      </c>
      <c r="K171">
        <v>90</v>
      </c>
      <c r="L171">
        <v>4</v>
      </c>
      <c r="M171" t="s">
        <v>170</v>
      </c>
      <c r="N171">
        <v>35</v>
      </c>
      <c r="O171" s="4">
        <f t="shared" si="48"/>
        <v>2333.4835687259642</v>
      </c>
      <c r="P171" s="4">
        <f t="shared" si="49"/>
        <v>19.24681267507394</v>
      </c>
      <c r="Q171">
        <v>1.6</v>
      </c>
      <c r="R171" s="4">
        <f t="shared" si="50"/>
        <v>12.029257921921213</v>
      </c>
      <c r="S171" s="4">
        <f t="shared" si="51"/>
        <v>38.49362535014788</v>
      </c>
      <c r="T171">
        <v>50</v>
      </c>
      <c r="U171">
        <v>215</v>
      </c>
      <c r="V171">
        <v>90</v>
      </c>
    </row>
    <row r="172" spans="1:22" x14ac:dyDescent="0.3">
      <c r="A172">
        <v>5</v>
      </c>
      <c r="B172" t="s">
        <v>171</v>
      </c>
      <c r="C172">
        <v>10</v>
      </c>
      <c r="D172" s="4">
        <f t="shared" si="44"/>
        <v>2460.5237762810057</v>
      </c>
      <c r="E172" s="4">
        <f t="shared" si="45"/>
        <v>71.031286844139885</v>
      </c>
      <c r="F172">
        <v>1.6</v>
      </c>
      <c r="G172" s="4">
        <f t="shared" si="46"/>
        <v>44.394554277587424</v>
      </c>
      <c r="H172" s="4">
        <f t="shared" si="47"/>
        <v>142.06257368827977</v>
      </c>
      <c r="I172">
        <v>50</v>
      </c>
      <c r="J172">
        <v>170</v>
      </c>
      <c r="K172">
        <v>342</v>
      </c>
      <c r="L172">
        <v>5</v>
      </c>
      <c r="M172" t="s">
        <v>171</v>
      </c>
      <c r="N172">
        <v>35</v>
      </c>
      <c r="O172" s="4">
        <f t="shared" si="48"/>
        <v>2460.5237762810057</v>
      </c>
      <c r="P172" s="4">
        <f t="shared" si="49"/>
        <v>20.294653384039968</v>
      </c>
      <c r="Q172">
        <v>1.6</v>
      </c>
      <c r="R172" s="4">
        <f t="shared" si="50"/>
        <v>12.684158365024979</v>
      </c>
      <c r="S172" s="4">
        <f t="shared" si="51"/>
        <v>40.589306768079936</v>
      </c>
      <c r="T172">
        <v>50</v>
      </c>
      <c r="U172">
        <v>215</v>
      </c>
      <c r="V172">
        <v>342</v>
      </c>
    </row>
    <row r="173" spans="1:22" x14ac:dyDescent="0.3">
      <c r="A173">
        <v>6</v>
      </c>
      <c r="B173" t="s">
        <v>172</v>
      </c>
      <c r="C173">
        <v>10</v>
      </c>
      <c r="D173" s="4">
        <f t="shared" si="44"/>
        <v>2079.5786431248516</v>
      </c>
      <c r="E173" s="4">
        <f t="shared" si="45"/>
        <v>60.034025494366382</v>
      </c>
      <c r="F173">
        <v>1.6</v>
      </c>
      <c r="G173" s="4">
        <f t="shared" si="46"/>
        <v>37.521265933978988</v>
      </c>
      <c r="H173" s="4">
        <f t="shared" si="47"/>
        <v>120.06805098873276</v>
      </c>
      <c r="I173">
        <v>35</v>
      </c>
      <c r="J173">
        <v>170</v>
      </c>
      <c r="K173">
        <v>126</v>
      </c>
      <c r="L173">
        <v>6</v>
      </c>
      <c r="M173" t="s">
        <v>172</v>
      </c>
      <c r="N173">
        <v>35</v>
      </c>
      <c r="O173" s="4">
        <f t="shared" si="48"/>
        <v>2079.5786431248516</v>
      </c>
      <c r="P173" s="4">
        <f t="shared" si="49"/>
        <v>17.15257871267611</v>
      </c>
      <c r="Q173">
        <v>1.6</v>
      </c>
      <c r="R173" s="4">
        <f t="shared" si="50"/>
        <v>10.720361695422568</v>
      </c>
      <c r="S173" s="4">
        <f t="shared" si="51"/>
        <v>34.30515742535222</v>
      </c>
      <c r="T173">
        <v>50</v>
      </c>
      <c r="U173">
        <v>215</v>
      </c>
      <c r="V173">
        <v>126</v>
      </c>
    </row>
    <row r="174" spans="1:22" x14ac:dyDescent="0.3">
      <c r="A174">
        <v>7</v>
      </c>
      <c r="B174" t="s">
        <v>173</v>
      </c>
      <c r="C174">
        <v>10</v>
      </c>
      <c r="D174" s="4">
        <f t="shared" si="44"/>
        <v>573.22105744120211</v>
      </c>
      <c r="E174" s="4">
        <f t="shared" si="45"/>
        <v>16.547952004653641</v>
      </c>
      <c r="F174">
        <v>1.6</v>
      </c>
      <c r="G174" s="4">
        <f t="shared" si="46"/>
        <v>10.342470002908525</v>
      </c>
      <c r="H174" s="4">
        <f t="shared" si="47"/>
        <v>33.095904009307283</v>
      </c>
      <c r="I174">
        <v>35</v>
      </c>
      <c r="J174">
        <v>170</v>
      </c>
      <c r="K174">
        <v>252</v>
      </c>
      <c r="L174">
        <v>7</v>
      </c>
      <c r="M174" t="s">
        <v>173</v>
      </c>
      <c r="N174">
        <v>35</v>
      </c>
      <c r="O174" s="4">
        <f t="shared" si="48"/>
        <v>573.22105744120211</v>
      </c>
      <c r="P174" s="4">
        <f t="shared" si="49"/>
        <v>4.7279862870438976</v>
      </c>
      <c r="Q174">
        <v>1.6</v>
      </c>
      <c r="R174" s="4">
        <f t="shared" si="50"/>
        <v>2.954991429402436</v>
      </c>
      <c r="S174" s="4">
        <f t="shared" si="51"/>
        <v>9.4559725740877951</v>
      </c>
      <c r="T174">
        <v>50</v>
      </c>
      <c r="U174">
        <v>215</v>
      </c>
      <c r="V174">
        <v>252</v>
      </c>
    </row>
    <row r="175" spans="1:22" x14ac:dyDescent="0.3">
      <c r="A175">
        <v>8</v>
      </c>
      <c r="B175" t="s">
        <v>174</v>
      </c>
      <c r="C175">
        <v>10</v>
      </c>
      <c r="D175" s="4">
        <f t="shared" si="44"/>
        <v>1155.9460274986207</v>
      </c>
      <c r="E175" s="4">
        <f t="shared" si="45"/>
        <v>33.370266382754636</v>
      </c>
      <c r="F175">
        <v>1.6</v>
      </c>
      <c r="G175" s="4">
        <f t="shared" si="46"/>
        <v>20.856416489221647</v>
      </c>
      <c r="H175" s="4">
        <f t="shared" si="47"/>
        <v>66.740532765509272</v>
      </c>
      <c r="I175">
        <v>35</v>
      </c>
      <c r="J175">
        <v>170</v>
      </c>
      <c r="K175">
        <v>234</v>
      </c>
      <c r="L175">
        <v>8</v>
      </c>
      <c r="M175" t="s">
        <v>174</v>
      </c>
      <c r="N175">
        <v>35</v>
      </c>
      <c r="O175" s="4">
        <f t="shared" si="48"/>
        <v>1155.9460274986207</v>
      </c>
      <c r="P175" s="4">
        <f t="shared" si="49"/>
        <v>9.5343618236441827</v>
      </c>
      <c r="Q175">
        <v>1.6</v>
      </c>
      <c r="R175" s="4">
        <f t="shared" si="50"/>
        <v>5.9589761397776142</v>
      </c>
      <c r="S175" s="4">
        <f t="shared" si="51"/>
        <v>19.068723647288365</v>
      </c>
      <c r="T175">
        <v>50</v>
      </c>
      <c r="U175">
        <v>215</v>
      </c>
      <c r="V175">
        <v>234</v>
      </c>
    </row>
    <row r="177" spans="1:20" x14ac:dyDescent="0.3">
      <c r="A177" t="s">
        <v>167</v>
      </c>
      <c r="B177" t="s">
        <v>165</v>
      </c>
      <c r="C177" t="s">
        <v>175</v>
      </c>
      <c r="D177" t="s">
        <v>178</v>
      </c>
      <c r="E177" t="s">
        <v>177</v>
      </c>
      <c r="F177" t="s">
        <v>181</v>
      </c>
      <c r="G177" t="s">
        <v>182</v>
      </c>
      <c r="H177" t="s">
        <v>183</v>
      </c>
      <c r="I177" t="s">
        <v>188</v>
      </c>
      <c r="L177" t="s">
        <v>167</v>
      </c>
      <c r="M177" t="s">
        <v>165</v>
      </c>
      <c r="N177" t="s">
        <v>175</v>
      </c>
      <c r="O177" t="s">
        <v>178</v>
      </c>
      <c r="P177" t="s">
        <v>177</v>
      </c>
      <c r="Q177" t="s">
        <v>181</v>
      </c>
      <c r="R177" t="s">
        <v>182</v>
      </c>
      <c r="S177" t="s">
        <v>183</v>
      </c>
      <c r="T177" t="s">
        <v>188</v>
      </c>
    </row>
    <row r="178" spans="1:20" x14ac:dyDescent="0.3">
      <c r="A178">
        <v>1</v>
      </c>
      <c r="B178" t="s">
        <v>373</v>
      </c>
      <c r="C178">
        <v>0.4</v>
      </c>
      <c r="D178" s="4">
        <f>D155</f>
        <v>322.54915223018338</v>
      </c>
      <c r="E178" s="4">
        <f>D178/(1.732*C178)</f>
        <v>465.57325668329003</v>
      </c>
      <c r="F178" s="4">
        <f>E178</f>
        <v>465.57325668329003</v>
      </c>
      <c r="G178">
        <v>185</v>
      </c>
      <c r="H178">
        <v>500</v>
      </c>
      <c r="I178">
        <v>162</v>
      </c>
      <c r="L178">
        <v>1</v>
      </c>
      <c r="M178" t="s">
        <v>373</v>
      </c>
      <c r="N178">
        <v>0.4</v>
      </c>
      <c r="O178" s="4">
        <f>O155</f>
        <v>322.54915223018338</v>
      </c>
      <c r="P178" s="4">
        <f>O178/(1.732*N178)</f>
        <v>465.57325668329003</v>
      </c>
      <c r="Q178" s="4">
        <f>P178</f>
        <v>465.57325668329003</v>
      </c>
      <c r="R178">
        <v>185</v>
      </c>
      <c r="S178">
        <v>500</v>
      </c>
      <c r="T178">
        <v>162</v>
      </c>
    </row>
    <row r="180" spans="1:20" x14ac:dyDescent="0.3">
      <c r="B180" t="s">
        <v>187</v>
      </c>
      <c r="M180" t="s">
        <v>187</v>
      </c>
    </row>
    <row r="181" spans="1:20" x14ac:dyDescent="0.3">
      <c r="B181" t="s">
        <v>191</v>
      </c>
      <c r="C181" t="s">
        <v>190</v>
      </c>
      <c r="D181" t="s">
        <v>193</v>
      </c>
      <c r="E181" t="s">
        <v>192</v>
      </c>
      <c r="F181" t="s">
        <v>196</v>
      </c>
      <c r="M181" t="s">
        <v>191</v>
      </c>
      <c r="N181" t="s">
        <v>190</v>
      </c>
      <c r="O181" t="s">
        <v>193</v>
      </c>
      <c r="P181" t="s">
        <v>192</v>
      </c>
      <c r="Q181" t="s">
        <v>196</v>
      </c>
    </row>
    <row r="182" spans="1:20" x14ac:dyDescent="0.3">
      <c r="B182" t="s">
        <v>194</v>
      </c>
      <c r="C182" t="s">
        <v>195</v>
      </c>
      <c r="D182">
        <v>7.0400000000000004E-2</v>
      </c>
      <c r="E182">
        <f>2*(K170+K173+K174+K175)</f>
        <v>1440</v>
      </c>
      <c r="F182">
        <f>E182*D182</f>
        <v>101.376</v>
      </c>
      <c r="H182" t="s">
        <v>194</v>
      </c>
      <c r="I182" t="s">
        <v>199</v>
      </c>
      <c r="J182">
        <v>8.8999999999999996E-2</v>
      </c>
      <c r="K182">
        <f>K168*2</f>
        <v>162</v>
      </c>
      <c r="M182" t="s">
        <v>203</v>
      </c>
      <c r="N182" t="s">
        <v>204</v>
      </c>
      <c r="O182">
        <v>0.152</v>
      </c>
      <c r="P182">
        <f>SUM(V168:V175)*2</f>
        <v>2736</v>
      </c>
      <c r="Q182">
        <f>P182*O182</f>
        <v>415.87200000000001</v>
      </c>
    </row>
    <row r="183" spans="1:20" x14ac:dyDescent="0.3">
      <c r="B183" t="s">
        <v>197</v>
      </c>
      <c r="C183" t="s">
        <v>198</v>
      </c>
      <c r="D183">
        <v>7.6799999999999993E-2</v>
      </c>
      <c r="E183">
        <f>(K169+K171+K172)*2</f>
        <v>1134</v>
      </c>
      <c r="F183">
        <f>E183*D183</f>
        <v>87.091199999999986</v>
      </c>
      <c r="K183">
        <f>K182*J182</f>
        <v>14.417999999999999</v>
      </c>
      <c r="M183" t="s">
        <v>201</v>
      </c>
      <c r="N183" t="s">
        <v>200</v>
      </c>
      <c r="O183">
        <v>8.6999999999999994E-2</v>
      </c>
      <c r="P183">
        <f>SUM(T177:T178)</f>
        <v>162</v>
      </c>
      <c r="Q183">
        <f>P183*O183</f>
        <v>14.093999999999999</v>
      </c>
    </row>
    <row r="184" spans="1:20" x14ac:dyDescent="0.3">
      <c r="B184" t="s">
        <v>201</v>
      </c>
      <c r="C184" t="s">
        <v>200</v>
      </c>
      <c r="D184">
        <v>8.6999999999999994E-2</v>
      </c>
      <c r="E184">
        <f>I178</f>
        <v>162</v>
      </c>
      <c r="F184">
        <f>E184*D184</f>
        <v>14.093999999999999</v>
      </c>
      <c r="M184" t="s">
        <v>202</v>
      </c>
      <c r="Q184">
        <f>SUM(Q182:Q183)</f>
        <v>429.96600000000001</v>
      </c>
    </row>
    <row r="185" spans="1:20" x14ac:dyDescent="0.3">
      <c r="B185" t="s">
        <v>202</v>
      </c>
      <c r="F185">
        <f>SUM(F182:F184)+K183</f>
        <v>216.97919999999999</v>
      </c>
    </row>
    <row r="188" spans="1:20" x14ac:dyDescent="0.3">
      <c r="B188" s="8" t="s">
        <v>207</v>
      </c>
    </row>
    <row r="189" spans="1:20" x14ac:dyDescent="0.3">
      <c r="B189" t="s">
        <v>208</v>
      </c>
      <c r="C189" t="s">
        <v>209</v>
      </c>
      <c r="D189" t="s">
        <v>210</v>
      </c>
      <c r="E189" t="s">
        <v>211</v>
      </c>
      <c r="G189" t="s">
        <v>213</v>
      </c>
      <c r="I189" t="s">
        <v>214</v>
      </c>
      <c r="K189" t="s">
        <v>215</v>
      </c>
    </row>
    <row r="190" spans="1:20" x14ac:dyDescent="0.3">
      <c r="E190" t="s">
        <v>212</v>
      </c>
      <c r="F190" t="s">
        <v>229</v>
      </c>
      <c r="G190" t="s">
        <v>212</v>
      </c>
      <c r="H190" t="s">
        <v>229</v>
      </c>
      <c r="I190" t="s">
        <v>212</v>
      </c>
      <c r="J190" t="s">
        <v>229</v>
      </c>
      <c r="K190" t="s">
        <v>212</v>
      </c>
      <c r="L190" t="s">
        <v>229</v>
      </c>
    </row>
    <row r="191" spans="1:20" x14ac:dyDescent="0.3">
      <c r="B191" t="s">
        <v>216</v>
      </c>
      <c r="C191" t="s">
        <v>217</v>
      </c>
      <c r="D191">
        <v>2300</v>
      </c>
      <c r="E191">
        <v>2</v>
      </c>
      <c r="F191">
        <f>E191*D191</f>
        <v>4600</v>
      </c>
      <c r="G191">
        <v>0</v>
      </c>
      <c r="H191">
        <f>G191*D191</f>
        <v>0</v>
      </c>
      <c r="I191">
        <v>2</v>
      </c>
      <c r="J191">
        <f>E191*D191</f>
        <v>4600</v>
      </c>
      <c r="K191">
        <v>0</v>
      </c>
      <c r="L191">
        <f>K191*D191</f>
        <v>0</v>
      </c>
    </row>
    <row r="192" spans="1:20" x14ac:dyDescent="0.3">
      <c r="B192" t="s">
        <v>218</v>
      </c>
      <c r="C192" t="s">
        <v>217</v>
      </c>
      <c r="D192">
        <v>510</v>
      </c>
      <c r="E192">
        <v>2</v>
      </c>
      <c r="F192">
        <f t="shared" ref="F192:F209" si="52">E192*D192</f>
        <v>1020</v>
      </c>
      <c r="G192">
        <v>0</v>
      </c>
      <c r="H192">
        <f>G192*D192</f>
        <v>0</v>
      </c>
      <c r="I192">
        <v>2</v>
      </c>
      <c r="J192">
        <f>I192*D192</f>
        <v>1020</v>
      </c>
      <c r="K192">
        <v>0</v>
      </c>
      <c r="L192">
        <f t="shared" ref="L192:L196" si="53">K192*D192</f>
        <v>0</v>
      </c>
    </row>
    <row r="193" spans="2:12" x14ac:dyDescent="0.3">
      <c r="B193" t="s">
        <v>219</v>
      </c>
      <c r="C193" t="s">
        <v>217</v>
      </c>
      <c r="D193">
        <v>456</v>
      </c>
      <c r="E193">
        <v>4</v>
      </c>
      <c r="F193">
        <f t="shared" si="52"/>
        <v>1824</v>
      </c>
      <c r="G193">
        <v>0</v>
      </c>
      <c r="H193">
        <f>G193*D193</f>
        <v>0</v>
      </c>
      <c r="I193">
        <v>2</v>
      </c>
      <c r="J193">
        <f t="shared" ref="J193:J209" si="54">I193*D193</f>
        <v>912</v>
      </c>
      <c r="K193">
        <v>0</v>
      </c>
      <c r="L193">
        <f t="shared" si="53"/>
        <v>0</v>
      </c>
    </row>
    <row r="194" spans="2:12" x14ac:dyDescent="0.3">
      <c r="B194" t="s">
        <v>220</v>
      </c>
      <c r="C194" t="s">
        <v>217</v>
      </c>
      <c r="D194">
        <v>385</v>
      </c>
      <c r="E194">
        <v>4</v>
      </c>
      <c r="F194">
        <f t="shared" si="52"/>
        <v>1540</v>
      </c>
      <c r="G194">
        <v>0</v>
      </c>
      <c r="H194">
        <f t="shared" ref="H194:H196" si="55">G194*D194</f>
        <v>0</v>
      </c>
      <c r="I194">
        <v>6</v>
      </c>
      <c r="J194">
        <f t="shared" si="54"/>
        <v>2310</v>
      </c>
      <c r="K194">
        <v>0</v>
      </c>
      <c r="L194">
        <f t="shared" si="53"/>
        <v>0</v>
      </c>
    </row>
    <row r="195" spans="2:12" x14ac:dyDescent="0.3">
      <c r="B195" t="s">
        <v>221</v>
      </c>
      <c r="C195" t="s">
        <v>217</v>
      </c>
      <c r="D195">
        <v>323</v>
      </c>
      <c r="E195">
        <v>2</v>
      </c>
      <c r="F195">
        <f t="shared" si="52"/>
        <v>646</v>
      </c>
      <c r="G195">
        <v>0</v>
      </c>
      <c r="H195">
        <f t="shared" si="55"/>
        <v>0</v>
      </c>
      <c r="I195">
        <v>2</v>
      </c>
      <c r="J195">
        <f t="shared" si="54"/>
        <v>646</v>
      </c>
      <c r="K195">
        <v>0</v>
      </c>
      <c r="L195">
        <f t="shared" si="53"/>
        <v>0</v>
      </c>
    </row>
    <row r="196" spans="2:12" x14ac:dyDescent="0.3">
      <c r="B196" t="s">
        <v>222</v>
      </c>
      <c r="C196" t="s">
        <v>217</v>
      </c>
      <c r="D196">
        <v>236</v>
      </c>
      <c r="E196">
        <v>2</v>
      </c>
      <c r="F196">
        <f t="shared" si="52"/>
        <v>472</v>
      </c>
      <c r="G196">
        <v>0</v>
      </c>
      <c r="H196">
        <f t="shared" si="55"/>
        <v>0</v>
      </c>
      <c r="I196">
        <v>3</v>
      </c>
      <c r="J196">
        <f t="shared" si="54"/>
        <v>708</v>
      </c>
      <c r="K196">
        <v>0</v>
      </c>
      <c r="L196">
        <f t="shared" si="53"/>
        <v>0</v>
      </c>
    </row>
    <row r="197" spans="2:12" x14ac:dyDescent="0.3">
      <c r="B197" t="s">
        <v>223</v>
      </c>
      <c r="C197" t="s">
        <v>217</v>
      </c>
      <c r="D197">
        <v>575</v>
      </c>
      <c r="E197">
        <v>0</v>
      </c>
      <c r="F197">
        <f t="shared" si="52"/>
        <v>0</v>
      </c>
      <c r="G197">
        <v>2</v>
      </c>
      <c r="H197">
        <f>G197*D197</f>
        <v>1150</v>
      </c>
      <c r="I197">
        <v>0</v>
      </c>
      <c r="J197">
        <f t="shared" si="54"/>
        <v>0</v>
      </c>
      <c r="K197">
        <v>2</v>
      </c>
      <c r="L197">
        <f>K197*D197</f>
        <v>1150</v>
      </c>
    </row>
    <row r="198" spans="2:12" x14ac:dyDescent="0.3">
      <c r="B198" t="s">
        <v>224</v>
      </c>
      <c r="C198" t="s">
        <v>217</v>
      </c>
      <c r="D198">
        <v>450</v>
      </c>
      <c r="E198">
        <v>0</v>
      </c>
      <c r="F198">
        <f t="shared" si="52"/>
        <v>0</v>
      </c>
      <c r="G198">
        <v>4</v>
      </c>
      <c r="H198">
        <f>G198*D198</f>
        <v>1800</v>
      </c>
      <c r="I198">
        <v>0</v>
      </c>
      <c r="J198">
        <f t="shared" si="54"/>
        <v>0</v>
      </c>
      <c r="K198">
        <v>2</v>
      </c>
      <c r="L198">
        <f t="shared" ref="L198:L209" si="56">K198*D198</f>
        <v>900</v>
      </c>
    </row>
    <row r="199" spans="2:12" x14ac:dyDescent="0.3">
      <c r="B199" t="s">
        <v>225</v>
      </c>
      <c r="C199" t="s">
        <v>217</v>
      </c>
      <c r="D199">
        <v>385</v>
      </c>
      <c r="E199">
        <v>0</v>
      </c>
      <c r="F199">
        <f t="shared" si="52"/>
        <v>0</v>
      </c>
      <c r="G199">
        <v>4</v>
      </c>
      <c r="H199">
        <f>G199*D199</f>
        <v>1540</v>
      </c>
      <c r="I199">
        <v>0</v>
      </c>
      <c r="J199">
        <f t="shared" si="54"/>
        <v>0</v>
      </c>
      <c r="K199">
        <v>6</v>
      </c>
      <c r="L199">
        <f t="shared" si="56"/>
        <v>2310</v>
      </c>
    </row>
    <row r="200" spans="2:12" x14ac:dyDescent="0.3">
      <c r="B200" t="s">
        <v>226</v>
      </c>
      <c r="C200" t="s">
        <v>217</v>
      </c>
      <c r="D200">
        <v>330</v>
      </c>
      <c r="E200">
        <v>0</v>
      </c>
      <c r="F200">
        <f t="shared" si="52"/>
        <v>0</v>
      </c>
      <c r="G200">
        <v>2</v>
      </c>
      <c r="H200">
        <f>G200*D200</f>
        <v>660</v>
      </c>
      <c r="I200">
        <v>0</v>
      </c>
      <c r="J200">
        <f t="shared" si="54"/>
        <v>0</v>
      </c>
      <c r="K200">
        <v>2</v>
      </c>
      <c r="L200">
        <f t="shared" si="56"/>
        <v>660</v>
      </c>
    </row>
    <row r="201" spans="2:12" x14ac:dyDescent="0.3">
      <c r="B201" t="s">
        <v>227</v>
      </c>
      <c r="C201" t="s">
        <v>217</v>
      </c>
      <c r="D201">
        <v>255</v>
      </c>
      <c r="E201">
        <v>0</v>
      </c>
      <c r="F201">
        <f t="shared" si="52"/>
        <v>0</v>
      </c>
      <c r="G201">
        <v>2</v>
      </c>
      <c r="H201">
        <f>G201*D201</f>
        <v>510</v>
      </c>
      <c r="I201">
        <v>0</v>
      </c>
      <c r="J201">
        <f t="shared" si="54"/>
        <v>0</v>
      </c>
      <c r="K201">
        <v>3</v>
      </c>
      <c r="L201">
        <f t="shared" si="56"/>
        <v>765</v>
      </c>
    </row>
    <row r="202" spans="2:12" x14ac:dyDescent="0.3">
      <c r="B202" t="s">
        <v>194</v>
      </c>
      <c r="C202" t="s">
        <v>228</v>
      </c>
      <c r="D202" s="4">
        <f t="shared" ref="D202:E205" si="57">D160</f>
        <v>7.0400000000000004E-2</v>
      </c>
      <c r="E202">
        <f t="shared" si="57"/>
        <v>936</v>
      </c>
      <c r="F202" s="4">
        <f>E202*D202</f>
        <v>65.894400000000005</v>
      </c>
      <c r="G202">
        <v>0</v>
      </c>
      <c r="H202">
        <f t="shared" ref="H202:H209" si="58">G202*D202</f>
        <v>0</v>
      </c>
      <c r="I202">
        <f>E182</f>
        <v>1440</v>
      </c>
      <c r="J202" s="4">
        <f t="shared" si="54"/>
        <v>101.376</v>
      </c>
      <c r="K202">
        <v>0</v>
      </c>
      <c r="L202">
        <f t="shared" si="56"/>
        <v>0</v>
      </c>
    </row>
    <row r="203" spans="2:12" x14ac:dyDescent="0.3">
      <c r="B203" t="s">
        <v>197</v>
      </c>
      <c r="C203" t="s">
        <v>228</v>
      </c>
      <c r="D203" s="4">
        <f t="shared" si="57"/>
        <v>7.6799999999999993E-2</v>
      </c>
      <c r="E203">
        <f t="shared" si="57"/>
        <v>1134</v>
      </c>
      <c r="F203" s="4">
        <f t="shared" ref="F203:F205" si="59">E203*D203</f>
        <v>87.091199999999986</v>
      </c>
      <c r="G203">
        <v>0</v>
      </c>
      <c r="H203">
        <f t="shared" si="58"/>
        <v>0</v>
      </c>
      <c r="I203">
        <f>E183</f>
        <v>1134</v>
      </c>
      <c r="J203" s="4">
        <f t="shared" si="54"/>
        <v>87.091199999999986</v>
      </c>
      <c r="K203">
        <v>0</v>
      </c>
      <c r="L203">
        <f t="shared" si="56"/>
        <v>0</v>
      </c>
    </row>
    <row r="204" spans="2:12" x14ac:dyDescent="0.3">
      <c r="B204" t="s">
        <v>189</v>
      </c>
      <c r="C204" t="s">
        <v>228</v>
      </c>
      <c r="D204" s="4">
        <f t="shared" si="57"/>
        <v>8.8999999999999996E-2</v>
      </c>
      <c r="E204">
        <f t="shared" si="57"/>
        <v>162</v>
      </c>
      <c r="F204" s="4">
        <f t="shared" si="59"/>
        <v>14.417999999999999</v>
      </c>
      <c r="G204">
        <v>0</v>
      </c>
      <c r="H204">
        <f t="shared" si="58"/>
        <v>0</v>
      </c>
      <c r="I204">
        <v>162</v>
      </c>
      <c r="J204">
        <f t="shared" si="54"/>
        <v>14.417999999999999</v>
      </c>
      <c r="K204">
        <v>0</v>
      </c>
      <c r="L204">
        <f t="shared" si="56"/>
        <v>0</v>
      </c>
    </row>
    <row r="205" spans="2:12" x14ac:dyDescent="0.3">
      <c r="B205" t="s">
        <v>201</v>
      </c>
      <c r="C205" t="s">
        <v>228</v>
      </c>
      <c r="D205" s="4">
        <f t="shared" si="57"/>
        <v>8.6999999999999994E-2</v>
      </c>
      <c r="E205">
        <f t="shared" si="57"/>
        <v>297</v>
      </c>
      <c r="F205" s="4">
        <f t="shared" si="59"/>
        <v>25.838999999999999</v>
      </c>
      <c r="G205">
        <v>0</v>
      </c>
      <c r="H205">
        <f t="shared" si="58"/>
        <v>0</v>
      </c>
      <c r="I205">
        <f>E184</f>
        <v>162</v>
      </c>
      <c r="J205">
        <f t="shared" si="54"/>
        <v>14.093999999999999</v>
      </c>
      <c r="K205">
        <v>0</v>
      </c>
      <c r="L205">
        <f t="shared" si="56"/>
        <v>0</v>
      </c>
    </row>
    <row r="206" spans="2:12" x14ac:dyDescent="0.3">
      <c r="B206" t="s">
        <v>203</v>
      </c>
      <c r="C206" t="s">
        <v>228</v>
      </c>
      <c r="D206" s="4">
        <f>O182</f>
        <v>0.152</v>
      </c>
      <c r="E206">
        <v>0</v>
      </c>
      <c r="F206">
        <f t="shared" si="52"/>
        <v>0</v>
      </c>
      <c r="G206">
        <f>P160</f>
        <v>2232</v>
      </c>
      <c r="H206" s="4">
        <f t="shared" si="58"/>
        <v>339.26400000000001</v>
      </c>
      <c r="I206">
        <v>0</v>
      </c>
      <c r="J206">
        <f t="shared" si="54"/>
        <v>0</v>
      </c>
      <c r="K206">
        <f>P182</f>
        <v>2736</v>
      </c>
      <c r="L206" s="4">
        <f t="shared" si="56"/>
        <v>415.87200000000001</v>
      </c>
    </row>
    <row r="207" spans="2:12" x14ac:dyDescent="0.3">
      <c r="B207" t="s">
        <v>201</v>
      </c>
      <c r="C207" t="s">
        <v>228</v>
      </c>
      <c r="D207" s="4">
        <f>O183</f>
        <v>8.6999999999999994E-2</v>
      </c>
      <c r="E207">
        <v>0</v>
      </c>
      <c r="F207">
        <f t="shared" si="52"/>
        <v>0</v>
      </c>
      <c r="G207">
        <f>P161</f>
        <v>297</v>
      </c>
      <c r="H207" s="4">
        <f t="shared" si="58"/>
        <v>25.838999999999999</v>
      </c>
      <c r="I207">
        <v>0</v>
      </c>
      <c r="J207">
        <f t="shared" si="54"/>
        <v>0</v>
      </c>
      <c r="K207">
        <f>P183</f>
        <v>162</v>
      </c>
      <c r="L207" s="4">
        <f t="shared" si="56"/>
        <v>14.093999999999999</v>
      </c>
    </row>
    <row r="208" spans="2:12" x14ac:dyDescent="0.3">
      <c r="B208" t="s">
        <v>230</v>
      </c>
      <c r="C208" t="s">
        <v>217</v>
      </c>
      <c r="D208">
        <v>395</v>
      </c>
      <c r="E208">
        <v>3</v>
      </c>
      <c r="F208">
        <f t="shared" si="52"/>
        <v>1185</v>
      </c>
      <c r="G208">
        <v>17</v>
      </c>
      <c r="H208">
        <f t="shared" si="58"/>
        <v>6715</v>
      </c>
      <c r="I208">
        <v>3</v>
      </c>
      <c r="J208">
        <f t="shared" si="54"/>
        <v>1185</v>
      </c>
      <c r="K208">
        <v>18</v>
      </c>
      <c r="L208">
        <f t="shared" si="56"/>
        <v>7110</v>
      </c>
    </row>
    <row r="209" spans="2:19" x14ac:dyDescent="0.3">
      <c r="B209" t="s">
        <v>231</v>
      </c>
      <c r="C209" t="s">
        <v>217</v>
      </c>
      <c r="D209">
        <v>250</v>
      </c>
      <c r="E209">
        <v>14</v>
      </c>
      <c r="F209">
        <f t="shared" si="52"/>
        <v>3500</v>
      </c>
      <c r="G209">
        <v>0</v>
      </c>
      <c r="H209">
        <f t="shared" si="58"/>
        <v>0</v>
      </c>
      <c r="I209">
        <v>15</v>
      </c>
      <c r="J209">
        <f t="shared" si="54"/>
        <v>3750</v>
      </c>
      <c r="K209">
        <v>0</v>
      </c>
      <c r="L209">
        <f t="shared" si="56"/>
        <v>0</v>
      </c>
    </row>
    <row r="210" spans="2:19" x14ac:dyDescent="0.3">
      <c r="B210" t="s">
        <v>202</v>
      </c>
      <c r="F210" s="5">
        <f>SUM(F191:F209)</f>
        <v>14980.2426</v>
      </c>
      <c r="H210" s="5">
        <f>SUM(H191:H209)</f>
        <v>12740.102999999999</v>
      </c>
      <c r="J210" s="5">
        <f>SUM(J191:J209)</f>
        <v>15347.9792</v>
      </c>
      <c r="L210" s="5">
        <f>SUM(L191:L209)</f>
        <v>13324.966</v>
      </c>
    </row>
    <row r="213" spans="2:19" x14ac:dyDescent="0.3">
      <c r="B213" s="8" t="s">
        <v>232</v>
      </c>
    </row>
    <row r="215" spans="2:19" x14ac:dyDescent="0.3">
      <c r="B215" t="s">
        <v>211</v>
      </c>
      <c r="L215" t="s">
        <v>213</v>
      </c>
    </row>
    <row r="216" spans="2:19" x14ac:dyDescent="0.3">
      <c r="B216" t="s">
        <v>165</v>
      </c>
      <c r="C216" t="s">
        <v>175</v>
      </c>
      <c r="D216" t="s">
        <v>233</v>
      </c>
      <c r="E216" t="s">
        <v>234</v>
      </c>
      <c r="F216" t="s">
        <v>236</v>
      </c>
      <c r="G216" t="s">
        <v>188</v>
      </c>
      <c r="H216" t="s">
        <v>235</v>
      </c>
      <c r="I216" s="2" t="s">
        <v>237</v>
      </c>
      <c r="L216" t="s">
        <v>165</v>
      </c>
      <c r="M216" t="s">
        <v>239</v>
      </c>
      <c r="N216" t="s">
        <v>234</v>
      </c>
      <c r="O216" t="s">
        <v>233</v>
      </c>
      <c r="P216" t="s">
        <v>236</v>
      </c>
      <c r="Q216" t="s">
        <v>188</v>
      </c>
      <c r="R216" t="s">
        <v>235</v>
      </c>
      <c r="S216" s="2" t="s">
        <v>237</v>
      </c>
    </row>
    <row r="217" spans="2:19" x14ac:dyDescent="0.3">
      <c r="B217" t="s">
        <v>166</v>
      </c>
      <c r="C217">
        <v>10</v>
      </c>
      <c r="D217">
        <v>70</v>
      </c>
      <c r="E217" s="4">
        <f>D146</f>
        <v>3313.0276885435542</v>
      </c>
      <c r="F217">
        <v>0.42</v>
      </c>
      <c r="G217">
        <v>81</v>
      </c>
      <c r="H217" s="6">
        <f>F217*G217/1000</f>
        <v>3.4019999999999995E-2</v>
      </c>
      <c r="I217" s="4">
        <f>E217^2/C217^2*H217*1.36</f>
        <v>5078.3584133125032</v>
      </c>
      <c r="L217" t="s">
        <v>166</v>
      </c>
      <c r="M217">
        <v>35</v>
      </c>
      <c r="N217" s="4">
        <f>O146</f>
        <v>3313.0276885435542</v>
      </c>
      <c r="O217">
        <v>50</v>
      </c>
      <c r="P217">
        <v>0.57999999999999996</v>
      </c>
      <c r="Q217">
        <v>81</v>
      </c>
      <c r="R217" s="6">
        <f>Q217*P217/1000</f>
        <v>4.6979999999999994E-2</v>
      </c>
      <c r="S217" s="4">
        <f>N217^2/M217^2*R217*1.36</f>
        <v>572.48744017905767</v>
      </c>
    </row>
    <row r="218" spans="2:19" x14ac:dyDescent="0.3">
      <c r="B218" t="s">
        <v>168</v>
      </c>
      <c r="C218">
        <v>10</v>
      </c>
      <c r="D218">
        <v>50</v>
      </c>
      <c r="E218" s="4">
        <f t="shared" ref="E218:E223" si="60">D147</f>
        <v>2887.6763440740724</v>
      </c>
      <c r="F218">
        <v>0.57999999999999996</v>
      </c>
      <c r="G218">
        <v>135</v>
      </c>
      <c r="H218" s="6">
        <f t="shared" ref="H218:H225" si="61">F218*G218/1000</f>
        <v>7.8299999999999995E-2</v>
      </c>
      <c r="I218" s="4">
        <f t="shared" ref="I218:I225" si="62">E218^2/C218^2*H218*1.36</f>
        <v>8879.68788059295</v>
      </c>
      <c r="L218" t="s">
        <v>168</v>
      </c>
      <c r="M218">
        <v>35</v>
      </c>
      <c r="N218" s="4">
        <f t="shared" ref="N218:N223" si="63">O147</f>
        <v>2887.6763440740724</v>
      </c>
      <c r="O218">
        <v>50</v>
      </c>
      <c r="P218">
        <v>0.57999999999999996</v>
      </c>
      <c r="Q218">
        <v>135</v>
      </c>
      <c r="R218" s="6">
        <f t="shared" ref="R218:R225" si="64">Q218*P218/1000</f>
        <v>7.8299999999999995E-2</v>
      </c>
      <c r="S218" s="4">
        <f t="shared" ref="S218:S225" si="65">N218^2/M218^2*R218*1.36</f>
        <v>724.87248004840421</v>
      </c>
    </row>
    <row r="219" spans="2:19" x14ac:dyDescent="0.3">
      <c r="B219" t="s">
        <v>169</v>
      </c>
      <c r="C219">
        <v>10</v>
      </c>
      <c r="D219">
        <v>35</v>
      </c>
      <c r="E219" s="4">
        <f t="shared" si="60"/>
        <v>1970.5919330811303</v>
      </c>
      <c r="F219">
        <v>0.83</v>
      </c>
      <c r="G219">
        <v>108</v>
      </c>
      <c r="H219" s="6">
        <f t="shared" si="61"/>
        <v>8.9639999999999997E-2</v>
      </c>
      <c r="I219" s="4">
        <f t="shared" si="62"/>
        <v>4734.0643550240147</v>
      </c>
      <c r="L219" t="s">
        <v>169</v>
      </c>
      <c r="M219">
        <v>35</v>
      </c>
      <c r="N219" s="4">
        <f t="shared" si="63"/>
        <v>1970.5919330811303</v>
      </c>
      <c r="O219">
        <v>50</v>
      </c>
      <c r="P219">
        <v>0.57999999999999996</v>
      </c>
      <c r="Q219">
        <v>108</v>
      </c>
      <c r="R219" s="6">
        <f t="shared" si="64"/>
        <v>6.2639999999999987E-2</v>
      </c>
      <c r="S219" s="4">
        <f t="shared" si="65"/>
        <v>270.0523556345147</v>
      </c>
    </row>
    <row r="220" spans="2:19" x14ac:dyDescent="0.3">
      <c r="B220" t="s">
        <v>170</v>
      </c>
      <c r="C220">
        <v>10</v>
      </c>
      <c r="D220">
        <v>50</v>
      </c>
      <c r="E220" s="4">
        <f t="shared" si="60"/>
        <v>2333.4835687259642</v>
      </c>
      <c r="F220">
        <v>0.57999999999999996</v>
      </c>
      <c r="G220">
        <v>90</v>
      </c>
      <c r="H220" s="6">
        <f t="shared" si="61"/>
        <v>5.2199999999999996E-2</v>
      </c>
      <c r="I220" s="4">
        <f t="shared" si="62"/>
        <v>3865.6177398697423</v>
      </c>
      <c r="L220" t="s">
        <v>170</v>
      </c>
      <c r="M220">
        <v>35</v>
      </c>
      <c r="N220" s="4">
        <f t="shared" si="63"/>
        <v>2333.4835687259642</v>
      </c>
      <c r="O220">
        <v>50</v>
      </c>
      <c r="P220">
        <v>0.57999999999999996</v>
      </c>
      <c r="Q220">
        <v>90</v>
      </c>
      <c r="R220" s="6">
        <f t="shared" si="64"/>
        <v>5.2199999999999996E-2</v>
      </c>
      <c r="S220" s="4">
        <f t="shared" si="65"/>
        <v>315.56063182610143</v>
      </c>
    </row>
    <row r="221" spans="2:19" x14ac:dyDescent="0.3">
      <c r="B221" t="s">
        <v>171</v>
      </c>
      <c r="C221">
        <v>10</v>
      </c>
      <c r="D221">
        <v>50</v>
      </c>
      <c r="E221" s="4">
        <f t="shared" si="60"/>
        <v>2774.6085891688085</v>
      </c>
      <c r="F221">
        <v>0.57999999999999996</v>
      </c>
      <c r="G221">
        <v>342</v>
      </c>
      <c r="H221" s="6">
        <f t="shared" si="61"/>
        <v>0.19835999999999998</v>
      </c>
      <c r="I221" s="4">
        <f t="shared" si="62"/>
        <v>20768.085387036779</v>
      </c>
      <c r="L221" t="s">
        <v>171</v>
      </c>
      <c r="M221">
        <v>35</v>
      </c>
      <c r="N221" s="4">
        <f t="shared" si="63"/>
        <v>2774.6085891688085</v>
      </c>
      <c r="O221">
        <v>50</v>
      </c>
      <c r="P221">
        <v>0.57999999999999996</v>
      </c>
      <c r="Q221">
        <v>342</v>
      </c>
      <c r="R221" s="6">
        <f t="shared" si="64"/>
        <v>0.19835999999999998</v>
      </c>
      <c r="S221" s="4">
        <f t="shared" si="65"/>
        <v>1695.3539091458599</v>
      </c>
    </row>
    <row r="222" spans="2:19" x14ac:dyDescent="0.3">
      <c r="B222" t="s">
        <v>172</v>
      </c>
      <c r="C222">
        <v>10</v>
      </c>
      <c r="D222">
        <v>35</v>
      </c>
      <c r="E222" s="4">
        <f t="shared" si="60"/>
        <v>2079.5786431248516</v>
      </c>
      <c r="F222">
        <v>0.83</v>
      </c>
      <c r="G222">
        <v>126</v>
      </c>
      <c r="H222" s="6">
        <f t="shared" si="61"/>
        <v>0.10457999999999999</v>
      </c>
      <c r="I222" s="4">
        <f t="shared" si="62"/>
        <v>6150.8940058739872</v>
      </c>
      <c r="L222" t="s">
        <v>172</v>
      </c>
      <c r="M222">
        <v>35</v>
      </c>
      <c r="N222" s="4">
        <f t="shared" si="63"/>
        <v>2079.5786431248516</v>
      </c>
      <c r="O222">
        <v>50</v>
      </c>
      <c r="P222">
        <v>0.57999999999999996</v>
      </c>
      <c r="Q222">
        <v>126</v>
      </c>
      <c r="R222" s="6">
        <f t="shared" si="64"/>
        <v>7.3079999999999992E-2</v>
      </c>
      <c r="S222" s="4">
        <f t="shared" si="65"/>
        <v>350.87470109731134</v>
      </c>
    </row>
    <row r="223" spans="2:19" x14ac:dyDescent="0.3">
      <c r="B223" t="s">
        <v>173</v>
      </c>
      <c r="C223">
        <v>10</v>
      </c>
      <c r="D223">
        <v>35</v>
      </c>
      <c r="E223" s="4">
        <f t="shared" si="60"/>
        <v>1155.9460274986207</v>
      </c>
      <c r="F223">
        <v>0.83</v>
      </c>
      <c r="G223">
        <v>234</v>
      </c>
      <c r="H223" s="6">
        <f t="shared" si="61"/>
        <v>0.19422</v>
      </c>
      <c r="I223" s="4">
        <f t="shared" si="62"/>
        <v>3529.4576228293208</v>
      </c>
      <c r="L223" t="s">
        <v>173</v>
      </c>
      <c r="M223">
        <v>35</v>
      </c>
      <c r="N223" s="4">
        <f t="shared" si="63"/>
        <v>1155.9460274986207</v>
      </c>
      <c r="O223">
        <v>50</v>
      </c>
      <c r="P223">
        <v>0.57999999999999996</v>
      </c>
      <c r="Q223">
        <v>234</v>
      </c>
      <c r="R223" s="6">
        <f t="shared" si="64"/>
        <v>0.13572000000000001</v>
      </c>
      <c r="S223" s="4">
        <f t="shared" si="65"/>
        <v>201.33616142031042</v>
      </c>
    </row>
    <row r="224" spans="2:19" x14ac:dyDescent="0.3">
      <c r="B224" t="s">
        <v>184</v>
      </c>
      <c r="C224">
        <v>0.4</v>
      </c>
      <c r="D224">
        <v>185</v>
      </c>
      <c r="E224" s="4">
        <f>D155</f>
        <v>322.54915223018338</v>
      </c>
      <c r="F224">
        <v>0.16</v>
      </c>
      <c r="G224">
        <v>45</v>
      </c>
      <c r="H224" s="6">
        <f t="shared" si="61"/>
        <v>7.1999999999999998E-3</v>
      </c>
      <c r="I224" s="4">
        <f t="shared" si="62"/>
        <v>6367.1228829898928</v>
      </c>
      <c r="L224" t="s">
        <v>184</v>
      </c>
      <c r="M224">
        <v>0.4</v>
      </c>
      <c r="N224" s="4">
        <f>O155</f>
        <v>322.54915223018338</v>
      </c>
      <c r="O224">
        <v>185</v>
      </c>
      <c r="P224">
        <v>0.16</v>
      </c>
      <c r="Q224">
        <v>45</v>
      </c>
      <c r="R224" s="6">
        <f t="shared" si="64"/>
        <v>7.1999999999999998E-3</v>
      </c>
      <c r="S224" s="4">
        <f t="shared" si="65"/>
        <v>6367.1228829898928</v>
      </c>
    </row>
    <row r="225" spans="2:19" x14ac:dyDescent="0.3">
      <c r="B225" t="s">
        <v>185</v>
      </c>
      <c r="C225">
        <v>0.4</v>
      </c>
      <c r="D225">
        <v>185</v>
      </c>
      <c r="E225" s="4">
        <f>D156</f>
        <v>334.87819931328562</v>
      </c>
      <c r="F225">
        <v>0.16</v>
      </c>
      <c r="G225">
        <v>252</v>
      </c>
      <c r="H225" s="6">
        <f t="shared" si="61"/>
        <v>4.0320000000000002E-2</v>
      </c>
      <c r="I225" s="4">
        <f t="shared" si="62"/>
        <v>38433.788918385777</v>
      </c>
      <c r="L225" t="s">
        <v>185</v>
      </c>
      <c r="M225">
        <v>0.4</v>
      </c>
      <c r="N225" s="4">
        <f>O156</f>
        <v>334.87819931328562</v>
      </c>
      <c r="O225">
        <v>185</v>
      </c>
      <c r="P225">
        <v>0.16</v>
      </c>
      <c r="Q225">
        <v>252</v>
      </c>
      <c r="R225" s="6">
        <f t="shared" si="64"/>
        <v>4.0320000000000002E-2</v>
      </c>
      <c r="S225" s="4">
        <f t="shared" si="65"/>
        <v>38433.788918385777</v>
      </c>
    </row>
    <row r="226" spans="2:19" x14ac:dyDescent="0.3">
      <c r="B226" t="s">
        <v>238</v>
      </c>
      <c r="I226" s="4">
        <f>SUM(I217:I225)</f>
        <v>97807.077205914975</v>
      </c>
      <c r="L226" t="s">
        <v>202</v>
      </c>
      <c r="S226" s="4">
        <f>SUM(S217:S225)</f>
        <v>48931.449480727228</v>
      </c>
    </row>
    <row r="228" spans="2:19" x14ac:dyDescent="0.3">
      <c r="B228" t="s">
        <v>214</v>
      </c>
      <c r="L228" t="s">
        <v>215</v>
      </c>
    </row>
    <row r="229" spans="2:19" x14ac:dyDescent="0.3">
      <c r="B229" t="s">
        <v>165</v>
      </c>
      <c r="C229" t="s">
        <v>175</v>
      </c>
      <c r="D229" t="s">
        <v>233</v>
      </c>
      <c r="E229" t="s">
        <v>234</v>
      </c>
      <c r="F229" t="s">
        <v>236</v>
      </c>
      <c r="G229" t="s">
        <v>188</v>
      </c>
      <c r="H229" t="s">
        <v>235</v>
      </c>
      <c r="I229" s="2" t="s">
        <v>237</v>
      </c>
      <c r="L229" t="s">
        <v>165</v>
      </c>
      <c r="M229" t="s">
        <v>175</v>
      </c>
      <c r="N229" t="s">
        <v>233</v>
      </c>
      <c r="O229" t="s">
        <v>234</v>
      </c>
      <c r="P229" t="s">
        <v>236</v>
      </c>
      <c r="Q229" t="s">
        <v>188</v>
      </c>
      <c r="R229" t="s">
        <v>235</v>
      </c>
      <c r="S229" s="2" t="s">
        <v>237</v>
      </c>
    </row>
    <row r="230" spans="2:19" x14ac:dyDescent="0.3">
      <c r="B230" t="s">
        <v>166</v>
      </c>
      <c r="C230">
        <v>10</v>
      </c>
      <c r="D230">
        <v>70</v>
      </c>
      <c r="E230" s="4">
        <f>D168</f>
        <v>3313.0276885435542</v>
      </c>
      <c r="F230">
        <v>0.42</v>
      </c>
      <c r="G230">
        <v>81</v>
      </c>
      <c r="H230">
        <f>G230*F230/1000</f>
        <v>3.4019999999999995E-2</v>
      </c>
      <c r="I230" s="4">
        <f>E230^2/C230^2*H230*1.36</f>
        <v>5078.3584133125032</v>
      </c>
      <c r="L230" t="s">
        <v>166</v>
      </c>
      <c r="M230">
        <v>35</v>
      </c>
      <c r="N230">
        <v>50</v>
      </c>
      <c r="O230" s="4">
        <f>E230</f>
        <v>3313.0276885435542</v>
      </c>
      <c r="P230">
        <v>0.57999999999999996</v>
      </c>
      <c r="Q230">
        <f>G230</f>
        <v>81</v>
      </c>
      <c r="R230" s="7">
        <f>Q230*P230/1000</f>
        <v>4.6979999999999994E-2</v>
      </c>
      <c r="S230" s="4">
        <f>O230^2/M230^2*R230*1.36</f>
        <v>572.48744017905767</v>
      </c>
    </row>
    <row r="231" spans="2:19" x14ac:dyDescent="0.3">
      <c r="B231" t="s">
        <v>168</v>
      </c>
      <c r="C231">
        <v>10</v>
      </c>
      <c r="D231">
        <v>50</v>
      </c>
      <c r="E231" s="4">
        <f t="shared" ref="E231:E237" si="66">D169</f>
        <v>2887.6763440740724</v>
      </c>
      <c r="F231">
        <v>0.57999999999999996</v>
      </c>
      <c r="G231">
        <v>135</v>
      </c>
      <c r="H231">
        <f t="shared" ref="H231:H238" si="67">G231*F231/1000</f>
        <v>7.8299999999999995E-2</v>
      </c>
      <c r="I231" s="4">
        <f t="shared" ref="I231:I238" si="68">E231^2/C231^2*H231*1.36</f>
        <v>8879.68788059295</v>
      </c>
      <c r="L231" t="s">
        <v>168</v>
      </c>
      <c r="M231">
        <v>35</v>
      </c>
      <c r="N231">
        <v>50</v>
      </c>
      <c r="O231" s="4">
        <f t="shared" ref="O231:O238" si="69">E231</f>
        <v>2887.6763440740724</v>
      </c>
      <c r="P231">
        <v>0.57999999999999996</v>
      </c>
      <c r="Q231">
        <f t="shared" ref="Q231:Q238" si="70">G231</f>
        <v>135</v>
      </c>
      <c r="R231" s="7">
        <f t="shared" ref="R231:R238" si="71">Q231*P231/1000</f>
        <v>7.8299999999999995E-2</v>
      </c>
      <c r="S231" s="4">
        <f t="shared" ref="S231:S238" si="72">O231^2/M231^2*R231*1.36</f>
        <v>724.87248004840421</v>
      </c>
    </row>
    <row r="232" spans="2:19" x14ac:dyDescent="0.3">
      <c r="B232" t="s">
        <v>169</v>
      </c>
      <c r="C232">
        <v>10</v>
      </c>
      <c r="D232">
        <v>35</v>
      </c>
      <c r="E232" s="4">
        <f t="shared" si="66"/>
        <v>1644.7492497381056</v>
      </c>
      <c r="F232">
        <v>0.83</v>
      </c>
      <c r="G232">
        <v>108</v>
      </c>
      <c r="H232">
        <f t="shared" si="67"/>
        <v>8.9639999999999997E-2</v>
      </c>
      <c r="I232" s="4">
        <f t="shared" si="68"/>
        <v>3297.9202560224699</v>
      </c>
      <c r="L232" t="s">
        <v>169</v>
      </c>
      <c r="M232">
        <v>35</v>
      </c>
      <c r="N232">
        <v>50</v>
      </c>
      <c r="O232" s="4">
        <f t="shared" si="69"/>
        <v>1644.7492497381056</v>
      </c>
      <c r="P232">
        <v>0.57999999999999996</v>
      </c>
      <c r="Q232">
        <f t="shared" si="70"/>
        <v>108</v>
      </c>
      <c r="R232" s="7">
        <f t="shared" si="71"/>
        <v>6.2639999999999987E-2</v>
      </c>
      <c r="S232" s="4">
        <f t="shared" si="72"/>
        <v>188.12822704627811</v>
      </c>
    </row>
    <row r="233" spans="2:19" x14ac:dyDescent="0.3">
      <c r="B233" t="s">
        <v>170</v>
      </c>
      <c r="C233">
        <v>10</v>
      </c>
      <c r="D233">
        <v>50</v>
      </c>
      <c r="E233" s="4">
        <f t="shared" si="66"/>
        <v>2333.4835687259642</v>
      </c>
      <c r="F233">
        <v>0.57999999999999996</v>
      </c>
      <c r="G233">
        <v>90</v>
      </c>
      <c r="H233">
        <f t="shared" si="67"/>
        <v>5.2199999999999996E-2</v>
      </c>
      <c r="I233" s="4">
        <f t="shared" si="68"/>
        <v>3865.6177398697423</v>
      </c>
      <c r="L233" t="s">
        <v>170</v>
      </c>
      <c r="M233">
        <v>35</v>
      </c>
      <c r="N233">
        <v>50</v>
      </c>
      <c r="O233" s="4">
        <f t="shared" si="69"/>
        <v>2333.4835687259642</v>
      </c>
      <c r="P233">
        <v>0.57999999999999996</v>
      </c>
      <c r="Q233">
        <f t="shared" si="70"/>
        <v>90</v>
      </c>
      <c r="R233" s="7">
        <f t="shared" si="71"/>
        <v>5.2199999999999996E-2</v>
      </c>
      <c r="S233" s="4">
        <f t="shared" si="72"/>
        <v>315.56063182610143</v>
      </c>
    </row>
    <row r="234" spans="2:19" x14ac:dyDescent="0.3">
      <c r="B234" t="s">
        <v>171</v>
      </c>
      <c r="C234">
        <v>10</v>
      </c>
      <c r="D234">
        <v>50</v>
      </c>
      <c r="E234" s="4">
        <f t="shared" si="66"/>
        <v>2460.5237762810057</v>
      </c>
      <c r="F234">
        <v>0.57999999999999996</v>
      </c>
      <c r="G234">
        <v>342</v>
      </c>
      <c r="H234">
        <f t="shared" si="67"/>
        <v>0.19835999999999998</v>
      </c>
      <c r="I234" s="4">
        <f t="shared" si="68"/>
        <v>16332.329760446783</v>
      </c>
      <c r="L234" t="s">
        <v>171</v>
      </c>
      <c r="M234">
        <v>35</v>
      </c>
      <c r="N234">
        <v>50</v>
      </c>
      <c r="O234" s="4">
        <f t="shared" si="69"/>
        <v>2460.5237762810057</v>
      </c>
      <c r="P234">
        <v>0.57999999999999996</v>
      </c>
      <c r="Q234">
        <f t="shared" si="70"/>
        <v>342</v>
      </c>
      <c r="R234" s="7">
        <f t="shared" si="71"/>
        <v>0.19835999999999998</v>
      </c>
      <c r="S234" s="4">
        <f t="shared" si="72"/>
        <v>1333.2514090160639</v>
      </c>
    </row>
    <row r="235" spans="2:19" x14ac:dyDescent="0.3">
      <c r="B235" t="s">
        <v>172</v>
      </c>
      <c r="C235">
        <v>10</v>
      </c>
      <c r="D235">
        <v>35</v>
      </c>
      <c r="E235" s="4">
        <f t="shared" si="66"/>
        <v>2079.5786431248516</v>
      </c>
      <c r="F235">
        <v>0.83</v>
      </c>
      <c r="G235">
        <v>126</v>
      </c>
      <c r="H235">
        <f t="shared" si="67"/>
        <v>0.10457999999999999</v>
      </c>
      <c r="I235" s="4">
        <f t="shared" si="68"/>
        <v>6150.8940058739872</v>
      </c>
      <c r="L235" t="s">
        <v>172</v>
      </c>
      <c r="M235">
        <v>35</v>
      </c>
      <c r="N235">
        <v>50</v>
      </c>
      <c r="O235" s="4">
        <f t="shared" si="69"/>
        <v>2079.5786431248516</v>
      </c>
      <c r="P235">
        <v>0.57999999999999996</v>
      </c>
      <c r="Q235">
        <f t="shared" si="70"/>
        <v>126</v>
      </c>
      <c r="R235" s="7">
        <f t="shared" si="71"/>
        <v>7.3079999999999992E-2</v>
      </c>
      <c r="S235" s="4">
        <f t="shared" si="72"/>
        <v>350.87470109731134</v>
      </c>
    </row>
    <row r="236" spans="2:19" x14ac:dyDescent="0.3">
      <c r="B236" t="s">
        <v>173</v>
      </c>
      <c r="C236">
        <v>10</v>
      </c>
      <c r="D236">
        <v>35</v>
      </c>
      <c r="E236" s="4">
        <f t="shared" si="66"/>
        <v>573.22105744120211</v>
      </c>
      <c r="F236">
        <v>0.83</v>
      </c>
      <c r="G236">
        <v>252</v>
      </c>
      <c r="H236">
        <f t="shared" si="67"/>
        <v>0.20915999999999998</v>
      </c>
      <c r="I236" s="4">
        <f t="shared" si="68"/>
        <v>934.67755414504404</v>
      </c>
      <c r="L236" t="s">
        <v>173</v>
      </c>
      <c r="M236">
        <v>35</v>
      </c>
      <c r="N236">
        <v>50</v>
      </c>
      <c r="O236" s="4">
        <f t="shared" si="69"/>
        <v>573.22105744120211</v>
      </c>
      <c r="P236">
        <v>0.57999999999999996</v>
      </c>
      <c r="Q236">
        <f t="shared" si="70"/>
        <v>252</v>
      </c>
      <c r="R236" s="7">
        <f t="shared" si="71"/>
        <v>0.14615999999999998</v>
      </c>
      <c r="S236" s="4">
        <f t="shared" si="72"/>
        <v>53.31821798909521</v>
      </c>
    </row>
    <row r="237" spans="2:19" x14ac:dyDescent="0.3">
      <c r="B237" t="s">
        <v>174</v>
      </c>
      <c r="C237">
        <v>10</v>
      </c>
      <c r="D237">
        <v>35</v>
      </c>
      <c r="E237" s="4">
        <f t="shared" si="66"/>
        <v>1155.9460274986207</v>
      </c>
      <c r="F237">
        <v>0.83</v>
      </c>
      <c r="G237">
        <v>234</v>
      </c>
      <c r="H237">
        <f t="shared" si="67"/>
        <v>0.19422</v>
      </c>
      <c r="I237" s="4">
        <f t="shared" si="68"/>
        <v>3529.4576228293208</v>
      </c>
      <c r="L237" t="s">
        <v>174</v>
      </c>
      <c r="M237">
        <v>35</v>
      </c>
      <c r="N237">
        <v>50</v>
      </c>
      <c r="O237" s="4">
        <f t="shared" si="69"/>
        <v>1155.9460274986207</v>
      </c>
      <c r="P237">
        <v>0.57999999999999996</v>
      </c>
      <c r="Q237">
        <f t="shared" si="70"/>
        <v>234</v>
      </c>
      <c r="R237" s="7">
        <f t="shared" si="71"/>
        <v>0.13572000000000001</v>
      </c>
      <c r="S237" s="4">
        <f t="shared" si="72"/>
        <v>201.33616142031042</v>
      </c>
    </row>
    <row r="238" spans="2:19" x14ac:dyDescent="0.3">
      <c r="B238" t="s">
        <v>373</v>
      </c>
      <c r="C238">
        <v>0.4</v>
      </c>
      <c r="D238">
        <v>185</v>
      </c>
      <c r="E238" s="4">
        <f>D178</f>
        <v>322.54915223018338</v>
      </c>
      <c r="F238">
        <v>0.16</v>
      </c>
      <c r="G238">
        <v>162</v>
      </c>
      <c r="H238">
        <f t="shared" si="67"/>
        <v>2.5920000000000002E-2</v>
      </c>
      <c r="I238" s="4">
        <f t="shared" si="68"/>
        <v>22921.642378763616</v>
      </c>
      <c r="L238" t="s">
        <v>373</v>
      </c>
      <c r="M238">
        <v>0.4</v>
      </c>
      <c r="N238">
        <v>185</v>
      </c>
      <c r="O238" s="4">
        <f t="shared" si="69"/>
        <v>322.54915223018338</v>
      </c>
      <c r="P238">
        <v>0.16</v>
      </c>
      <c r="Q238">
        <f t="shared" si="70"/>
        <v>162</v>
      </c>
      <c r="R238" s="7">
        <f t="shared" si="71"/>
        <v>2.5920000000000002E-2</v>
      </c>
      <c r="S238" s="4">
        <f t="shared" si="72"/>
        <v>22921.642378763616</v>
      </c>
    </row>
    <row r="239" spans="2:19" x14ac:dyDescent="0.3">
      <c r="B239" t="s">
        <v>202</v>
      </c>
      <c r="I239" s="4">
        <f>SUM(I230:I238)</f>
        <v>70990.585611856426</v>
      </c>
      <c r="L239" t="s">
        <v>202</v>
      </c>
      <c r="S239" s="4">
        <f>SUM(S230:S238)</f>
        <v>26661.471647386239</v>
      </c>
    </row>
    <row r="242" spans="2:17" x14ac:dyDescent="0.3">
      <c r="B242" s="8" t="s">
        <v>240</v>
      </c>
    </row>
    <row r="244" spans="2:17" x14ac:dyDescent="0.3">
      <c r="B244" t="s">
        <v>211</v>
      </c>
      <c r="K244" t="s">
        <v>213</v>
      </c>
    </row>
    <row r="245" spans="2:17" x14ac:dyDescent="0.3">
      <c r="B245" t="s">
        <v>251</v>
      </c>
      <c r="C245" t="s">
        <v>249</v>
      </c>
      <c r="D245" t="s">
        <v>250</v>
      </c>
      <c r="E245" t="s">
        <v>252</v>
      </c>
      <c r="F245" s="2" t="s">
        <v>253</v>
      </c>
      <c r="G245" s="2" t="s">
        <v>254</v>
      </c>
      <c r="H245" s="2" t="s">
        <v>237</v>
      </c>
      <c r="K245" t="s">
        <v>251</v>
      </c>
      <c r="L245" t="s">
        <v>249</v>
      </c>
      <c r="M245" t="s">
        <v>250</v>
      </c>
      <c r="N245" t="s">
        <v>252</v>
      </c>
      <c r="O245" s="2" t="s">
        <v>253</v>
      </c>
      <c r="P245" s="2" t="s">
        <v>254</v>
      </c>
      <c r="Q245" s="2" t="s">
        <v>237</v>
      </c>
    </row>
    <row r="246" spans="2:17" x14ac:dyDescent="0.3">
      <c r="B246" t="s">
        <v>241</v>
      </c>
      <c r="C246">
        <v>2</v>
      </c>
      <c r="D246">
        <v>13199.27</v>
      </c>
      <c r="E246">
        <v>7500</v>
      </c>
      <c r="F246">
        <v>10</v>
      </c>
      <c r="G246">
        <v>60</v>
      </c>
      <c r="H246">
        <f>(2*F246*8760)+G246*1360*D246^2/E246^2/2</f>
        <v>301568.10176253016</v>
      </c>
      <c r="K246" t="s">
        <v>255</v>
      </c>
      <c r="L246">
        <v>0</v>
      </c>
      <c r="M246">
        <v>0</v>
      </c>
    </row>
    <row r="247" spans="2:17" x14ac:dyDescent="0.3">
      <c r="B247" t="s">
        <v>242</v>
      </c>
      <c r="C247">
        <v>2</v>
      </c>
      <c r="D247" s="4">
        <f>E217</f>
        <v>3313.0276885435542</v>
      </c>
      <c r="E247">
        <v>1800</v>
      </c>
      <c r="F247">
        <v>2.4</v>
      </c>
      <c r="G247">
        <v>18</v>
      </c>
      <c r="H247">
        <f t="shared" ref="H247:H253" si="73">(2*F247*8760)+G247*1360*D247^2/E247^2/2</f>
        <v>83513.46486799026</v>
      </c>
      <c r="K247" t="s">
        <v>242</v>
      </c>
      <c r="L247">
        <v>2</v>
      </c>
      <c r="M247" s="4">
        <f>D247</f>
        <v>3313.0276885435542</v>
      </c>
      <c r="N247">
        <f>E247</f>
        <v>1800</v>
      </c>
      <c r="O247">
        <f>F247</f>
        <v>2.4</v>
      </c>
      <c r="P247">
        <f>G247</f>
        <v>18</v>
      </c>
      <c r="Q247">
        <f t="shared" ref="Q247:Q253" si="74">(2*O247*8760)+P247*1360*M247^2/N247^2/2</f>
        <v>83513.46486799026</v>
      </c>
    </row>
    <row r="248" spans="2:17" x14ac:dyDescent="0.3">
      <c r="B248" t="s">
        <v>243</v>
      </c>
      <c r="C248">
        <v>2</v>
      </c>
      <c r="D248" s="4">
        <f t="shared" ref="D248:D253" si="75">E218</f>
        <v>2887.6763440740724</v>
      </c>
      <c r="E248">
        <v>1500</v>
      </c>
      <c r="F248">
        <v>2</v>
      </c>
      <c r="G248">
        <v>15.2</v>
      </c>
      <c r="H248">
        <f t="shared" si="73"/>
        <v>73346.018386551121</v>
      </c>
      <c r="K248" t="s">
        <v>243</v>
      </c>
      <c r="L248">
        <v>2</v>
      </c>
      <c r="M248" s="4">
        <f t="shared" ref="M248:M253" si="76">D248</f>
        <v>2887.6763440740724</v>
      </c>
      <c r="N248">
        <f t="shared" ref="N248:N253" si="77">E248</f>
        <v>1500</v>
      </c>
      <c r="O248">
        <f t="shared" ref="O248:O253" si="78">F248</f>
        <v>2</v>
      </c>
      <c r="P248">
        <f t="shared" ref="P248:P253" si="79">G248</f>
        <v>15.2</v>
      </c>
      <c r="Q248">
        <f t="shared" si="74"/>
        <v>73346.018386551121</v>
      </c>
    </row>
    <row r="249" spans="2:17" x14ac:dyDescent="0.3">
      <c r="B249" t="s">
        <v>244</v>
      </c>
      <c r="C249">
        <v>2</v>
      </c>
      <c r="D249" s="4">
        <f t="shared" si="75"/>
        <v>1970.5919330811303</v>
      </c>
      <c r="E249">
        <v>1000</v>
      </c>
      <c r="F249">
        <v>1.55</v>
      </c>
      <c r="G249">
        <v>9</v>
      </c>
      <c r="H249">
        <f t="shared" si="73"/>
        <v>50921.383308353485</v>
      </c>
      <c r="K249" t="s">
        <v>244</v>
      </c>
      <c r="L249">
        <v>2</v>
      </c>
      <c r="M249" s="4">
        <f t="shared" si="76"/>
        <v>1970.5919330811303</v>
      </c>
      <c r="N249">
        <f t="shared" si="77"/>
        <v>1000</v>
      </c>
      <c r="O249">
        <f t="shared" si="78"/>
        <v>1.55</v>
      </c>
      <c r="P249">
        <f t="shared" si="79"/>
        <v>9</v>
      </c>
      <c r="Q249">
        <f t="shared" si="74"/>
        <v>50921.383308353485</v>
      </c>
    </row>
    <row r="250" spans="2:17" x14ac:dyDescent="0.3">
      <c r="B250" t="s">
        <v>245</v>
      </c>
      <c r="C250">
        <v>2</v>
      </c>
      <c r="D250" s="4">
        <f t="shared" si="75"/>
        <v>2333.4835687259642</v>
      </c>
      <c r="E250">
        <v>1250</v>
      </c>
      <c r="F250">
        <v>1.71</v>
      </c>
      <c r="G250">
        <v>12.8</v>
      </c>
      <c r="H250">
        <f t="shared" si="73"/>
        <v>60291.710081430007</v>
      </c>
      <c r="K250" t="s">
        <v>245</v>
      </c>
      <c r="L250">
        <v>2</v>
      </c>
      <c r="M250" s="4">
        <f t="shared" si="76"/>
        <v>2333.4835687259642</v>
      </c>
      <c r="N250">
        <f t="shared" si="77"/>
        <v>1250</v>
      </c>
      <c r="O250">
        <f t="shared" si="78"/>
        <v>1.71</v>
      </c>
      <c r="P250">
        <f t="shared" si="79"/>
        <v>12.8</v>
      </c>
      <c r="Q250">
        <f t="shared" si="74"/>
        <v>60291.710081430007</v>
      </c>
    </row>
    <row r="251" spans="2:17" x14ac:dyDescent="0.3">
      <c r="B251" t="s">
        <v>246</v>
      </c>
      <c r="C251">
        <v>2</v>
      </c>
      <c r="D251" s="4">
        <f t="shared" si="75"/>
        <v>2774.6085891688085</v>
      </c>
      <c r="E251">
        <v>1500</v>
      </c>
      <c r="F251">
        <v>2</v>
      </c>
      <c r="G251">
        <v>15.2</v>
      </c>
      <c r="H251">
        <f t="shared" si="73"/>
        <v>70404.981501978356</v>
      </c>
      <c r="K251" t="s">
        <v>246</v>
      </c>
      <c r="L251">
        <v>2</v>
      </c>
      <c r="M251" s="4">
        <f t="shared" si="76"/>
        <v>2774.6085891688085</v>
      </c>
      <c r="N251">
        <f t="shared" si="77"/>
        <v>1500</v>
      </c>
      <c r="O251">
        <f t="shared" si="78"/>
        <v>2</v>
      </c>
      <c r="P251">
        <f t="shared" si="79"/>
        <v>15.2</v>
      </c>
      <c r="Q251">
        <f t="shared" si="74"/>
        <v>70404.981501978356</v>
      </c>
    </row>
    <row r="252" spans="2:17" x14ac:dyDescent="0.3">
      <c r="B252" t="s">
        <v>247</v>
      </c>
      <c r="C252">
        <v>2</v>
      </c>
      <c r="D252" s="4">
        <f t="shared" si="75"/>
        <v>2079.5786431248516</v>
      </c>
      <c r="E252">
        <v>1250</v>
      </c>
      <c r="F252">
        <v>1.71</v>
      </c>
      <c r="G252">
        <v>12.8</v>
      </c>
      <c r="H252">
        <f t="shared" si="73"/>
        <v>54049.907446987811</v>
      </c>
      <c r="K252" t="s">
        <v>247</v>
      </c>
      <c r="L252">
        <v>2</v>
      </c>
      <c r="M252" s="4">
        <f t="shared" si="76"/>
        <v>2079.5786431248516</v>
      </c>
      <c r="N252">
        <f t="shared" si="77"/>
        <v>1250</v>
      </c>
      <c r="O252">
        <f t="shared" si="78"/>
        <v>1.71</v>
      </c>
      <c r="P252">
        <f t="shared" si="79"/>
        <v>12.8</v>
      </c>
      <c r="Q252">
        <f t="shared" si="74"/>
        <v>54049.907446987811</v>
      </c>
    </row>
    <row r="253" spans="2:17" x14ac:dyDescent="0.3">
      <c r="B253" t="s">
        <v>248</v>
      </c>
      <c r="C253">
        <v>2</v>
      </c>
      <c r="D253" s="4">
        <f t="shared" si="75"/>
        <v>1155.9460274986207</v>
      </c>
      <c r="E253">
        <v>630</v>
      </c>
      <c r="F253">
        <v>1.1000000000000001</v>
      </c>
      <c r="G253">
        <v>6.01</v>
      </c>
      <c r="H253">
        <f t="shared" si="73"/>
        <v>33030.699943875748</v>
      </c>
      <c r="K253" t="s">
        <v>248</v>
      </c>
      <c r="L253">
        <v>2</v>
      </c>
      <c r="M253" s="4">
        <f t="shared" si="76"/>
        <v>1155.9460274986207</v>
      </c>
      <c r="N253">
        <f t="shared" si="77"/>
        <v>630</v>
      </c>
      <c r="O253">
        <f t="shared" si="78"/>
        <v>1.1000000000000001</v>
      </c>
      <c r="P253">
        <f t="shared" si="79"/>
        <v>6.01</v>
      </c>
      <c r="Q253">
        <f t="shared" si="74"/>
        <v>33030.699943875748</v>
      </c>
    </row>
    <row r="254" spans="2:17" x14ac:dyDescent="0.3">
      <c r="B254" t="s">
        <v>202</v>
      </c>
      <c r="H254">
        <f>SUM(H246:H253)</f>
        <v>727126.26729969692</v>
      </c>
      <c r="Q254">
        <f>SUM(Q247:Q253)</f>
        <v>425558.16553716676</v>
      </c>
    </row>
    <row r="255" spans="2:17" x14ac:dyDescent="0.3">
      <c r="B255" t="s">
        <v>214</v>
      </c>
      <c r="K255" t="s">
        <v>215</v>
      </c>
    </row>
    <row r="256" spans="2:17" x14ac:dyDescent="0.3">
      <c r="B256" t="s">
        <v>251</v>
      </c>
      <c r="C256" t="s">
        <v>249</v>
      </c>
      <c r="D256" t="s">
        <v>250</v>
      </c>
      <c r="E256" t="s">
        <v>252</v>
      </c>
      <c r="F256" s="2" t="s">
        <v>253</v>
      </c>
      <c r="G256" s="2" t="s">
        <v>254</v>
      </c>
      <c r="H256" s="2" t="s">
        <v>237</v>
      </c>
      <c r="K256" t="s">
        <v>251</v>
      </c>
      <c r="L256" t="s">
        <v>249</v>
      </c>
      <c r="M256" t="s">
        <v>250</v>
      </c>
      <c r="N256" t="s">
        <v>252</v>
      </c>
      <c r="O256" s="2" t="s">
        <v>253</v>
      </c>
      <c r="P256" s="2" t="s">
        <v>254</v>
      </c>
      <c r="Q256" s="2" t="s">
        <v>237</v>
      </c>
    </row>
    <row r="257" spans="2:17" x14ac:dyDescent="0.3">
      <c r="B257" t="s">
        <v>241</v>
      </c>
      <c r="C257">
        <v>2</v>
      </c>
      <c r="D257">
        <v>13199.27</v>
      </c>
      <c r="E257">
        <v>7500</v>
      </c>
      <c r="F257">
        <v>10</v>
      </c>
      <c r="G257">
        <v>60</v>
      </c>
      <c r="H257">
        <f>(C257*F257*8760)+G257*1360*D257^2/E257^2/C257</f>
        <v>301568.10176253016</v>
      </c>
      <c r="K257" t="s">
        <v>255</v>
      </c>
      <c r="L257">
        <v>0</v>
      </c>
      <c r="M257">
        <v>0</v>
      </c>
      <c r="N257">
        <v>0</v>
      </c>
    </row>
    <row r="258" spans="2:17" x14ac:dyDescent="0.3">
      <c r="B258" t="s">
        <v>242</v>
      </c>
      <c r="C258">
        <v>2</v>
      </c>
      <c r="D258" s="4">
        <f>E230</f>
        <v>3313.0276885435542</v>
      </c>
      <c r="E258">
        <v>1800</v>
      </c>
      <c r="F258">
        <v>2.4</v>
      </c>
      <c r="G258">
        <v>18</v>
      </c>
      <c r="H258">
        <f t="shared" ref="H258:H265" si="80">(C258*F258*8760)+G258*1360*D258^2/E258^2/C258</f>
        <v>83513.46486799026</v>
      </c>
      <c r="K258" t="s">
        <v>242</v>
      </c>
      <c r="L258">
        <v>2</v>
      </c>
      <c r="M258" s="4">
        <f>D258</f>
        <v>3313.0276885435542</v>
      </c>
      <c r="N258">
        <v>1800</v>
      </c>
      <c r="O258">
        <f>F258</f>
        <v>2.4</v>
      </c>
      <c r="P258">
        <f>G258</f>
        <v>18</v>
      </c>
      <c r="Q258">
        <f t="shared" ref="Q258:Q265" si="81">(L258*O258*8760)+P258*1360*M258^2/N258^2/L258</f>
        <v>83513.46486799026</v>
      </c>
    </row>
    <row r="259" spans="2:17" x14ac:dyDescent="0.3">
      <c r="B259" t="s">
        <v>243</v>
      </c>
      <c r="C259">
        <v>2</v>
      </c>
      <c r="D259" s="4">
        <f t="shared" ref="D259:D265" si="82">E231</f>
        <v>2887.6763440740724</v>
      </c>
      <c r="E259">
        <v>1500</v>
      </c>
      <c r="F259">
        <v>2</v>
      </c>
      <c r="G259">
        <v>15.2</v>
      </c>
      <c r="H259">
        <f t="shared" si="80"/>
        <v>73346.018386551121</v>
      </c>
      <c r="K259" t="s">
        <v>243</v>
      </c>
      <c r="L259">
        <v>2</v>
      </c>
      <c r="M259" s="4">
        <f t="shared" ref="M259:M265" si="83">D259</f>
        <v>2887.6763440740724</v>
      </c>
      <c r="N259">
        <v>1500</v>
      </c>
      <c r="O259">
        <f t="shared" ref="O259:O265" si="84">F259</f>
        <v>2</v>
      </c>
      <c r="P259">
        <f t="shared" ref="P259:P265" si="85">G259</f>
        <v>15.2</v>
      </c>
      <c r="Q259">
        <f t="shared" si="81"/>
        <v>73346.018386551121</v>
      </c>
    </row>
    <row r="260" spans="2:17" x14ac:dyDescent="0.3">
      <c r="B260" t="s">
        <v>244</v>
      </c>
      <c r="C260">
        <v>2</v>
      </c>
      <c r="D260" s="4">
        <f t="shared" si="82"/>
        <v>1644.7492497381056</v>
      </c>
      <c r="E260">
        <v>1000</v>
      </c>
      <c r="F260">
        <v>1.55</v>
      </c>
      <c r="G260">
        <v>9</v>
      </c>
      <c r="H260">
        <f t="shared" si="80"/>
        <v>43711.824578426051</v>
      </c>
      <c r="K260" t="s">
        <v>244</v>
      </c>
      <c r="L260">
        <v>2</v>
      </c>
      <c r="M260" s="4">
        <f t="shared" si="83"/>
        <v>1644.7492497381056</v>
      </c>
      <c r="N260">
        <v>1000</v>
      </c>
      <c r="O260">
        <f t="shared" si="84"/>
        <v>1.55</v>
      </c>
      <c r="P260">
        <f t="shared" si="85"/>
        <v>9</v>
      </c>
      <c r="Q260">
        <f t="shared" si="81"/>
        <v>43711.824578426051</v>
      </c>
    </row>
    <row r="261" spans="2:17" x14ac:dyDescent="0.3">
      <c r="B261" t="s">
        <v>245</v>
      </c>
      <c r="C261">
        <v>2</v>
      </c>
      <c r="D261" s="4">
        <f t="shared" si="82"/>
        <v>2333.4835687259642</v>
      </c>
      <c r="E261">
        <v>1250</v>
      </c>
      <c r="F261">
        <v>1.71</v>
      </c>
      <c r="G261">
        <v>12.8</v>
      </c>
      <c r="H261">
        <f t="shared" si="80"/>
        <v>60291.710081430007</v>
      </c>
      <c r="K261" t="s">
        <v>245</v>
      </c>
      <c r="L261">
        <v>2</v>
      </c>
      <c r="M261" s="4">
        <f t="shared" si="83"/>
        <v>2333.4835687259642</v>
      </c>
      <c r="N261">
        <v>1250</v>
      </c>
      <c r="O261">
        <f t="shared" si="84"/>
        <v>1.71</v>
      </c>
      <c r="P261">
        <f t="shared" si="85"/>
        <v>12.8</v>
      </c>
      <c r="Q261">
        <f t="shared" si="81"/>
        <v>60291.710081430007</v>
      </c>
    </row>
    <row r="262" spans="2:17" x14ac:dyDescent="0.3">
      <c r="B262" t="s">
        <v>246</v>
      </c>
      <c r="C262">
        <v>2</v>
      </c>
      <c r="D262" s="4">
        <f t="shared" si="82"/>
        <v>2460.5237762810057</v>
      </c>
      <c r="E262">
        <v>1250</v>
      </c>
      <c r="F262">
        <v>1.71</v>
      </c>
      <c r="G262">
        <v>12.8</v>
      </c>
      <c r="H262">
        <f t="shared" si="80"/>
        <v>63684.357642059898</v>
      </c>
      <c r="K262" t="s">
        <v>246</v>
      </c>
      <c r="L262">
        <v>2</v>
      </c>
      <c r="M262" s="4">
        <f t="shared" si="83"/>
        <v>2460.5237762810057</v>
      </c>
      <c r="N262">
        <v>1250</v>
      </c>
      <c r="O262">
        <f t="shared" si="84"/>
        <v>1.71</v>
      </c>
      <c r="P262">
        <f t="shared" si="85"/>
        <v>12.8</v>
      </c>
      <c r="Q262">
        <f t="shared" si="81"/>
        <v>63684.357642059898</v>
      </c>
    </row>
    <row r="263" spans="2:17" x14ac:dyDescent="0.3">
      <c r="B263" t="s">
        <v>247</v>
      </c>
      <c r="C263">
        <v>2</v>
      </c>
      <c r="D263" s="4">
        <f t="shared" si="82"/>
        <v>2079.5786431248516</v>
      </c>
      <c r="E263">
        <v>1250</v>
      </c>
      <c r="F263">
        <v>1.71</v>
      </c>
      <c r="G263">
        <v>12.8</v>
      </c>
      <c r="H263">
        <f t="shared" si="80"/>
        <v>54049.907446987811</v>
      </c>
      <c r="K263" t="s">
        <v>247</v>
      </c>
      <c r="L263">
        <v>2</v>
      </c>
      <c r="M263" s="4">
        <f t="shared" si="83"/>
        <v>2079.5786431248516</v>
      </c>
      <c r="N263">
        <v>1250</v>
      </c>
      <c r="O263">
        <f t="shared" si="84"/>
        <v>1.71</v>
      </c>
      <c r="P263">
        <f t="shared" si="85"/>
        <v>12.8</v>
      </c>
      <c r="Q263">
        <f t="shared" si="81"/>
        <v>54049.907446987811</v>
      </c>
    </row>
    <row r="264" spans="2:17" x14ac:dyDescent="0.3">
      <c r="B264" t="s">
        <v>248</v>
      </c>
      <c r="C264">
        <v>1</v>
      </c>
      <c r="D264" s="4">
        <f t="shared" si="82"/>
        <v>573.22105744120211</v>
      </c>
      <c r="E264">
        <v>630</v>
      </c>
      <c r="F264">
        <v>1.1000000000000001</v>
      </c>
      <c r="G264">
        <v>6.01</v>
      </c>
      <c r="H264">
        <f t="shared" si="80"/>
        <v>16402.694247519677</v>
      </c>
      <c r="K264" t="s">
        <v>248</v>
      </c>
      <c r="L264">
        <v>1</v>
      </c>
      <c r="M264" s="4">
        <f t="shared" si="83"/>
        <v>573.22105744120211</v>
      </c>
      <c r="N264">
        <v>630</v>
      </c>
      <c r="O264">
        <f t="shared" si="84"/>
        <v>1.1000000000000001</v>
      </c>
      <c r="P264">
        <f t="shared" si="85"/>
        <v>6.01</v>
      </c>
      <c r="Q264">
        <f t="shared" si="81"/>
        <v>16402.694247519677</v>
      </c>
    </row>
    <row r="265" spans="2:17" x14ac:dyDescent="0.3">
      <c r="B265" t="s">
        <v>256</v>
      </c>
      <c r="C265">
        <v>2</v>
      </c>
      <c r="D265" s="4">
        <f t="shared" si="82"/>
        <v>1155.9460274986207</v>
      </c>
      <c r="E265">
        <v>630</v>
      </c>
      <c r="F265">
        <v>1.1000000000000001</v>
      </c>
      <c r="G265">
        <v>6.01</v>
      </c>
      <c r="H265">
        <f t="shared" si="80"/>
        <v>33030.699943875748</v>
      </c>
      <c r="K265" t="s">
        <v>256</v>
      </c>
      <c r="L265">
        <v>2</v>
      </c>
      <c r="M265" s="4">
        <f t="shared" si="83"/>
        <v>1155.9460274986207</v>
      </c>
      <c r="N265">
        <v>630</v>
      </c>
      <c r="O265">
        <f t="shared" si="84"/>
        <v>1.1000000000000001</v>
      </c>
      <c r="P265">
        <f t="shared" si="85"/>
        <v>6.01</v>
      </c>
      <c r="Q265">
        <f t="shared" si="81"/>
        <v>33030.699943875748</v>
      </c>
    </row>
    <row r="266" spans="2:17" x14ac:dyDescent="0.3">
      <c r="B266" t="s">
        <v>202</v>
      </c>
      <c r="H266">
        <f>SUM(H257:H265)</f>
        <v>729598.77895737079</v>
      </c>
      <c r="K266" t="s">
        <v>202</v>
      </c>
      <c r="Q266">
        <f>SUM(Q258:Q265)</f>
        <v>428030.67719484051</v>
      </c>
    </row>
    <row r="268" spans="2:17" x14ac:dyDescent="0.3">
      <c r="C268" t="s">
        <v>211</v>
      </c>
      <c r="D268" t="s">
        <v>213</v>
      </c>
      <c r="E268" t="s">
        <v>214</v>
      </c>
      <c r="F268" t="s">
        <v>215</v>
      </c>
    </row>
    <row r="269" spans="2:17" x14ac:dyDescent="0.3">
      <c r="B269" t="s">
        <v>232</v>
      </c>
      <c r="C269" s="4">
        <f>I226</f>
        <v>97807.077205914975</v>
      </c>
      <c r="D269" s="4">
        <f>S226</f>
        <v>48931.449480727228</v>
      </c>
      <c r="E269" s="4">
        <f>I239</f>
        <v>70990.585611856426</v>
      </c>
      <c r="F269" s="4">
        <f>S239</f>
        <v>26661.471647386239</v>
      </c>
    </row>
    <row r="270" spans="2:17" x14ac:dyDescent="0.3">
      <c r="B270" t="s">
        <v>257</v>
      </c>
      <c r="C270" s="4">
        <f>H254</f>
        <v>727126.26729969692</v>
      </c>
      <c r="D270" s="4">
        <f>Q254</f>
        <v>425558.16553716676</v>
      </c>
      <c r="E270" s="4">
        <f>H266</f>
        <v>729598.77895737079</v>
      </c>
      <c r="F270" s="4">
        <f>Q266</f>
        <v>428030.67719484051</v>
      </c>
    </row>
    <row r="271" spans="2:17" x14ac:dyDescent="0.3">
      <c r="B271" t="s">
        <v>202</v>
      </c>
      <c r="C271" s="4">
        <f>SUM(C269:C270)</f>
        <v>824933.34450561192</v>
      </c>
      <c r="D271" s="4">
        <f t="shared" ref="D271:F271" si="86">SUM(D269:D270)</f>
        <v>474489.61501789396</v>
      </c>
      <c r="E271" s="4">
        <f t="shared" si="86"/>
        <v>800589.36456922721</v>
      </c>
      <c r="F271" s="4">
        <f t="shared" si="86"/>
        <v>454692.14884222677</v>
      </c>
    </row>
    <row r="273" spans="2:6" x14ac:dyDescent="0.3">
      <c r="B273" s="8" t="s">
        <v>258</v>
      </c>
    </row>
    <row r="275" spans="2:6" x14ac:dyDescent="0.3">
      <c r="C275" t="s">
        <v>211</v>
      </c>
      <c r="D275" t="s">
        <v>213</v>
      </c>
      <c r="E275" t="s">
        <v>214</v>
      </c>
      <c r="F275" t="s">
        <v>215</v>
      </c>
    </row>
    <row r="276" spans="2:6" x14ac:dyDescent="0.3">
      <c r="B276" t="s">
        <v>259</v>
      </c>
      <c r="C276" s="4">
        <f>F210</f>
        <v>14980.2426</v>
      </c>
      <c r="D276" s="5">
        <f>H210</f>
        <v>12740.102999999999</v>
      </c>
      <c r="E276" s="5">
        <f>J210</f>
        <v>15347.9792</v>
      </c>
      <c r="F276" s="5">
        <f>L210</f>
        <v>13324.966</v>
      </c>
    </row>
    <row r="277" spans="2:6" x14ac:dyDescent="0.3">
      <c r="B277" t="s">
        <v>260</v>
      </c>
      <c r="C277" s="4">
        <f>C271</f>
        <v>824933.34450561192</v>
      </c>
      <c r="D277" s="4">
        <f t="shared" ref="D277:F277" si="87">D271</f>
        <v>474489.61501789396</v>
      </c>
      <c r="E277" s="4">
        <f t="shared" si="87"/>
        <v>800589.36456922721</v>
      </c>
      <c r="F277" s="4">
        <f t="shared" si="87"/>
        <v>454692.14884222677</v>
      </c>
    </row>
    <row r="278" spans="2:6" x14ac:dyDescent="0.3">
      <c r="B278" t="s">
        <v>261</v>
      </c>
      <c r="C278">
        <f xml:space="preserve"> 0.3*C276+C277*1900/1000000</f>
        <v>6061.4461345606624</v>
      </c>
      <c r="D278">
        <f t="shared" ref="D278:F278" si="88" xml:space="preserve"> 0.3*D276+D277*1900/1000000</f>
        <v>4723.5611685339982</v>
      </c>
      <c r="E278">
        <f t="shared" si="88"/>
        <v>6125.513552681532</v>
      </c>
      <c r="F278">
        <f t="shared" si="88"/>
        <v>4861.4048828002306</v>
      </c>
    </row>
    <row r="280" spans="2:6" x14ac:dyDescent="0.3">
      <c r="B280" s="8" t="s">
        <v>275</v>
      </c>
    </row>
    <row r="281" spans="2:6" x14ac:dyDescent="0.3">
      <c r="B281" t="s">
        <v>263</v>
      </c>
      <c r="C281">
        <v>250</v>
      </c>
    </row>
    <row r="282" spans="2:6" x14ac:dyDescent="0.3">
      <c r="B282" t="s">
        <v>239</v>
      </c>
      <c r="C282">
        <v>35</v>
      </c>
    </row>
    <row r="283" spans="2:6" x14ac:dyDescent="0.3">
      <c r="B283" t="s">
        <v>262</v>
      </c>
      <c r="C283" s="5">
        <f>(1.05^2*C282^2)/C281</f>
        <v>5.4022500000000004</v>
      </c>
    </row>
    <row r="284" spans="2:6" x14ac:dyDescent="0.3">
      <c r="B284" t="s">
        <v>264</v>
      </c>
      <c r="C284">
        <v>8</v>
      </c>
    </row>
    <row r="285" spans="2:6" x14ac:dyDescent="0.3">
      <c r="B285" t="s">
        <v>265</v>
      </c>
      <c r="C285">
        <v>0.371</v>
      </c>
      <c r="D285" s="4">
        <f>C285*C284</f>
        <v>2.968</v>
      </c>
    </row>
    <row r="286" spans="2:6" x14ac:dyDescent="0.3">
      <c r="B286" t="s">
        <v>266</v>
      </c>
      <c r="C286">
        <v>0.33</v>
      </c>
      <c r="D286" s="4">
        <f>C286*C284</f>
        <v>2.64</v>
      </c>
    </row>
    <row r="288" spans="2:6" x14ac:dyDescent="0.3">
      <c r="B288" s="9" t="s">
        <v>267</v>
      </c>
    </row>
    <row r="289" spans="1:14" x14ac:dyDescent="0.3">
      <c r="B289" t="s">
        <v>269</v>
      </c>
      <c r="C289" s="4">
        <f>C283+C284</f>
        <v>13.40225</v>
      </c>
    </row>
    <row r="290" spans="1:14" x14ac:dyDescent="0.3">
      <c r="B290" t="s">
        <v>270</v>
      </c>
      <c r="C290" s="4">
        <f>D286</f>
        <v>2.64</v>
      </c>
    </row>
    <row r="291" spans="1:14" x14ac:dyDescent="0.3">
      <c r="B291" t="s">
        <v>268</v>
      </c>
      <c r="C291" s="4">
        <f>SQRT(C290^2+C289^2)</f>
        <v>13.6597915453531</v>
      </c>
    </row>
    <row r="292" spans="1:14" x14ac:dyDescent="0.3">
      <c r="B292" t="s">
        <v>271</v>
      </c>
      <c r="C292" s="4">
        <f>1.05*C282/C291/1.732</f>
        <v>1.5533359153576063</v>
      </c>
    </row>
    <row r="293" spans="1:14" x14ac:dyDescent="0.3">
      <c r="B293" t="s">
        <v>272</v>
      </c>
      <c r="C293" s="4">
        <f>1.8*SQRT(2)*C292</f>
        <v>3.9541476931559156</v>
      </c>
    </row>
    <row r="296" spans="1:14" x14ac:dyDescent="0.3">
      <c r="B296" s="9" t="s">
        <v>273</v>
      </c>
    </row>
    <row r="297" spans="1:14" x14ac:dyDescent="0.3">
      <c r="A297" t="s">
        <v>290</v>
      </c>
      <c r="B297" t="s">
        <v>274</v>
      </c>
      <c r="C297" t="s">
        <v>284</v>
      </c>
      <c r="D297" t="s">
        <v>288</v>
      </c>
      <c r="E297" t="s">
        <v>286</v>
      </c>
      <c r="F297" t="s">
        <v>236</v>
      </c>
      <c r="G297" t="s">
        <v>233</v>
      </c>
      <c r="H297" t="s">
        <v>285</v>
      </c>
      <c r="I297" t="s">
        <v>287</v>
      </c>
      <c r="J297" t="s">
        <v>289</v>
      </c>
      <c r="K297" t="s">
        <v>291</v>
      </c>
      <c r="L297" t="s">
        <v>293</v>
      </c>
      <c r="M297" t="s">
        <v>292</v>
      </c>
      <c r="N297" t="s">
        <v>294</v>
      </c>
    </row>
    <row r="298" spans="1:14" x14ac:dyDescent="0.3">
      <c r="A298">
        <v>1</v>
      </c>
      <c r="B298" t="s">
        <v>276</v>
      </c>
      <c r="C298" s="4">
        <v>13.4</v>
      </c>
      <c r="D298">
        <v>2.64</v>
      </c>
      <c r="E298">
        <v>0.25</v>
      </c>
      <c r="F298">
        <v>0.4</v>
      </c>
      <c r="G298">
        <v>50</v>
      </c>
      <c r="H298">
        <f>Q230</f>
        <v>81</v>
      </c>
      <c r="I298">
        <f>C298+E298*H298/1000</f>
        <v>13.420250000000001</v>
      </c>
      <c r="J298">
        <f>F298*H298/1000+D298</f>
        <v>2.6724000000000001</v>
      </c>
      <c r="K298" s="6">
        <f>SQRT(J298^2+I298^2)</f>
        <v>13.68374334100505</v>
      </c>
      <c r="L298">
        <v>35</v>
      </c>
      <c r="M298" s="6">
        <f>L298*1.05/1.732/K298</f>
        <v>1.5506169821317843</v>
      </c>
      <c r="N298" s="7">
        <f>1.8*1.41*M298</f>
        <v>3.9354659006504682</v>
      </c>
    </row>
    <row r="299" spans="1:14" x14ac:dyDescent="0.3">
      <c r="A299">
        <v>2</v>
      </c>
      <c r="B299" t="s">
        <v>277</v>
      </c>
      <c r="C299" s="4">
        <v>13.4</v>
      </c>
      <c r="D299">
        <v>2.64</v>
      </c>
      <c r="E299">
        <v>0.25</v>
      </c>
      <c r="F299">
        <v>0.4</v>
      </c>
      <c r="G299">
        <v>50</v>
      </c>
      <c r="H299">
        <f t="shared" ref="H299:H305" si="89">Q231</f>
        <v>135</v>
      </c>
      <c r="I299">
        <f t="shared" ref="I299:I305" si="90">C299+E299*H299/1000</f>
        <v>13.43375</v>
      </c>
      <c r="J299">
        <f t="shared" ref="J299:J305" si="91">F299*H299/1000+D299</f>
        <v>2.694</v>
      </c>
      <c r="K299" s="6">
        <f t="shared" ref="K299:K305" si="92">SQRT(J299^2+I299^2)</f>
        <v>13.701214364518934</v>
      </c>
      <c r="L299">
        <v>35</v>
      </c>
      <c r="M299" s="6">
        <f t="shared" ref="M299:M305" si="93">L299*1.05/1.732/K299</f>
        <v>1.5486397219389938</v>
      </c>
      <c r="N299" s="7">
        <f t="shared" ref="N299:N305" si="94">1.8*1.41*M299</f>
        <v>3.930447614281166</v>
      </c>
    </row>
    <row r="300" spans="1:14" x14ac:dyDescent="0.3">
      <c r="A300">
        <v>3</v>
      </c>
      <c r="B300" t="s">
        <v>278</v>
      </c>
      <c r="C300" s="4">
        <v>13.4</v>
      </c>
      <c r="D300">
        <v>2.64</v>
      </c>
      <c r="E300">
        <v>0.25</v>
      </c>
      <c r="F300">
        <v>0.4</v>
      </c>
      <c r="G300">
        <v>50</v>
      </c>
      <c r="H300">
        <f t="shared" si="89"/>
        <v>108</v>
      </c>
      <c r="I300">
        <f t="shared" si="90"/>
        <v>13.427</v>
      </c>
      <c r="J300">
        <f t="shared" si="91"/>
        <v>2.6832000000000003</v>
      </c>
      <c r="K300" s="6">
        <f t="shared" si="92"/>
        <v>13.692475716246497</v>
      </c>
      <c r="L300">
        <v>35</v>
      </c>
      <c r="M300" s="6">
        <f t="shared" si="93"/>
        <v>1.5496280762812764</v>
      </c>
      <c r="N300" s="7">
        <f t="shared" si="94"/>
        <v>3.9329560576018792</v>
      </c>
    </row>
    <row r="301" spans="1:14" x14ac:dyDescent="0.3">
      <c r="A301">
        <v>4</v>
      </c>
      <c r="B301" t="s">
        <v>279</v>
      </c>
      <c r="C301" s="4">
        <v>13.4</v>
      </c>
      <c r="D301">
        <v>2.64</v>
      </c>
      <c r="E301">
        <v>0.25</v>
      </c>
      <c r="F301">
        <v>0.4</v>
      </c>
      <c r="G301">
        <v>50</v>
      </c>
      <c r="H301">
        <f t="shared" si="89"/>
        <v>90</v>
      </c>
      <c r="I301">
        <f t="shared" si="90"/>
        <v>13.422500000000001</v>
      </c>
      <c r="J301">
        <f t="shared" si="91"/>
        <v>2.6760000000000002</v>
      </c>
      <c r="K301" s="6">
        <f t="shared" si="92"/>
        <v>13.686653435007406</v>
      </c>
      <c r="L301">
        <v>35</v>
      </c>
      <c r="M301" s="6">
        <f t="shared" si="93"/>
        <v>1.5502872856723042</v>
      </c>
      <c r="N301" s="7">
        <f t="shared" si="94"/>
        <v>3.9346291310363077</v>
      </c>
    </row>
    <row r="302" spans="1:14" x14ac:dyDescent="0.3">
      <c r="A302">
        <v>5</v>
      </c>
      <c r="B302" t="s">
        <v>280</v>
      </c>
      <c r="C302" s="4">
        <v>13.4</v>
      </c>
      <c r="D302">
        <v>2.64</v>
      </c>
      <c r="E302">
        <v>0.25</v>
      </c>
      <c r="F302">
        <v>0.4</v>
      </c>
      <c r="G302">
        <v>50</v>
      </c>
      <c r="H302">
        <f t="shared" si="89"/>
        <v>342</v>
      </c>
      <c r="I302">
        <f t="shared" si="90"/>
        <v>13.4855</v>
      </c>
      <c r="J302">
        <f t="shared" si="91"/>
        <v>2.7768000000000002</v>
      </c>
      <c r="K302" s="6">
        <f t="shared" si="92"/>
        <v>13.768417791816168</v>
      </c>
      <c r="L302">
        <v>35</v>
      </c>
      <c r="M302" s="6">
        <f t="shared" si="93"/>
        <v>1.5410808361950707</v>
      </c>
      <c r="N302" s="7">
        <f t="shared" si="94"/>
        <v>3.9112631622630891</v>
      </c>
    </row>
    <row r="303" spans="1:14" x14ac:dyDescent="0.3">
      <c r="A303">
        <v>6</v>
      </c>
      <c r="B303" t="s">
        <v>281</v>
      </c>
      <c r="C303" s="4">
        <v>13.4</v>
      </c>
      <c r="D303">
        <v>2.64</v>
      </c>
      <c r="E303">
        <v>0.25</v>
      </c>
      <c r="F303">
        <v>0.4</v>
      </c>
      <c r="G303">
        <v>50</v>
      </c>
      <c r="H303">
        <f t="shared" si="89"/>
        <v>126</v>
      </c>
      <c r="I303">
        <f t="shared" si="90"/>
        <v>13.4315</v>
      </c>
      <c r="J303">
        <f t="shared" si="91"/>
        <v>2.6904000000000003</v>
      </c>
      <c r="K303" s="6">
        <f t="shared" si="92"/>
        <v>13.698300785498908</v>
      </c>
      <c r="L303">
        <v>35</v>
      </c>
      <c r="M303" s="6">
        <f t="shared" si="93"/>
        <v>1.5489691120052564</v>
      </c>
      <c r="N303" s="7">
        <f t="shared" si="94"/>
        <v>3.9312836062693406</v>
      </c>
    </row>
    <row r="304" spans="1:14" x14ac:dyDescent="0.3">
      <c r="A304">
        <v>7</v>
      </c>
      <c r="B304" t="s">
        <v>282</v>
      </c>
      <c r="C304" s="4">
        <v>13.4</v>
      </c>
      <c r="D304">
        <v>2.64</v>
      </c>
      <c r="E304">
        <v>0.25</v>
      </c>
      <c r="F304">
        <v>0.4</v>
      </c>
      <c r="G304">
        <v>50</v>
      </c>
      <c r="H304">
        <f t="shared" si="89"/>
        <v>252</v>
      </c>
      <c r="I304">
        <f t="shared" si="90"/>
        <v>13.463000000000001</v>
      </c>
      <c r="J304">
        <f t="shared" si="91"/>
        <v>2.7408000000000001</v>
      </c>
      <c r="K304" s="6">
        <f t="shared" si="92"/>
        <v>13.739154036548248</v>
      </c>
      <c r="L304">
        <v>35</v>
      </c>
      <c r="M304" s="6">
        <f t="shared" si="93"/>
        <v>1.5443632662718081</v>
      </c>
      <c r="N304" s="7">
        <f t="shared" si="94"/>
        <v>3.9195939697978486</v>
      </c>
    </row>
    <row r="305" spans="1:16" x14ac:dyDescent="0.3">
      <c r="A305">
        <v>8</v>
      </c>
      <c r="B305" t="s">
        <v>283</v>
      </c>
      <c r="C305" s="4">
        <v>13.4</v>
      </c>
      <c r="D305">
        <v>2.64</v>
      </c>
      <c r="E305">
        <v>0.25</v>
      </c>
      <c r="F305">
        <v>0.4</v>
      </c>
      <c r="G305">
        <v>50</v>
      </c>
      <c r="H305">
        <f t="shared" si="89"/>
        <v>234</v>
      </c>
      <c r="I305">
        <f t="shared" si="90"/>
        <v>13.458500000000001</v>
      </c>
      <c r="J305">
        <f t="shared" si="91"/>
        <v>2.7336</v>
      </c>
      <c r="K305" s="6">
        <f t="shared" si="92"/>
        <v>13.733309550505297</v>
      </c>
      <c r="L305">
        <v>35</v>
      </c>
      <c r="M305" s="6">
        <f t="shared" si="93"/>
        <v>1.5450205011154399</v>
      </c>
      <c r="N305" s="7">
        <f t="shared" si="94"/>
        <v>3.9212620318309863</v>
      </c>
    </row>
    <row r="307" spans="1:16" x14ac:dyDescent="0.3">
      <c r="B307" s="9" t="s">
        <v>295</v>
      </c>
    </row>
    <row r="308" spans="1:16" x14ac:dyDescent="0.3">
      <c r="A308" t="s">
        <v>290</v>
      </c>
      <c r="B308" t="s">
        <v>274</v>
      </c>
      <c r="C308" t="s">
        <v>287</v>
      </c>
      <c r="D308" t="s">
        <v>289</v>
      </c>
      <c r="E308" t="s">
        <v>234</v>
      </c>
      <c r="F308" s="2" t="s">
        <v>304</v>
      </c>
      <c r="G308" s="2" t="s">
        <v>305</v>
      </c>
      <c r="H308" s="2" t="s">
        <v>239</v>
      </c>
      <c r="I308" s="2" t="s">
        <v>306</v>
      </c>
      <c r="J308" s="2" t="s">
        <v>307</v>
      </c>
      <c r="K308" s="2" t="s">
        <v>308</v>
      </c>
      <c r="L308" s="2" t="s">
        <v>309</v>
      </c>
      <c r="M308" s="2" t="s">
        <v>310</v>
      </c>
      <c r="N308" s="2" t="s">
        <v>311</v>
      </c>
      <c r="O308" s="2" t="s">
        <v>312</v>
      </c>
      <c r="P308" s="2" t="s">
        <v>313</v>
      </c>
    </row>
    <row r="309" spans="1:16" x14ac:dyDescent="0.3">
      <c r="A309">
        <v>1</v>
      </c>
      <c r="B309" t="s">
        <v>296</v>
      </c>
      <c r="C309" s="6">
        <f>I298</f>
        <v>13.420250000000001</v>
      </c>
      <c r="D309">
        <f>J298</f>
        <v>2.6724000000000001</v>
      </c>
      <c r="E309">
        <f>R136</f>
        <v>1800</v>
      </c>
      <c r="F309">
        <v>6.5</v>
      </c>
      <c r="G309">
        <v>18</v>
      </c>
      <c r="H309">
        <v>35</v>
      </c>
      <c r="I309" s="6">
        <f>H309^2*G309/E309^2*1000</f>
        <v>6.8055555555555554</v>
      </c>
      <c r="J309" s="6">
        <f>F309/100*H309^2/E309*1000</f>
        <v>44.236111111111107</v>
      </c>
      <c r="K309" s="6">
        <f>I309+D309</f>
        <v>9.477955555555555</v>
      </c>
      <c r="L309" s="6">
        <f>J309+C309</f>
        <v>57.65636111111111</v>
      </c>
      <c r="M309" s="6">
        <f>SQRT(L309^2+K309^2)</f>
        <v>58.430194403988864</v>
      </c>
      <c r="N309" s="6">
        <f>H309*1.05/1.732/M309</f>
        <v>0.36313835714786941</v>
      </c>
      <c r="O309" s="6">
        <f>N309*36.75/0.4</f>
        <v>33.363336562960498</v>
      </c>
      <c r="P309">
        <f>O309*1.8*1.41</f>
        <v>84.676148196793747</v>
      </c>
    </row>
    <row r="310" spans="1:16" x14ac:dyDescent="0.3">
      <c r="A310">
        <v>2</v>
      </c>
      <c r="B310" t="s">
        <v>297</v>
      </c>
      <c r="C310" s="6">
        <f t="shared" ref="C310:C316" si="95">I299</f>
        <v>13.43375</v>
      </c>
      <c r="D310">
        <f t="shared" ref="D310:D316" si="96">J299</f>
        <v>2.694</v>
      </c>
      <c r="E310">
        <f t="shared" ref="E310:E316" si="97">R137</f>
        <v>1500</v>
      </c>
      <c r="F310">
        <v>6.5</v>
      </c>
      <c r="G310">
        <v>15.2</v>
      </c>
      <c r="H310">
        <v>35</v>
      </c>
      <c r="I310" s="6">
        <f t="shared" ref="I310:I316" si="98">H310^2*G310/E310^2*1000</f>
        <v>8.2755555555555542</v>
      </c>
      <c r="J310" s="6">
        <f t="shared" ref="J310:J316" si="99">F310/100*H310^2/E310*1000</f>
        <v>53.083333333333336</v>
      </c>
      <c r="K310" s="6">
        <f t="shared" ref="K310:K316" si="100">I310+D310</f>
        <v>10.969555555555555</v>
      </c>
      <c r="L310" s="6">
        <f t="shared" ref="L310:L316" si="101">J310+C310</f>
        <v>66.517083333333332</v>
      </c>
      <c r="M310" s="6">
        <f t="shared" ref="M310:M316" si="102">SQRT(L310^2+K310^2)</f>
        <v>67.415528806499992</v>
      </c>
      <c r="N310" s="6">
        <f t="shared" ref="N310:N316" si="103">H310*1.05/1.732/M310</f>
        <v>0.3147382387906057</v>
      </c>
      <c r="O310" s="6">
        <f t="shared" ref="O310:O316" si="104">N310*36.75/0.4</f>
        <v>28.916575688886898</v>
      </c>
      <c r="P310">
        <f t="shared" ref="P310:P316" si="105">O310*1.8*1.41</f>
        <v>73.390269098394938</v>
      </c>
    </row>
    <row r="311" spans="1:16" x14ac:dyDescent="0.3">
      <c r="A311">
        <v>3</v>
      </c>
      <c r="B311" t="s">
        <v>298</v>
      </c>
      <c r="C311" s="6">
        <f t="shared" si="95"/>
        <v>13.427</v>
      </c>
      <c r="D311">
        <f t="shared" si="96"/>
        <v>2.6832000000000003</v>
      </c>
      <c r="E311">
        <f t="shared" si="97"/>
        <v>1000</v>
      </c>
      <c r="F311">
        <v>6</v>
      </c>
      <c r="G311">
        <v>9</v>
      </c>
      <c r="H311">
        <v>35</v>
      </c>
      <c r="I311" s="6">
        <f t="shared" si="98"/>
        <v>11.025</v>
      </c>
      <c r="J311" s="6">
        <f t="shared" si="99"/>
        <v>73.5</v>
      </c>
      <c r="K311" s="6">
        <f t="shared" si="100"/>
        <v>13.708200000000001</v>
      </c>
      <c r="L311" s="6">
        <f t="shared" si="101"/>
        <v>86.926999999999992</v>
      </c>
      <c r="M311" s="6">
        <f t="shared" si="102"/>
        <v>88.001239060822314</v>
      </c>
      <c r="N311" s="6">
        <f t="shared" si="103"/>
        <v>0.24111302329538903</v>
      </c>
      <c r="O311" s="6">
        <f t="shared" si="104"/>
        <v>22.152259015263866</v>
      </c>
      <c r="P311">
        <f t="shared" si="105"/>
        <v>56.222433380739695</v>
      </c>
    </row>
    <row r="312" spans="1:16" x14ac:dyDescent="0.3">
      <c r="A312">
        <v>4</v>
      </c>
      <c r="B312" t="s">
        <v>299</v>
      </c>
      <c r="C312" s="6">
        <f t="shared" si="95"/>
        <v>13.422500000000001</v>
      </c>
      <c r="D312">
        <f t="shared" si="96"/>
        <v>2.6760000000000002</v>
      </c>
      <c r="E312">
        <f t="shared" si="97"/>
        <v>1250</v>
      </c>
      <c r="F312">
        <v>6.5</v>
      </c>
      <c r="G312">
        <v>12.8</v>
      </c>
      <c r="H312">
        <v>35</v>
      </c>
      <c r="I312" s="6">
        <f t="shared" si="98"/>
        <v>10.0352</v>
      </c>
      <c r="J312" s="6">
        <f t="shared" si="99"/>
        <v>63.70000000000001</v>
      </c>
      <c r="K312" s="6">
        <f t="shared" si="100"/>
        <v>12.7112</v>
      </c>
      <c r="L312" s="6">
        <f t="shared" si="101"/>
        <v>77.122500000000016</v>
      </c>
      <c r="M312" s="6">
        <f t="shared" si="102"/>
        <v>78.163000273083185</v>
      </c>
      <c r="N312" s="6">
        <f t="shared" si="103"/>
        <v>0.27146149366789379</v>
      </c>
      <c r="O312" s="6">
        <f t="shared" si="104"/>
        <v>24.940524730737742</v>
      </c>
      <c r="P312">
        <f t="shared" si="105"/>
        <v>63.299051766612394</v>
      </c>
    </row>
    <row r="313" spans="1:16" x14ac:dyDescent="0.3">
      <c r="A313">
        <v>5</v>
      </c>
      <c r="B313" t="s">
        <v>300</v>
      </c>
      <c r="C313" s="6">
        <f t="shared" si="95"/>
        <v>13.4855</v>
      </c>
      <c r="D313">
        <f t="shared" si="96"/>
        <v>2.7768000000000002</v>
      </c>
      <c r="E313">
        <f t="shared" si="97"/>
        <v>1250</v>
      </c>
      <c r="F313">
        <v>6.5</v>
      </c>
      <c r="G313">
        <v>12.8</v>
      </c>
      <c r="H313">
        <v>35</v>
      </c>
      <c r="I313" s="6">
        <f t="shared" si="98"/>
        <v>10.0352</v>
      </c>
      <c r="J313" s="6">
        <f t="shared" si="99"/>
        <v>63.70000000000001</v>
      </c>
      <c r="K313" s="6">
        <f t="shared" si="100"/>
        <v>12.811999999999999</v>
      </c>
      <c r="L313" s="6">
        <f t="shared" si="101"/>
        <v>77.185500000000005</v>
      </c>
      <c r="M313" s="6">
        <f t="shared" si="102"/>
        <v>78.241605008141292</v>
      </c>
      <c r="N313" s="6">
        <f t="shared" si="103"/>
        <v>0.27118877228409771</v>
      </c>
      <c r="O313" s="6">
        <f t="shared" si="104"/>
        <v>24.915468453601477</v>
      </c>
      <c r="P313">
        <f t="shared" si="105"/>
        <v>63.235458935240544</v>
      </c>
    </row>
    <row r="314" spans="1:16" x14ac:dyDescent="0.3">
      <c r="A314">
        <v>6</v>
      </c>
      <c r="B314" t="s">
        <v>301</v>
      </c>
      <c r="C314" s="6">
        <f t="shared" si="95"/>
        <v>13.4315</v>
      </c>
      <c r="D314">
        <f t="shared" si="96"/>
        <v>2.6904000000000003</v>
      </c>
      <c r="E314">
        <f t="shared" si="97"/>
        <v>1250</v>
      </c>
      <c r="F314">
        <v>6.5</v>
      </c>
      <c r="G314">
        <v>12.8</v>
      </c>
      <c r="H314">
        <v>35</v>
      </c>
      <c r="I314" s="6">
        <f t="shared" si="98"/>
        <v>10.0352</v>
      </c>
      <c r="J314" s="6">
        <f t="shared" si="99"/>
        <v>63.70000000000001</v>
      </c>
      <c r="K314" s="6">
        <f t="shared" si="100"/>
        <v>12.7256</v>
      </c>
      <c r="L314" s="6">
        <f t="shared" si="101"/>
        <v>77.131500000000017</v>
      </c>
      <c r="M314" s="6">
        <f t="shared" si="102"/>
        <v>78.174223293934958</v>
      </c>
      <c r="N314" s="6">
        <f t="shared" si="103"/>
        <v>0.27142252151216884</v>
      </c>
      <c r="O314" s="6">
        <f t="shared" si="104"/>
        <v>24.936944163930512</v>
      </c>
      <c r="P314">
        <f t="shared" si="105"/>
        <v>63.289964288055636</v>
      </c>
    </row>
    <row r="315" spans="1:16" x14ac:dyDescent="0.3">
      <c r="A315">
        <v>7</v>
      </c>
      <c r="B315" t="s">
        <v>302</v>
      </c>
      <c r="C315" s="6">
        <f t="shared" si="95"/>
        <v>13.463000000000001</v>
      </c>
      <c r="D315">
        <f t="shared" si="96"/>
        <v>2.7408000000000001</v>
      </c>
      <c r="E315">
        <f t="shared" si="97"/>
        <v>630</v>
      </c>
      <c r="F315">
        <v>5.5</v>
      </c>
      <c r="G315">
        <v>6.01</v>
      </c>
      <c r="H315">
        <v>35</v>
      </c>
      <c r="I315" s="6">
        <f t="shared" si="98"/>
        <v>18.549382716049383</v>
      </c>
      <c r="J315" s="6">
        <f t="shared" si="99"/>
        <v>106.94444444444444</v>
      </c>
      <c r="K315" s="6">
        <f t="shared" si="100"/>
        <v>21.290182716049383</v>
      </c>
      <c r="L315" s="6">
        <f t="shared" si="101"/>
        <v>120.40744444444445</v>
      </c>
      <c r="M315" s="6">
        <f t="shared" si="102"/>
        <v>122.27520009276103</v>
      </c>
      <c r="N315" s="6">
        <f t="shared" si="103"/>
        <v>0.17352860422717328</v>
      </c>
      <c r="O315" s="6">
        <f t="shared" si="104"/>
        <v>15.942940513371546</v>
      </c>
      <c r="P315">
        <f t="shared" si="105"/>
        <v>40.463183022936981</v>
      </c>
    </row>
    <row r="316" spans="1:16" x14ac:dyDescent="0.3">
      <c r="A316">
        <v>8</v>
      </c>
      <c r="B316" t="s">
        <v>303</v>
      </c>
      <c r="C316" s="6">
        <f t="shared" si="95"/>
        <v>13.458500000000001</v>
      </c>
      <c r="D316">
        <f t="shared" si="96"/>
        <v>2.7336</v>
      </c>
      <c r="E316">
        <f t="shared" si="97"/>
        <v>630</v>
      </c>
      <c r="F316">
        <v>5.5</v>
      </c>
      <c r="G316">
        <v>6.01</v>
      </c>
      <c r="H316">
        <v>35</v>
      </c>
      <c r="I316" s="6">
        <f t="shared" si="98"/>
        <v>18.549382716049383</v>
      </c>
      <c r="J316" s="6">
        <f t="shared" si="99"/>
        <v>106.94444444444444</v>
      </c>
      <c r="K316" s="6">
        <f t="shared" si="100"/>
        <v>21.282982716049382</v>
      </c>
      <c r="L316" s="6">
        <f t="shared" si="101"/>
        <v>120.40294444444444</v>
      </c>
      <c r="M316" s="6">
        <f t="shared" si="102"/>
        <v>122.26951535106218</v>
      </c>
      <c r="N316" s="6">
        <f t="shared" si="103"/>
        <v>0.17353667218499219</v>
      </c>
      <c r="O316" s="6">
        <f t="shared" si="104"/>
        <v>15.943681756996156</v>
      </c>
      <c r="P316">
        <f t="shared" si="105"/>
        <v>40.465064299256241</v>
      </c>
    </row>
    <row r="319" spans="1:16" x14ac:dyDescent="0.3">
      <c r="B319" s="8" t="s">
        <v>314</v>
      </c>
    </row>
    <row r="320" spans="1:16" x14ac:dyDescent="0.3">
      <c r="B320" t="s">
        <v>315</v>
      </c>
      <c r="C320" t="s">
        <v>239</v>
      </c>
      <c r="D320" t="s">
        <v>324</v>
      </c>
      <c r="E320" s="2" t="s">
        <v>325</v>
      </c>
      <c r="F320" s="2" t="s">
        <v>326</v>
      </c>
      <c r="G320" s="2" t="s">
        <v>327</v>
      </c>
      <c r="H320" s="2" t="s">
        <v>233</v>
      </c>
      <c r="I320" s="2" t="s">
        <v>328</v>
      </c>
    </row>
    <row r="321" spans="2:10" x14ac:dyDescent="0.3">
      <c r="B321" t="s">
        <v>316</v>
      </c>
      <c r="C321">
        <v>35</v>
      </c>
      <c r="D321" s="6">
        <f>M298</f>
        <v>1.5506169821317843</v>
      </c>
      <c r="E321">
        <v>12</v>
      </c>
      <c r="F321">
        <v>0.8</v>
      </c>
      <c r="G321">
        <f>SQRT(F321)*E321*D321</f>
        <v>16.642967899738785</v>
      </c>
      <c r="H321">
        <v>50</v>
      </c>
      <c r="I321" t="s">
        <v>329</v>
      </c>
    </row>
    <row r="322" spans="2:10" x14ac:dyDescent="0.3">
      <c r="B322" t="s">
        <v>317</v>
      </c>
      <c r="C322">
        <v>35</v>
      </c>
      <c r="D322" s="6">
        <f t="shared" ref="D322:D328" si="106">M299</f>
        <v>1.5486397219389938</v>
      </c>
      <c r="E322">
        <v>12</v>
      </c>
      <c r="F322">
        <v>0.8</v>
      </c>
      <c r="G322">
        <f t="shared" ref="G322:G328" si="107">SQRT(F322)*E322*D322</f>
        <v>16.621745716377422</v>
      </c>
      <c r="H322">
        <v>50</v>
      </c>
      <c r="I322" t="s">
        <v>329</v>
      </c>
    </row>
    <row r="323" spans="2:10" x14ac:dyDescent="0.3">
      <c r="B323" t="s">
        <v>318</v>
      </c>
      <c r="C323">
        <v>35</v>
      </c>
      <c r="D323" s="6">
        <f t="shared" si="106"/>
        <v>1.5496280762812764</v>
      </c>
      <c r="E323">
        <v>12</v>
      </c>
      <c r="F323">
        <v>0.8</v>
      </c>
      <c r="G323">
        <f t="shared" si="107"/>
        <v>16.632353848354384</v>
      </c>
      <c r="H323">
        <v>50</v>
      </c>
      <c r="I323" t="s">
        <v>329</v>
      </c>
    </row>
    <row r="324" spans="2:10" x14ac:dyDescent="0.3">
      <c r="B324" t="s">
        <v>319</v>
      </c>
      <c r="C324">
        <v>35</v>
      </c>
      <c r="D324" s="6">
        <f t="shared" si="106"/>
        <v>1.5502872856723042</v>
      </c>
      <c r="E324">
        <v>12</v>
      </c>
      <c r="F324">
        <v>0.8</v>
      </c>
      <c r="G324">
        <f t="shared" si="107"/>
        <v>16.639429226001159</v>
      </c>
      <c r="H324">
        <v>50</v>
      </c>
      <c r="I324" t="s">
        <v>329</v>
      </c>
    </row>
    <row r="325" spans="2:10" x14ac:dyDescent="0.3">
      <c r="B325" t="s">
        <v>320</v>
      </c>
      <c r="C325">
        <v>35</v>
      </c>
      <c r="D325" s="6">
        <f t="shared" si="106"/>
        <v>1.5410808361950707</v>
      </c>
      <c r="E325">
        <v>12</v>
      </c>
      <c r="F325">
        <v>0.8</v>
      </c>
      <c r="G325">
        <f t="shared" si="107"/>
        <v>16.540615241061104</v>
      </c>
      <c r="H325">
        <v>50</v>
      </c>
      <c r="I325" t="s">
        <v>329</v>
      </c>
    </row>
    <row r="326" spans="2:10" x14ac:dyDescent="0.3">
      <c r="B326" t="s">
        <v>321</v>
      </c>
      <c r="C326">
        <v>35</v>
      </c>
      <c r="D326" s="6">
        <f t="shared" si="106"/>
        <v>1.5489691120052564</v>
      </c>
      <c r="E326">
        <v>12</v>
      </c>
      <c r="F326">
        <v>0.8</v>
      </c>
      <c r="G326">
        <f t="shared" si="107"/>
        <v>16.625281101557949</v>
      </c>
      <c r="H326">
        <v>50</v>
      </c>
      <c r="I326" t="s">
        <v>329</v>
      </c>
    </row>
    <row r="327" spans="2:10" x14ac:dyDescent="0.3">
      <c r="B327" t="s">
        <v>322</v>
      </c>
      <c r="C327">
        <v>35</v>
      </c>
      <c r="D327" s="6">
        <f t="shared" si="106"/>
        <v>1.5443632662718081</v>
      </c>
      <c r="E327">
        <v>12</v>
      </c>
      <c r="F327">
        <v>0.8</v>
      </c>
      <c r="G327">
        <f t="shared" si="107"/>
        <v>16.57584597761938</v>
      </c>
      <c r="H327">
        <v>50</v>
      </c>
      <c r="I327" t="s">
        <v>329</v>
      </c>
    </row>
    <row r="328" spans="2:10" x14ac:dyDescent="0.3">
      <c r="B328" t="s">
        <v>323</v>
      </c>
      <c r="C328">
        <v>35</v>
      </c>
      <c r="D328" s="6">
        <f t="shared" si="106"/>
        <v>1.5450205011154399</v>
      </c>
      <c r="E328">
        <v>12</v>
      </c>
      <c r="F328">
        <v>0.8</v>
      </c>
      <c r="G328">
        <f t="shared" si="107"/>
        <v>16.582900162199582</v>
      </c>
      <c r="H328">
        <v>50</v>
      </c>
      <c r="I328" t="s">
        <v>329</v>
      </c>
    </row>
    <row r="330" spans="2:10" x14ac:dyDescent="0.3">
      <c r="B330" s="8" t="s">
        <v>330</v>
      </c>
    </row>
    <row r="331" spans="2:10" x14ac:dyDescent="0.3">
      <c r="B331" t="s">
        <v>331</v>
      </c>
      <c r="C331" t="s">
        <v>332</v>
      </c>
      <c r="D331" t="s">
        <v>334</v>
      </c>
      <c r="E331" t="s">
        <v>335</v>
      </c>
      <c r="F331" t="s">
        <v>336</v>
      </c>
      <c r="G331" t="s">
        <v>337</v>
      </c>
      <c r="H331" t="s">
        <v>338</v>
      </c>
      <c r="I331" t="s">
        <v>339</v>
      </c>
      <c r="J331" s="2" t="s">
        <v>328</v>
      </c>
    </row>
    <row r="332" spans="2:10" x14ac:dyDescent="0.3">
      <c r="B332" t="s">
        <v>242</v>
      </c>
      <c r="C332" t="s">
        <v>333</v>
      </c>
      <c r="D332" s="6">
        <f>D321</f>
        <v>1.5506169821317843</v>
      </c>
      <c r="E332" t="s">
        <v>340</v>
      </c>
      <c r="F332">
        <v>16</v>
      </c>
      <c r="G332" s="6">
        <f>D332*SQRT(0.8/(F332*3/16))</f>
        <v>0.80073516641904052</v>
      </c>
      <c r="H332">
        <v>40</v>
      </c>
      <c r="I332" s="6">
        <f>D332*1.8*1.41</f>
        <v>3.9354659006504682</v>
      </c>
      <c r="J332" t="s">
        <v>329</v>
      </c>
    </row>
    <row r="333" spans="2:10" x14ac:dyDescent="0.3">
      <c r="B333" t="s">
        <v>243</v>
      </c>
      <c r="C333" t="s">
        <v>333</v>
      </c>
      <c r="D333" s="6">
        <f t="shared" ref="D333:D339" si="108">D322</f>
        <v>1.5486397219389938</v>
      </c>
      <c r="E333" t="s">
        <v>340</v>
      </c>
      <c r="F333">
        <v>16</v>
      </c>
      <c r="G333" s="6">
        <f t="shared" ref="G333:G340" si="109">D333*SQRT(0.8/(F333*3/16))</f>
        <v>0.79971411364600098</v>
      </c>
      <c r="H333">
        <v>40</v>
      </c>
      <c r="I333" s="6">
        <f t="shared" ref="I333:I340" si="110">D333*1.8*1.41</f>
        <v>3.930447614281166</v>
      </c>
      <c r="J333" t="s">
        <v>329</v>
      </c>
    </row>
    <row r="334" spans="2:10" x14ac:dyDescent="0.3">
      <c r="B334" t="s">
        <v>244</v>
      </c>
      <c r="C334" t="s">
        <v>333</v>
      </c>
      <c r="D334" s="6">
        <f t="shared" si="108"/>
        <v>1.5496280762812764</v>
      </c>
      <c r="E334" t="s">
        <v>340</v>
      </c>
      <c r="F334">
        <v>16</v>
      </c>
      <c r="G334" s="6">
        <f t="shared" si="109"/>
        <v>0.80022449763370929</v>
      </c>
      <c r="H334">
        <v>40</v>
      </c>
      <c r="I334" s="6">
        <f t="shared" si="110"/>
        <v>3.9329560576018796</v>
      </c>
      <c r="J334" t="s">
        <v>329</v>
      </c>
    </row>
    <row r="335" spans="2:10" x14ac:dyDescent="0.3">
      <c r="B335" t="s">
        <v>245</v>
      </c>
      <c r="C335" t="s">
        <v>333</v>
      </c>
      <c r="D335" s="6">
        <f t="shared" si="108"/>
        <v>1.5502872856723042</v>
      </c>
      <c r="E335" t="s">
        <v>340</v>
      </c>
      <c r="F335">
        <v>16</v>
      </c>
      <c r="G335" s="6">
        <f t="shared" si="109"/>
        <v>0.80056491189945789</v>
      </c>
      <c r="H335">
        <v>40</v>
      </c>
      <c r="I335" s="6">
        <f t="shared" si="110"/>
        <v>3.9346291310363077</v>
      </c>
      <c r="J335" t="s">
        <v>329</v>
      </c>
    </row>
    <row r="336" spans="2:10" x14ac:dyDescent="0.3">
      <c r="B336" t="s">
        <v>246</v>
      </c>
      <c r="C336" t="s">
        <v>333</v>
      </c>
      <c r="D336" s="6">
        <f t="shared" si="108"/>
        <v>1.5410808361950707</v>
      </c>
      <c r="E336" t="s">
        <v>340</v>
      </c>
      <c r="F336">
        <v>16</v>
      </c>
      <c r="G336" s="6">
        <f t="shared" si="109"/>
        <v>0.79581072183238777</v>
      </c>
      <c r="H336">
        <v>40</v>
      </c>
      <c r="I336" s="6">
        <f t="shared" si="110"/>
        <v>3.9112631622630896</v>
      </c>
      <c r="J336" t="s">
        <v>329</v>
      </c>
    </row>
    <row r="337" spans="2:10" x14ac:dyDescent="0.3">
      <c r="B337" t="s">
        <v>247</v>
      </c>
      <c r="C337" t="s">
        <v>333</v>
      </c>
      <c r="D337" s="6">
        <f t="shared" si="108"/>
        <v>1.5489691120052564</v>
      </c>
      <c r="E337" t="s">
        <v>340</v>
      </c>
      <c r="F337">
        <v>16</v>
      </c>
      <c r="G337" s="6">
        <f t="shared" si="109"/>
        <v>0.79988420994480647</v>
      </c>
      <c r="H337">
        <v>40</v>
      </c>
      <c r="I337" s="6">
        <f t="shared" si="110"/>
        <v>3.9312836062693406</v>
      </c>
      <c r="J337" t="s">
        <v>329</v>
      </c>
    </row>
    <row r="338" spans="2:10" x14ac:dyDescent="0.3">
      <c r="B338" t="s">
        <v>248</v>
      </c>
      <c r="C338" t="s">
        <v>333</v>
      </c>
      <c r="D338" s="6">
        <f t="shared" si="108"/>
        <v>1.5443632662718081</v>
      </c>
      <c r="E338" t="s">
        <v>340</v>
      </c>
      <c r="F338">
        <v>16</v>
      </c>
      <c r="G338" s="6">
        <f t="shared" si="109"/>
        <v>0.79750576143536034</v>
      </c>
      <c r="H338">
        <v>40</v>
      </c>
      <c r="I338" s="6">
        <f t="shared" si="110"/>
        <v>3.9195939697978486</v>
      </c>
      <c r="J338" t="s">
        <v>329</v>
      </c>
    </row>
    <row r="339" spans="2:10" x14ac:dyDescent="0.3">
      <c r="B339" t="s">
        <v>256</v>
      </c>
      <c r="C339" t="s">
        <v>333</v>
      </c>
      <c r="D339" s="6">
        <f t="shared" si="108"/>
        <v>1.5450205011154399</v>
      </c>
      <c r="E339" t="s">
        <v>340</v>
      </c>
      <c r="F339">
        <v>16</v>
      </c>
      <c r="G339" s="6">
        <f t="shared" si="109"/>
        <v>0.79784515604921813</v>
      </c>
      <c r="H339">
        <v>40</v>
      </c>
      <c r="I339" s="6">
        <f t="shared" si="110"/>
        <v>3.9212620318309863</v>
      </c>
      <c r="J339" t="s">
        <v>329</v>
      </c>
    </row>
    <row r="340" spans="2:10" x14ac:dyDescent="0.3">
      <c r="B340" t="s">
        <v>341</v>
      </c>
      <c r="C340" t="s">
        <v>333</v>
      </c>
      <c r="D340" s="4">
        <f>C292</f>
        <v>1.5533359153576063</v>
      </c>
      <c r="E340" t="s">
        <v>340</v>
      </c>
      <c r="F340">
        <v>16</v>
      </c>
      <c r="G340" s="6">
        <f t="shared" si="109"/>
        <v>0.80213921749944828</v>
      </c>
      <c r="H340">
        <v>40</v>
      </c>
      <c r="I340" s="6">
        <f t="shared" si="110"/>
        <v>3.9423665531776049</v>
      </c>
      <c r="J340" t="s">
        <v>329</v>
      </c>
    </row>
    <row r="342" spans="2:10" x14ac:dyDescent="0.3">
      <c r="B342" s="8" t="s">
        <v>345</v>
      </c>
    </row>
    <row r="343" spans="2:10" x14ac:dyDescent="0.3">
      <c r="B343" t="s">
        <v>331</v>
      </c>
      <c r="C343" t="s">
        <v>239</v>
      </c>
      <c r="D343" t="s">
        <v>342</v>
      </c>
      <c r="E343" t="s">
        <v>343</v>
      </c>
      <c r="F343" t="s">
        <v>344</v>
      </c>
      <c r="G343" t="s">
        <v>346</v>
      </c>
    </row>
    <row r="344" spans="2:10" x14ac:dyDescent="0.3">
      <c r="B344" t="s">
        <v>242</v>
      </c>
      <c r="C344">
        <v>35</v>
      </c>
      <c r="D344">
        <f>E309</f>
        <v>1800</v>
      </c>
      <c r="E344" s="4">
        <f>1.4*D344/1.732/C344</f>
        <v>41.570438799076214</v>
      </c>
      <c r="F344" s="6">
        <f>D332</f>
        <v>1.5506169821317843</v>
      </c>
      <c r="G344" t="s">
        <v>347</v>
      </c>
    </row>
    <row r="345" spans="2:10" x14ac:dyDescent="0.3">
      <c r="B345" t="s">
        <v>243</v>
      </c>
      <c r="C345">
        <v>35</v>
      </c>
      <c r="D345">
        <f t="shared" ref="D345:D351" si="111">E310</f>
        <v>1500</v>
      </c>
      <c r="E345" s="4">
        <f t="shared" ref="E345:E351" si="112">1.4*D345/1.732/C345</f>
        <v>34.64203233256351</v>
      </c>
      <c r="F345" s="6">
        <f t="shared" ref="F345:F351" si="113">D333</f>
        <v>1.5486397219389938</v>
      </c>
      <c r="G345" t="s">
        <v>347</v>
      </c>
    </row>
    <row r="346" spans="2:10" x14ac:dyDescent="0.3">
      <c r="B346" t="s">
        <v>244</v>
      </c>
      <c r="C346">
        <v>35</v>
      </c>
      <c r="D346">
        <f t="shared" si="111"/>
        <v>1000</v>
      </c>
      <c r="E346" s="4">
        <f t="shared" si="112"/>
        <v>23.094688221709006</v>
      </c>
      <c r="F346" s="6">
        <f t="shared" si="113"/>
        <v>1.5496280762812764</v>
      </c>
      <c r="G346" t="s">
        <v>356</v>
      </c>
    </row>
    <row r="347" spans="2:10" x14ac:dyDescent="0.3">
      <c r="B347" t="s">
        <v>245</v>
      </c>
      <c r="C347">
        <v>35</v>
      </c>
      <c r="D347">
        <f t="shared" si="111"/>
        <v>1250</v>
      </c>
      <c r="E347" s="4">
        <f t="shared" si="112"/>
        <v>28.868360277136258</v>
      </c>
      <c r="F347" s="6">
        <f t="shared" si="113"/>
        <v>1.5502872856723042</v>
      </c>
      <c r="G347" t="s">
        <v>348</v>
      </c>
    </row>
    <row r="348" spans="2:10" x14ac:dyDescent="0.3">
      <c r="B348" t="s">
        <v>246</v>
      </c>
      <c r="C348">
        <v>35</v>
      </c>
      <c r="D348">
        <f t="shared" si="111"/>
        <v>1250</v>
      </c>
      <c r="E348" s="4">
        <f t="shared" si="112"/>
        <v>28.868360277136258</v>
      </c>
      <c r="F348" s="6">
        <f t="shared" si="113"/>
        <v>1.5410808361950707</v>
      </c>
      <c r="G348" t="s">
        <v>348</v>
      </c>
    </row>
    <row r="349" spans="2:10" x14ac:dyDescent="0.3">
      <c r="B349" t="s">
        <v>247</v>
      </c>
      <c r="C349">
        <v>35</v>
      </c>
      <c r="D349">
        <f t="shared" si="111"/>
        <v>1250</v>
      </c>
      <c r="E349" s="4">
        <f t="shared" si="112"/>
        <v>28.868360277136258</v>
      </c>
      <c r="F349" s="6">
        <f t="shared" si="113"/>
        <v>1.5489691120052564</v>
      </c>
      <c r="G349" t="s">
        <v>348</v>
      </c>
    </row>
    <row r="350" spans="2:10" x14ac:dyDescent="0.3">
      <c r="B350" t="s">
        <v>248</v>
      </c>
      <c r="C350">
        <v>35</v>
      </c>
      <c r="D350">
        <f t="shared" si="111"/>
        <v>630</v>
      </c>
      <c r="E350" s="4">
        <f t="shared" si="112"/>
        <v>14.549653579676674</v>
      </c>
      <c r="F350" s="6">
        <f t="shared" si="113"/>
        <v>1.5443632662718081</v>
      </c>
      <c r="G350" t="s">
        <v>349</v>
      </c>
    </row>
    <row r="351" spans="2:10" x14ac:dyDescent="0.3">
      <c r="B351" t="s">
        <v>256</v>
      </c>
      <c r="C351">
        <v>35</v>
      </c>
      <c r="D351">
        <f t="shared" si="111"/>
        <v>630</v>
      </c>
      <c r="E351" s="4">
        <f t="shared" si="112"/>
        <v>14.549653579676674</v>
      </c>
      <c r="F351" s="6">
        <f t="shared" si="113"/>
        <v>1.5450205011154399</v>
      </c>
      <c r="G351" t="s">
        <v>349</v>
      </c>
    </row>
    <row r="353" spans="2:7" x14ac:dyDescent="0.3">
      <c r="B353" s="8" t="s">
        <v>350</v>
      </c>
    </row>
    <row r="354" spans="2:7" x14ac:dyDescent="0.3">
      <c r="B354" t="s">
        <v>331</v>
      </c>
      <c r="C354" t="s">
        <v>343</v>
      </c>
      <c r="D354" t="s">
        <v>344</v>
      </c>
      <c r="E354" t="s">
        <v>351</v>
      </c>
      <c r="F354" t="s">
        <v>352</v>
      </c>
      <c r="G354" t="s">
        <v>354</v>
      </c>
    </row>
    <row r="355" spans="2:7" x14ac:dyDescent="0.3">
      <c r="B355" t="s">
        <v>242</v>
      </c>
      <c r="C355" s="4">
        <f>E344</f>
        <v>41.570438799076214</v>
      </c>
      <c r="D355" s="6">
        <f>F344</f>
        <v>1.5506169821317843</v>
      </c>
      <c r="E355" s="6">
        <f>N298</f>
        <v>3.9354659006504682</v>
      </c>
      <c r="F355" s="6">
        <f>D355*SQRT(0.8/0.3)</f>
        <v>2.5321469284781415</v>
      </c>
      <c r="G355" t="s">
        <v>353</v>
      </c>
    </row>
    <row r="356" spans="2:7" x14ac:dyDescent="0.3">
      <c r="B356" t="s">
        <v>243</v>
      </c>
      <c r="C356" s="4">
        <f t="shared" ref="C356:C362" si="114">E345</f>
        <v>34.64203233256351</v>
      </c>
      <c r="D356" s="6">
        <f t="shared" ref="D356:D362" si="115">F345</f>
        <v>1.5486397219389938</v>
      </c>
      <c r="E356" s="6">
        <f t="shared" ref="E356:E362" si="116">N299</f>
        <v>3.930447614281166</v>
      </c>
      <c r="F356" s="6">
        <f t="shared" ref="F356:F362" si="117">D356*SQRT(0.8/0.3)</f>
        <v>2.5289180761041057</v>
      </c>
      <c r="G356" t="s">
        <v>353</v>
      </c>
    </row>
    <row r="357" spans="2:7" x14ac:dyDescent="0.3">
      <c r="B357" t="s">
        <v>244</v>
      </c>
      <c r="C357" s="4">
        <f t="shared" si="114"/>
        <v>23.094688221709006</v>
      </c>
      <c r="D357" s="6">
        <f t="shared" si="115"/>
        <v>1.5496280762812764</v>
      </c>
      <c r="E357" s="6">
        <f t="shared" si="116"/>
        <v>3.9329560576018792</v>
      </c>
      <c r="F357" s="6">
        <f t="shared" si="117"/>
        <v>2.5305320519865431</v>
      </c>
      <c r="G357" t="s">
        <v>353</v>
      </c>
    </row>
    <row r="358" spans="2:7" x14ac:dyDescent="0.3">
      <c r="B358" t="s">
        <v>245</v>
      </c>
      <c r="C358" s="4">
        <f t="shared" si="114"/>
        <v>28.868360277136258</v>
      </c>
      <c r="D358" s="6">
        <f t="shared" si="115"/>
        <v>1.5502872856723042</v>
      </c>
      <c r="E358" s="6">
        <f t="shared" si="116"/>
        <v>3.9346291310363077</v>
      </c>
      <c r="F358" s="6">
        <f t="shared" si="117"/>
        <v>2.5316085364143226</v>
      </c>
      <c r="G358" t="s">
        <v>353</v>
      </c>
    </row>
    <row r="359" spans="2:7" x14ac:dyDescent="0.3">
      <c r="B359" t="s">
        <v>246</v>
      </c>
      <c r="C359" s="4">
        <f t="shared" si="114"/>
        <v>28.868360277136258</v>
      </c>
      <c r="D359" s="6">
        <f t="shared" si="115"/>
        <v>1.5410808361950707</v>
      </c>
      <c r="E359" s="6">
        <f t="shared" si="116"/>
        <v>3.9112631622630891</v>
      </c>
      <c r="F359" s="6">
        <f t="shared" si="117"/>
        <v>2.5165744673730326</v>
      </c>
      <c r="G359" t="s">
        <v>353</v>
      </c>
    </row>
    <row r="360" spans="2:7" x14ac:dyDescent="0.3">
      <c r="B360" t="s">
        <v>247</v>
      </c>
      <c r="C360" s="4">
        <f t="shared" si="114"/>
        <v>28.868360277136258</v>
      </c>
      <c r="D360" s="6">
        <f t="shared" si="115"/>
        <v>1.5489691120052564</v>
      </c>
      <c r="E360" s="6">
        <f t="shared" si="116"/>
        <v>3.9312836062693406</v>
      </c>
      <c r="F360" s="6">
        <f t="shared" si="117"/>
        <v>2.5294559678298958</v>
      </c>
      <c r="G360" t="s">
        <v>353</v>
      </c>
    </row>
    <row r="361" spans="2:7" x14ac:dyDescent="0.3">
      <c r="B361" t="s">
        <v>248</v>
      </c>
      <c r="C361" s="4">
        <f t="shared" si="114"/>
        <v>14.549653579676674</v>
      </c>
      <c r="D361" s="6">
        <f t="shared" si="115"/>
        <v>1.5443632662718081</v>
      </c>
      <c r="E361" s="6">
        <f t="shared" si="116"/>
        <v>3.9195939697978486</v>
      </c>
      <c r="F361" s="6">
        <f t="shared" si="117"/>
        <v>2.5219346532426132</v>
      </c>
      <c r="G361" t="s">
        <v>353</v>
      </c>
    </row>
    <row r="362" spans="2:7" x14ac:dyDescent="0.3">
      <c r="B362" t="s">
        <v>256</v>
      </c>
      <c r="C362" s="4">
        <f t="shared" si="114"/>
        <v>14.549653579676674</v>
      </c>
      <c r="D362" s="6">
        <f t="shared" si="115"/>
        <v>1.5450205011154399</v>
      </c>
      <c r="E362" s="6">
        <f t="shared" si="116"/>
        <v>3.9212620318309863</v>
      </c>
      <c r="F362" s="6">
        <f t="shared" si="117"/>
        <v>2.523007913247997</v>
      </c>
      <c r="G362" t="s">
        <v>353</v>
      </c>
    </row>
    <row r="364" spans="2:7" x14ac:dyDescent="0.3">
      <c r="B364" s="8" t="s">
        <v>355</v>
      </c>
    </row>
    <row r="365" spans="2:7" x14ac:dyDescent="0.3">
      <c r="B365" t="s">
        <v>331</v>
      </c>
      <c r="C365" t="s">
        <v>357</v>
      </c>
      <c r="D365" t="s">
        <v>234</v>
      </c>
      <c r="E365" t="s">
        <v>344</v>
      </c>
      <c r="F365" t="s">
        <v>343</v>
      </c>
      <c r="G365" t="s">
        <v>359</v>
      </c>
    </row>
    <row r="366" spans="2:7" x14ac:dyDescent="0.3">
      <c r="B366" t="s">
        <v>242</v>
      </c>
      <c r="C366" s="4">
        <v>0.4</v>
      </c>
      <c r="D366">
        <f>D344</f>
        <v>1800</v>
      </c>
      <c r="E366" s="6">
        <f>D355</f>
        <v>1.5506169821317843</v>
      </c>
      <c r="F366">
        <f>D366*1.4/1.732/C366</f>
        <v>3637.4133949191682</v>
      </c>
      <c r="G366" t="s">
        <v>360</v>
      </c>
    </row>
    <row r="367" spans="2:7" x14ac:dyDescent="0.3">
      <c r="B367" t="s">
        <v>243</v>
      </c>
      <c r="C367" s="4">
        <v>0.4</v>
      </c>
      <c r="D367">
        <f t="shared" ref="D367:D373" si="118">D345</f>
        <v>1500</v>
      </c>
      <c r="E367" s="6">
        <f t="shared" ref="E367:E373" si="119">D356</f>
        <v>1.5486397219389938</v>
      </c>
      <c r="F367">
        <f t="shared" ref="F367:F373" si="120">D367*1.4/1.732/C367</f>
        <v>3031.177829099307</v>
      </c>
      <c r="G367" t="s">
        <v>361</v>
      </c>
    </row>
    <row r="368" spans="2:7" x14ac:dyDescent="0.3">
      <c r="B368" t="s">
        <v>244</v>
      </c>
      <c r="C368" s="4">
        <v>0.4</v>
      </c>
      <c r="D368">
        <f t="shared" si="118"/>
        <v>1000</v>
      </c>
      <c r="E368" s="6">
        <f t="shared" si="119"/>
        <v>1.5496280762812764</v>
      </c>
      <c r="F368">
        <f t="shared" si="120"/>
        <v>2020.7852193995382</v>
      </c>
      <c r="G368" t="s">
        <v>362</v>
      </c>
    </row>
    <row r="369" spans="2:8" x14ac:dyDescent="0.3">
      <c r="B369" t="s">
        <v>245</v>
      </c>
      <c r="C369" s="4">
        <v>0.4</v>
      </c>
      <c r="D369">
        <f t="shared" si="118"/>
        <v>1250</v>
      </c>
      <c r="E369" s="6">
        <f t="shared" si="119"/>
        <v>1.5502872856723042</v>
      </c>
      <c r="F369">
        <f t="shared" si="120"/>
        <v>2525.9815242494224</v>
      </c>
      <c r="G369" t="s">
        <v>361</v>
      </c>
    </row>
    <row r="370" spans="2:8" x14ac:dyDescent="0.3">
      <c r="B370" t="s">
        <v>246</v>
      </c>
      <c r="C370" s="4">
        <v>0.4</v>
      </c>
      <c r="D370">
        <f t="shared" si="118"/>
        <v>1250</v>
      </c>
      <c r="E370" s="6">
        <f t="shared" si="119"/>
        <v>1.5410808361950707</v>
      </c>
      <c r="F370">
        <f t="shared" si="120"/>
        <v>2525.9815242494224</v>
      </c>
      <c r="G370" t="s">
        <v>361</v>
      </c>
    </row>
    <row r="371" spans="2:8" x14ac:dyDescent="0.3">
      <c r="B371" t="s">
        <v>247</v>
      </c>
      <c r="C371" s="4">
        <v>0.4</v>
      </c>
      <c r="D371">
        <f t="shared" si="118"/>
        <v>1250</v>
      </c>
      <c r="E371" s="6">
        <f t="shared" si="119"/>
        <v>1.5489691120052564</v>
      </c>
      <c r="F371">
        <f t="shared" si="120"/>
        <v>2525.9815242494224</v>
      </c>
      <c r="G371" t="s">
        <v>361</v>
      </c>
    </row>
    <row r="372" spans="2:8" x14ac:dyDescent="0.3">
      <c r="B372" t="s">
        <v>248</v>
      </c>
      <c r="C372" s="4">
        <v>0.4</v>
      </c>
      <c r="D372">
        <f t="shared" si="118"/>
        <v>630</v>
      </c>
      <c r="E372" s="6">
        <f t="shared" si="119"/>
        <v>1.5443632662718081</v>
      </c>
      <c r="F372">
        <f t="shared" si="120"/>
        <v>1273.094688221709</v>
      </c>
      <c r="G372" t="s">
        <v>363</v>
      </c>
    </row>
    <row r="373" spans="2:8" x14ac:dyDescent="0.3">
      <c r="B373" t="s">
        <v>256</v>
      </c>
      <c r="C373" s="4">
        <v>0.4</v>
      </c>
      <c r="D373">
        <f t="shared" si="118"/>
        <v>630</v>
      </c>
      <c r="E373" s="6">
        <f t="shared" si="119"/>
        <v>1.5450205011154399</v>
      </c>
      <c r="F373">
        <f t="shared" si="120"/>
        <v>1273.094688221709</v>
      </c>
      <c r="G373" t="s">
        <v>363</v>
      </c>
    </row>
    <row r="375" spans="2:8" x14ac:dyDescent="0.3">
      <c r="B375" s="8" t="s">
        <v>364</v>
      </c>
    </row>
    <row r="376" spans="2:8" x14ac:dyDescent="0.3">
      <c r="B376" t="s">
        <v>165</v>
      </c>
      <c r="C376" t="s">
        <v>90</v>
      </c>
      <c r="D376" t="s">
        <v>239</v>
      </c>
      <c r="E376" t="s">
        <v>342</v>
      </c>
      <c r="F376" t="s">
        <v>374</v>
      </c>
      <c r="G376" t="s">
        <v>358</v>
      </c>
      <c r="H376" t="s">
        <v>359</v>
      </c>
    </row>
    <row r="377" spans="2:8" x14ac:dyDescent="0.3">
      <c r="B377" t="s">
        <v>365</v>
      </c>
      <c r="C377">
        <v>2</v>
      </c>
      <c r="D377">
        <v>0.4</v>
      </c>
      <c r="E377" s="4">
        <f>F120</f>
        <v>3313.0276885435542</v>
      </c>
      <c r="F377" s="4">
        <f>E377/C377/1.732/D377</f>
        <v>2391.0419230250823</v>
      </c>
      <c r="G377" s="4">
        <f>P309</f>
        <v>84.676148196793747</v>
      </c>
      <c r="H377" t="s">
        <v>362</v>
      </c>
    </row>
    <row r="378" spans="2:8" x14ac:dyDescent="0.3">
      <c r="B378" t="s">
        <v>367</v>
      </c>
      <c r="C378">
        <v>2</v>
      </c>
      <c r="D378">
        <v>0.4</v>
      </c>
      <c r="E378" s="4">
        <f t="shared" ref="E378:E385" si="121">F121</f>
        <v>2887.6763440740724</v>
      </c>
      <c r="F378" s="4">
        <f t="shared" ref="F378:F385" si="122">E378/C378/1.732/D378</f>
        <v>2084.0620266123501</v>
      </c>
      <c r="G378" s="4">
        <f t="shared" ref="G378:G384" si="123">P310</f>
        <v>73.390269098394938</v>
      </c>
      <c r="H378" t="s">
        <v>362</v>
      </c>
    </row>
    <row r="379" spans="2:8" x14ac:dyDescent="0.3">
      <c r="B379" t="s">
        <v>368</v>
      </c>
      <c r="C379">
        <v>2</v>
      </c>
      <c r="D379">
        <v>0.4</v>
      </c>
      <c r="E379" s="4">
        <f t="shared" si="121"/>
        <v>1644.7492497381056</v>
      </c>
      <c r="F379" s="4">
        <f t="shared" si="122"/>
        <v>1187.0303476747297</v>
      </c>
      <c r="G379" s="4">
        <f t="shared" si="123"/>
        <v>56.222433380739695</v>
      </c>
      <c r="H379" t="s">
        <v>363</v>
      </c>
    </row>
    <row r="380" spans="2:8" x14ac:dyDescent="0.3">
      <c r="B380" t="s">
        <v>369</v>
      </c>
      <c r="C380">
        <v>2</v>
      </c>
      <c r="D380">
        <v>0.4</v>
      </c>
      <c r="E380" s="4">
        <f t="shared" si="121"/>
        <v>2333.4835687259642</v>
      </c>
      <c r="F380" s="4">
        <f t="shared" si="122"/>
        <v>1684.0961090689696</v>
      </c>
      <c r="G380" s="4">
        <f t="shared" si="123"/>
        <v>63.299051766612394</v>
      </c>
      <c r="H380" t="s">
        <v>375</v>
      </c>
    </row>
    <row r="381" spans="2:8" x14ac:dyDescent="0.3">
      <c r="B381" t="s">
        <v>371</v>
      </c>
      <c r="C381">
        <v>2</v>
      </c>
      <c r="D381">
        <v>0.4</v>
      </c>
      <c r="E381" s="4">
        <f t="shared" si="121"/>
        <v>2460.5237762810057</v>
      </c>
      <c r="F381" s="4">
        <f t="shared" si="122"/>
        <v>1775.7821711034971</v>
      </c>
      <c r="G381" s="4">
        <f t="shared" si="123"/>
        <v>63.235458935240544</v>
      </c>
      <c r="H381" t="s">
        <v>375</v>
      </c>
    </row>
    <row r="382" spans="2:8" x14ac:dyDescent="0.3">
      <c r="B382" t="s">
        <v>370</v>
      </c>
      <c r="C382">
        <v>2</v>
      </c>
      <c r="D382">
        <v>0.4</v>
      </c>
      <c r="E382" s="4">
        <f t="shared" si="121"/>
        <v>2079.5786431248516</v>
      </c>
      <c r="F382" s="4">
        <f t="shared" si="122"/>
        <v>1500.8506373591597</v>
      </c>
      <c r="G382" s="4">
        <f t="shared" si="123"/>
        <v>63.289964288055636</v>
      </c>
      <c r="H382" t="s">
        <v>363</v>
      </c>
    </row>
    <row r="383" spans="2:8" x14ac:dyDescent="0.3">
      <c r="B383" t="s">
        <v>373</v>
      </c>
      <c r="C383">
        <v>1</v>
      </c>
      <c r="D383">
        <v>0.4</v>
      </c>
      <c r="E383" s="4">
        <f t="shared" si="121"/>
        <v>322.54915223018338</v>
      </c>
      <c r="F383" s="4">
        <f t="shared" si="122"/>
        <v>465.57325668329003</v>
      </c>
      <c r="G383" s="4">
        <f t="shared" si="123"/>
        <v>40.463183022936981</v>
      </c>
      <c r="H383" t="s">
        <v>376</v>
      </c>
    </row>
    <row r="384" spans="2:8" x14ac:dyDescent="0.3">
      <c r="B384" t="s">
        <v>366</v>
      </c>
      <c r="C384">
        <v>2</v>
      </c>
      <c r="D384">
        <v>0.4</v>
      </c>
      <c r="E384" s="4">
        <f t="shared" si="121"/>
        <v>1155.9460274986207</v>
      </c>
      <c r="F384" s="4">
        <f t="shared" si="122"/>
        <v>834.25665956886587</v>
      </c>
      <c r="G384" s="4">
        <f t="shared" si="123"/>
        <v>40.465064299256241</v>
      </c>
      <c r="H384" t="s">
        <v>376</v>
      </c>
    </row>
    <row r="385" spans="2:8" x14ac:dyDescent="0.3">
      <c r="B385" t="s">
        <v>372</v>
      </c>
      <c r="C385">
        <v>1</v>
      </c>
      <c r="D385">
        <v>0.4</v>
      </c>
      <c r="E385" s="4">
        <f t="shared" si="121"/>
        <v>334.87819931328562</v>
      </c>
      <c r="F385" s="4">
        <f t="shared" si="122"/>
        <v>483.36922533672868</v>
      </c>
      <c r="G385" s="4">
        <f>G383</f>
        <v>40.463183022936981</v>
      </c>
      <c r="H385" t="s">
        <v>376</v>
      </c>
    </row>
    <row r="388" spans="2:8" x14ac:dyDescent="0.3">
      <c r="B388" s="8" t="s">
        <v>377</v>
      </c>
    </row>
    <row r="389" spans="2:8" x14ac:dyDescent="0.3">
      <c r="B389" t="s">
        <v>315</v>
      </c>
      <c r="C389" t="s">
        <v>386</v>
      </c>
      <c r="D389" t="s">
        <v>374</v>
      </c>
      <c r="E389" t="s">
        <v>332</v>
      </c>
      <c r="F389" t="s">
        <v>390</v>
      </c>
    </row>
    <row r="390" spans="2:8" x14ac:dyDescent="0.3">
      <c r="B390" t="s">
        <v>378</v>
      </c>
      <c r="C390">
        <v>0</v>
      </c>
      <c r="D390">
        <f>K98</f>
        <v>590.45004292897568</v>
      </c>
      <c r="E390" t="s">
        <v>376</v>
      </c>
      <c r="F390">
        <v>800</v>
      </c>
    </row>
    <row r="391" spans="2:8" x14ac:dyDescent="0.3">
      <c r="B391" t="s">
        <v>379</v>
      </c>
      <c r="C391">
        <v>1</v>
      </c>
      <c r="D391" s="4">
        <f>K91</f>
        <v>70.548151314135865</v>
      </c>
      <c r="E391" t="s">
        <v>388</v>
      </c>
      <c r="F391">
        <v>100</v>
      </c>
    </row>
    <row r="392" spans="2:8" x14ac:dyDescent="0.3">
      <c r="B392" t="s">
        <v>380</v>
      </c>
      <c r="C392">
        <v>2</v>
      </c>
      <c r="D392" s="4">
        <f t="shared" ref="D392:D397" si="124">K92</f>
        <v>72.563812780254025</v>
      </c>
      <c r="E392" t="s">
        <v>388</v>
      </c>
      <c r="F392">
        <v>100</v>
      </c>
    </row>
    <row r="393" spans="2:8" x14ac:dyDescent="0.3">
      <c r="B393" t="s">
        <v>381</v>
      </c>
      <c r="C393">
        <v>3</v>
      </c>
      <c r="D393" s="4">
        <f t="shared" si="124"/>
        <v>64.698681481556761</v>
      </c>
      <c r="E393" t="s">
        <v>388</v>
      </c>
      <c r="F393">
        <v>100</v>
      </c>
    </row>
    <row r="394" spans="2:8" x14ac:dyDescent="0.3">
      <c r="B394" t="s">
        <v>382</v>
      </c>
      <c r="C394">
        <v>4</v>
      </c>
      <c r="D394" s="4">
        <f t="shared" si="124"/>
        <v>216.50635094610968</v>
      </c>
      <c r="E394" t="s">
        <v>387</v>
      </c>
      <c r="F394">
        <v>225</v>
      </c>
    </row>
    <row r="395" spans="2:8" x14ac:dyDescent="0.3">
      <c r="B395" t="s">
        <v>383</v>
      </c>
      <c r="C395">
        <v>5</v>
      </c>
      <c r="D395" s="4">
        <f t="shared" si="124"/>
        <v>54.240538447551693</v>
      </c>
      <c r="E395" t="s">
        <v>389</v>
      </c>
      <c r="F395">
        <v>63</v>
      </c>
    </row>
    <row r="396" spans="2:8" x14ac:dyDescent="0.3">
      <c r="B396" t="s">
        <v>384</v>
      </c>
      <c r="C396">
        <v>6</v>
      </c>
      <c r="D396" s="4">
        <f t="shared" si="124"/>
        <v>52.638138226748211</v>
      </c>
      <c r="E396" t="s">
        <v>389</v>
      </c>
      <c r="F396">
        <v>63</v>
      </c>
    </row>
    <row r="397" spans="2:8" x14ac:dyDescent="0.3">
      <c r="B397" t="s">
        <v>385</v>
      </c>
      <c r="C397">
        <v>7</v>
      </c>
      <c r="D397" s="4">
        <f t="shared" si="124"/>
        <v>59.254369732619502</v>
      </c>
      <c r="E397" t="s">
        <v>389</v>
      </c>
      <c r="F397">
        <v>63</v>
      </c>
    </row>
    <row r="399" spans="2:8" x14ac:dyDescent="0.3">
      <c r="B399" s="8" t="s">
        <v>391</v>
      </c>
    </row>
    <row r="400" spans="2:8" x14ac:dyDescent="0.3">
      <c r="B400" t="s">
        <v>315</v>
      </c>
      <c r="C400" t="s">
        <v>374</v>
      </c>
      <c r="D400" t="s">
        <v>392</v>
      </c>
      <c r="E400" t="s">
        <v>393</v>
      </c>
      <c r="F400" t="s">
        <v>394</v>
      </c>
    </row>
    <row r="401" spans="2:8" x14ac:dyDescent="0.3">
      <c r="B401" t="s">
        <v>379</v>
      </c>
      <c r="C401" s="4">
        <f>D391</f>
        <v>70.548151314135865</v>
      </c>
      <c r="D401" s="4">
        <f>E401*1.25/1.5</f>
        <v>83.333333333333329</v>
      </c>
      <c r="E401">
        <f>F391</f>
        <v>100</v>
      </c>
      <c r="F401" t="s">
        <v>395</v>
      </c>
    </row>
    <row r="402" spans="2:8" x14ac:dyDescent="0.3">
      <c r="B402" t="s">
        <v>380</v>
      </c>
      <c r="C402" s="4">
        <f t="shared" ref="C402:C407" si="125">D392</f>
        <v>72.563812780254025</v>
      </c>
      <c r="D402" s="4">
        <f t="shared" ref="D402:D407" si="126">E402*1.25/1.5</f>
        <v>83.333333333333329</v>
      </c>
      <c r="E402">
        <f t="shared" ref="E402:E407" si="127">F392</f>
        <v>100</v>
      </c>
      <c r="F402" t="s">
        <v>395</v>
      </c>
    </row>
    <row r="403" spans="2:8" x14ac:dyDescent="0.3">
      <c r="B403" t="s">
        <v>381</v>
      </c>
      <c r="C403" s="4">
        <f t="shared" si="125"/>
        <v>64.698681481556761</v>
      </c>
      <c r="D403" s="4">
        <f t="shared" si="126"/>
        <v>83.333333333333329</v>
      </c>
      <c r="E403">
        <f t="shared" si="127"/>
        <v>100</v>
      </c>
      <c r="F403" t="s">
        <v>395</v>
      </c>
    </row>
    <row r="404" spans="2:8" x14ac:dyDescent="0.3">
      <c r="B404" t="s">
        <v>382</v>
      </c>
      <c r="C404" s="4">
        <f t="shared" si="125"/>
        <v>216.50635094610968</v>
      </c>
      <c r="D404" s="4">
        <f t="shared" si="126"/>
        <v>187.5</v>
      </c>
      <c r="E404">
        <f t="shared" si="127"/>
        <v>225</v>
      </c>
      <c r="F404" t="s">
        <v>396</v>
      </c>
    </row>
    <row r="405" spans="2:8" x14ac:dyDescent="0.3">
      <c r="B405" t="s">
        <v>383</v>
      </c>
      <c r="C405" s="4">
        <f t="shared" si="125"/>
        <v>54.240538447551693</v>
      </c>
      <c r="D405" s="4">
        <f t="shared" si="126"/>
        <v>52.5</v>
      </c>
      <c r="E405">
        <f t="shared" si="127"/>
        <v>63</v>
      </c>
      <c r="F405" t="s">
        <v>397</v>
      </c>
    </row>
    <row r="406" spans="2:8" x14ac:dyDescent="0.3">
      <c r="B406" t="s">
        <v>384</v>
      </c>
      <c r="C406" s="4">
        <f t="shared" si="125"/>
        <v>52.638138226748211</v>
      </c>
      <c r="D406" s="4">
        <f t="shared" si="126"/>
        <v>52.5</v>
      </c>
      <c r="E406">
        <f t="shared" si="127"/>
        <v>63</v>
      </c>
      <c r="F406" t="s">
        <v>397</v>
      </c>
    </row>
    <row r="407" spans="2:8" x14ac:dyDescent="0.3">
      <c r="B407" t="s">
        <v>385</v>
      </c>
      <c r="C407" s="4">
        <f t="shared" si="125"/>
        <v>59.254369732619502</v>
      </c>
      <c r="D407" s="4">
        <f t="shared" si="126"/>
        <v>52.5</v>
      </c>
      <c r="E407">
        <f t="shared" si="127"/>
        <v>63</v>
      </c>
      <c r="F407" t="s">
        <v>397</v>
      </c>
    </row>
    <row r="409" spans="2:8" x14ac:dyDescent="0.3">
      <c r="B409" s="8" t="s">
        <v>398</v>
      </c>
      <c r="F409" s="10" t="s">
        <v>423</v>
      </c>
    </row>
    <row r="410" spans="2:8" x14ac:dyDescent="0.3">
      <c r="B410" t="s">
        <v>399</v>
      </c>
      <c r="C410">
        <v>2.423</v>
      </c>
      <c r="G410" s="11" t="s">
        <v>267</v>
      </c>
    </row>
    <row r="411" spans="2:8" x14ac:dyDescent="0.3">
      <c r="B411" t="s">
        <v>400</v>
      </c>
      <c r="C411">
        <v>13.97</v>
      </c>
      <c r="G411" t="s">
        <v>424</v>
      </c>
      <c r="H411">
        <f>C410+C425+C416</f>
        <v>3.5609999999999999</v>
      </c>
    </row>
    <row r="412" spans="2:8" x14ac:dyDescent="0.3">
      <c r="B412" s="3" t="s">
        <v>401</v>
      </c>
      <c r="D412" s="3" t="s">
        <v>404</v>
      </c>
      <c r="G412" t="s">
        <v>425</v>
      </c>
      <c r="H412">
        <f>C411+C426+C417</f>
        <v>15.25</v>
      </c>
    </row>
    <row r="413" spans="2:8" x14ac:dyDescent="0.3">
      <c r="B413" t="s">
        <v>402</v>
      </c>
      <c r="C413">
        <v>0.02</v>
      </c>
      <c r="D413" t="s">
        <v>402</v>
      </c>
      <c r="E413">
        <v>0.08</v>
      </c>
      <c r="G413" t="s">
        <v>426</v>
      </c>
      <c r="H413" s="4">
        <f>SQRT(H411^2+H412^2)</f>
        <v>15.660243325057245</v>
      </c>
    </row>
    <row r="414" spans="2:8" x14ac:dyDescent="0.3">
      <c r="B414" t="s">
        <v>403</v>
      </c>
      <c r="C414">
        <v>0.09</v>
      </c>
      <c r="D414" t="s">
        <v>403</v>
      </c>
      <c r="E414">
        <v>0.13700000000000001</v>
      </c>
      <c r="G414" t="s">
        <v>271</v>
      </c>
      <c r="H414">
        <f>400/1.732/H413</f>
        <v>14.747336770148548</v>
      </c>
    </row>
    <row r="415" spans="2:8" x14ac:dyDescent="0.3">
      <c r="B415" s="3" t="s">
        <v>405</v>
      </c>
      <c r="G415" t="s">
        <v>427</v>
      </c>
      <c r="H415">
        <f>12*H414*SQRT(0.8)</f>
        <v>158.28502802464484</v>
      </c>
    </row>
    <row r="416" spans="2:8" x14ac:dyDescent="0.3">
      <c r="B416" t="s">
        <v>406</v>
      </c>
      <c r="C416">
        <v>0.36</v>
      </c>
    </row>
    <row r="417" spans="2:8" x14ac:dyDescent="0.3">
      <c r="B417" t="s">
        <v>407</v>
      </c>
      <c r="C417">
        <v>0.28000000000000003</v>
      </c>
      <c r="G417" s="11" t="s">
        <v>273</v>
      </c>
    </row>
    <row r="418" spans="2:8" x14ac:dyDescent="0.3">
      <c r="B418" s="3" t="s">
        <v>408</v>
      </c>
      <c r="G418" t="s">
        <v>428</v>
      </c>
      <c r="H418">
        <f>H411+2*C419+C428+C413</f>
        <v>30.338999999999999</v>
      </c>
    </row>
    <row r="419" spans="2:8" x14ac:dyDescent="0.3">
      <c r="B419" t="s">
        <v>409</v>
      </c>
      <c r="C419">
        <v>9.4E-2</v>
      </c>
      <c r="G419" t="s">
        <v>429</v>
      </c>
      <c r="H419">
        <f>H412+2*C420+C429+C414</f>
        <v>31.779999999999998</v>
      </c>
    </row>
    <row r="420" spans="2:8" x14ac:dyDescent="0.3">
      <c r="B420" t="s">
        <v>410</v>
      </c>
      <c r="C420">
        <v>0.12</v>
      </c>
      <c r="G420" t="s">
        <v>430</v>
      </c>
      <c r="H420" s="4">
        <f>SQRT(H418^2+H419^2)</f>
        <v>43.936582946332997</v>
      </c>
    </row>
    <row r="421" spans="2:8" x14ac:dyDescent="0.3">
      <c r="B421" s="3" t="s">
        <v>411</v>
      </c>
      <c r="G421" t="s">
        <v>431</v>
      </c>
      <c r="H421">
        <f>400/1.732/H420</f>
        <v>5.2563687644800146</v>
      </c>
    </row>
    <row r="422" spans="2:8" x14ac:dyDescent="0.3">
      <c r="B422" t="s">
        <v>412</v>
      </c>
      <c r="C422">
        <v>0.86</v>
      </c>
      <c r="G422" t="s">
        <v>432</v>
      </c>
      <c r="H422">
        <f>12*H421*SQRT(0.8)</f>
        <v>56.417269786482692</v>
      </c>
    </row>
    <row r="423" spans="2:8" x14ac:dyDescent="0.3">
      <c r="B423" t="s">
        <v>413</v>
      </c>
      <c r="C423">
        <v>1.3</v>
      </c>
    </row>
    <row r="424" spans="2:8" x14ac:dyDescent="0.3">
      <c r="B424" s="3" t="s">
        <v>414</v>
      </c>
    </row>
    <row r="425" spans="2:8" x14ac:dyDescent="0.3">
      <c r="B425" t="s">
        <v>415</v>
      </c>
      <c r="C425">
        <v>0.77800000000000002</v>
      </c>
    </row>
    <row r="426" spans="2:8" x14ac:dyDescent="0.3">
      <c r="B426" t="s">
        <v>416</v>
      </c>
      <c r="C426">
        <v>1</v>
      </c>
    </row>
    <row r="427" spans="2:8" x14ac:dyDescent="0.3">
      <c r="B427" s="3" t="s">
        <v>417</v>
      </c>
    </row>
    <row r="428" spans="2:8" x14ac:dyDescent="0.3">
      <c r="B428" t="s">
        <v>418</v>
      </c>
      <c r="C428">
        <v>26.57</v>
      </c>
    </row>
    <row r="429" spans="2:8" x14ac:dyDescent="0.3">
      <c r="B429" t="s">
        <v>419</v>
      </c>
      <c r="C429">
        <v>16.2</v>
      </c>
    </row>
    <row r="430" spans="2:8" x14ac:dyDescent="0.3">
      <c r="B430" s="3" t="s">
        <v>420</v>
      </c>
    </row>
    <row r="431" spans="2:8" x14ac:dyDescent="0.3">
      <c r="B431" t="s">
        <v>421</v>
      </c>
      <c r="C431">
        <v>115</v>
      </c>
    </row>
    <row r="432" spans="2:8" x14ac:dyDescent="0.3">
      <c r="B432" t="s">
        <v>422</v>
      </c>
      <c r="C432">
        <v>10</v>
      </c>
    </row>
    <row r="433" spans="1:22" x14ac:dyDescent="0.3">
      <c r="B433" s="11" t="s">
        <v>433</v>
      </c>
      <c r="G433" s="11" t="s">
        <v>295</v>
      </c>
    </row>
    <row r="434" spans="1:22" x14ac:dyDescent="0.3">
      <c r="B434" t="s">
        <v>165</v>
      </c>
      <c r="C434" t="s">
        <v>332</v>
      </c>
      <c r="D434" t="s">
        <v>434</v>
      </c>
      <c r="E434" t="s">
        <v>435</v>
      </c>
      <c r="F434" t="s">
        <v>451</v>
      </c>
      <c r="G434" t="s">
        <v>165</v>
      </c>
      <c r="H434" t="s">
        <v>436</v>
      </c>
      <c r="I434" t="s">
        <v>441</v>
      </c>
      <c r="J434" t="s">
        <v>440</v>
      </c>
      <c r="K434" t="s">
        <v>437</v>
      </c>
      <c r="L434" t="s">
        <v>439</v>
      </c>
      <c r="M434" t="s">
        <v>438</v>
      </c>
      <c r="N434" t="s">
        <v>442</v>
      </c>
      <c r="O434" t="s">
        <v>443</v>
      </c>
      <c r="P434" t="s">
        <v>444</v>
      </c>
      <c r="Q434" t="s">
        <v>445</v>
      </c>
      <c r="R434" t="s">
        <v>446</v>
      </c>
      <c r="S434" t="s">
        <v>447</v>
      </c>
      <c r="T434" t="s">
        <v>448</v>
      </c>
      <c r="U434" t="s">
        <v>449</v>
      </c>
      <c r="V434" t="s">
        <v>450</v>
      </c>
    </row>
    <row r="435" spans="1:22" x14ac:dyDescent="0.3">
      <c r="B435" t="s">
        <v>379</v>
      </c>
      <c r="C435" t="s">
        <v>388</v>
      </c>
      <c r="D435">
        <v>1.27</v>
      </c>
      <c r="E435">
        <v>1.96</v>
      </c>
      <c r="F435">
        <v>6</v>
      </c>
      <c r="G435" t="s">
        <v>379</v>
      </c>
      <c r="H435" t="str">
        <f>F401</f>
        <v>4G 16</v>
      </c>
      <c r="I435">
        <v>0.1</v>
      </c>
      <c r="J435">
        <v>1.1499999999999999</v>
      </c>
      <c r="K435">
        <v>60</v>
      </c>
      <c r="L435">
        <f>I435*K435</f>
        <v>6</v>
      </c>
      <c r="M435">
        <f>J435*K435</f>
        <v>69</v>
      </c>
      <c r="N435">
        <v>0.08</v>
      </c>
      <c r="O435">
        <v>0.13700000000000001</v>
      </c>
      <c r="P435">
        <f>H418</f>
        <v>30.338999999999999</v>
      </c>
      <c r="Q435">
        <f>H419</f>
        <v>31.779999999999998</v>
      </c>
      <c r="R435" s="4">
        <f>P435+N435+2*D435+M435</f>
        <v>101.959</v>
      </c>
      <c r="S435" s="4">
        <f>Q435+O435+L435+2*E435</f>
        <v>41.837000000000003</v>
      </c>
      <c r="T435" s="4">
        <f>SQRT(S435^2+R435^2)</f>
        <v>110.20876666581475</v>
      </c>
      <c r="U435" s="4">
        <f>400/1.732/T435</f>
        <v>2.0955400301083911</v>
      </c>
      <c r="V435" s="4">
        <f>12*U435*SQRT(0.8)</f>
        <v>22.491695793092727</v>
      </c>
    </row>
    <row r="436" spans="1:22" x14ac:dyDescent="0.3">
      <c r="B436" t="s">
        <v>380</v>
      </c>
      <c r="C436" t="s">
        <v>388</v>
      </c>
      <c r="D436">
        <v>1.27</v>
      </c>
      <c r="E436">
        <v>1.96</v>
      </c>
      <c r="F436">
        <v>6</v>
      </c>
      <c r="G436" t="s">
        <v>380</v>
      </c>
      <c r="H436" t="str">
        <f t="shared" ref="H436:H441" si="128">F402</f>
        <v>4G 16</v>
      </c>
      <c r="I436">
        <v>0.1</v>
      </c>
      <c r="J436">
        <v>1.1499999999999999</v>
      </c>
      <c r="K436">
        <v>80</v>
      </c>
      <c r="L436">
        <f t="shared" ref="L436:L441" si="129">I436*K436</f>
        <v>8</v>
      </c>
      <c r="M436">
        <f t="shared" ref="M436:M441" si="130">J436*K436</f>
        <v>92</v>
      </c>
      <c r="N436">
        <v>0.08</v>
      </c>
      <c r="O436">
        <v>0.13700000000000001</v>
      </c>
      <c r="P436">
        <f>H418</f>
        <v>30.338999999999999</v>
      </c>
      <c r="Q436" s="4">
        <f>H420</f>
        <v>43.936582946332997</v>
      </c>
      <c r="R436" s="4">
        <f t="shared" ref="R436:R441" si="131">P436+N436+2*D436+M436</f>
        <v>124.959</v>
      </c>
      <c r="S436" s="4">
        <f t="shared" ref="S436:S441" si="132">Q436+O436+L436+2*E436</f>
        <v>55.993582946332999</v>
      </c>
      <c r="T436" s="4">
        <f t="shared" ref="T436:T441" si="133">SQRT(S436^2+R436^2)</f>
        <v>136.93075991963192</v>
      </c>
      <c r="U436" s="4">
        <f t="shared" ref="U436:U441" si="134">400/1.732/T436</f>
        <v>1.6865960749260323</v>
      </c>
      <c r="V436" s="4">
        <f t="shared" ref="V436:V441" si="135">12*U436*SQRT(0.8)</f>
        <v>18.102448675770894</v>
      </c>
    </row>
    <row r="437" spans="1:22" x14ac:dyDescent="0.3">
      <c r="B437" t="s">
        <v>381</v>
      </c>
      <c r="C437" t="s">
        <v>388</v>
      </c>
      <c r="D437">
        <v>1.27</v>
      </c>
      <c r="E437">
        <v>1.96</v>
      </c>
      <c r="F437">
        <v>6</v>
      </c>
      <c r="G437" t="s">
        <v>381</v>
      </c>
      <c r="H437" t="str">
        <f t="shared" si="128"/>
        <v>4G 16</v>
      </c>
      <c r="I437">
        <v>0.1</v>
      </c>
      <c r="J437">
        <v>1.1499999999999999</v>
      </c>
      <c r="K437">
        <v>70</v>
      </c>
      <c r="L437">
        <f t="shared" si="129"/>
        <v>7</v>
      </c>
      <c r="M437">
        <f t="shared" si="130"/>
        <v>80.5</v>
      </c>
      <c r="N437">
        <v>0.08</v>
      </c>
      <c r="O437">
        <v>0.13700000000000001</v>
      </c>
      <c r="P437">
        <f>H418</f>
        <v>30.338999999999999</v>
      </c>
      <c r="Q437">
        <f>H419</f>
        <v>31.779999999999998</v>
      </c>
      <c r="R437" s="4">
        <f t="shared" si="131"/>
        <v>113.459</v>
      </c>
      <c r="S437" s="4">
        <f t="shared" si="132"/>
        <v>42.837000000000003</v>
      </c>
      <c r="T437" s="4">
        <f t="shared" si="133"/>
        <v>121.27635074489997</v>
      </c>
      <c r="U437" s="4">
        <f t="shared" si="134"/>
        <v>1.9043027003910906</v>
      </c>
      <c r="V437" s="4">
        <f t="shared" si="135"/>
        <v>20.439121381492292</v>
      </c>
    </row>
    <row r="438" spans="1:22" x14ac:dyDescent="0.3">
      <c r="B438" t="s">
        <v>382</v>
      </c>
      <c r="C438" t="s">
        <v>387</v>
      </c>
      <c r="D438">
        <v>3.07</v>
      </c>
      <c r="E438">
        <v>3.8</v>
      </c>
      <c r="F438">
        <v>7.5</v>
      </c>
      <c r="G438" t="s">
        <v>382</v>
      </c>
      <c r="H438" t="str">
        <f t="shared" si="128"/>
        <v>4G 50</v>
      </c>
      <c r="I438">
        <v>0.1</v>
      </c>
      <c r="J438">
        <v>0.38700000000000001</v>
      </c>
      <c r="K438">
        <v>60</v>
      </c>
      <c r="L438">
        <f t="shared" si="129"/>
        <v>6</v>
      </c>
      <c r="M438">
        <f t="shared" si="130"/>
        <v>23.22</v>
      </c>
      <c r="N438">
        <v>0.08</v>
      </c>
      <c r="O438">
        <v>0.13700000000000001</v>
      </c>
      <c r="P438">
        <f>H418</f>
        <v>30.338999999999999</v>
      </c>
      <c r="Q438">
        <f>H419</f>
        <v>31.779999999999998</v>
      </c>
      <c r="R438" s="4">
        <f t="shared" si="131"/>
        <v>59.778999999999996</v>
      </c>
      <c r="S438" s="4">
        <f t="shared" si="132"/>
        <v>45.517000000000003</v>
      </c>
      <c r="T438" s="4">
        <f t="shared" si="133"/>
        <v>75.135385338733698</v>
      </c>
      <c r="U438" s="4">
        <f t="shared" si="134"/>
        <v>3.073743232644774</v>
      </c>
      <c r="V438" s="4">
        <f t="shared" si="135"/>
        <v>32.990874305153596</v>
      </c>
    </row>
    <row r="439" spans="1:22" x14ac:dyDescent="0.3">
      <c r="B439" t="s">
        <v>383</v>
      </c>
      <c r="C439" t="s">
        <v>389</v>
      </c>
      <c r="D439">
        <v>0.86</v>
      </c>
      <c r="E439">
        <v>1.3</v>
      </c>
      <c r="F439">
        <v>20</v>
      </c>
      <c r="G439" t="s">
        <v>383</v>
      </c>
      <c r="H439" t="str">
        <f t="shared" si="128"/>
        <v>4G 10</v>
      </c>
      <c r="I439">
        <v>0.1</v>
      </c>
      <c r="J439">
        <v>1.83</v>
      </c>
      <c r="K439">
        <v>30</v>
      </c>
      <c r="L439">
        <f t="shared" si="129"/>
        <v>3</v>
      </c>
      <c r="M439">
        <f t="shared" si="130"/>
        <v>54.900000000000006</v>
      </c>
      <c r="N439">
        <v>0.08</v>
      </c>
      <c r="O439">
        <v>0.13700000000000001</v>
      </c>
      <c r="P439">
        <f>H418</f>
        <v>30.338999999999999</v>
      </c>
      <c r="Q439">
        <f>H419</f>
        <v>31.779999999999998</v>
      </c>
      <c r="R439" s="4">
        <f t="shared" si="131"/>
        <v>87.039000000000001</v>
      </c>
      <c r="S439" s="4">
        <f t="shared" si="132"/>
        <v>37.517000000000003</v>
      </c>
      <c r="T439" s="4">
        <f t="shared" si="133"/>
        <v>94.780339786265799</v>
      </c>
      <c r="U439" s="4">
        <f t="shared" si="134"/>
        <v>2.4366538750323783</v>
      </c>
      <c r="V439" s="4">
        <f t="shared" si="135"/>
        <v>26.152913770611239</v>
      </c>
    </row>
    <row r="440" spans="1:22" x14ac:dyDescent="0.3">
      <c r="B440" t="s">
        <v>384</v>
      </c>
      <c r="C440" t="s">
        <v>389</v>
      </c>
      <c r="D440">
        <v>0.86</v>
      </c>
      <c r="E440">
        <v>1.3</v>
      </c>
      <c r="F440">
        <v>20</v>
      </c>
      <c r="G440" t="s">
        <v>384</v>
      </c>
      <c r="H440" t="str">
        <f t="shared" si="128"/>
        <v>4G 10</v>
      </c>
      <c r="I440">
        <v>0.1</v>
      </c>
      <c r="J440">
        <v>1.83</v>
      </c>
      <c r="K440">
        <v>20</v>
      </c>
      <c r="L440">
        <f t="shared" si="129"/>
        <v>2</v>
      </c>
      <c r="M440">
        <f t="shared" si="130"/>
        <v>36.6</v>
      </c>
      <c r="N440">
        <v>0.08</v>
      </c>
      <c r="O440">
        <v>0.13700000000000001</v>
      </c>
      <c r="P440">
        <f>H418</f>
        <v>30.338999999999999</v>
      </c>
      <c r="Q440">
        <f>H419</f>
        <v>31.779999999999998</v>
      </c>
      <c r="R440" s="4">
        <f t="shared" si="131"/>
        <v>68.739000000000004</v>
      </c>
      <c r="S440" s="4">
        <f t="shared" si="132"/>
        <v>36.517000000000003</v>
      </c>
      <c r="T440" s="4">
        <f t="shared" si="133"/>
        <v>77.836632827994308</v>
      </c>
      <c r="U440" s="4">
        <f t="shared" si="134"/>
        <v>2.9670718506984151</v>
      </c>
      <c r="V440" s="4">
        <f t="shared" si="135"/>
        <v>31.84595689098126</v>
      </c>
    </row>
    <row r="441" spans="1:22" x14ac:dyDescent="0.3">
      <c r="B441" t="s">
        <v>385</v>
      </c>
      <c r="C441" t="s">
        <v>389</v>
      </c>
      <c r="D441">
        <v>0.86</v>
      </c>
      <c r="E441">
        <v>1.3</v>
      </c>
      <c r="F441">
        <v>20</v>
      </c>
      <c r="G441" t="s">
        <v>385</v>
      </c>
      <c r="H441" t="str">
        <f t="shared" si="128"/>
        <v>4G 10</v>
      </c>
      <c r="I441">
        <v>0.1</v>
      </c>
      <c r="J441">
        <v>1.83</v>
      </c>
      <c r="K441">
        <v>40</v>
      </c>
      <c r="L441">
        <f t="shared" si="129"/>
        <v>4</v>
      </c>
      <c r="M441">
        <f t="shared" si="130"/>
        <v>73.2</v>
      </c>
      <c r="N441">
        <v>0.08</v>
      </c>
      <c r="O441">
        <v>0.13700000000000001</v>
      </c>
      <c r="P441">
        <f>H418</f>
        <v>30.338999999999999</v>
      </c>
      <c r="Q441">
        <f>H419</f>
        <v>31.779999999999998</v>
      </c>
      <c r="R441" s="4">
        <f t="shared" si="131"/>
        <v>105.339</v>
      </c>
      <c r="S441" s="4">
        <f t="shared" si="132"/>
        <v>38.517000000000003</v>
      </c>
      <c r="T441" s="4">
        <f t="shared" si="133"/>
        <v>112.15999380349483</v>
      </c>
      <c r="U441" s="4">
        <f t="shared" si="134"/>
        <v>2.0590842990033575</v>
      </c>
      <c r="V441" s="4">
        <f t="shared" si="135"/>
        <v>22.100411827075249</v>
      </c>
    </row>
    <row r="443" spans="1:22" ht="17.399999999999999" x14ac:dyDescent="0.35">
      <c r="B443" s="12" t="s">
        <v>457</v>
      </c>
    </row>
    <row r="444" spans="1:22" x14ac:dyDescent="0.3">
      <c r="F444" t="s">
        <v>452</v>
      </c>
      <c r="H444" t="s">
        <v>455</v>
      </c>
      <c r="J444" t="s">
        <v>359</v>
      </c>
    </row>
    <row r="445" spans="1:22" x14ac:dyDescent="0.3">
      <c r="F445" t="s">
        <v>453</v>
      </c>
      <c r="G445" t="s">
        <v>454</v>
      </c>
      <c r="H445" t="s">
        <v>233</v>
      </c>
      <c r="I445" t="s">
        <v>183</v>
      </c>
      <c r="J445" t="s">
        <v>456</v>
      </c>
      <c r="K445" t="s">
        <v>390</v>
      </c>
      <c r="L445" t="s">
        <v>464</v>
      </c>
      <c r="M445" t="s">
        <v>451</v>
      </c>
    </row>
    <row r="446" spans="1:22" x14ac:dyDescent="0.3">
      <c r="A446" s="8" t="s">
        <v>267</v>
      </c>
      <c r="B446">
        <v>1</v>
      </c>
      <c r="C446">
        <v>1</v>
      </c>
      <c r="D446" t="s">
        <v>9</v>
      </c>
      <c r="F446">
        <f>F4</f>
        <v>5</v>
      </c>
      <c r="G446" s="4">
        <f>F446/0.4/1.732/0.6</f>
        <v>12.028483448806774</v>
      </c>
      <c r="H446" t="s">
        <v>462</v>
      </c>
      <c r="I446">
        <v>31</v>
      </c>
      <c r="J446" t="s">
        <v>465</v>
      </c>
      <c r="K446">
        <v>63</v>
      </c>
      <c r="L446">
        <v>440</v>
      </c>
      <c r="M446">
        <v>3</v>
      </c>
    </row>
    <row r="447" spans="1:22" x14ac:dyDescent="0.3">
      <c r="B447">
        <v>2</v>
      </c>
      <c r="C447">
        <v>2</v>
      </c>
      <c r="D447" t="s">
        <v>10</v>
      </c>
      <c r="F447">
        <f t="shared" ref="F447:F452" si="136">F5</f>
        <v>5</v>
      </c>
      <c r="G447" s="4">
        <f t="shared" ref="G447:G498" si="137">F447/0.4/1.732/0.6</f>
        <v>12.028483448806774</v>
      </c>
      <c r="H447" t="s">
        <v>462</v>
      </c>
      <c r="I447">
        <v>31</v>
      </c>
      <c r="J447" t="s">
        <v>465</v>
      </c>
      <c r="K447">
        <v>63</v>
      </c>
      <c r="L447">
        <v>440</v>
      </c>
      <c r="M447">
        <v>3</v>
      </c>
    </row>
    <row r="448" spans="1:22" x14ac:dyDescent="0.3">
      <c r="B448">
        <v>3</v>
      </c>
      <c r="C448">
        <v>3</v>
      </c>
      <c r="D448" t="s">
        <v>10</v>
      </c>
      <c r="F448">
        <f t="shared" si="136"/>
        <v>14</v>
      </c>
      <c r="G448" s="4">
        <f t="shared" si="137"/>
        <v>33.679753656658974</v>
      </c>
      <c r="H448" t="s">
        <v>463</v>
      </c>
      <c r="I448">
        <v>41</v>
      </c>
      <c r="J448" t="s">
        <v>465</v>
      </c>
      <c r="K448">
        <v>63</v>
      </c>
      <c r="L448">
        <v>440</v>
      </c>
      <c r="M448">
        <v>3</v>
      </c>
    </row>
    <row r="449" spans="1:13" x14ac:dyDescent="0.3">
      <c r="B449">
        <v>4</v>
      </c>
      <c r="C449">
        <v>4</v>
      </c>
      <c r="D449" t="s">
        <v>10</v>
      </c>
      <c r="F449">
        <f t="shared" si="136"/>
        <v>6</v>
      </c>
      <c r="G449" s="4">
        <f t="shared" si="137"/>
        <v>14.434180138568129</v>
      </c>
      <c r="H449" t="s">
        <v>462</v>
      </c>
      <c r="I449">
        <v>31</v>
      </c>
      <c r="J449" t="s">
        <v>465</v>
      </c>
      <c r="K449">
        <v>63</v>
      </c>
      <c r="L449">
        <v>440</v>
      </c>
      <c r="M449">
        <v>3</v>
      </c>
    </row>
    <row r="450" spans="1:13" x14ac:dyDescent="0.3">
      <c r="B450">
        <v>5</v>
      </c>
      <c r="C450">
        <v>5</v>
      </c>
      <c r="D450" t="s">
        <v>10</v>
      </c>
      <c r="F450">
        <f t="shared" si="136"/>
        <v>2</v>
      </c>
      <c r="G450" s="4">
        <f t="shared" si="137"/>
        <v>4.81139337952271</v>
      </c>
      <c r="H450" t="s">
        <v>462</v>
      </c>
      <c r="I450">
        <v>31</v>
      </c>
      <c r="J450" t="s">
        <v>465</v>
      </c>
      <c r="K450">
        <v>63</v>
      </c>
      <c r="L450">
        <v>440</v>
      </c>
      <c r="M450">
        <v>3</v>
      </c>
    </row>
    <row r="451" spans="1:13" x14ac:dyDescent="0.3">
      <c r="B451">
        <v>6</v>
      </c>
      <c r="C451">
        <v>6</v>
      </c>
      <c r="D451" t="s">
        <v>15</v>
      </c>
      <c r="F451">
        <f t="shared" si="136"/>
        <v>2</v>
      </c>
      <c r="G451" s="4">
        <f t="shared" si="137"/>
        <v>4.81139337952271</v>
      </c>
      <c r="H451" t="s">
        <v>462</v>
      </c>
      <c r="I451">
        <v>31</v>
      </c>
      <c r="J451" t="s">
        <v>465</v>
      </c>
      <c r="K451">
        <v>63</v>
      </c>
      <c r="L451">
        <v>440</v>
      </c>
      <c r="M451">
        <v>3</v>
      </c>
    </row>
    <row r="452" spans="1:13" x14ac:dyDescent="0.3">
      <c r="B452">
        <v>7</v>
      </c>
      <c r="C452">
        <v>7</v>
      </c>
      <c r="D452" t="s">
        <v>17</v>
      </c>
      <c r="F452">
        <f t="shared" si="136"/>
        <v>3</v>
      </c>
      <c r="G452" s="4">
        <f t="shared" si="137"/>
        <v>7.2170900692840645</v>
      </c>
      <c r="H452" t="s">
        <v>462</v>
      </c>
      <c r="I452">
        <v>31</v>
      </c>
      <c r="J452" t="s">
        <v>465</v>
      </c>
      <c r="K452">
        <v>63</v>
      </c>
      <c r="L452">
        <v>440</v>
      </c>
      <c r="M452">
        <v>3</v>
      </c>
    </row>
    <row r="453" spans="1:13" x14ac:dyDescent="0.3">
      <c r="A453" s="8" t="s">
        <v>273</v>
      </c>
      <c r="B453">
        <v>1</v>
      </c>
      <c r="C453">
        <v>8</v>
      </c>
      <c r="D453" t="s">
        <v>19</v>
      </c>
      <c r="F453">
        <f>F16</f>
        <v>2</v>
      </c>
      <c r="G453" s="4">
        <f t="shared" si="137"/>
        <v>4.81139337952271</v>
      </c>
      <c r="H453" t="s">
        <v>462</v>
      </c>
      <c r="I453">
        <v>31</v>
      </c>
      <c r="J453" t="s">
        <v>465</v>
      </c>
      <c r="K453">
        <v>63</v>
      </c>
      <c r="L453">
        <v>440</v>
      </c>
      <c r="M453">
        <v>3</v>
      </c>
    </row>
    <row r="454" spans="1:13" x14ac:dyDescent="0.3">
      <c r="B454">
        <v>2</v>
      </c>
      <c r="C454">
        <v>9</v>
      </c>
      <c r="D454" t="s">
        <v>22</v>
      </c>
      <c r="F454">
        <f t="shared" ref="F454:F461" si="138">F17</f>
        <v>14</v>
      </c>
      <c r="G454" s="4">
        <f t="shared" si="137"/>
        <v>33.679753656658974</v>
      </c>
      <c r="H454" t="s">
        <v>466</v>
      </c>
      <c r="I454">
        <v>41</v>
      </c>
      <c r="J454" t="s">
        <v>465</v>
      </c>
      <c r="K454">
        <v>63</v>
      </c>
      <c r="L454">
        <v>440</v>
      </c>
      <c r="M454">
        <v>3</v>
      </c>
    </row>
    <row r="455" spans="1:13" x14ac:dyDescent="0.3">
      <c r="B455">
        <v>3</v>
      </c>
      <c r="C455">
        <v>10</v>
      </c>
      <c r="D455" t="s">
        <v>22</v>
      </c>
      <c r="F455">
        <f t="shared" si="138"/>
        <v>7</v>
      </c>
      <c r="G455" s="4">
        <f t="shared" si="137"/>
        <v>16.839876828329487</v>
      </c>
      <c r="H455" t="s">
        <v>462</v>
      </c>
      <c r="I455">
        <v>31</v>
      </c>
      <c r="J455" t="s">
        <v>465</v>
      </c>
      <c r="K455">
        <v>63</v>
      </c>
      <c r="L455">
        <v>440</v>
      </c>
      <c r="M455">
        <v>3</v>
      </c>
    </row>
    <row r="456" spans="1:13" x14ac:dyDescent="0.3">
      <c r="B456">
        <v>4</v>
      </c>
      <c r="C456">
        <v>11</v>
      </c>
      <c r="D456" t="s">
        <v>25</v>
      </c>
      <c r="F456">
        <f t="shared" si="138"/>
        <v>2</v>
      </c>
      <c r="G456" s="4">
        <f t="shared" si="137"/>
        <v>4.81139337952271</v>
      </c>
      <c r="H456" t="s">
        <v>462</v>
      </c>
      <c r="I456">
        <v>31</v>
      </c>
      <c r="J456" t="s">
        <v>465</v>
      </c>
      <c r="K456">
        <v>63</v>
      </c>
      <c r="L456">
        <v>440</v>
      </c>
      <c r="M456">
        <v>3</v>
      </c>
    </row>
    <row r="457" spans="1:13" x14ac:dyDescent="0.3">
      <c r="B457">
        <v>5</v>
      </c>
      <c r="C457">
        <v>12</v>
      </c>
      <c r="D457" t="s">
        <v>26</v>
      </c>
      <c r="F457">
        <f t="shared" si="138"/>
        <v>9</v>
      </c>
      <c r="G457" s="4">
        <f t="shared" si="137"/>
        <v>21.651270207852196</v>
      </c>
      <c r="H457" t="s">
        <v>462</v>
      </c>
      <c r="I457">
        <v>31</v>
      </c>
      <c r="J457" t="s">
        <v>465</v>
      </c>
      <c r="K457">
        <v>63</v>
      </c>
      <c r="L457">
        <v>440</v>
      </c>
      <c r="M457">
        <v>3</v>
      </c>
    </row>
    <row r="458" spans="1:13" x14ac:dyDescent="0.3">
      <c r="B458">
        <v>6</v>
      </c>
      <c r="C458">
        <v>14</v>
      </c>
      <c r="D458" t="s">
        <v>28</v>
      </c>
      <c r="F458">
        <f t="shared" si="138"/>
        <v>3</v>
      </c>
      <c r="G458" s="4">
        <f t="shared" si="137"/>
        <v>7.2170900692840645</v>
      </c>
      <c r="H458" t="s">
        <v>462</v>
      </c>
      <c r="I458">
        <v>31</v>
      </c>
      <c r="J458" t="s">
        <v>465</v>
      </c>
      <c r="K458">
        <v>63</v>
      </c>
      <c r="L458">
        <v>440</v>
      </c>
      <c r="M458">
        <v>3</v>
      </c>
    </row>
    <row r="459" spans="1:13" x14ac:dyDescent="0.3">
      <c r="B459">
        <v>7</v>
      </c>
      <c r="C459">
        <v>15</v>
      </c>
      <c r="D459" t="s">
        <v>30</v>
      </c>
      <c r="F459">
        <f t="shared" si="138"/>
        <v>5</v>
      </c>
      <c r="G459" s="4">
        <f t="shared" si="137"/>
        <v>12.028483448806774</v>
      </c>
      <c r="H459" t="s">
        <v>462</v>
      </c>
      <c r="I459">
        <v>31</v>
      </c>
      <c r="J459" t="s">
        <v>465</v>
      </c>
      <c r="K459">
        <v>63</v>
      </c>
      <c r="L459">
        <v>440</v>
      </c>
      <c r="M459">
        <v>3</v>
      </c>
    </row>
    <row r="460" spans="1:13" x14ac:dyDescent="0.3">
      <c r="B460">
        <v>8</v>
      </c>
      <c r="C460">
        <v>16</v>
      </c>
      <c r="D460" t="s">
        <v>32</v>
      </c>
      <c r="F460">
        <f t="shared" si="138"/>
        <v>5</v>
      </c>
      <c r="G460" s="4">
        <f t="shared" si="137"/>
        <v>12.028483448806774</v>
      </c>
      <c r="H460" t="s">
        <v>462</v>
      </c>
      <c r="I460">
        <v>31</v>
      </c>
      <c r="J460" t="s">
        <v>465</v>
      </c>
      <c r="K460">
        <v>63</v>
      </c>
      <c r="L460">
        <v>440</v>
      </c>
      <c r="M460">
        <v>3</v>
      </c>
    </row>
    <row r="461" spans="1:13" x14ac:dyDescent="0.3">
      <c r="B461">
        <v>9</v>
      </c>
      <c r="C461">
        <v>17</v>
      </c>
      <c r="D461" t="s">
        <v>33</v>
      </c>
      <c r="F461">
        <f t="shared" si="138"/>
        <v>2</v>
      </c>
      <c r="G461" s="4">
        <f t="shared" si="137"/>
        <v>4.81139337952271</v>
      </c>
      <c r="H461" t="s">
        <v>462</v>
      </c>
      <c r="I461">
        <v>31</v>
      </c>
      <c r="J461" t="s">
        <v>465</v>
      </c>
      <c r="K461">
        <v>63</v>
      </c>
      <c r="L461">
        <v>440</v>
      </c>
      <c r="M461">
        <v>3</v>
      </c>
    </row>
    <row r="462" spans="1:13" x14ac:dyDescent="0.3">
      <c r="A462" s="8" t="s">
        <v>295</v>
      </c>
      <c r="B462">
        <v>1</v>
      </c>
      <c r="C462">
        <v>13</v>
      </c>
      <c r="D462" t="s">
        <v>28</v>
      </c>
      <c r="F462">
        <f>F30</f>
        <v>8</v>
      </c>
      <c r="G462" s="4">
        <f t="shared" si="137"/>
        <v>19.24557351809084</v>
      </c>
      <c r="H462" t="s">
        <v>462</v>
      </c>
      <c r="I462">
        <v>31</v>
      </c>
      <c r="J462" t="s">
        <v>465</v>
      </c>
      <c r="K462">
        <v>63</v>
      </c>
      <c r="L462">
        <v>440</v>
      </c>
      <c r="M462">
        <v>3</v>
      </c>
    </row>
    <row r="463" spans="1:13" x14ac:dyDescent="0.3">
      <c r="B463">
        <v>2</v>
      </c>
      <c r="C463">
        <v>18</v>
      </c>
      <c r="D463" t="s">
        <v>35</v>
      </c>
      <c r="F463">
        <f t="shared" ref="F463:F472" si="139">F31</f>
        <v>9</v>
      </c>
      <c r="G463" s="4">
        <f t="shared" si="137"/>
        <v>21.651270207852196</v>
      </c>
      <c r="H463" t="s">
        <v>462</v>
      </c>
      <c r="I463">
        <v>31</v>
      </c>
      <c r="J463" t="s">
        <v>465</v>
      </c>
      <c r="K463">
        <v>63</v>
      </c>
      <c r="L463">
        <v>440</v>
      </c>
      <c r="M463">
        <v>3</v>
      </c>
    </row>
    <row r="464" spans="1:13" x14ac:dyDescent="0.3">
      <c r="B464">
        <v>3</v>
      </c>
      <c r="C464">
        <v>19</v>
      </c>
      <c r="D464" t="s">
        <v>37</v>
      </c>
      <c r="F464">
        <f t="shared" si="139"/>
        <v>6</v>
      </c>
      <c r="G464" s="4">
        <f t="shared" si="137"/>
        <v>14.434180138568129</v>
      </c>
      <c r="H464" t="s">
        <v>462</v>
      </c>
      <c r="I464">
        <v>31</v>
      </c>
      <c r="J464" t="s">
        <v>465</v>
      </c>
      <c r="K464">
        <v>63</v>
      </c>
      <c r="L464">
        <v>440</v>
      </c>
      <c r="M464">
        <v>3</v>
      </c>
    </row>
    <row r="465" spans="1:13" x14ac:dyDescent="0.3">
      <c r="B465">
        <v>4</v>
      </c>
      <c r="C465">
        <v>20</v>
      </c>
      <c r="D465" t="s">
        <v>39</v>
      </c>
      <c r="F465">
        <f t="shared" si="139"/>
        <v>3</v>
      </c>
      <c r="G465" s="4">
        <f t="shared" si="137"/>
        <v>7.2170900692840645</v>
      </c>
      <c r="H465" t="s">
        <v>462</v>
      </c>
      <c r="I465">
        <v>31</v>
      </c>
      <c r="J465" t="s">
        <v>465</v>
      </c>
      <c r="K465">
        <v>63</v>
      </c>
      <c r="L465">
        <v>440</v>
      </c>
      <c r="M465">
        <v>3</v>
      </c>
    </row>
    <row r="466" spans="1:13" x14ac:dyDescent="0.3">
      <c r="B466">
        <v>5</v>
      </c>
      <c r="C466">
        <v>21</v>
      </c>
      <c r="D466" t="s">
        <v>41</v>
      </c>
      <c r="F466">
        <f t="shared" si="139"/>
        <v>3</v>
      </c>
      <c r="G466" s="4">
        <f t="shared" si="137"/>
        <v>7.2170900692840645</v>
      </c>
      <c r="H466" t="s">
        <v>462</v>
      </c>
      <c r="I466">
        <v>31</v>
      </c>
      <c r="J466" t="s">
        <v>465</v>
      </c>
      <c r="K466">
        <v>63</v>
      </c>
      <c r="L466">
        <v>440</v>
      </c>
      <c r="M466">
        <v>3</v>
      </c>
    </row>
    <row r="467" spans="1:13" x14ac:dyDescent="0.3">
      <c r="B467">
        <v>6</v>
      </c>
      <c r="C467">
        <v>22</v>
      </c>
      <c r="D467" t="s">
        <v>42</v>
      </c>
      <c r="F467">
        <f t="shared" si="139"/>
        <v>1</v>
      </c>
      <c r="G467" s="4">
        <f t="shared" si="137"/>
        <v>2.405696689761355</v>
      </c>
      <c r="H467" t="s">
        <v>462</v>
      </c>
      <c r="I467">
        <v>31</v>
      </c>
      <c r="J467" t="s">
        <v>465</v>
      </c>
      <c r="K467">
        <v>63</v>
      </c>
      <c r="L467">
        <v>440</v>
      </c>
      <c r="M467">
        <v>3</v>
      </c>
    </row>
    <row r="468" spans="1:13" x14ac:dyDescent="0.3">
      <c r="B468">
        <v>7</v>
      </c>
      <c r="C468">
        <v>23</v>
      </c>
      <c r="D468" t="s">
        <v>44</v>
      </c>
      <c r="F468">
        <f t="shared" si="139"/>
        <v>1</v>
      </c>
      <c r="G468" s="4">
        <f t="shared" si="137"/>
        <v>2.405696689761355</v>
      </c>
      <c r="H468" t="s">
        <v>462</v>
      </c>
      <c r="I468">
        <v>31</v>
      </c>
      <c r="J468" t="s">
        <v>465</v>
      </c>
      <c r="K468">
        <v>63</v>
      </c>
      <c r="L468">
        <v>440</v>
      </c>
      <c r="M468">
        <v>3</v>
      </c>
    </row>
    <row r="469" spans="1:13" x14ac:dyDescent="0.3">
      <c r="B469">
        <v>8</v>
      </c>
      <c r="C469">
        <v>24</v>
      </c>
      <c r="D469" t="s">
        <v>46</v>
      </c>
      <c r="F469">
        <f t="shared" si="139"/>
        <v>2</v>
      </c>
      <c r="G469" s="4">
        <f t="shared" si="137"/>
        <v>4.81139337952271</v>
      </c>
      <c r="H469" t="s">
        <v>462</v>
      </c>
      <c r="I469">
        <v>31</v>
      </c>
      <c r="J469" t="s">
        <v>465</v>
      </c>
      <c r="K469">
        <v>63</v>
      </c>
      <c r="L469">
        <v>440</v>
      </c>
      <c r="M469">
        <v>3</v>
      </c>
    </row>
    <row r="470" spans="1:13" x14ac:dyDescent="0.3">
      <c r="B470">
        <v>9</v>
      </c>
      <c r="C470">
        <v>27</v>
      </c>
      <c r="D470" t="s">
        <v>48</v>
      </c>
      <c r="F470">
        <f t="shared" si="139"/>
        <v>3</v>
      </c>
      <c r="G470" s="4">
        <f t="shared" si="137"/>
        <v>7.2170900692840645</v>
      </c>
      <c r="H470" t="s">
        <v>462</v>
      </c>
      <c r="I470">
        <v>31</v>
      </c>
      <c r="J470" t="s">
        <v>465</v>
      </c>
      <c r="K470">
        <v>63</v>
      </c>
      <c r="L470">
        <v>440</v>
      </c>
      <c r="M470">
        <v>3</v>
      </c>
    </row>
    <row r="471" spans="1:13" x14ac:dyDescent="0.3">
      <c r="B471">
        <v>10</v>
      </c>
      <c r="C471">
        <v>28</v>
      </c>
      <c r="D471" t="s">
        <v>50</v>
      </c>
      <c r="F471">
        <f t="shared" si="139"/>
        <v>1</v>
      </c>
      <c r="G471" s="4">
        <f t="shared" si="137"/>
        <v>2.405696689761355</v>
      </c>
      <c r="H471" t="s">
        <v>462</v>
      </c>
      <c r="I471">
        <v>31</v>
      </c>
      <c r="J471" t="s">
        <v>465</v>
      </c>
      <c r="K471">
        <v>63</v>
      </c>
      <c r="L471">
        <v>440</v>
      </c>
      <c r="M471">
        <v>3</v>
      </c>
    </row>
    <row r="472" spans="1:13" x14ac:dyDescent="0.3">
      <c r="B472">
        <v>11</v>
      </c>
      <c r="C472">
        <v>29</v>
      </c>
      <c r="D472" t="s">
        <v>51</v>
      </c>
      <c r="F472">
        <f t="shared" si="139"/>
        <v>2</v>
      </c>
      <c r="G472" s="4">
        <f t="shared" si="137"/>
        <v>4.81139337952271</v>
      </c>
      <c r="H472" t="s">
        <v>462</v>
      </c>
      <c r="I472">
        <v>31</v>
      </c>
      <c r="J472" t="s">
        <v>465</v>
      </c>
      <c r="K472">
        <v>63</v>
      </c>
      <c r="L472">
        <v>440</v>
      </c>
      <c r="M472">
        <v>3</v>
      </c>
    </row>
    <row r="473" spans="1:13" x14ac:dyDescent="0.3">
      <c r="A473" s="8" t="s">
        <v>458</v>
      </c>
      <c r="B473">
        <v>1</v>
      </c>
      <c r="C473">
        <v>31</v>
      </c>
      <c r="D473" t="s">
        <v>54</v>
      </c>
      <c r="F473">
        <f>F46</f>
        <v>30</v>
      </c>
      <c r="G473" s="4">
        <f t="shared" si="137"/>
        <v>72.170900692840647</v>
      </c>
      <c r="H473" t="s">
        <v>397</v>
      </c>
      <c r="I473">
        <v>87</v>
      </c>
      <c r="J473" t="s">
        <v>388</v>
      </c>
      <c r="K473">
        <v>100</v>
      </c>
      <c r="L473">
        <v>440</v>
      </c>
      <c r="M473">
        <v>6</v>
      </c>
    </row>
    <row r="474" spans="1:13" x14ac:dyDescent="0.3">
      <c r="B474">
        <v>2</v>
      </c>
      <c r="C474">
        <v>32</v>
      </c>
      <c r="D474" t="s">
        <v>55</v>
      </c>
      <c r="F474">
        <f t="shared" ref="F474:F476" si="140">F47</f>
        <v>25</v>
      </c>
      <c r="G474" s="4">
        <f t="shared" si="137"/>
        <v>60.142417244033872</v>
      </c>
      <c r="H474" t="s">
        <v>397</v>
      </c>
      <c r="I474">
        <v>87</v>
      </c>
      <c r="J474" t="s">
        <v>465</v>
      </c>
      <c r="K474">
        <v>63</v>
      </c>
      <c r="L474">
        <v>440</v>
      </c>
      <c r="M474">
        <v>3</v>
      </c>
    </row>
    <row r="475" spans="1:13" x14ac:dyDescent="0.3">
      <c r="B475">
        <v>3</v>
      </c>
      <c r="C475">
        <v>33</v>
      </c>
      <c r="D475" t="s">
        <v>57</v>
      </c>
      <c r="F475">
        <f t="shared" si="140"/>
        <v>30</v>
      </c>
      <c r="G475" s="4">
        <f t="shared" si="137"/>
        <v>72.170900692840647</v>
      </c>
      <c r="H475" t="s">
        <v>397</v>
      </c>
      <c r="I475">
        <v>87</v>
      </c>
      <c r="J475" t="s">
        <v>388</v>
      </c>
      <c r="K475">
        <v>100</v>
      </c>
      <c r="L475">
        <v>440</v>
      </c>
      <c r="M475">
        <v>6</v>
      </c>
    </row>
    <row r="476" spans="1:13" x14ac:dyDescent="0.3">
      <c r="B476">
        <v>4</v>
      </c>
      <c r="C476">
        <v>34</v>
      </c>
      <c r="D476" t="s">
        <v>59</v>
      </c>
      <c r="F476">
        <f t="shared" si="140"/>
        <v>10</v>
      </c>
      <c r="G476" s="4">
        <f t="shared" si="137"/>
        <v>24.056966897613549</v>
      </c>
      <c r="H476" t="s">
        <v>462</v>
      </c>
      <c r="I476">
        <v>31</v>
      </c>
      <c r="J476" t="s">
        <v>465</v>
      </c>
      <c r="K476">
        <v>63</v>
      </c>
      <c r="L476">
        <v>440</v>
      </c>
      <c r="M476">
        <v>3</v>
      </c>
    </row>
    <row r="477" spans="1:13" x14ac:dyDescent="0.3">
      <c r="A477" s="8" t="s">
        <v>459</v>
      </c>
      <c r="B477">
        <v>1</v>
      </c>
      <c r="C477">
        <v>43</v>
      </c>
      <c r="D477" t="s">
        <v>9</v>
      </c>
      <c r="F477">
        <f>F55</f>
        <v>10</v>
      </c>
      <c r="G477" s="4">
        <f t="shared" si="137"/>
        <v>24.056966897613549</v>
      </c>
      <c r="H477" t="s">
        <v>462</v>
      </c>
      <c r="I477">
        <v>31</v>
      </c>
      <c r="J477" t="s">
        <v>465</v>
      </c>
      <c r="K477">
        <v>63</v>
      </c>
      <c r="L477">
        <v>440</v>
      </c>
      <c r="M477">
        <v>3</v>
      </c>
    </row>
    <row r="478" spans="1:13" x14ac:dyDescent="0.3">
      <c r="B478">
        <v>2</v>
      </c>
      <c r="C478">
        <v>44</v>
      </c>
      <c r="D478" t="s">
        <v>9</v>
      </c>
      <c r="F478">
        <f t="shared" ref="F478:F484" si="141">F56</f>
        <v>7</v>
      </c>
      <c r="G478" s="4">
        <f t="shared" si="137"/>
        <v>16.839876828329487</v>
      </c>
      <c r="H478" t="s">
        <v>462</v>
      </c>
      <c r="I478">
        <v>31</v>
      </c>
      <c r="J478" t="s">
        <v>465</v>
      </c>
      <c r="K478">
        <v>63</v>
      </c>
      <c r="L478">
        <v>440</v>
      </c>
      <c r="M478">
        <v>3</v>
      </c>
    </row>
    <row r="479" spans="1:13" x14ac:dyDescent="0.3">
      <c r="B479">
        <v>3</v>
      </c>
      <c r="C479">
        <v>45</v>
      </c>
      <c r="D479" t="s">
        <v>9</v>
      </c>
      <c r="F479">
        <f t="shared" si="141"/>
        <v>5</v>
      </c>
      <c r="G479" s="4">
        <f t="shared" si="137"/>
        <v>12.028483448806774</v>
      </c>
      <c r="H479" t="s">
        <v>462</v>
      </c>
      <c r="I479">
        <v>31</v>
      </c>
      <c r="J479" t="s">
        <v>465</v>
      </c>
      <c r="K479">
        <v>63</v>
      </c>
      <c r="L479">
        <v>440</v>
      </c>
      <c r="M479">
        <v>3</v>
      </c>
    </row>
    <row r="480" spans="1:13" x14ac:dyDescent="0.3">
      <c r="B480">
        <v>4</v>
      </c>
      <c r="C480">
        <v>46</v>
      </c>
      <c r="D480" t="s">
        <v>19</v>
      </c>
      <c r="F480">
        <f t="shared" si="141"/>
        <v>3</v>
      </c>
      <c r="G480" s="4">
        <f t="shared" si="137"/>
        <v>7.2170900692840645</v>
      </c>
      <c r="H480" t="s">
        <v>462</v>
      </c>
      <c r="I480">
        <v>31</v>
      </c>
      <c r="J480" t="s">
        <v>465</v>
      </c>
      <c r="K480">
        <v>63</v>
      </c>
      <c r="L480">
        <v>440</v>
      </c>
      <c r="M480">
        <v>3</v>
      </c>
    </row>
    <row r="481" spans="1:13" x14ac:dyDescent="0.3">
      <c r="B481">
        <v>5</v>
      </c>
      <c r="C481">
        <v>47</v>
      </c>
      <c r="D481" t="s">
        <v>17</v>
      </c>
      <c r="F481">
        <f t="shared" si="141"/>
        <v>3</v>
      </c>
      <c r="G481" s="4">
        <f t="shared" si="137"/>
        <v>7.2170900692840645</v>
      </c>
      <c r="H481" t="s">
        <v>462</v>
      </c>
      <c r="I481">
        <v>31</v>
      </c>
      <c r="J481" t="s">
        <v>465</v>
      </c>
      <c r="K481">
        <v>63</v>
      </c>
      <c r="L481">
        <v>440</v>
      </c>
      <c r="M481">
        <v>3</v>
      </c>
    </row>
    <row r="482" spans="1:13" x14ac:dyDescent="0.3">
      <c r="B482">
        <v>6</v>
      </c>
      <c r="C482">
        <v>48</v>
      </c>
      <c r="D482" t="s">
        <v>65</v>
      </c>
      <c r="F482">
        <f t="shared" si="141"/>
        <v>3</v>
      </c>
      <c r="G482" s="4">
        <f t="shared" si="137"/>
        <v>7.2170900692840645</v>
      </c>
      <c r="H482" t="s">
        <v>462</v>
      </c>
      <c r="I482">
        <v>31</v>
      </c>
      <c r="J482" t="s">
        <v>465</v>
      </c>
      <c r="K482">
        <v>63</v>
      </c>
      <c r="L482">
        <v>440</v>
      </c>
      <c r="M482">
        <v>3</v>
      </c>
    </row>
    <row r="483" spans="1:13" x14ac:dyDescent="0.3">
      <c r="B483">
        <v>7</v>
      </c>
      <c r="C483">
        <v>49</v>
      </c>
      <c r="D483" t="s">
        <v>28</v>
      </c>
      <c r="F483">
        <f t="shared" si="141"/>
        <v>3</v>
      </c>
      <c r="G483" s="4">
        <f t="shared" si="137"/>
        <v>7.2170900692840645</v>
      </c>
      <c r="H483" t="s">
        <v>462</v>
      </c>
      <c r="I483">
        <v>31</v>
      </c>
      <c r="J483" t="s">
        <v>465</v>
      </c>
      <c r="K483">
        <v>63</v>
      </c>
      <c r="L483">
        <v>440</v>
      </c>
      <c r="M483">
        <v>3</v>
      </c>
    </row>
    <row r="484" spans="1:13" x14ac:dyDescent="0.3">
      <c r="B484">
        <v>8</v>
      </c>
      <c r="C484">
        <v>51</v>
      </c>
      <c r="D484" t="s">
        <v>37</v>
      </c>
      <c r="F484">
        <f t="shared" si="141"/>
        <v>7</v>
      </c>
      <c r="G484" s="4">
        <f t="shared" si="137"/>
        <v>16.839876828329487</v>
      </c>
      <c r="H484" t="s">
        <v>462</v>
      </c>
      <c r="I484">
        <v>31</v>
      </c>
      <c r="J484" t="s">
        <v>465</v>
      </c>
      <c r="K484">
        <v>63</v>
      </c>
      <c r="L484">
        <v>440</v>
      </c>
      <c r="M484">
        <v>3</v>
      </c>
    </row>
    <row r="485" spans="1:13" x14ac:dyDescent="0.3">
      <c r="A485" s="8" t="s">
        <v>460</v>
      </c>
      <c r="B485">
        <v>1</v>
      </c>
      <c r="C485">
        <v>50</v>
      </c>
      <c r="D485" t="s">
        <v>26</v>
      </c>
      <c r="F485">
        <f>F68</f>
        <v>8</v>
      </c>
      <c r="G485" s="4">
        <f t="shared" si="137"/>
        <v>19.24557351809084</v>
      </c>
      <c r="H485" t="s">
        <v>462</v>
      </c>
      <c r="I485">
        <v>31</v>
      </c>
      <c r="J485" t="s">
        <v>465</v>
      </c>
      <c r="K485">
        <v>63</v>
      </c>
      <c r="L485">
        <v>440</v>
      </c>
      <c r="M485">
        <v>3</v>
      </c>
    </row>
    <row r="486" spans="1:13" x14ac:dyDescent="0.3">
      <c r="B486">
        <v>2</v>
      </c>
      <c r="C486">
        <v>52</v>
      </c>
      <c r="D486" t="s">
        <v>67</v>
      </c>
      <c r="F486">
        <f t="shared" ref="F486:F492" si="142">F69</f>
        <v>2</v>
      </c>
      <c r="G486" s="4">
        <f t="shared" si="137"/>
        <v>4.81139337952271</v>
      </c>
      <c r="H486" t="s">
        <v>462</v>
      </c>
      <c r="I486">
        <v>31</v>
      </c>
      <c r="J486" t="s">
        <v>465</v>
      </c>
      <c r="K486">
        <v>63</v>
      </c>
      <c r="L486">
        <v>440</v>
      </c>
      <c r="M486">
        <v>3</v>
      </c>
    </row>
    <row r="487" spans="1:13" x14ac:dyDescent="0.3">
      <c r="B487">
        <v>3</v>
      </c>
      <c r="C487">
        <v>53</v>
      </c>
      <c r="D487" t="s">
        <v>68</v>
      </c>
      <c r="F487">
        <f t="shared" si="142"/>
        <v>10</v>
      </c>
      <c r="G487" s="4">
        <f t="shared" si="137"/>
        <v>24.056966897613549</v>
      </c>
      <c r="H487" t="s">
        <v>462</v>
      </c>
      <c r="I487">
        <v>31</v>
      </c>
      <c r="J487" t="s">
        <v>465</v>
      </c>
      <c r="K487">
        <v>63</v>
      </c>
      <c r="L487">
        <v>440</v>
      </c>
      <c r="M487">
        <v>3</v>
      </c>
    </row>
    <row r="488" spans="1:13" x14ac:dyDescent="0.3">
      <c r="B488">
        <v>4</v>
      </c>
      <c r="C488">
        <v>54</v>
      </c>
      <c r="D488" t="s">
        <v>72</v>
      </c>
      <c r="F488">
        <f t="shared" si="142"/>
        <v>2</v>
      </c>
      <c r="G488" s="4">
        <f t="shared" si="137"/>
        <v>4.81139337952271</v>
      </c>
      <c r="H488" t="s">
        <v>462</v>
      </c>
      <c r="I488">
        <v>31</v>
      </c>
      <c r="J488" t="s">
        <v>465</v>
      </c>
      <c r="K488">
        <v>63</v>
      </c>
      <c r="L488">
        <v>440</v>
      </c>
      <c r="M488">
        <v>3</v>
      </c>
    </row>
    <row r="489" spans="1:13" x14ac:dyDescent="0.3">
      <c r="B489">
        <v>5</v>
      </c>
      <c r="C489">
        <v>57</v>
      </c>
      <c r="D489" t="s">
        <v>467</v>
      </c>
      <c r="F489">
        <f t="shared" si="142"/>
        <v>8.4</v>
      </c>
      <c r="G489" s="4">
        <f t="shared" si="137"/>
        <v>20.207852193995382</v>
      </c>
      <c r="H489" t="s">
        <v>462</v>
      </c>
      <c r="I489">
        <v>31</v>
      </c>
      <c r="J489" t="s">
        <v>465</v>
      </c>
      <c r="K489">
        <v>63</v>
      </c>
      <c r="L489">
        <v>440</v>
      </c>
      <c r="M489">
        <v>3</v>
      </c>
    </row>
    <row r="490" spans="1:13" x14ac:dyDescent="0.3">
      <c r="B490">
        <v>6</v>
      </c>
      <c r="C490">
        <v>58</v>
      </c>
      <c r="D490" t="s">
        <v>48</v>
      </c>
      <c r="F490">
        <f t="shared" si="142"/>
        <v>3</v>
      </c>
      <c r="G490" s="4">
        <f t="shared" si="137"/>
        <v>7.2170900692840645</v>
      </c>
      <c r="H490" t="s">
        <v>462</v>
      </c>
      <c r="I490">
        <v>31</v>
      </c>
      <c r="J490" t="s">
        <v>465</v>
      </c>
      <c r="K490">
        <v>63</v>
      </c>
      <c r="L490">
        <v>440</v>
      </c>
      <c r="M490">
        <v>3</v>
      </c>
    </row>
    <row r="491" spans="1:13" x14ac:dyDescent="0.3">
      <c r="B491">
        <v>7</v>
      </c>
      <c r="C491">
        <v>59</v>
      </c>
      <c r="D491" t="s">
        <v>75</v>
      </c>
      <c r="F491">
        <f t="shared" si="142"/>
        <v>1</v>
      </c>
      <c r="G491" s="4">
        <f t="shared" si="137"/>
        <v>2.405696689761355</v>
      </c>
      <c r="H491" t="s">
        <v>462</v>
      </c>
      <c r="I491">
        <v>31</v>
      </c>
      <c r="J491" t="s">
        <v>465</v>
      </c>
      <c r="K491">
        <v>63</v>
      </c>
      <c r="L491">
        <v>440</v>
      </c>
      <c r="M491">
        <v>3</v>
      </c>
    </row>
    <row r="492" spans="1:13" x14ac:dyDescent="0.3">
      <c r="B492">
        <v>8</v>
      </c>
      <c r="C492">
        <v>60</v>
      </c>
      <c r="D492" t="s">
        <v>76</v>
      </c>
      <c r="F492">
        <f t="shared" si="142"/>
        <v>2</v>
      </c>
      <c r="G492" s="4">
        <f t="shared" si="137"/>
        <v>4.81139337952271</v>
      </c>
      <c r="H492" t="s">
        <v>462</v>
      </c>
      <c r="I492">
        <v>31</v>
      </c>
      <c r="J492" t="s">
        <v>465</v>
      </c>
      <c r="K492">
        <v>63</v>
      </c>
      <c r="L492">
        <v>440</v>
      </c>
      <c r="M492">
        <v>3</v>
      </c>
    </row>
    <row r="493" spans="1:13" x14ac:dyDescent="0.3">
      <c r="A493" s="8" t="s">
        <v>461</v>
      </c>
      <c r="B493">
        <v>1</v>
      </c>
      <c r="C493">
        <v>65</v>
      </c>
      <c r="D493" t="s">
        <v>78</v>
      </c>
      <c r="F493">
        <f>F81</f>
        <v>1</v>
      </c>
      <c r="G493" s="4">
        <f t="shared" si="137"/>
        <v>2.405696689761355</v>
      </c>
      <c r="H493" t="s">
        <v>462</v>
      </c>
      <c r="I493">
        <v>31</v>
      </c>
      <c r="J493" t="s">
        <v>465</v>
      </c>
      <c r="K493">
        <v>63</v>
      </c>
      <c r="L493">
        <v>440</v>
      </c>
      <c r="M493">
        <v>3</v>
      </c>
    </row>
    <row r="494" spans="1:13" x14ac:dyDescent="0.3">
      <c r="B494">
        <v>2</v>
      </c>
      <c r="C494">
        <v>66</v>
      </c>
      <c r="D494" t="s">
        <v>79</v>
      </c>
      <c r="F494">
        <f t="shared" ref="F494:F498" si="143">F82</f>
        <v>1</v>
      </c>
      <c r="G494" s="4">
        <f t="shared" si="137"/>
        <v>2.405696689761355</v>
      </c>
      <c r="H494" t="s">
        <v>462</v>
      </c>
      <c r="I494">
        <v>31</v>
      </c>
      <c r="J494" t="s">
        <v>465</v>
      </c>
      <c r="K494">
        <v>63</v>
      </c>
      <c r="L494">
        <v>440</v>
      </c>
      <c r="M494">
        <v>3</v>
      </c>
    </row>
    <row r="495" spans="1:13" x14ac:dyDescent="0.3">
      <c r="B495">
        <v>3</v>
      </c>
      <c r="C495">
        <v>67</v>
      </c>
      <c r="D495" t="s">
        <v>80</v>
      </c>
      <c r="F495">
        <f t="shared" si="143"/>
        <v>15</v>
      </c>
      <c r="G495" s="4">
        <f t="shared" si="137"/>
        <v>36.085450346420323</v>
      </c>
      <c r="H495" t="s">
        <v>463</v>
      </c>
      <c r="I495">
        <v>41</v>
      </c>
      <c r="J495" t="s">
        <v>465</v>
      </c>
      <c r="K495">
        <v>63</v>
      </c>
      <c r="L495">
        <v>440</v>
      </c>
      <c r="M495">
        <v>3</v>
      </c>
    </row>
    <row r="496" spans="1:13" x14ac:dyDescent="0.3">
      <c r="B496">
        <v>4</v>
      </c>
      <c r="C496">
        <v>68</v>
      </c>
      <c r="D496" t="s">
        <v>81</v>
      </c>
      <c r="F496">
        <f t="shared" si="143"/>
        <v>4</v>
      </c>
      <c r="G496" s="4">
        <f t="shared" si="137"/>
        <v>9.6227867590454199</v>
      </c>
      <c r="H496" t="s">
        <v>462</v>
      </c>
      <c r="I496">
        <v>31</v>
      </c>
      <c r="J496" t="s">
        <v>465</v>
      </c>
      <c r="K496">
        <v>63</v>
      </c>
      <c r="L496">
        <v>440</v>
      </c>
      <c r="M496">
        <v>3</v>
      </c>
    </row>
    <row r="497" spans="2:13" x14ac:dyDescent="0.3">
      <c r="B497">
        <v>5</v>
      </c>
      <c r="C497">
        <v>69</v>
      </c>
      <c r="D497" t="s">
        <v>82</v>
      </c>
      <c r="F497">
        <f t="shared" si="143"/>
        <v>2</v>
      </c>
      <c r="G497" s="4">
        <f t="shared" si="137"/>
        <v>4.81139337952271</v>
      </c>
      <c r="H497" t="s">
        <v>462</v>
      </c>
      <c r="I497">
        <v>31</v>
      </c>
      <c r="J497" t="s">
        <v>465</v>
      </c>
      <c r="K497">
        <v>63</v>
      </c>
      <c r="L497">
        <v>440</v>
      </c>
      <c r="M497">
        <v>3</v>
      </c>
    </row>
    <row r="498" spans="2:13" x14ac:dyDescent="0.3">
      <c r="B498">
        <v>6</v>
      </c>
      <c r="C498">
        <v>70</v>
      </c>
      <c r="D498" t="s">
        <v>83</v>
      </c>
      <c r="F498">
        <f t="shared" si="143"/>
        <v>1</v>
      </c>
      <c r="G498" s="4">
        <f t="shared" si="137"/>
        <v>2.405696689761355</v>
      </c>
      <c r="H498" t="s">
        <v>462</v>
      </c>
      <c r="I498">
        <v>31</v>
      </c>
      <c r="J498" t="s">
        <v>465</v>
      </c>
      <c r="K498">
        <v>63</v>
      </c>
      <c r="L498">
        <v>440</v>
      </c>
      <c r="M498">
        <v>3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tuan</dc:creator>
  <cp:lastModifiedBy>cuong tuan</cp:lastModifiedBy>
  <dcterms:created xsi:type="dcterms:W3CDTF">2023-11-03T02:26:42Z</dcterms:created>
  <dcterms:modified xsi:type="dcterms:W3CDTF">2023-11-26T02:04:44Z</dcterms:modified>
</cp:coreProperties>
</file>